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notas meg\RENDICION DE CUENTAS\PLANILLAS\"/>
    </mc:Choice>
  </mc:AlternateContent>
  <xr:revisionPtr revIDLastSave="0" documentId="13_ncr:1_{5B330546-756D-4894-B39D-22AA8C0B193D}" xr6:coauthVersionLast="47" xr6:coauthVersionMax="47" xr10:uidLastSave="{00000000-0000-0000-0000-000000000000}"/>
  <bookViews>
    <workbookView xWindow="-120" yWindow="-120" windowWidth="24240" windowHeight="13140" tabRatio="937" xr2:uid="{00000000-000D-0000-FFFF-FFFF00000000}"/>
  </bookViews>
  <sheets>
    <sheet name="CARGAFACTURAS" sheetId="40" r:id="rId1"/>
    <sheet name="L BANCO" sheetId="53" r:id="rId2"/>
    <sheet name="CC" sheetId="48" r:id="rId3"/>
    <sheet name="FONDOS" sheetId="42" r:id="rId4"/>
    <sheet name="AUX23" sheetId="41" r:id="rId5"/>
    <sheet name="DDJJ TEM23" sheetId="43" r:id="rId6"/>
    <sheet name="FAR 11" sheetId="44" r:id="rId7"/>
    <sheet name="IVA" sheetId="45" r:id="rId8"/>
    <sheet name="GANANCIA" sheetId="46" r:id="rId9"/>
    <sheet name="SUSS" sheetId="47" r:id="rId10"/>
    <sheet name="PLANILLARENDICION" sheetId="49" r:id="rId11"/>
    <sheet name="INFORME INDIVIDUAL" sheetId="54" r:id="rId12"/>
    <sheet name="DDJJ IIBB23" sheetId="50" r:id="rId13"/>
    <sheet name="I MENSUAL" sheetId="52" r:id="rId14"/>
  </sheets>
  <definedNames>
    <definedName name="_xlnm._FilterDatabase" localSheetId="0" hidden="1">CARGAFACTURAS!$A$1:$Q$328</definedName>
    <definedName name="_xlnm._FilterDatabase" localSheetId="2" hidden="1">CC!$A$1:$K$198</definedName>
    <definedName name="_xlnm._FilterDatabase" localSheetId="13" hidden="1">'I MENSUAL'!$A$1:$M$1</definedName>
    <definedName name="_xlnm._FilterDatabase" localSheetId="1" hidden="1">'L BANCO'!$A$1:$M$129</definedName>
    <definedName name="_xlnm._FilterDatabase" localSheetId="10" hidden="1">PLANILLARENDICION!$C$2:$T$90</definedName>
    <definedName name="_xlnm.Print_Area" localSheetId="8">GANANCIA!$A$1:$G$25</definedName>
    <definedName name="_xlnm.Print_Area" localSheetId="7">IVA!$A$1:$G$25</definedName>
    <definedName name="_xlnm.Print_Area" localSheetId="10">PLANILLARENDICION!$A$2:$Q$90</definedName>
    <definedName name="_xlnm.Print_Area" localSheetId="9">SUSS!$A$1:$G$25</definedName>
  </definedNames>
  <calcPr calcId="191029" iterate="1"/>
</workbook>
</file>

<file path=xl/calcChain.xml><?xml version="1.0" encoding="utf-8"?>
<calcChain xmlns="http://schemas.openxmlformats.org/spreadsheetml/2006/main">
  <c r="N314" i="40" l="1"/>
  <c r="F320" i="40"/>
  <c r="F319" i="40"/>
  <c r="F318" i="40"/>
  <c r="G324" i="40"/>
  <c r="G323" i="40"/>
  <c r="F323" i="40"/>
  <c r="J183" i="48"/>
  <c r="J184" i="48"/>
  <c r="J185" i="48"/>
  <c r="J186" i="48"/>
  <c r="J187" i="48"/>
  <c r="J188" i="48"/>
  <c r="J189" i="48"/>
  <c r="J190" i="48"/>
  <c r="J191" i="48"/>
  <c r="J192" i="48"/>
  <c r="J193" i="48"/>
  <c r="J194" i="48"/>
  <c r="J195" i="48"/>
  <c r="J196" i="48"/>
  <c r="J197" i="48"/>
  <c r="J198" i="48"/>
  <c r="J182" i="48"/>
  <c r="D9" i="42"/>
  <c r="T313" i="40"/>
  <c r="F314" i="40"/>
  <c r="F313" i="40"/>
  <c r="F329" i="40"/>
  <c r="H329" i="40"/>
  <c r="I329" i="40"/>
  <c r="J329" i="40"/>
  <c r="K329" i="40"/>
  <c r="L329" i="40"/>
  <c r="N329" i="40"/>
  <c r="O329" i="40"/>
  <c r="Q329" i="40"/>
  <c r="R329" i="40"/>
  <c r="U329" i="40"/>
  <c r="V329" i="40"/>
  <c r="F330" i="40"/>
  <c r="H330" i="40"/>
  <c r="I330" i="40"/>
  <c r="J330" i="40"/>
  <c r="K330" i="40"/>
  <c r="L330" i="40"/>
  <c r="N330" i="40"/>
  <c r="O330" i="40"/>
  <c r="R330" i="40" s="1"/>
  <c r="Q330" i="40"/>
  <c r="U330" i="40"/>
  <c r="F331" i="40"/>
  <c r="H331" i="40"/>
  <c r="I331" i="40"/>
  <c r="J331" i="40"/>
  <c r="K331" i="40"/>
  <c r="L331" i="40"/>
  <c r="N331" i="40"/>
  <c r="O331" i="40"/>
  <c r="R331" i="40" s="1"/>
  <c r="Q331" i="40"/>
  <c r="U331" i="40"/>
  <c r="F332" i="40"/>
  <c r="H332" i="40"/>
  <c r="I332" i="40"/>
  <c r="J332" i="40"/>
  <c r="K332" i="40"/>
  <c r="L332" i="40"/>
  <c r="N332" i="40"/>
  <c r="V332" i="40" s="1"/>
  <c r="O332" i="40"/>
  <c r="Q332" i="40"/>
  <c r="R332" i="40"/>
  <c r="U332" i="40"/>
  <c r="F333" i="40"/>
  <c r="H333" i="40"/>
  <c r="I333" i="40"/>
  <c r="J333" i="40"/>
  <c r="K333" i="40"/>
  <c r="L333" i="40"/>
  <c r="N333" i="40"/>
  <c r="O333" i="40"/>
  <c r="Q333" i="40"/>
  <c r="R333" i="40"/>
  <c r="U333" i="40"/>
  <c r="V333" i="40"/>
  <c r="F334" i="40"/>
  <c r="H334" i="40"/>
  <c r="I334" i="40"/>
  <c r="J334" i="40"/>
  <c r="K334" i="40"/>
  <c r="L334" i="40"/>
  <c r="N334" i="40"/>
  <c r="O334" i="40"/>
  <c r="R334" i="40" s="1"/>
  <c r="Q334" i="40"/>
  <c r="U334" i="40"/>
  <c r="F335" i="40"/>
  <c r="H335" i="40"/>
  <c r="I335" i="40"/>
  <c r="J335" i="40"/>
  <c r="K335" i="40"/>
  <c r="L335" i="40"/>
  <c r="N335" i="40"/>
  <c r="O335" i="40"/>
  <c r="R335" i="40" s="1"/>
  <c r="V335" i="40" s="1"/>
  <c r="Q335" i="40"/>
  <c r="U335" i="40"/>
  <c r="F336" i="40"/>
  <c r="H336" i="40"/>
  <c r="I336" i="40"/>
  <c r="J336" i="40"/>
  <c r="K336" i="40"/>
  <c r="L336" i="40"/>
  <c r="N336" i="40"/>
  <c r="O336" i="40"/>
  <c r="Q336" i="40"/>
  <c r="R336" i="40"/>
  <c r="U336" i="40"/>
  <c r="V336" i="40"/>
  <c r="F337" i="40"/>
  <c r="H337" i="40"/>
  <c r="I337" i="40"/>
  <c r="J337" i="40"/>
  <c r="K337" i="40"/>
  <c r="L337" i="40"/>
  <c r="N337" i="40"/>
  <c r="O337" i="40"/>
  <c r="Q337" i="40"/>
  <c r="R337" i="40"/>
  <c r="U337" i="40"/>
  <c r="F338" i="40"/>
  <c r="H338" i="40"/>
  <c r="I338" i="40"/>
  <c r="J338" i="40"/>
  <c r="K338" i="40"/>
  <c r="L338" i="40"/>
  <c r="N338" i="40"/>
  <c r="O338" i="40"/>
  <c r="R338" i="40" s="1"/>
  <c r="Q338" i="40"/>
  <c r="U338" i="40"/>
  <c r="F339" i="40"/>
  <c r="H339" i="40"/>
  <c r="I339" i="40"/>
  <c r="J339" i="40"/>
  <c r="K339" i="40"/>
  <c r="L339" i="40"/>
  <c r="N339" i="40"/>
  <c r="O339" i="40"/>
  <c r="R339" i="40" s="1"/>
  <c r="V339" i="40" s="1"/>
  <c r="Q339" i="40"/>
  <c r="U339" i="40"/>
  <c r="F340" i="40"/>
  <c r="H340" i="40"/>
  <c r="I340" i="40"/>
  <c r="J340" i="40"/>
  <c r="K340" i="40"/>
  <c r="L340" i="40"/>
  <c r="N340" i="40"/>
  <c r="V340" i="40" s="1"/>
  <c r="O340" i="40"/>
  <c r="Q340" i="40"/>
  <c r="R340" i="40"/>
  <c r="U340" i="40"/>
  <c r="F341" i="40"/>
  <c r="H341" i="40"/>
  <c r="I341" i="40"/>
  <c r="J341" i="40"/>
  <c r="K341" i="40"/>
  <c r="L341" i="40"/>
  <c r="N341" i="40"/>
  <c r="O341" i="40"/>
  <c r="Q341" i="40"/>
  <c r="R341" i="40"/>
  <c r="U341" i="40"/>
  <c r="V341" i="40"/>
  <c r="F342" i="40"/>
  <c r="H342" i="40"/>
  <c r="I342" i="40"/>
  <c r="J342" i="40"/>
  <c r="K342" i="40"/>
  <c r="L342" i="40"/>
  <c r="N342" i="40"/>
  <c r="O342" i="40"/>
  <c r="R342" i="40" s="1"/>
  <c r="Q342" i="40"/>
  <c r="U342" i="40"/>
  <c r="F343" i="40"/>
  <c r="H343" i="40"/>
  <c r="I343" i="40"/>
  <c r="J343" i="40"/>
  <c r="K343" i="40"/>
  <c r="L343" i="40"/>
  <c r="N343" i="40"/>
  <c r="O343" i="40"/>
  <c r="R343" i="40" s="1"/>
  <c r="V343" i="40" s="1"/>
  <c r="Q343" i="40"/>
  <c r="U343" i="40"/>
  <c r="F344" i="40"/>
  <c r="H344" i="40"/>
  <c r="I344" i="40"/>
  <c r="J344" i="40"/>
  <c r="K344" i="40"/>
  <c r="L344" i="40"/>
  <c r="N344" i="40"/>
  <c r="O344" i="40"/>
  <c r="Q344" i="40"/>
  <c r="R344" i="40"/>
  <c r="U344" i="40"/>
  <c r="V344" i="40"/>
  <c r="F345" i="40"/>
  <c r="H345" i="40"/>
  <c r="I345" i="40"/>
  <c r="J345" i="40"/>
  <c r="K345" i="40"/>
  <c r="L345" i="40"/>
  <c r="N345" i="40"/>
  <c r="O345" i="40"/>
  <c r="Q345" i="40"/>
  <c r="R345" i="40"/>
  <c r="U345" i="40"/>
  <c r="F346" i="40"/>
  <c r="H346" i="40"/>
  <c r="I346" i="40"/>
  <c r="J346" i="40"/>
  <c r="K346" i="40"/>
  <c r="L346" i="40"/>
  <c r="N346" i="40"/>
  <c r="O346" i="40"/>
  <c r="R346" i="40" s="1"/>
  <c r="Q346" i="40"/>
  <c r="U346" i="40"/>
  <c r="F347" i="40"/>
  <c r="H347" i="40"/>
  <c r="I347" i="40"/>
  <c r="J347" i="40"/>
  <c r="K347" i="40"/>
  <c r="L347" i="40"/>
  <c r="N347" i="40"/>
  <c r="O347" i="40"/>
  <c r="R347" i="40" s="1"/>
  <c r="V347" i="40" s="1"/>
  <c r="Q347" i="40"/>
  <c r="U347" i="40"/>
  <c r="F348" i="40"/>
  <c r="H348" i="40"/>
  <c r="I348" i="40"/>
  <c r="J348" i="40"/>
  <c r="K348" i="40"/>
  <c r="L348" i="40"/>
  <c r="N348" i="40"/>
  <c r="V348" i="40" s="1"/>
  <c r="O348" i="40"/>
  <c r="Q348" i="40"/>
  <c r="R348" i="40"/>
  <c r="U348" i="40"/>
  <c r="F349" i="40"/>
  <c r="H349" i="40"/>
  <c r="I349" i="40"/>
  <c r="J349" i="40"/>
  <c r="K349" i="40"/>
  <c r="L349" i="40"/>
  <c r="N349" i="40"/>
  <c r="O349" i="40"/>
  <c r="Q349" i="40"/>
  <c r="R349" i="40"/>
  <c r="U349" i="40"/>
  <c r="V349" i="40"/>
  <c r="F350" i="40"/>
  <c r="H350" i="40"/>
  <c r="I350" i="40"/>
  <c r="J350" i="40"/>
  <c r="K350" i="40"/>
  <c r="L350" i="40"/>
  <c r="N350" i="40"/>
  <c r="O350" i="40"/>
  <c r="R350" i="40" s="1"/>
  <c r="Q350" i="40"/>
  <c r="U350" i="40"/>
  <c r="F351" i="40"/>
  <c r="H351" i="40"/>
  <c r="I351" i="40"/>
  <c r="J351" i="40"/>
  <c r="K351" i="40"/>
  <c r="L351" i="40"/>
  <c r="N351" i="40"/>
  <c r="O351" i="40"/>
  <c r="R351" i="40" s="1"/>
  <c r="V351" i="40" s="1"/>
  <c r="Q351" i="40"/>
  <c r="U351" i="40"/>
  <c r="F352" i="40"/>
  <c r="H352" i="40"/>
  <c r="I352" i="40"/>
  <c r="J352" i="40"/>
  <c r="K352" i="40"/>
  <c r="L352" i="40"/>
  <c r="N352" i="40"/>
  <c r="V352" i="40" s="1"/>
  <c r="O352" i="40"/>
  <c r="Q352" i="40"/>
  <c r="R352" i="40"/>
  <c r="U352" i="40"/>
  <c r="F353" i="40"/>
  <c r="H353" i="40"/>
  <c r="I353" i="40"/>
  <c r="J353" i="40"/>
  <c r="K353" i="40"/>
  <c r="L353" i="40"/>
  <c r="N353" i="40"/>
  <c r="O353" i="40"/>
  <c r="Q353" i="40"/>
  <c r="R353" i="40"/>
  <c r="U353" i="40"/>
  <c r="V353" i="40"/>
  <c r="F354" i="40"/>
  <c r="H354" i="40"/>
  <c r="I354" i="40"/>
  <c r="J354" i="40"/>
  <c r="K354" i="40"/>
  <c r="L354" i="40"/>
  <c r="N354" i="40"/>
  <c r="O354" i="40"/>
  <c r="R354" i="40" s="1"/>
  <c r="Q354" i="40"/>
  <c r="U354" i="40"/>
  <c r="F355" i="40"/>
  <c r="H355" i="40"/>
  <c r="I355" i="40"/>
  <c r="J355" i="40"/>
  <c r="K355" i="40"/>
  <c r="L355" i="40"/>
  <c r="N355" i="40"/>
  <c r="O355" i="40"/>
  <c r="R355" i="40" s="1"/>
  <c r="V355" i="40" s="1"/>
  <c r="Q355" i="40"/>
  <c r="U355" i="40"/>
  <c r="F356" i="40"/>
  <c r="H356" i="40"/>
  <c r="I356" i="40"/>
  <c r="J356" i="40"/>
  <c r="K356" i="40"/>
  <c r="L356" i="40"/>
  <c r="N356" i="40"/>
  <c r="O356" i="40"/>
  <c r="Q356" i="40"/>
  <c r="R356" i="40"/>
  <c r="U356" i="40"/>
  <c r="V356" i="40"/>
  <c r="F357" i="40"/>
  <c r="H357" i="40"/>
  <c r="I357" i="40"/>
  <c r="J357" i="40"/>
  <c r="K357" i="40"/>
  <c r="L357" i="40"/>
  <c r="N357" i="40"/>
  <c r="O357" i="40"/>
  <c r="Q357" i="40"/>
  <c r="R357" i="40"/>
  <c r="U357" i="40"/>
  <c r="F358" i="40"/>
  <c r="H358" i="40"/>
  <c r="I358" i="40"/>
  <c r="J358" i="40"/>
  <c r="K358" i="40"/>
  <c r="L358" i="40"/>
  <c r="N358" i="40"/>
  <c r="O358" i="40"/>
  <c r="R358" i="40" s="1"/>
  <c r="Q358" i="40"/>
  <c r="U358" i="40"/>
  <c r="F359" i="40"/>
  <c r="H359" i="40"/>
  <c r="I359" i="40"/>
  <c r="J359" i="40"/>
  <c r="K359" i="40"/>
  <c r="L359" i="40"/>
  <c r="N359" i="40"/>
  <c r="O359" i="40"/>
  <c r="R359" i="40" s="1"/>
  <c r="V359" i="40" s="1"/>
  <c r="Q359" i="40"/>
  <c r="U359" i="40"/>
  <c r="F360" i="40"/>
  <c r="H360" i="40"/>
  <c r="I360" i="40"/>
  <c r="J360" i="40"/>
  <c r="K360" i="40"/>
  <c r="L360" i="40"/>
  <c r="N360" i="40"/>
  <c r="V360" i="40" s="1"/>
  <c r="O360" i="40"/>
  <c r="Q360" i="40"/>
  <c r="R360" i="40"/>
  <c r="U360" i="40"/>
  <c r="F361" i="40"/>
  <c r="H361" i="40"/>
  <c r="I361" i="40"/>
  <c r="J361" i="40"/>
  <c r="K361" i="40"/>
  <c r="L361" i="40"/>
  <c r="N361" i="40"/>
  <c r="O361" i="40"/>
  <c r="Q361" i="40"/>
  <c r="R361" i="40"/>
  <c r="U361" i="40"/>
  <c r="V361" i="40"/>
  <c r="F362" i="40"/>
  <c r="H362" i="40"/>
  <c r="I362" i="40"/>
  <c r="J362" i="40"/>
  <c r="K362" i="40"/>
  <c r="L362" i="40"/>
  <c r="N362" i="40"/>
  <c r="O362" i="40"/>
  <c r="R362" i="40" s="1"/>
  <c r="Q362" i="40"/>
  <c r="U362" i="40"/>
  <c r="F363" i="40"/>
  <c r="H363" i="40"/>
  <c r="I363" i="40"/>
  <c r="J363" i="40"/>
  <c r="K363" i="40"/>
  <c r="L363" i="40"/>
  <c r="N363" i="40"/>
  <c r="O363" i="40"/>
  <c r="R363" i="40" s="1"/>
  <c r="V363" i="40" s="1"/>
  <c r="Q363" i="40"/>
  <c r="U363" i="40"/>
  <c r="F364" i="40"/>
  <c r="H364" i="40"/>
  <c r="I364" i="40"/>
  <c r="J364" i="40"/>
  <c r="K364" i="40"/>
  <c r="L364" i="40"/>
  <c r="N364" i="40"/>
  <c r="O364" i="40"/>
  <c r="Q364" i="40"/>
  <c r="R364" i="40"/>
  <c r="U364" i="40"/>
  <c r="V364" i="40"/>
  <c r="F365" i="40"/>
  <c r="H365" i="40"/>
  <c r="I365" i="40"/>
  <c r="J365" i="40"/>
  <c r="K365" i="40"/>
  <c r="L365" i="40"/>
  <c r="N365" i="40"/>
  <c r="O365" i="40"/>
  <c r="Q365" i="40"/>
  <c r="R365" i="40"/>
  <c r="U365" i="40"/>
  <c r="F366" i="40"/>
  <c r="H366" i="40"/>
  <c r="I366" i="40"/>
  <c r="J366" i="40"/>
  <c r="K366" i="40"/>
  <c r="L366" i="40"/>
  <c r="N366" i="40"/>
  <c r="O366" i="40"/>
  <c r="R366" i="40" s="1"/>
  <c r="Q366" i="40"/>
  <c r="U366" i="40"/>
  <c r="F367" i="40"/>
  <c r="H367" i="40"/>
  <c r="I367" i="40"/>
  <c r="J367" i="40"/>
  <c r="K367" i="40"/>
  <c r="L367" i="40"/>
  <c r="N367" i="40"/>
  <c r="O367" i="40"/>
  <c r="R367" i="40" s="1"/>
  <c r="V367" i="40" s="1"/>
  <c r="Q367" i="40"/>
  <c r="U367" i="40"/>
  <c r="F368" i="40"/>
  <c r="H368" i="40"/>
  <c r="I368" i="40"/>
  <c r="J368" i="40"/>
  <c r="K368" i="40"/>
  <c r="L368" i="40"/>
  <c r="N368" i="40"/>
  <c r="V368" i="40" s="1"/>
  <c r="O368" i="40"/>
  <c r="Q368" i="40"/>
  <c r="R368" i="40"/>
  <c r="U368" i="40"/>
  <c r="F369" i="40"/>
  <c r="H369" i="40"/>
  <c r="I369" i="40"/>
  <c r="J369" i="40"/>
  <c r="K369" i="40"/>
  <c r="L369" i="40"/>
  <c r="N369" i="40"/>
  <c r="O369" i="40"/>
  <c r="Q369" i="40"/>
  <c r="R369" i="40"/>
  <c r="U369" i="40"/>
  <c r="V369" i="40"/>
  <c r="F370" i="40"/>
  <c r="H370" i="40"/>
  <c r="I370" i="40"/>
  <c r="J370" i="40"/>
  <c r="K370" i="40"/>
  <c r="L370" i="40"/>
  <c r="N370" i="40"/>
  <c r="O370" i="40"/>
  <c r="R370" i="40" s="1"/>
  <c r="Q370" i="40"/>
  <c r="U370" i="40"/>
  <c r="F371" i="40"/>
  <c r="H371" i="40"/>
  <c r="I371" i="40"/>
  <c r="J371" i="40"/>
  <c r="K371" i="40"/>
  <c r="L371" i="40"/>
  <c r="N371" i="40"/>
  <c r="O371" i="40"/>
  <c r="R371" i="40" s="1"/>
  <c r="V371" i="40" s="1"/>
  <c r="Q371" i="40"/>
  <c r="U371" i="40"/>
  <c r="F372" i="40"/>
  <c r="H372" i="40"/>
  <c r="I372" i="40"/>
  <c r="J372" i="40"/>
  <c r="K372" i="40"/>
  <c r="L372" i="40"/>
  <c r="N372" i="40"/>
  <c r="O372" i="40"/>
  <c r="Q372" i="40"/>
  <c r="R372" i="40"/>
  <c r="U372" i="40"/>
  <c r="V372" i="40"/>
  <c r="F373" i="40"/>
  <c r="H373" i="40"/>
  <c r="I373" i="40"/>
  <c r="J373" i="40"/>
  <c r="K373" i="40"/>
  <c r="L373" i="40"/>
  <c r="N373" i="40"/>
  <c r="O373" i="40"/>
  <c r="Q373" i="40"/>
  <c r="R373" i="40"/>
  <c r="U373" i="40"/>
  <c r="F374" i="40"/>
  <c r="H374" i="40"/>
  <c r="I374" i="40"/>
  <c r="J374" i="40"/>
  <c r="K374" i="40"/>
  <c r="L374" i="40"/>
  <c r="N374" i="40"/>
  <c r="O374" i="40"/>
  <c r="R374" i="40" s="1"/>
  <c r="Q374" i="40"/>
  <c r="U374" i="40"/>
  <c r="F375" i="40"/>
  <c r="H375" i="40"/>
  <c r="I375" i="40"/>
  <c r="J375" i="40"/>
  <c r="K375" i="40"/>
  <c r="L375" i="40"/>
  <c r="N375" i="40"/>
  <c r="O375" i="40"/>
  <c r="R375" i="40" s="1"/>
  <c r="V375" i="40" s="1"/>
  <c r="Q375" i="40"/>
  <c r="U375" i="40"/>
  <c r="F376" i="40"/>
  <c r="H376" i="40"/>
  <c r="I376" i="40"/>
  <c r="J376" i="40"/>
  <c r="K376" i="40"/>
  <c r="L376" i="40"/>
  <c r="N376" i="40"/>
  <c r="O376" i="40"/>
  <c r="Q376" i="40"/>
  <c r="R376" i="40"/>
  <c r="U376" i="40"/>
  <c r="F377" i="40"/>
  <c r="H377" i="40"/>
  <c r="I377" i="40"/>
  <c r="J377" i="40"/>
  <c r="K377" i="40"/>
  <c r="L377" i="40"/>
  <c r="N377" i="40"/>
  <c r="V377" i="40" s="1"/>
  <c r="O377" i="40"/>
  <c r="Q377" i="40"/>
  <c r="R377" i="40"/>
  <c r="U377" i="40"/>
  <c r="F378" i="40"/>
  <c r="H378" i="40"/>
  <c r="I378" i="40"/>
  <c r="J378" i="40"/>
  <c r="K378" i="40"/>
  <c r="L378" i="40"/>
  <c r="N378" i="40"/>
  <c r="O378" i="40"/>
  <c r="Q378" i="40"/>
  <c r="R378" i="40"/>
  <c r="U378" i="40"/>
  <c r="V378" i="40"/>
  <c r="F379" i="40"/>
  <c r="H379" i="40"/>
  <c r="I379" i="40"/>
  <c r="J379" i="40"/>
  <c r="K379" i="40"/>
  <c r="L379" i="40"/>
  <c r="N379" i="40"/>
  <c r="O379" i="40"/>
  <c r="R379" i="40" s="1"/>
  <c r="Q379" i="40"/>
  <c r="U379" i="40"/>
  <c r="F380" i="40"/>
  <c r="H380" i="40"/>
  <c r="I380" i="40"/>
  <c r="J380" i="40"/>
  <c r="K380" i="40"/>
  <c r="L380" i="40"/>
  <c r="N380" i="40"/>
  <c r="O380" i="40"/>
  <c r="R380" i="40" s="1"/>
  <c r="Q380" i="40"/>
  <c r="U380" i="40"/>
  <c r="F381" i="40"/>
  <c r="H381" i="40"/>
  <c r="I381" i="40"/>
  <c r="J381" i="40"/>
  <c r="K381" i="40"/>
  <c r="L381" i="40"/>
  <c r="N381" i="40"/>
  <c r="V381" i="40" s="1"/>
  <c r="O381" i="40"/>
  <c r="Q381" i="40"/>
  <c r="R381" i="40"/>
  <c r="U381" i="40"/>
  <c r="F382" i="40"/>
  <c r="H382" i="40"/>
  <c r="I382" i="40"/>
  <c r="J382" i="40"/>
  <c r="K382" i="40"/>
  <c r="L382" i="40"/>
  <c r="N382" i="40"/>
  <c r="O382" i="40"/>
  <c r="Q382" i="40"/>
  <c r="R382" i="40"/>
  <c r="U382" i="40"/>
  <c r="V382" i="40"/>
  <c r="F383" i="40"/>
  <c r="H383" i="40"/>
  <c r="I383" i="40"/>
  <c r="J383" i="40"/>
  <c r="K383" i="40"/>
  <c r="L383" i="40"/>
  <c r="N383" i="40"/>
  <c r="O383" i="40"/>
  <c r="R383" i="40" s="1"/>
  <c r="Q383" i="40"/>
  <c r="U383" i="40"/>
  <c r="F384" i="40"/>
  <c r="H384" i="40"/>
  <c r="I384" i="40"/>
  <c r="J384" i="40"/>
  <c r="K384" i="40"/>
  <c r="L384" i="40"/>
  <c r="N384" i="40"/>
  <c r="O384" i="40"/>
  <c r="R384" i="40" s="1"/>
  <c r="Q384" i="40"/>
  <c r="U384" i="40"/>
  <c r="F385" i="40"/>
  <c r="H385" i="40"/>
  <c r="I385" i="40"/>
  <c r="J385" i="40"/>
  <c r="K385" i="40"/>
  <c r="L385" i="40"/>
  <c r="N385" i="40"/>
  <c r="V385" i="40" s="1"/>
  <c r="O385" i="40"/>
  <c r="Q385" i="40"/>
  <c r="R385" i="40"/>
  <c r="U385" i="40"/>
  <c r="F386" i="40"/>
  <c r="H386" i="40"/>
  <c r="I386" i="40"/>
  <c r="J386" i="40"/>
  <c r="K386" i="40"/>
  <c r="L386" i="40"/>
  <c r="N386" i="40"/>
  <c r="O386" i="40"/>
  <c r="Q386" i="40"/>
  <c r="R386" i="40"/>
  <c r="U386" i="40"/>
  <c r="V386" i="40"/>
  <c r="F387" i="40"/>
  <c r="H387" i="40"/>
  <c r="I387" i="40"/>
  <c r="J387" i="40"/>
  <c r="K387" i="40"/>
  <c r="L387" i="40"/>
  <c r="N387" i="40"/>
  <c r="O387" i="40"/>
  <c r="R387" i="40" s="1"/>
  <c r="Q387" i="40"/>
  <c r="U387" i="40"/>
  <c r="F388" i="40"/>
  <c r="H388" i="40"/>
  <c r="I388" i="40"/>
  <c r="J388" i="40"/>
  <c r="K388" i="40"/>
  <c r="L388" i="40"/>
  <c r="N388" i="40"/>
  <c r="O388" i="40"/>
  <c r="R388" i="40" s="1"/>
  <c r="Q388" i="40"/>
  <c r="U388" i="40"/>
  <c r="F389" i="40"/>
  <c r="H389" i="40"/>
  <c r="I389" i="40"/>
  <c r="J389" i="40"/>
  <c r="K389" i="40"/>
  <c r="L389" i="40"/>
  <c r="N389" i="40"/>
  <c r="V389" i="40" s="1"/>
  <c r="O389" i="40"/>
  <c r="Q389" i="40"/>
  <c r="R389" i="40"/>
  <c r="U389" i="40"/>
  <c r="F390" i="40"/>
  <c r="H390" i="40"/>
  <c r="I390" i="40"/>
  <c r="J390" i="40"/>
  <c r="K390" i="40"/>
  <c r="L390" i="40"/>
  <c r="N390" i="40"/>
  <c r="O390" i="40"/>
  <c r="Q390" i="40"/>
  <c r="R390" i="40"/>
  <c r="U390" i="40"/>
  <c r="V390" i="40"/>
  <c r="F391" i="40"/>
  <c r="H391" i="40"/>
  <c r="I391" i="40"/>
  <c r="J391" i="40"/>
  <c r="K391" i="40"/>
  <c r="L391" i="40"/>
  <c r="N391" i="40"/>
  <c r="O391" i="40"/>
  <c r="R391" i="40" s="1"/>
  <c r="Q391" i="40"/>
  <c r="U391" i="40"/>
  <c r="F392" i="40"/>
  <c r="H392" i="40"/>
  <c r="I392" i="40"/>
  <c r="J392" i="40"/>
  <c r="K392" i="40"/>
  <c r="L392" i="40"/>
  <c r="N392" i="40"/>
  <c r="O392" i="40"/>
  <c r="R392" i="40" s="1"/>
  <c r="Q392" i="40"/>
  <c r="U392" i="40"/>
  <c r="F393" i="40"/>
  <c r="H393" i="40"/>
  <c r="I393" i="40"/>
  <c r="J393" i="40"/>
  <c r="K393" i="40"/>
  <c r="L393" i="40"/>
  <c r="N393" i="40"/>
  <c r="V393" i="40" s="1"/>
  <c r="O393" i="40"/>
  <c r="Q393" i="40"/>
  <c r="R393" i="40"/>
  <c r="U393" i="40"/>
  <c r="F394" i="40"/>
  <c r="H394" i="40"/>
  <c r="I394" i="40"/>
  <c r="J394" i="40"/>
  <c r="K394" i="40"/>
  <c r="L394" i="40"/>
  <c r="N394" i="40"/>
  <c r="O394" i="40"/>
  <c r="Q394" i="40"/>
  <c r="R394" i="40"/>
  <c r="U394" i="40"/>
  <c r="V394" i="40"/>
  <c r="F395" i="40"/>
  <c r="H395" i="40"/>
  <c r="I395" i="40"/>
  <c r="J395" i="40"/>
  <c r="K395" i="40"/>
  <c r="L395" i="40"/>
  <c r="N395" i="40"/>
  <c r="O395" i="40"/>
  <c r="R395" i="40" s="1"/>
  <c r="Q395" i="40"/>
  <c r="U395" i="40"/>
  <c r="F396" i="40"/>
  <c r="H396" i="40"/>
  <c r="I396" i="40"/>
  <c r="J396" i="40"/>
  <c r="K396" i="40"/>
  <c r="L396" i="40"/>
  <c r="N396" i="40"/>
  <c r="O396" i="40"/>
  <c r="R396" i="40" s="1"/>
  <c r="Q396" i="40"/>
  <c r="U396" i="40"/>
  <c r="F397" i="40"/>
  <c r="H397" i="40"/>
  <c r="I397" i="40"/>
  <c r="J397" i="40"/>
  <c r="K397" i="40"/>
  <c r="L397" i="40"/>
  <c r="N397" i="40"/>
  <c r="V397" i="40" s="1"/>
  <c r="O397" i="40"/>
  <c r="Q397" i="40"/>
  <c r="R397" i="40"/>
  <c r="U397" i="40"/>
  <c r="F398" i="40"/>
  <c r="H398" i="40"/>
  <c r="I398" i="40"/>
  <c r="J398" i="40"/>
  <c r="K398" i="40"/>
  <c r="L398" i="40"/>
  <c r="N398" i="40"/>
  <c r="O398" i="40"/>
  <c r="Q398" i="40"/>
  <c r="R398" i="40"/>
  <c r="U398" i="40"/>
  <c r="V398" i="40"/>
  <c r="F399" i="40"/>
  <c r="H399" i="40"/>
  <c r="I399" i="40"/>
  <c r="J399" i="40"/>
  <c r="K399" i="40"/>
  <c r="L399" i="40"/>
  <c r="N399" i="40"/>
  <c r="O399" i="40"/>
  <c r="R399" i="40" s="1"/>
  <c r="Q399" i="40"/>
  <c r="U399" i="40"/>
  <c r="T309" i="40"/>
  <c r="B9" i="42"/>
  <c r="I23" i="42"/>
  <c r="I22" i="42"/>
  <c r="E9" i="42"/>
  <c r="C9" i="42"/>
  <c r="L25" i="50"/>
  <c r="M25" i="50"/>
  <c r="L26" i="50"/>
  <c r="M26" i="50"/>
  <c r="L27" i="50"/>
  <c r="M27" i="50"/>
  <c r="A27" i="50" s="1"/>
  <c r="L28" i="50"/>
  <c r="M28" i="50"/>
  <c r="L29" i="50"/>
  <c r="M29" i="50"/>
  <c r="L30" i="50"/>
  <c r="M30" i="50"/>
  <c r="D27" i="50"/>
  <c r="K27" i="50"/>
  <c r="D28" i="50"/>
  <c r="E28" i="50"/>
  <c r="G28" i="50"/>
  <c r="K28" i="50"/>
  <c r="D29" i="50"/>
  <c r="E29" i="50"/>
  <c r="G29" i="50"/>
  <c r="K29" i="50"/>
  <c r="D30" i="50"/>
  <c r="E30" i="50"/>
  <c r="G30" i="50"/>
  <c r="K30" i="50"/>
  <c r="L24" i="50"/>
  <c r="M24" i="50"/>
  <c r="D24" i="50"/>
  <c r="K24" i="50"/>
  <c r="D25" i="50"/>
  <c r="K25" i="50"/>
  <c r="D26" i="50"/>
  <c r="K26" i="50"/>
  <c r="M19" i="50"/>
  <c r="A30" i="50" s="1"/>
  <c r="M20" i="50"/>
  <c r="M21" i="50"/>
  <c r="M22" i="50"/>
  <c r="M23" i="50"/>
  <c r="O304" i="40"/>
  <c r="L304" i="40"/>
  <c r="K304" i="40"/>
  <c r="J304" i="40"/>
  <c r="I304" i="40"/>
  <c r="H304" i="40"/>
  <c r="F304" i="40"/>
  <c r="O303" i="40"/>
  <c r="L303" i="40"/>
  <c r="K303" i="40"/>
  <c r="J303" i="40"/>
  <c r="I303" i="40"/>
  <c r="H303" i="40"/>
  <c r="F303" i="40"/>
  <c r="F301" i="40"/>
  <c r="M11" i="43"/>
  <c r="N11" i="43"/>
  <c r="M12" i="43"/>
  <c r="N12" i="43"/>
  <c r="M13" i="43"/>
  <c r="N13" i="43"/>
  <c r="M14" i="43"/>
  <c r="N14" i="43"/>
  <c r="M15" i="43"/>
  <c r="N15" i="43"/>
  <c r="M16" i="43"/>
  <c r="N16" i="43"/>
  <c r="M373" i="40" l="1"/>
  <c r="M357" i="40"/>
  <c r="M343" i="40"/>
  <c r="M341" i="40"/>
  <c r="M329" i="40"/>
  <c r="M336" i="40"/>
  <c r="M339" i="40"/>
  <c r="M345" i="40"/>
  <c r="M378" i="40"/>
  <c r="M398" i="40"/>
  <c r="M382" i="40"/>
  <c r="M369" i="40"/>
  <c r="M353" i="40"/>
  <c r="M337" i="40"/>
  <c r="M331" i="40"/>
  <c r="M386" i="40"/>
  <c r="M344" i="40"/>
  <c r="M390" i="40"/>
  <c r="M361" i="40"/>
  <c r="M376" i="40"/>
  <c r="M394" i="40"/>
  <c r="M365" i="40"/>
  <c r="M349" i="40"/>
  <c r="M397" i="40"/>
  <c r="M372" i="40"/>
  <c r="M368" i="40"/>
  <c r="M364" i="40"/>
  <c r="M360" i="40"/>
  <c r="M356" i="40"/>
  <c r="M352" i="40"/>
  <c r="M348" i="40"/>
  <c r="M335" i="40"/>
  <c r="M333" i="40"/>
  <c r="M392" i="40"/>
  <c r="M388" i="40"/>
  <c r="M384" i="40"/>
  <c r="M380" i="40"/>
  <c r="M340" i="40"/>
  <c r="M332" i="40"/>
  <c r="M399" i="40"/>
  <c r="M396" i="40"/>
  <c r="M395" i="40"/>
  <c r="M393" i="40"/>
  <c r="M391" i="40"/>
  <c r="M389" i="40"/>
  <c r="M387" i="40"/>
  <c r="M385" i="40"/>
  <c r="M383" i="40"/>
  <c r="M381" i="40"/>
  <c r="M379" i="40"/>
  <c r="M377" i="40"/>
  <c r="M375" i="40"/>
  <c r="M371" i="40"/>
  <c r="M367" i="40"/>
  <c r="M363" i="40"/>
  <c r="M359" i="40"/>
  <c r="M355" i="40"/>
  <c r="M351" i="40"/>
  <c r="M347" i="40"/>
  <c r="V395" i="40"/>
  <c r="V388" i="40"/>
  <c r="V379" i="40"/>
  <c r="V399" i="40"/>
  <c r="V391" i="40"/>
  <c r="V384" i="40"/>
  <c r="V396" i="40"/>
  <c r="V387" i="40"/>
  <c r="V380" i="40"/>
  <c r="V392" i="40"/>
  <c r="V383" i="40"/>
  <c r="M350" i="40"/>
  <c r="V346" i="40"/>
  <c r="V345" i="40"/>
  <c r="M342" i="40"/>
  <c r="V338" i="40"/>
  <c r="V337" i="40"/>
  <c r="M334" i="40"/>
  <c r="V331" i="40"/>
  <c r="M330" i="40"/>
  <c r="V376" i="40"/>
  <c r="M374" i="40"/>
  <c r="V370" i="40"/>
  <c r="M366" i="40"/>
  <c r="V354" i="40"/>
  <c r="M370" i="40"/>
  <c r="M362" i="40"/>
  <c r="V358" i="40"/>
  <c r="V357" i="40"/>
  <c r="M354" i="40"/>
  <c r="V350" i="40"/>
  <c r="M346" i="40"/>
  <c r="V342" i="40"/>
  <c r="M338" i="40"/>
  <c r="V334" i="40"/>
  <c r="V330" i="40"/>
  <c r="V362" i="40"/>
  <c r="M358" i="40"/>
  <c r="V374" i="40"/>
  <c r="V373" i="40"/>
  <c r="V366" i="40"/>
  <c r="V365" i="40"/>
  <c r="A28" i="50"/>
  <c r="A29" i="50"/>
  <c r="M304" i="40"/>
  <c r="M303" i="40"/>
  <c r="F328" i="40"/>
  <c r="F327" i="40"/>
  <c r="F326" i="40"/>
  <c r="F325" i="40"/>
  <c r="F324" i="40"/>
  <c r="F322" i="40"/>
  <c r="F321" i="40"/>
  <c r="F311" i="40"/>
  <c r="F310" i="40"/>
  <c r="F309" i="40"/>
  <c r="F308" i="40"/>
  <c r="F307" i="40"/>
  <c r="F306" i="40"/>
  <c r="F305" i="40"/>
  <c r="F286" i="40"/>
  <c r="F287" i="40"/>
  <c r="F288" i="40"/>
  <c r="F289" i="40"/>
  <c r="F290" i="40"/>
  <c r="F291" i="40"/>
  <c r="F292" i="40"/>
  <c r="F285" i="40"/>
  <c r="M139" i="48"/>
  <c r="M140" i="48"/>
  <c r="M141" i="48"/>
  <c r="L143" i="48" s="1"/>
  <c r="M142" i="48"/>
  <c r="L149" i="48" s="1"/>
  <c r="M143" i="48"/>
  <c r="M144" i="48"/>
  <c r="M145" i="48"/>
  <c r="M146" i="48"/>
  <c r="M147" i="48"/>
  <c r="M148" i="48"/>
  <c r="M149" i="48"/>
  <c r="M150" i="48"/>
  <c r="M151" i="48"/>
  <c r="M152" i="48"/>
  <c r="M153" i="48"/>
  <c r="M154" i="48"/>
  <c r="M155" i="48"/>
  <c r="M156" i="48"/>
  <c r="M157" i="48"/>
  <c r="M158" i="48"/>
  <c r="M159" i="48"/>
  <c r="M160" i="48"/>
  <c r="M161" i="48"/>
  <c r="M162" i="48"/>
  <c r="M163" i="48"/>
  <c r="M164" i="48"/>
  <c r="M165" i="48"/>
  <c r="M166" i="48"/>
  <c r="M167" i="48"/>
  <c r="M168" i="48"/>
  <c r="M169" i="48"/>
  <c r="M170" i="48"/>
  <c r="M171" i="48"/>
  <c r="M172" i="48"/>
  <c r="M173" i="48"/>
  <c r="M174" i="48"/>
  <c r="M175" i="48"/>
  <c r="M176" i="48"/>
  <c r="M177" i="48"/>
  <c r="M178" i="48"/>
  <c r="M179" i="48"/>
  <c r="M180" i="48"/>
  <c r="M181" i="48"/>
  <c r="M182" i="48"/>
  <c r="M183" i="48"/>
  <c r="M184" i="48"/>
  <c r="M185" i="48"/>
  <c r="M186" i="48"/>
  <c r="M187" i="48"/>
  <c r="M188" i="48"/>
  <c r="M189" i="48"/>
  <c r="M190" i="48"/>
  <c r="M191" i="48"/>
  <c r="M192" i="48"/>
  <c r="M193" i="48"/>
  <c r="M194" i="48"/>
  <c r="M195" i="48"/>
  <c r="M196" i="48"/>
  <c r="M197" i="48"/>
  <c r="M198" i="48"/>
  <c r="L139" i="48"/>
  <c r="L140" i="48"/>
  <c r="L141" i="48"/>
  <c r="L142" i="48"/>
  <c r="L146" i="48"/>
  <c r="L150" i="48"/>
  <c r="L154" i="48"/>
  <c r="L158" i="48"/>
  <c r="L162" i="48"/>
  <c r="L166" i="48"/>
  <c r="L170" i="48"/>
  <c r="L174" i="48"/>
  <c r="L178" i="48"/>
  <c r="L182" i="48"/>
  <c r="M138" i="48"/>
  <c r="O282" i="40"/>
  <c r="L282" i="40"/>
  <c r="K282" i="40"/>
  <c r="J282" i="40"/>
  <c r="I282" i="40"/>
  <c r="H282" i="40"/>
  <c r="F282" i="40"/>
  <c r="O267" i="40"/>
  <c r="L267" i="40"/>
  <c r="K267" i="40"/>
  <c r="J267" i="40"/>
  <c r="I267" i="40"/>
  <c r="H267" i="40"/>
  <c r="F267" i="40"/>
  <c r="O297" i="40"/>
  <c r="N297" i="40"/>
  <c r="L297" i="40"/>
  <c r="K297" i="40"/>
  <c r="J297" i="40"/>
  <c r="I297" i="40"/>
  <c r="H297" i="40"/>
  <c r="F297" i="40"/>
  <c r="F280" i="40"/>
  <c r="I298" i="40"/>
  <c r="J299" i="40"/>
  <c r="H292" i="40"/>
  <c r="I292" i="40"/>
  <c r="J292" i="40"/>
  <c r="K292" i="40"/>
  <c r="L292" i="40"/>
  <c r="N292" i="40"/>
  <c r="O292" i="40"/>
  <c r="F293" i="40"/>
  <c r="H293" i="40"/>
  <c r="I293" i="40"/>
  <c r="J293" i="40"/>
  <c r="K293" i="40"/>
  <c r="L293" i="40"/>
  <c r="O293" i="40"/>
  <c r="F294" i="40"/>
  <c r="H294" i="40"/>
  <c r="I294" i="40"/>
  <c r="J294" i="40"/>
  <c r="K294" i="40"/>
  <c r="L294" i="40"/>
  <c r="O294" i="40"/>
  <c r="F295" i="40"/>
  <c r="H295" i="40"/>
  <c r="I295" i="40"/>
  <c r="J295" i="40"/>
  <c r="K295" i="40"/>
  <c r="L295" i="40"/>
  <c r="N295" i="40"/>
  <c r="O295" i="40"/>
  <c r="F296" i="40"/>
  <c r="H296" i="40"/>
  <c r="I296" i="40"/>
  <c r="J296" i="40"/>
  <c r="K296" i="40"/>
  <c r="L296" i="40"/>
  <c r="N296" i="40"/>
  <c r="O296" i="40"/>
  <c r="F298" i="40"/>
  <c r="O298" i="40"/>
  <c r="F299" i="40"/>
  <c r="H299" i="40"/>
  <c r="I299" i="40"/>
  <c r="K299" i="40"/>
  <c r="L299" i="40"/>
  <c r="O299" i="40"/>
  <c r="F300" i="40"/>
  <c r="H300" i="40"/>
  <c r="I300" i="40"/>
  <c r="J300" i="40"/>
  <c r="K300" i="40"/>
  <c r="L300" i="40"/>
  <c r="O300" i="40"/>
  <c r="H301" i="40"/>
  <c r="I301" i="40"/>
  <c r="J301" i="40"/>
  <c r="K301" i="40"/>
  <c r="L301" i="40"/>
  <c r="O301" i="40"/>
  <c r="B47" i="54"/>
  <c r="O288" i="40"/>
  <c r="L288" i="40"/>
  <c r="H288" i="40"/>
  <c r="K288" i="40"/>
  <c r="O287" i="40"/>
  <c r="N287" i="40"/>
  <c r="L287" i="40"/>
  <c r="J287" i="40"/>
  <c r="I287" i="40"/>
  <c r="H287" i="40"/>
  <c r="K287" i="40"/>
  <c r="L198" i="48" l="1"/>
  <c r="L190" i="48"/>
  <c r="L194" i="48"/>
  <c r="L186" i="48"/>
  <c r="K298" i="40"/>
  <c r="H298" i="40"/>
  <c r="M297" i="40"/>
  <c r="L197" i="48"/>
  <c r="L189" i="48"/>
  <c r="L181" i="48"/>
  <c r="L169" i="48"/>
  <c r="L165" i="48"/>
  <c r="L153" i="48"/>
  <c r="L145" i="48"/>
  <c r="L196" i="48"/>
  <c r="L192" i="48"/>
  <c r="L188" i="48"/>
  <c r="L184" i="48"/>
  <c r="L180" i="48"/>
  <c r="L176" i="48"/>
  <c r="L172" i="48"/>
  <c r="L168" i="48"/>
  <c r="L164" i="48"/>
  <c r="L160" i="48"/>
  <c r="L156" i="48"/>
  <c r="L152" i="48"/>
  <c r="L148" i="48"/>
  <c r="L144" i="48"/>
  <c r="L193" i="48"/>
  <c r="L185" i="48"/>
  <c r="L177" i="48"/>
  <c r="L173" i="48"/>
  <c r="L161" i="48"/>
  <c r="L157" i="48"/>
  <c r="L195" i="48"/>
  <c r="L191" i="48"/>
  <c r="L187" i="48"/>
  <c r="L183" i="48"/>
  <c r="L179" i="48"/>
  <c r="L175" i="48"/>
  <c r="L171" i="48"/>
  <c r="L167" i="48"/>
  <c r="L163" i="48"/>
  <c r="L159" i="48"/>
  <c r="L155" i="48"/>
  <c r="L151" i="48"/>
  <c r="L147" i="48"/>
  <c r="M267" i="40"/>
  <c r="M282" i="40"/>
  <c r="L298" i="40"/>
  <c r="J298" i="40"/>
  <c r="M293" i="40"/>
  <c r="M292" i="40"/>
  <c r="M296" i="40"/>
  <c r="M294" i="40"/>
  <c r="M300" i="40"/>
  <c r="M295" i="40"/>
  <c r="M301" i="40"/>
  <c r="M299" i="40"/>
  <c r="M287" i="40"/>
  <c r="I288" i="40"/>
  <c r="J288" i="40"/>
  <c r="N288" i="40"/>
  <c r="J181" i="48"/>
  <c r="J177" i="48"/>
  <c r="J178" i="48"/>
  <c r="J179" i="48"/>
  <c r="J180" i="48"/>
  <c r="F277" i="40"/>
  <c r="F278" i="40"/>
  <c r="F279" i="40"/>
  <c r="F281" i="40"/>
  <c r="F276" i="40"/>
  <c r="H167" i="48"/>
  <c r="F166" i="48"/>
  <c r="I165" i="48"/>
  <c r="G55" i="52"/>
  <c r="K4" i="52"/>
  <c r="K14" i="52"/>
  <c r="K29" i="52"/>
  <c r="L29" i="52"/>
  <c r="K30" i="52"/>
  <c r="L30" i="52"/>
  <c r="K31" i="52"/>
  <c r="L31" i="52"/>
  <c r="K32" i="52"/>
  <c r="L32" i="52"/>
  <c r="K33" i="52"/>
  <c r="L33" i="52"/>
  <c r="K34" i="52"/>
  <c r="L34" i="52"/>
  <c r="K35" i="52"/>
  <c r="L35" i="52"/>
  <c r="K36" i="52"/>
  <c r="L36" i="52"/>
  <c r="K37" i="52"/>
  <c r="L37" i="52"/>
  <c r="K38" i="52"/>
  <c r="L38" i="52"/>
  <c r="K39" i="52"/>
  <c r="L39" i="52"/>
  <c r="K40" i="52"/>
  <c r="L40" i="52"/>
  <c r="K41" i="52"/>
  <c r="L41" i="52"/>
  <c r="K42" i="52"/>
  <c r="L42" i="52"/>
  <c r="K43" i="52"/>
  <c r="L43" i="52"/>
  <c r="K44" i="52"/>
  <c r="L44" i="52"/>
  <c r="K45" i="52"/>
  <c r="L45" i="52"/>
  <c r="K260" i="40"/>
  <c r="K261" i="40"/>
  <c r="K262" i="40"/>
  <c r="K263" i="40"/>
  <c r="K264" i="40"/>
  <c r="K265" i="40"/>
  <c r="K266" i="40"/>
  <c r="K268" i="40"/>
  <c r="K269" i="40"/>
  <c r="K270" i="40"/>
  <c r="K271" i="40"/>
  <c r="K272" i="40"/>
  <c r="K274" i="40"/>
  <c r="K275" i="40"/>
  <c r="K276" i="40"/>
  <c r="K277" i="40"/>
  <c r="K278" i="40"/>
  <c r="K279" i="40"/>
  <c r="K280" i="40"/>
  <c r="K281" i="40"/>
  <c r="K283" i="40"/>
  <c r="K284" i="40"/>
  <c r="K285" i="40"/>
  <c r="K286" i="40"/>
  <c r="K289" i="40"/>
  <c r="K290" i="40"/>
  <c r="K291" i="40"/>
  <c r="K302" i="40"/>
  <c r="K305" i="40"/>
  <c r="K306" i="40"/>
  <c r="K307" i="40"/>
  <c r="K308" i="40"/>
  <c r="K309" i="40"/>
  <c r="K310" i="40"/>
  <c r="K311" i="40"/>
  <c r="K312" i="40"/>
  <c r="K313" i="40"/>
  <c r="K314" i="40"/>
  <c r="K315" i="40"/>
  <c r="K316" i="40"/>
  <c r="K317" i="40"/>
  <c r="K318" i="40"/>
  <c r="K319" i="40"/>
  <c r="K320" i="40"/>
  <c r="K321" i="40"/>
  <c r="K322" i="40"/>
  <c r="K323" i="40"/>
  <c r="K324" i="40"/>
  <c r="K325" i="40"/>
  <c r="K326" i="40"/>
  <c r="K327" i="40"/>
  <c r="K328" i="40"/>
  <c r="F272" i="40"/>
  <c r="F270" i="40"/>
  <c r="F271" i="40"/>
  <c r="F273" i="40"/>
  <c r="F274" i="40"/>
  <c r="F275" i="40"/>
  <c r="O8" i="42"/>
  <c r="O272" i="40"/>
  <c r="L272" i="40"/>
  <c r="J272" i="40"/>
  <c r="I272" i="40"/>
  <c r="H272" i="40"/>
  <c r="O271" i="40"/>
  <c r="L271" i="40"/>
  <c r="J271" i="40"/>
  <c r="I271" i="40"/>
  <c r="H271" i="40"/>
  <c r="O270" i="40"/>
  <c r="N270" i="40"/>
  <c r="L270" i="40"/>
  <c r="J270" i="40"/>
  <c r="I270" i="40"/>
  <c r="H270" i="40"/>
  <c r="O266" i="40"/>
  <c r="N266" i="40"/>
  <c r="L266" i="40"/>
  <c r="J266" i="40"/>
  <c r="I266" i="40"/>
  <c r="H266" i="40"/>
  <c r="F266" i="40"/>
  <c r="F262" i="40"/>
  <c r="U271" i="40"/>
  <c r="R271" i="40"/>
  <c r="V271" i="40" s="1"/>
  <c r="Q271" i="40"/>
  <c r="H273" i="40"/>
  <c r="I273" i="40"/>
  <c r="J273" i="40"/>
  <c r="L273" i="40"/>
  <c r="O273" i="40"/>
  <c r="Q283" i="40"/>
  <c r="O283" i="40"/>
  <c r="R283" i="40" s="1"/>
  <c r="F283" i="40"/>
  <c r="L280" i="40"/>
  <c r="O279" i="40"/>
  <c r="L279" i="40"/>
  <c r="J279" i="40"/>
  <c r="I279" i="40"/>
  <c r="H279" i="40"/>
  <c r="O278" i="40"/>
  <c r="N278" i="40"/>
  <c r="L278" i="40"/>
  <c r="J278" i="40"/>
  <c r="I278" i="40"/>
  <c r="H278" i="40"/>
  <c r="O277" i="40"/>
  <c r="N277" i="40"/>
  <c r="L277" i="40"/>
  <c r="J277" i="40"/>
  <c r="I277" i="40"/>
  <c r="H277" i="40"/>
  <c r="O276" i="40"/>
  <c r="N276" i="40"/>
  <c r="L276" i="40"/>
  <c r="J276" i="40"/>
  <c r="I276" i="40"/>
  <c r="H276" i="40"/>
  <c r="O275" i="40"/>
  <c r="L275" i="40"/>
  <c r="J275" i="40"/>
  <c r="I275" i="40"/>
  <c r="H275" i="40"/>
  <c r="O274" i="40"/>
  <c r="L274" i="40"/>
  <c r="J274" i="40"/>
  <c r="I274" i="40"/>
  <c r="H274" i="40"/>
  <c r="O269" i="40"/>
  <c r="N269" i="40"/>
  <c r="L269" i="40"/>
  <c r="J269" i="40"/>
  <c r="I269" i="40"/>
  <c r="H269" i="40"/>
  <c r="F269" i="40"/>
  <c r="O284" i="40"/>
  <c r="N284" i="40"/>
  <c r="J284" i="40"/>
  <c r="I284" i="40"/>
  <c r="F284" i="40"/>
  <c r="O281" i="40"/>
  <c r="O280" i="40"/>
  <c r="H280" i="40"/>
  <c r="L138" i="48"/>
  <c r="J176" i="48"/>
  <c r="M298" i="40" l="1"/>
  <c r="M288" i="40"/>
  <c r="M266" i="40"/>
  <c r="M271" i="40"/>
  <c r="M270" i="40"/>
  <c r="M272" i="40"/>
  <c r="M273" i="40"/>
  <c r="H283" i="40"/>
  <c r="L283" i="40"/>
  <c r="I283" i="40"/>
  <c r="N283" i="40"/>
  <c r="V283" i="40" s="1"/>
  <c r="J283" i="40"/>
  <c r="M276" i="40"/>
  <c r="M269" i="40"/>
  <c r="M275" i="40"/>
  <c r="M279" i="40"/>
  <c r="M274" i="40"/>
  <c r="M278" i="40"/>
  <c r="M277" i="40"/>
  <c r="L284" i="40"/>
  <c r="I280" i="40"/>
  <c r="H281" i="40"/>
  <c r="L281" i="40"/>
  <c r="H284" i="40"/>
  <c r="J280" i="40"/>
  <c r="I281" i="40"/>
  <c r="J281" i="40"/>
  <c r="M283" i="40" l="1"/>
  <c r="M284" i="40"/>
  <c r="M280" i="40"/>
  <c r="M281" i="40"/>
  <c r="N153" i="48"/>
  <c r="O153" i="48" s="1"/>
  <c r="N154" i="48"/>
  <c r="O154" i="48" s="1"/>
  <c r="N155" i="48"/>
  <c r="O155" i="48" s="1"/>
  <c r="N156" i="48"/>
  <c r="O156" i="48" s="1"/>
  <c r="N157" i="48"/>
  <c r="O157" i="48" s="1"/>
  <c r="N158" i="48"/>
  <c r="O158" i="48" s="1"/>
  <c r="N159" i="48"/>
  <c r="O159" i="48" s="1"/>
  <c r="N152" i="48"/>
  <c r="O152" i="48" s="1"/>
  <c r="J139" i="48"/>
  <c r="J140" i="48"/>
  <c r="J141" i="48"/>
  <c r="J142" i="48"/>
  <c r="J143" i="48"/>
  <c r="J144" i="48"/>
  <c r="J145" i="48"/>
  <c r="J146" i="48"/>
  <c r="J147" i="48"/>
  <c r="J148" i="48"/>
  <c r="J149" i="48"/>
  <c r="J150" i="48"/>
  <c r="J151" i="48"/>
  <c r="J152" i="48"/>
  <c r="J153" i="48"/>
  <c r="J154" i="48"/>
  <c r="J155" i="48"/>
  <c r="J156" i="48"/>
  <c r="J157" i="48"/>
  <c r="J158" i="48"/>
  <c r="J159" i="48"/>
  <c r="J160" i="48"/>
  <c r="J161" i="48"/>
  <c r="J162" i="48"/>
  <c r="J163" i="48"/>
  <c r="J164" i="48"/>
  <c r="J165" i="48"/>
  <c r="J166" i="48"/>
  <c r="J167" i="48"/>
  <c r="J168" i="48"/>
  <c r="J169" i="48"/>
  <c r="J170" i="48"/>
  <c r="J171" i="48"/>
  <c r="J172" i="48"/>
  <c r="J174" i="48"/>
  <c r="J175" i="48"/>
  <c r="J138" i="48"/>
  <c r="H137" i="48"/>
  <c r="O263" i="40"/>
  <c r="L263" i="40"/>
  <c r="J263" i="40"/>
  <c r="I263" i="40"/>
  <c r="H263" i="40"/>
  <c r="F263" i="40"/>
  <c r="A6" i="43"/>
  <c r="O160" i="48" l="1"/>
  <c r="M263" i="40"/>
  <c r="O265" i="40"/>
  <c r="L265" i="40"/>
  <c r="J265" i="40"/>
  <c r="I265" i="40"/>
  <c r="H265" i="40"/>
  <c r="F265" i="40"/>
  <c r="O262" i="40"/>
  <c r="J262" i="40"/>
  <c r="I262" i="40"/>
  <c r="G251" i="40"/>
  <c r="K203" i="53"/>
  <c r="K204" i="53"/>
  <c r="K205" i="53"/>
  <c r="K206" i="53"/>
  <c r="K207" i="53"/>
  <c r="K202" i="53"/>
  <c r="K128" i="53"/>
  <c r="K129" i="53"/>
  <c r="K130" i="53"/>
  <c r="K131" i="53"/>
  <c r="K132" i="53"/>
  <c r="K133" i="53"/>
  <c r="K134" i="53"/>
  <c r="K135" i="53"/>
  <c r="K136" i="53"/>
  <c r="K137" i="53"/>
  <c r="K138" i="53"/>
  <c r="K139" i="53"/>
  <c r="K140" i="53"/>
  <c r="K141" i="53"/>
  <c r="K142" i="53"/>
  <c r="K143" i="53"/>
  <c r="K144" i="53"/>
  <c r="K145" i="53"/>
  <c r="K146" i="53"/>
  <c r="K147" i="53"/>
  <c r="K148" i="53"/>
  <c r="K149" i="53"/>
  <c r="K150" i="53"/>
  <c r="K151" i="53"/>
  <c r="K152" i="53"/>
  <c r="K153" i="53"/>
  <c r="K154" i="53"/>
  <c r="K155" i="53"/>
  <c r="K156" i="53"/>
  <c r="K157" i="53"/>
  <c r="K158" i="53"/>
  <c r="K159" i="53"/>
  <c r="K160" i="53"/>
  <c r="K161" i="53"/>
  <c r="K162" i="53"/>
  <c r="K163" i="53"/>
  <c r="K164" i="53"/>
  <c r="K165" i="53"/>
  <c r="K166" i="53"/>
  <c r="K167" i="53"/>
  <c r="K168" i="53"/>
  <c r="K169" i="53"/>
  <c r="K170" i="53"/>
  <c r="K171" i="53"/>
  <c r="K172" i="53"/>
  <c r="K173" i="53"/>
  <c r="K174" i="53"/>
  <c r="K175" i="53"/>
  <c r="K176" i="53"/>
  <c r="K177" i="53"/>
  <c r="K178" i="53"/>
  <c r="K179" i="53"/>
  <c r="K180" i="53"/>
  <c r="K181" i="53"/>
  <c r="K182" i="53"/>
  <c r="K183" i="53"/>
  <c r="K184" i="53"/>
  <c r="K185" i="53"/>
  <c r="K186" i="53"/>
  <c r="K187" i="53"/>
  <c r="K188" i="53"/>
  <c r="K189" i="53"/>
  <c r="K190" i="53"/>
  <c r="K192" i="53"/>
  <c r="K193" i="53"/>
  <c r="K194" i="53"/>
  <c r="K195" i="53"/>
  <c r="K196" i="53"/>
  <c r="K197" i="53"/>
  <c r="K198" i="53"/>
  <c r="K199" i="53"/>
  <c r="K200" i="53"/>
  <c r="K201" i="53"/>
  <c r="K191" i="53"/>
  <c r="M265" i="40" l="1"/>
  <c r="L262" i="40"/>
  <c r="H262" i="40"/>
  <c r="L3" i="50"/>
  <c r="L4" i="50"/>
  <c r="L5" i="50"/>
  <c r="L6" i="50"/>
  <c r="L7" i="50"/>
  <c r="L8" i="50"/>
  <c r="L9" i="50"/>
  <c r="L10" i="50"/>
  <c r="L11" i="50"/>
  <c r="L12" i="50"/>
  <c r="L13" i="50"/>
  <c r="L14" i="50"/>
  <c r="L15" i="50"/>
  <c r="L16" i="50"/>
  <c r="L17" i="50"/>
  <c r="L18" i="50"/>
  <c r="L19" i="50"/>
  <c r="L20" i="50"/>
  <c r="L21" i="50"/>
  <c r="L22" i="50"/>
  <c r="L23" i="50"/>
  <c r="L2" i="50"/>
  <c r="K2" i="50"/>
  <c r="M3" i="50"/>
  <c r="M4" i="50"/>
  <c r="M5" i="50"/>
  <c r="M6" i="50"/>
  <c r="M7" i="50"/>
  <c r="M8" i="50"/>
  <c r="M9" i="50"/>
  <c r="M10" i="50"/>
  <c r="M11" i="50"/>
  <c r="M12" i="50"/>
  <c r="M13" i="50"/>
  <c r="M14" i="50"/>
  <c r="M15" i="50"/>
  <c r="M16" i="50"/>
  <c r="M17" i="50"/>
  <c r="M18" i="50"/>
  <c r="M262" i="40" l="1"/>
  <c r="M4" i="43"/>
  <c r="N4" i="43"/>
  <c r="M5" i="43"/>
  <c r="N5" i="43"/>
  <c r="M6" i="43"/>
  <c r="N6" i="43"/>
  <c r="M7" i="43"/>
  <c r="N7" i="43"/>
  <c r="M8" i="43"/>
  <c r="N8" i="43"/>
  <c r="M9" i="43"/>
  <c r="N9" i="43"/>
  <c r="M10" i="43"/>
  <c r="N10" i="43"/>
  <c r="I7" i="47"/>
  <c r="I8" i="47"/>
  <c r="I9" i="47"/>
  <c r="I10" i="47"/>
  <c r="I11" i="47"/>
  <c r="I12" i="47"/>
  <c r="I13" i="47"/>
  <c r="I14" i="47"/>
  <c r="I15" i="47"/>
  <c r="I16" i="47"/>
  <c r="I17" i="47"/>
  <c r="I18" i="47"/>
  <c r="I7" i="46"/>
  <c r="J7" i="46" s="1"/>
  <c r="I8" i="46"/>
  <c r="J8" i="46"/>
  <c r="I9" i="46"/>
  <c r="J9" i="46" s="1"/>
  <c r="I10" i="46"/>
  <c r="J10" i="46"/>
  <c r="I11" i="46"/>
  <c r="I12" i="46"/>
  <c r="J12" i="46"/>
  <c r="I13" i="46"/>
  <c r="J13" i="46" s="1"/>
  <c r="I14" i="46"/>
  <c r="J14" i="46"/>
  <c r="I15" i="46"/>
  <c r="J15" i="46" s="1"/>
  <c r="I16" i="46"/>
  <c r="J16" i="46"/>
  <c r="I17" i="46"/>
  <c r="J17" i="46" s="1"/>
  <c r="I18" i="46"/>
  <c r="J18" i="46"/>
  <c r="T44" i="49"/>
  <c r="S44" i="49" s="1"/>
  <c r="T45" i="49"/>
  <c r="S45" i="49" s="1"/>
  <c r="T46" i="49"/>
  <c r="S46" i="49" s="1"/>
  <c r="T47" i="49"/>
  <c r="S47" i="49" s="1"/>
  <c r="T48" i="49"/>
  <c r="S48" i="49" s="1"/>
  <c r="T49" i="49"/>
  <c r="S49" i="49" s="1"/>
  <c r="T50" i="49"/>
  <c r="S50" i="49" s="1"/>
  <c r="T51" i="49"/>
  <c r="S51" i="49" s="1"/>
  <c r="T52" i="49"/>
  <c r="S52" i="49" s="1"/>
  <c r="T5" i="49"/>
  <c r="T6" i="49"/>
  <c r="T7" i="49"/>
  <c r="T8" i="49"/>
  <c r="T9" i="49"/>
  <c r="T10" i="49"/>
  <c r="T11" i="49"/>
  <c r="T12" i="49"/>
  <c r="T13" i="49"/>
  <c r="T14" i="49"/>
  <c r="T15" i="49"/>
  <c r="T16" i="49"/>
  <c r="T17" i="49"/>
  <c r="T18" i="49"/>
  <c r="T19" i="49"/>
  <c r="T20" i="49"/>
  <c r="T21" i="49"/>
  <c r="T22" i="49"/>
  <c r="T23" i="49"/>
  <c r="T24" i="49"/>
  <c r="T25" i="49"/>
  <c r="T26" i="49"/>
  <c r="T27" i="49"/>
  <c r="T28" i="49"/>
  <c r="T29" i="49"/>
  <c r="T30" i="49"/>
  <c r="T31" i="49"/>
  <c r="T32" i="49"/>
  <c r="T33" i="49"/>
  <c r="T34" i="49"/>
  <c r="T35" i="49"/>
  <c r="T36" i="49"/>
  <c r="T37" i="49"/>
  <c r="T38" i="49"/>
  <c r="T39" i="49"/>
  <c r="T40" i="49"/>
  <c r="T41" i="49"/>
  <c r="T42" i="49"/>
  <c r="T43" i="49"/>
  <c r="T53" i="49"/>
  <c r="T54" i="49"/>
  <c r="T55" i="49"/>
  <c r="T56" i="49"/>
  <c r="T57" i="49"/>
  <c r="T58" i="49"/>
  <c r="T59" i="49"/>
  <c r="T60" i="49"/>
  <c r="T61" i="49"/>
  <c r="T62" i="49"/>
  <c r="T63" i="49"/>
  <c r="T64" i="49"/>
  <c r="T65" i="49"/>
  <c r="T66" i="49"/>
  <c r="T67" i="49"/>
  <c r="T68" i="49"/>
  <c r="T69" i="49"/>
  <c r="T70" i="49"/>
  <c r="T71" i="49"/>
  <c r="T72" i="49"/>
  <c r="T73" i="49"/>
  <c r="T74" i="49"/>
  <c r="T75" i="49"/>
  <c r="T76" i="49"/>
  <c r="T77" i="49"/>
  <c r="T78" i="49"/>
  <c r="T79" i="49"/>
  <c r="T80" i="49"/>
  <c r="T81" i="49"/>
  <c r="T82" i="49"/>
  <c r="T83" i="49"/>
  <c r="T84" i="49"/>
  <c r="T85" i="49"/>
  <c r="T86" i="49"/>
  <c r="T87" i="49"/>
  <c r="T88" i="49"/>
  <c r="T89" i="49"/>
  <c r="T90" i="49"/>
  <c r="N219" i="40"/>
  <c r="J236" i="40"/>
  <c r="I236" i="40"/>
  <c r="O243" i="40"/>
  <c r="N243" i="40"/>
  <c r="L243" i="40"/>
  <c r="K243" i="40"/>
  <c r="J243" i="40"/>
  <c r="I243" i="40"/>
  <c r="H243" i="40"/>
  <c r="F243" i="40"/>
  <c r="O242" i="40"/>
  <c r="N242" i="40"/>
  <c r="L242" i="40"/>
  <c r="K242" i="40"/>
  <c r="J242" i="40"/>
  <c r="I242" i="40"/>
  <c r="H242" i="40"/>
  <c r="F242" i="40"/>
  <c r="H236" i="40"/>
  <c r="L236" i="40"/>
  <c r="F236" i="40"/>
  <c r="J235" i="40"/>
  <c r="I235" i="40"/>
  <c r="H235" i="40"/>
  <c r="L235" i="40"/>
  <c r="F235" i="40"/>
  <c r="O231" i="40"/>
  <c r="J231" i="40"/>
  <c r="I231" i="40"/>
  <c r="F231" i="40"/>
  <c r="M242" i="40" l="1"/>
  <c r="M243" i="40"/>
  <c r="J11" i="46"/>
  <c r="M236" i="40"/>
  <c r="M235" i="40"/>
  <c r="L231" i="40"/>
  <c r="H231" i="40"/>
  <c r="M231" i="40" l="1"/>
  <c r="C8" i="42" l="1"/>
  <c r="O268" i="40"/>
  <c r="N268" i="40"/>
  <c r="J268" i="40"/>
  <c r="I268" i="40"/>
  <c r="F268" i="40"/>
  <c r="L268" i="40" l="1"/>
  <c r="H268" i="40"/>
  <c r="K21" i="52"/>
  <c r="K2" i="52"/>
  <c r="K11" i="52"/>
  <c r="K12" i="52"/>
  <c r="K20" i="52"/>
  <c r="K7" i="52"/>
  <c r="K25" i="52"/>
  <c r="K3" i="52"/>
  <c r="K9" i="52"/>
  <c r="K18" i="52"/>
  <c r="K15" i="52"/>
  <c r="K17" i="52"/>
  <c r="K5" i="52"/>
  <c r="K23" i="52"/>
  <c r="K13" i="52"/>
  <c r="K24" i="52"/>
  <c r="K19" i="52"/>
  <c r="K8" i="52"/>
  <c r="K27" i="52"/>
  <c r="K28" i="52"/>
  <c r="K16" i="52"/>
  <c r="K26" i="52"/>
  <c r="K22" i="52"/>
  <c r="K6" i="52"/>
  <c r="K10" i="52"/>
  <c r="M268" i="40" l="1"/>
  <c r="O215" i="40" l="1"/>
  <c r="L215" i="40"/>
  <c r="K215" i="40"/>
  <c r="J215" i="40"/>
  <c r="I215" i="40"/>
  <c r="H215" i="40"/>
  <c r="F215" i="40"/>
  <c r="O213" i="40"/>
  <c r="L213" i="40"/>
  <c r="K213" i="40"/>
  <c r="J213" i="40"/>
  <c r="I213" i="40"/>
  <c r="H213" i="40"/>
  <c r="F213" i="40"/>
  <c r="F217" i="40"/>
  <c r="H217" i="40"/>
  <c r="I217" i="40"/>
  <c r="J217" i="40"/>
  <c r="K217" i="40"/>
  <c r="L217" i="40"/>
  <c r="O217" i="40"/>
  <c r="R217" i="40" s="1"/>
  <c r="V217" i="40" s="1"/>
  <c r="Q217" i="40"/>
  <c r="F218" i="40"/>
  <c r="H218" i="40"/>
  <c r="I218" i="40"/>
  <c r="J218" i="40"/>
  <c r="L218" i="40"/>
  <c r="O218" i="40"/>
  <c r="R218" i="40" s="1"/>
  <c r="V218" i="40" s="1"/>
  <c r="Q218" i="40"/>
  <c r="F219" i="40"/>
  <c r="H219" i="40"/>
  <c r="I219" i="40"/>
  <c r="J219" i="40"/>
  <c r="K219" i="40"/>
  <c r="O219" i="40"/>
  <c r="R219" i="40" s="1"/>
  <c r="V219" i="40" s="1"/>
  <c r="Q219" i="40"/>
  <c r="F220" i="40"/>
  <c r="O220" i="40"/>
  <c r="R220" i="40" s="1"/>
  <c r="Q220" i="40"/>
  <c r="F221" i="40"/>
  <c r="H221" i="40"/>
  <c r="I221" i="40"/>
  <c r="J221" i="40"/>
  <c r="K221" i="40"/>
  <c r="L221" i="40"/>
  <c r="O221" i="40"/>
  <c r="R221" i="40" s="1"/>
  <c r="V221" i="40" s="1"/>
  <c r="Q221" i="40"/>
  <c r="F222" i="40"/>
  <c r="H222" i="40"/>
  <c r="I222" i="40"/>
  <c r="J222" i="40"/>
  <c r="K222" i="40"/>
  <c r="L222" i="40"/>
  <c r="N222" i="40"/>
  <c r="O222" i="40"/>
  <c r="R222" i="40" s="1"/>
  <c r="V222" i="40" s="1"/>
  <c r="Q222" i="40"/>
  <c r="F223" i="40"/>
  <c r="H223" i="40"/>
  <c r="I223" i="40"/>
  <c r="J223" i="40"/>
  <c r="K223" i="40"/>
  <c r="L223" i="40"/>
  <c r="O223" i="40"/>
  <c r="R223" i="40" s="1"/>
  <c r="V223" i="40" s="1"/>
  <c r="Q223" i="40"/>
  <c r="F224" i="40"/>
  <c r="H224" i="40"/>
  <c r="I224" i="40"/>
  <c r="J224" i="40"/>
  <c r="K224" i="40"/>
  <c r="L224" i="40"/>
  <c r="O224" i="40"/>
  <c r="R224" i="40" s="1"/>
  <c r="V224" i="40" s="1"/>
  <c r="Q224" i="40"/>
  <c r="F225" i="40"/>
  <c r="H225" i="40"/>
  <c r="I225" i="40"/>
  <c r="J225" i="40"/>
  <c r="K225" i="40"/>
  <c r="L225" i="40"/>
  <c r="N225" i="40"/>
  <c r="O225" i="40"/>
  <c r="R225" i="40" s="1"/>
  <c r="Q225" i="40"/>
  <c r="F226" i="40"/>
  <c r="G226" i="40"/>
  <c r="H226" i="40" s="1"/>
  <c r="O226" i="40"/>
  <c r="R226" i="40" s="1"/>
  <c r="Q226" i="40"/>
  <c r="F227" i="40"/>
  <c r="H227" i="40"/>
  <c r="I227" i="40"/>
  <c r="J227" i="40"/>
  <c r="K227" i="40"/>
  <c r="L227" i="40"/>
  <c r="N227" i="40"/>
  <c r="O227" i="40"/>
  <c r="R227" i="40" s="1"/>
  <c r="Q227" i="40"/>
  <c r="F228" i="40"/>
  <c r="H228" i="40"/>
  <c r="I228" i="40"/>
  <c r="J228" i="40"/>
  <c r="L228" i="40"/>
  <c r="N228" i="40"/>
  <c r="O228" i="40"/>
  <c r="R228" i="40" s="1"/>
  <c r="Q228" i="40"/>
  <c r="F229" i="40"/>
  <c r="H229" i="40"/>
  <c r="L229" i="40"/>
  <c r="O229" i="40"/>
  <c r="R229" i="40" s="1"/>
  <c r="Q229" i="40"/>
  <c r="F234" i="40"/>
  <c r="H234" i="40"/>
  <c r="I234" i="40"/>
  <c r="J234" i="40"/>
  <c r="K234" i="40"/>
  <c r="L234" i="40"/>
  <c r="O234" i="40"/>
  <c r="R234" i="40" s="1"/>
  <c r="V234" i="40" s="1"/>
  <c r="Q234" i="40"/>
  <c r="U234" i="40"/>
  <c r="O235" i="40"/>
  <c r="R235" i="40" s="1"/>
  <c r="V235" i="40" s="1"/>
  <c r="Q235" i="40"/>
  <c r="U235" i="40"/>
  <c r="O236" i="40"/>
  <c r="R236" i="40" s="1"/>
  <c r="V236" i="40" s="1"/>
  <c r="Q236" i="40"/>
  <c r="U236" i="40"/>
  <c r="F237" i="40"/>
  <c r="H237" i="40"/>
  <c r="I237" i="40"/>
  <c r="J237" i="40"/>
  <c r="K237" i="40"/>
  <c r="L237" i="40"/>
  <c r="N237" i="40"/>
  <c r="O237" i="40"/>
  <c r="R237" i="40" s="1"/>
  <c r="Q237" i="40"/>
  <c r="U237" i="40"/>
  <c r="F238" i="40"/>
  <c r="H238" i="40"/>
  <c r="I238" i="40"/>
  <c r="J238" i="40"/>
  <c r="K238" i="40"/>
  <c r="L238" i="40"/>
  <c r="O238" i="40"/>
  <c r="R238" i="40" s="1"/>
  <c r="V238" i="40" s="1"/>
  <c r="Q238" i="40"/>
  <c r="U238" i="40"/>
  <c r="F239" i="40"/>
  <c r="H239" i="40"/>
  <c r="I239" i="40"/>
  <c r="J239" i="40"/>
  <c r="K239" i="40"/>
  <c r="L239" i="40"/>
  <c r="O239" i="40"/>
  <c r="R239" i="40" s="1"/>
  <c r="V239" i="40" s="1"/>
  <c r="Q239" i="40"/>
  <c r="U239" i="40"/>
  <c r="F240" i="40"/>
  <c r="H240" i="40"/>
  <c r="I240" i="40"/>
  <c r="J240" i="40"/>
  <c r="K240" i="40"/>
  <c r="L240" i="40"/>
  <c r="O240" i="40"/>
  <c r="R240" i="40" s="1"/>
  <c r="V240" i="40" s="1"/>
  <c r="Q240" i="40"/>
  <c r="U240" i="40"/>
  <c r="F241" i="40"/>
  <c r="H241" i="40"/>
  <c r="I241" i="40"/>
  <c r="J241" i="40"/>
  <c r="K241" i="40"/>
  <c r="L241" i="40"/>
  <c r="O241" i="40"/>
  <c r="R241" i="40" s="1"/>
  <c r="V241" i="40" s="1"/>
  <c r="Q241" i="40"/>
  <c r="U241" i="40"/>
  <c r="Q242" i="40"/>
  <c r="R242" i="40"/>
  <c r="V242" i="40" s="1"/>
  <c r="U242" i="40"/>
  <c r="R243" i="40"/>
  <c r="V243" i="40" s="1"/>
  <c r="Q243" i="40"/>
  <c r="U243" i="40"/>
  <c r="F244" i="40"/>
  <c r="H244" i="40"/>
  <c r="I244" i="40"/>
  <c r="J244" i="40"/>
  <c r="K244" i="40"/>
  <c r="L244" i="40"/>
  <c r="O244" i="40"/>
  <c r="R244" i="40" s="1"/>
  <c r="V244" i="40" s="1"/>
  <c r="Q244" i="40"/>
  <c r="U244" i="40"/>
  <c r="F245" i="40"/>
  <c r="H245" i="40"/>
  <c r="I245" i="40"/>
  <c r="J245" i="40"/>
  <c r="K245" i="40"/>
  <c r="L245" i="40"/>
  <c r="O245" i="40"/>
  <c r="R245" i="40" s="1"/>
  <c r="V245" i="40" s="1"/>
  <c r="Q245" i="40"/>
  <c r="U245" i="40"/>
  <c r="F246" i="40"/>
  <c r="H246" i="40"/>
  <c r="I246" i="40"/>
  <c r="J246" i="40"/>
  <c r="K246" i="40"/>
  <c r="L246" i="40"/>
  <c r="O246" i="40"/>
  <c r="R246" i="40" s="1"/>
  <c r="V246" i="40" s="1"/>
  <c r="Q246" i="40"/>
  <c r="U246" i="40"/>
  <c r="F247" i="40"/>
  <c r="H247" i="40"/>
  <c r="I247" i="40"/>
  <c r="J247" i="40"/>
  <c r="K247" i="40"/>
  <c r="L247" i="40"/>
  <c r="N247" i="40"/>
  <c r="O247" i="40"/>
  <c r="R247" i="40" s="1"/>
  <c r="Q247" i="40"/>
  <c r="U247" i="40"/>
  <c r="F248" i="40"/>
  <c r="H248" i="40"/>
  <c r="I248" i="40"/>
  <c r="J248" i="40"/>
  <c r="K248" i="40"/>
  <c r="L248" i="40"/>
  <c r="O248" i="40"/>
  <c r="R248" i="40" s="1"/>
  <c r="V248" i="40" s="1"/>
  <c r="Q248" i="40"/>
  <c r="U248" i="40"/>
  <c r="F249" i="40"/>
  <c r="H249" i="40"/>
  <c r="I249" i="40"/>
  <c r="J249" i="40"/>
  <c r="K249" i="40"/>
  <c r="L249" i="40"/>
  <c r="O249" i="40"/>
  <c r="R249" i="40" s="1"/>
  <c r="V249" i="40" s="1"/>
  <c r="Q249" i="40"/>
  <c r="U249" i="40"/>
  <c r="F250" i="40"/>
  <c r="H250" i="40"/>
  <c r="I250" i="40"/>
  <c r="J250" i="40"/>
  <c r="K250" i="40"/>
  <c r="L250" i="40"/>
  <c r="O250" i="40"/>
  <c r="R250" i="40" s="1"/>
  <c r="V250" i="40" s="1"/>
  <c r="Q250" i="40"/>
  <c r="U250" i="40"/>
  <c r="F251" i="40"/>
  <c r="H251" i="40"/>
  <c r="I251" i="40"/>
  <c r="J251" i="40"/>
  <c r="K251" i="40"/>
  <c r="L251" i="40"/>
  <c r="O251" i="40"/>
  <c r="R251" i="40" s="1"/>
  <c r="V251" i="40" s="1"/>
  <c r="Q251" i="40"/>
  <c r="U251" i="40"/>
  <c r="F252" i="40"/>
  <c r="H252" i="40"/>
  <c r="I252" i="40"/>
  <c r="J252" i="40"/>
  <c r="K252" i="40"/>
  <c r="L252" i="40"/>
  <c r="O252" i="40"/>
  <c r="R252" i="40" s="1"/>
  <c r="V252" i="40" s="1"/>
  <c r="Q252" i="40"/>
  <c r="U252" i="40"/>
  <c r="F253" i="40"/>
  <c r="H253" i="40"/>
  <c r="I253" i="40"/>
  <c r="J253" i="40"/>
  <c r="K253" i="40"/>
  <c r="L253" i="40"/>
  <c r="O253" i="40"/>
  <c r="R253" i="40" s="1"/>
  <c r="V253" i="40" s="1"/>
  <c r="Q253" i="40"/>
  <c r="U253" i="40"/>
  <c r="F254" i="40"/>
  <c r="H254" i="40"/>
  <c r="I254" i="40"/>
  <c r="J254" i="40"/>
  <c r="K254" i="40"/>
  <c r="L254" i="40"/>
  <c r="O254" i="40"/>
  <c r="R254" i="40" s="1"/>
  <c r="V254" i="40" s="1"/>
  <c r="Q254" i="40"/>
  <c r="U254" i="40"/>
  <c r="F255" i="40"/>
  <c r="H255" i="40"/>
  <c r="I255" i="40"/>
  <c r="J255" i="40"/>
  <c r="K255" i="40"/>
  <c r="L255" i="40"/>
  <c r="O255" i="40"/>
  <c r="R255" i="40" s="1"/>
  <c r="V255" i="40" s="1"/>
  <c r="Q255" i="40"/>
  <c r="U255" i="40"/>
  <c r="F256" i="40"/>
  <c r="H256" i="40"/>
  <c r="I256" i="40"/>
  <c r="J256" i="40"/>
  <c r="K256" i="40"/>
  <c r="L256" i="40"/>
  <c r="N256" i="40"/>
  <c r="O256" i="40"/>
  <c r="R256" i="40" s="1"/>
  <c r="V256" i="40" s="1"/>
  <c r="Q256" i="40"/>
  <c r="U256" i="40"/>
  <c r="F257" i="40"/>
  <c r="H257" i="40"/>
  <c r="I257" i="40"/>
  <c r="J257" i="40"/>
  <c r="K257" i="40"/>
  <c r="L257" i="40"/>
  <c r="O257" i="40"/>
  <c r="R257" i="40" s="1"/>
  <c r="V257" i="40" s="1"/>
  <c r="Q257" i="40"/>
  <c r="U257" i="40"/>
  <c r="F258" i="40"/>
  <c r="H258" i="40"/>
  <c r="I258" i="40"/>
  <c r="J258" i="40"/>
  <c r="K258" i="40"/>
  <c r="L258" i="40"/>
  <c r="O258" i="40"/>
  <c r="R258" i="40" s="1"/>
  <c r="V258" i="40" s="1"/>
  <c r="Q258" i="40"/>
  <c r="U258" i="40"/>
  <c r="F259" i="40"/>
  <c r="H259" i="40"/>
  <c r="I259" i="40"/>
  <c r="J259" i="40"/>
  <c r="K259" i="40"/>
  <c r="L259" i="40"/>
  <c r="O259" i="40"/>
  <c r="R259" i="40" s="1"/>
  <c r="V259" i="40" s="1"/>
  <c r="Q259" i="40"/>
  <c r="U259" i="40"/>
  <c r="F260" i="40"/>
  <c r="H260" i="40"/>
  <c r="I260" i="40"/>
  <c r="J260" i="40"/>
  <c r="L260" i="40"/>
  <c r="N260" i="40"/>
  <c r="O260" i="40"/>
  <c r="R260" i="40" s="1"/>
  <c r="V260" i="40" s="1"/>
  <c r="Q260" i="40"/>
  <c r="U260" i="40"/>
  <c r="F261" i="40"/>
  <c r="H261" i="40"/>
  <c r="I261" i="40"/>
  <c r="J261" i="40"/>
  <c r="L261" i="40"/>
  <c r="N261" i="40"/>
  <c r="O261" i="40"/>
  <c r="R261" i="40" s="1"/>
  <c r="V261" i="40" s="1"/>
  <c r="Q261" i="40"/>
  <c r="U261" i="40"/>
  <c r="Q262" i="40"/>
  <c r="R262" i="40"/>
  <c r="V262" i="40" s="1"/>
  <c r="U262" i="40"/>
  <c r="R263" i="40"/>
  <c r="V263" i="40" s="1"/>
  <c r="Q263" i="40"/>
  <c r="U263" i="40"/>
  <c r="F264" i="40"/>
  <c r="H264" i="40"/>
  <c r="I264" i="40"/>
  <c r="J264" i="40"/>
  <c r="L264" i="40"/>
  <c r="O264" i="40"/>
  <c r="R264" i="40" s="1"/>
  <c r="V264" i="40" s="1"/>
  <c r="Q264" i="40"/>
  <c r="U264" i="40"/>
  <c r="Q265" i="40"/>
  <c r="R265" i="40"/>
  <c r="V265" i="40" s="1"/>
  <c r="U265" i="40"/>
  <c r="R266" i="40"/>
  <c r="V266" i="40" s="1"/>
  <c r="Q266" i="40"/>
  <c r="U266" i="40"/>
  <c r="R267" i="40"/>
  <c r="V267" i="40" s="1"/>
  <c r="Q267" i="40"/>
  <c r="U267" i="40"/>
  <c r="R268" i="40"/>
  <c r="V268" i="40" s="1"/>
  <c r="Q268" i="40"/>
  <c r="U268" i="40"/>
  <c r="R269" i="40"/>
  <c r="V269" i="40" s="1"/>
  <c r="Q269" i="40"/>
  <c r="U269" i="40"/>
  <c r="Q270" i="40"/>
  <c r="R270" i="40"/>
  <c r="V270" i="40" s="1"/>
  <c r="U270" i="40"/>
  <c r="R272" i="40"/>
  <c r="V272" i="40" s="1"/>
  <c r="Q272" i="40"/>
  <c r="U272" i="40"/>
  <c r="Q273" i="40"/>
  <c r="R273" i="40"/>
  <c r="V273" i="40" s="1"/>
  <c r="U273" i="40"/>
  <c r="R274" i="40"/>
  <c r="V274" i="40" s="1"/>
  <c r="Q274" i="40"/>
  <c r="U274" i="40"/>
  <c r="R275" i="40"/>
  <c r="V275" i="40" s="1"/>
  <c r="Q275" i="40"/>
  <c r="U275" i="40"/>
  <c r="R276" i="40"/>
  <c r="V276" i="40" s="1"/>
  <c r="Q276" i="40"/>
  <c r="U276" i="40"/>
  <c r="R277" i="40"/>
  <c r="V277" i="40" s="1"/>
  <c r="Q277" i="40"/>
  <c r="U277" i="40"/>
  <c r="R278" i="40"/>
  <c r="V278" i="40" s="1"/>
  <c r="Q278" i="40"/>
  <c r="U278" i="40"/>
  <c r="R279" i="40"/>
  <c r="V279" i="40" s="1"/>
  <c r="Q279" i="40"/>
  <c r="U279" i="40"/>
  <c r="R280" i="40"/>
  <c r="V280" i="40" s="1"/>
  <c r="Q280" i="40"/>
  <c r="U280" i="40"/>
  <c r="R281" i="40"/>
  <c r="V281" i="40" s="1"/>
  <c r="Q281" i="40"/>
  <c r="U281" i="40"/>
  <c r="R282" i="40"/>
  <c r="V282" i="40" s="1"/>
  <c r="Q282" i="40"/>
  <c r="U282" i="40"/>
  <c r="U283" i="40"/>
  <c r="R284" i="40"/>
  <c r="V284" i="40" s="1"/>
  <c r="Q284" i="40"/>
  <c r="U284" i="40"/>
  <c r="H285" i="40"/>
  <c r="I285" i="40"/>
  <c r="J285" i="40"/>
  <c r="L285" i="40"/>
  <c r="N285" i="40"/>
  <c r="O285" i="40"/>
  <c r="R285" i="40" s="1"/>
  <c r="Q285" i="40"/>
  <c r="U285" i="40"/>
  <c r="H286" i="40"/>
  <c r="I286" i="40"/>
  <c r="J286" i="40"/>
  <c r="L286" i="40"/>
  <c r="N286" i="40"/>
  <c r="O286" i="40"/>
  <c r="R286" i="40" s="1"/>
  <c r="Q286" i="40"/>
  <c r="U286" i="40"/>
  <c r="R287" i="40"/>
  <c r="V287" i="40" s="1"/>
  <c r="Q287" i="40"/>
  <c r="U287" i="40"/>
  <c r="R288" i="40"/>
  <c r="V288" i="40" s="1"/>
  <c r="Q288" i="40"/>
  <c r="U288" i="40"/>
  <c r="H289" i="40"/>
  <c r="I289" i="40"/>
  <c r="J289" i="40"/>
  <c r="L289" i="40"/>
  <c r="N289" i="40"/>
  <c r="O289" i="40"/>
  <c r="R289" i="40" s="1"/>
  <c r="V289" i="40" s="1"/>
  <c r="Q289" i="40"/>
  <c r="U289" i="40"/>
  <c r="H290" i="40"/>
  <c r="I290" i="40"/>
  <c r="J290" i="40"/>
  <c r="L290" i="40"/>
  <c r="N290" i="40"/>
  <c r="O290" i="40"/>
  <c r="R290" i="40" s="1"/>
  <c r="V290" i="40" s="1"/>
  <c r="Q290" i="40"/>
  <c r="U290" i="40"/>
  <c r="H291" i="40"/>
  <c r="I291" i="40"/>
  <c r="J291" i="40"/>
  <c r="L291" i="40"/>
  <c r="N291" i="40"/>
  <c r="O291" i="40"/>
  <c r="R291" i="40" s="1"/>
  <c r="V291" i="40" s="1"/>
  <c r="Q291" i="40"/>
  <c r="U291" i="40"/>
  <c r="R292" i="40"/>
  <c r="V292" i="40" s="1"/>
  <c r="Q292" i="40"/>
  <c r="U292" i="40"/>
  <c r="R293" i="40"/>
  <c r="V293" i="40" s="1"/>
  <c r="Q293" i="40"/>
  <c r="U293" i="40"/>
  <c r="R294" i="40"/>
  <c r="V294" i="40" s="1"/>
  <c r="Q294" i="40"/>
  <c r="U294" i="40"/>
  <c r="R295" i="40"/>
  <c r="V295" i="40" s="1"/>
  <c r="Q295" i="40"/>
  <c r="U295" i="40"/>
  <c r="R296" i="40"/>
  <c r="V296" i="40" s="1"/>
  <c r="Q296" i="40"/>
  <c r="U296" i="40"/>
  <c r="R297" i="40"/>
  <c r="V297" i="40" s="1"/>
  <c r="Q297" i="40"/>
  <c r="U297" i="40"/>
  <c r="R298" i="40"/>
  <c r="V298" i="40" s="1"/>
  <c r="Q298" i="40"/>
  <c r="U298" i="40"/>
  <c r="R299" i="40"/>
  <c r="V299" i="40" s="1"/>
  <c r="Q299" i="40"/>
  <c r="U299" i="40"/>
  <c r="R300" i="40"/>
  <c r="V300" i="40" s="1"/>
  <c r="Q300" i="40"/>
  <c r="U300" i="40"/>
  <c r="R301" i="40"/>
  <c r="V301" i="40" s="1"/>
  <c r="Q301" i="40"/>
  <c r="U301" i="40"/>
  <c r="F302" i="40"/>
  <c r="H302" i="40"/>
  <c r="I302" i="40"/>
  <c r="J302" i="40"/>
  <c r="L302" i="40"/>
  <c r="O302" i="40"/>
  <c r="R302" i="40" s="1"/>
  <c r="V302" i="40" s="1"/>
  <c r="Q302" i="40"/>
  <c r="U302" i="40"/>
  <c r="R303" i="40"/>
  <c r="V303" i="40" s="1"/>
  <c r="Q303" i="40"/>
  <c r="U303" i="40"/>
  <c r="R304" i="40"/>
  <c r="V304" i="40" s="1"/>
  <c r="Q304" i="40"/>
  <c r="U304" i="40"/>
  <c r="H305" i="40"/>
  <c r="I305" i="40"/>
  <c r="J305" i="40"/>
  <c r="L305" i="40"/>
  <c r="O305" i="40"/>
  <c r="R305" i="40" s="1"/>
  <c r="Q305" i="40"/>
  <c r="U305" i="40"/>
  <c r="H306" i="40"/>
  <c r="I306" i="40"/>
  <c r="J306" i="40"/>
  <c r="L306" i="40"/>
  <c r="O306" i="40"/>
  <c r="R306" i="40" s="1"/>
  <c r="Q306" i="40"/>
  <c r="U306" i="40"/>
  <c r="H307" i="40"/>
  <c r="I307" i="40"/>
  <c r="J307" i="40"/>
  <c r="L307" i="40"/>
  <c r="N307" i="40"/>
  <c r="O307" i="40"/>
  <c r="R307" i="40" s="1"/>
  <c r="Q307" i="40"/>
  <c r="U307" i="40"/>
  <c r="H308" i="40"/>
  <c r="I308" i="40"/>
  <c r="J308" i="40"/>
  <c r="L308" i="40"/>
  <c r="N308" i="40"/>
  <c r="O308" i="40"/>
  <c r="R308" i="40" s="1"/>
  <c r="Q308" i="40"/>
  <c r="U308" i="40"/>
  <c r="H309" i="40"/>
  <c r="I309" i="40"/>
  <c r="J309" i="40"/>
  <c r="L309" i="40"/>
  <c r="N309" i="40"/>
  <c r="O309" i="40"/>
  <c r="R309" i="40" s="1"/>
  <c r="Q309" i="40"/>
  <c r="U309" i="40"/>
  <c r="H310" i="40"/>
  <c r="I310" i="40"/>
  <c r="J310" i="40"/>
  <c r="L310" i="40"/>
  <c r="N310" i="40"/>
  <c r="O310" i="40"/>
  <c r="R310" i="40" s="1"/>
  <c r="Q310" i="40"/>
  <c r="U310" i="40"/>
  <c r="H311" i="40"/>
  <c r="I311" i="40"/>
  <c r="J311" i="40"/>
  <c r="L311" i="40"/>
  <c r="N311" i="40"/>
  <c r="O311" i="40"/>
  <c r="R311" i="40" s="1"/>
  <c r="Q311" i="40"/>
  <c r="U311" i="40"/>
  <c r="F312" i="40"/>
  <c r="H312" i="40"/>
  <c r="I312" i="40"/>
  <c r="J312" i="40"/>
  <c r="L312" i="40"/>
  <c r="N312" i="40"/>
  <c r="O312" i="40"/>
  <c r="R312" i="40" s="1"/>
  <c r="Q312" i="40"/>
  <c r="U312" i="40"/>
  <c r="H313" i="40"/>
  <c r="I313" i="40"/>
  <c r="J313" i="40"/>
  <c r="L313" i="40"/>
  <c r="N313" i="40"/>
  <c r="O313" i="40"/>
  <c r="R313" i="40" s="1"/>
  <c r="Q313" i="40"/>
  <c r="U313" i="40"/>
  <c r="H314" i="40"/>
  <c r="I314" i="40"/>
  <c r="J314" i="40"/>
  <c r="L314" i="40"/>
  <c r="O314" i="40"/>
  <c r="R314" i="40" s="1"/>
  <c r="Q314" i="40"/>
  <c r="U314" i="40"/>
  <c r="H315" i="40"/>
  <c r="I315" i="40"/>
  <c r="J315" i="40"/>
  <c r="L315" i="40"/>
  <c r="N315" i="40"/>
  <c r="O315" i="40"/>
  <c r="R315" i="40" s="1"/>
  <c r="Q315" i="40"/>
  <c r="U315" i="40"/>
  <c r="H316" i="40"/>
  <c r="I316" i="40"/>
  <c r="J316" i="40"/>
  <c r="L316" i="40"/>
  <c r="N316" i="40"/>
  <c r="O316" i="40"/>
  <c r="R316" i="40" s="1"/>
  <c r="Q316" i="40"/>
  <c r="U316" i="40"/>
  <c r="H317" i="40"/>
  <c r="I317" i="40"/>
  <c r="J317" i="40"/>
  <c r="L317" i="40"/>
  <c r="N317" i="40"/>
  <c r="O317" i="40"/>
  <c r="R317" i="40" s="1"/>
  <c r="V317" i="40" s="1"/>
  <c r="Q317" i="40"/>
  <c r="U317" i="40"/>
  <c r="H318" i="40"/>
  <c r="I318" i="40"/>
  <c r="J318" i="40"/>
  <c r="L318" i="40"/>
  <c r="N318" i="40"/>
  <c r="O318" i="40"/>
  <c r="R318" i="40" s="1"/>
  <c r="Q318" i="40"/>
  <c r="U318" i="40"/>
  <c r="H319" i="40"/>
  <c r="I319" i="40"/>
  <c r="J319" i="40"/>
  <c r="L319" i="40"/>
  <c r="N319" i="40"/>
  <c r="O319" i="40"/>
  <c r="R319" i="40" s="1"/>
  <c r="V319" i="40" s="1"/>
  <c r="Q319" i="40"/>
  <c r="U319" i="40"/>
  <c r="H320" i="40"/>
  <c r="I320" i="40"/>
  <c r="J320" i="40"/>
  <c r="L320" i="40"/>
  <c r="N320" i="40"/>
  <c r="O320" i="40"/>
  <c r="R320" i="40" s="1"/>
  <c r="V320" i="40" s="1"/>
  <c r="Q320" i="40"/>
  <c r="U320" i="40"/>
  <c r="H321" i="40"/>
  <c r="I321" i="40"/>
  <c r="J321" i="40"/>
  <c r="L321" i="40"/>
  <c r="N321" i="40"/>
  <c r="O321" i="40"/>
  <c r="R321" i="40" s="1"/>
  <c r="V321" i="40" s="1"/>
  <c r="Q321" i="40"/>
  <c r="U321" i="40"/>
  <c r="H322" i="40"/>
  <c r="I322" i="40"/>
  <c r="J322" i="40"/>
  <c r="L322" i="40"/>
  <c r="N322" i="40"/>
  <c r="O322" i="40"/>
  <c r="R322" i="40" s="1"/>
  <c r="V322" i="40" s="1"/>
  <c r="Q322" i="40"/>
  <c r="U322" i="40"/>
  <c r="H323" i="40"/>
  <c r="I323" i="40"/>
  <c r="J323" i="40"/>
  <c r="L323" i="40"/>
  <c r="N323" i="40"/>
  <c r="O323" i="40"/>
  <c r="R323" i="40" s="1"/>
  <c r="Q323" i="40"/>
  <c r="U323" i="40"/>
  <c r="H324" i="40"/>
  <c r="I324" i="40"/>
  <c r="J324" i="40"/>
  <c r="L324" i="40"/>
  <c r="N324" i="40"/>
  <c r="O324" i="40"/>
  <c r="R324" i="40" s="1"/>
  <c r="Q324" i="40"/>
  <c r="U324" i="40"/>
  <c r="H325" i="40"/>
  <c r="I325" i="40"/>
  <c r="J325" i="40"/>
  <c r="L325" i="40"/>
  <c r="N325" i="40"/>
  <c r="O325" i="40"/>
  <c r="R325" i="40" s="1"/>
  <c r="V325" i="40" s="1"/>
  <c r="Q325" i="40"/>
  <c r="U325" i="40"/>
  <c r="H326" i="40"/>
  <c r="I326" i="40"/>
  <c r="J326" i="40"/>
  <c r="L326" i="40"/>
  <c r="N326" i="40"/>
  <c r="O326" i="40"/>
  <c r="R326" i="40" s="1"/>
  <c r="V326" i="40" s="1"/>
  <c r="Q326" i="40"/>
  <c r="U326" i="40"/>
  <c r="H327" i="40"/>
  <c r="I327" i="40"/>
  <c r="J327" i="40"/>
  <c r="L327" i="40"/>
  <c r="N327" i="40"/>
  <c r="O327" i="40"/>
  <c r="R327" i="40" s="1"/>
  <c r="V327" i="40" s="1"/>
  <c r="Q327" i="40"/>
  <c r="U327" i="40"/>
  <c r="H328" i="40"/>
  <c r="I328" i="40"/>
  <c r="J328" i="40"/>
  <c r="L328" i="40"/>
  <c r="N328" i="40"/>
  <c r="O328" i="40"/>
  <c r="R328" i="40" s="1"/>
  <c r="V328" i="40" s="1"/>
  <c r="Q328" i="40"/>
  <c r="U328" i="40"/>
  <c r="O212" i="40"/>
  <c r="L212" i="40"/>
  <c r="K212" i="40"/>
  <c r="J212" i="40"/>
  <c r="I212" i="40"/>
  <c r="H212" i="40"/>
  <c r="F212" i="40"/>
  <c r="F107" i="40"/>
  <c r="F105" i="40"/>
  <c r="F84" i="40"/>
  <c r="F55" i="40"/>
  <c r="N210" i="40"/>
  <c r="O210" i="40"/>
  <c r="F210" i="40"/>
  <c r="O211" i="40"/>
  <c r="N211" i="40"/>
  <c r="L211" i="40"/>
  <c r="K211" i="40"/>
  <c r="J211" i="40"/>
  <c r="I211" i="40"/>
  <c r="H211" i="40"/>
  <c r="F211" i="40"/>
  <c r="V316" i="40" l="1"/>
  <c r="V324" i="40"/>
  <c r="V323" i="40"/>
  <c r="V310" i="40"/>
  <c r="A344" i="40"/>
  <c r="A347" i="40"/>
  <c r="A348" i="40"/>
  <c r="A351" i="40"/>
  <c r="A364" i="40"/>
  <c r="A389" i="40"/>
  <c r="A393" i="40"/>
  <c r="A336" i="40"/>
  <c r="A339" i="40"/>
  <c r="A340" i="40"/>
  <c r="A343" i="40"/>
  <c r="A359" i="40"/>
  <c r="A360" i="40"/>
  <c r="A363" i="40"/>
  <c r="A375" i="40"/>
  <c r="A385" i="40"/>
  <c r="A335" i="40"/>
  <c r="A356" i="40"/>
  <c r="A372" i="40"/>
  <c r="A381" i="40"/>
  <c r="A397" i="40"/>
  <c r="A332" i="40"/>
  <c r="A352" i="40"/>
  <c r="A355" i="40"/>
  <c r="A367" i="40"/>
  <c r="A368" i="40"/>
  <c r="A371" i="40"/>
  <c r="A398" i="40"/>
  <c r="A374" i="40"/>
  <c r="A358" i="40"/>
  <c r="A341" i="40"/>
  <c r="A382" i="40"/>
  <c r="A379" i="40"/>
  <c r="A329" i="40"/>
  <c r="A377" i="40"/>
  <c r="A399" i="40"/>
  <c r="A357" i="40"/>
  <c r="A333" i="40"/>
  <c r="A392" i="40"/>
  <c r="A369" i="40"/>
  <c r="A383" i="40"/>
  <c r="A345" i="40"/>
  <c r="A338" i="40"/>
  <c r="A395" i="40"/>
  <c r="A378" i="40"/>
  <c r="A350" i="40"/>
  <c r="A391" i="40"/>
  <c r="A354" i="40"/>
  <c r="A387" i="40"/>
  <c r="A388" i="40"/>
  <c r="A330" i="40"/>
  <c r="A384" i="40"/>
  <c r="A362" i="40"/>
  <c r="A394" i="40"/>
  <c r="A376" i="40"/>
  <c r="A349" i="40"/>
  <c r="A390" i="40"/>
  <c r="A370" i="40"/>
  <c r="A353" i="40"/>
  <c r="A386" i="40"/>
  <c r="A331" i="40"/>
  <c r="A361" i="40"/>
  <c r="A342" i="40"/>
  <c r="A365" i="40"/>
  <c r="A346" i="40"/>
  <c r="A366" i="40"/>
  <c r="A373" i="40"/>
  <c r="A334" i="40"/>
  <c r="A396" i="40"/>
  <c r="A380" i="40"/>
  <c r="A337" i="40"/>
  <c r="V318" i="40"/>
  <c r="S340" i="40"/>
  <c r="S360" i="40"/>
  <c r="S331" i="40"/>
  <c r="S367" i="40"/>
  <c r="S332" i="40"/>
  <c r="S347" i="40"/>
  <c r="S352" i="40"/>
  <c r="S368" i="40"/>
  <c r="S375" i="40"/>
  <c r="S377" i="40"/>
  <c r="S339" i="40"/>
  <c r="S348" i="40"/>
  <c r="S359" i="40"/>
  <c r="S353" i="40"/>
  <c r="S357" i="40"/>
  <c r="S388" i="40"/>
  <c r="S385" i="40"/>
  <c r="S391" i="40"/>
  <c r="S349" i="40"/>
  <c r="S343" i="40"/>
  <c r="S338" i="40"/>
  <c r="S333" i="40"/>
  <c r="S354" i="40"/>
  <c r="S363" i="40"/>
  <c r="S350" i="40"/>
  <c r="S330" i="40"/>
  <c r="S361" i="40"/>
  <c r="S365" i="40"/>
  <c r="S373" i="40"/>
  <c r="S345" i="40"/>
  <c r="S397" i="40"/>
  <c r="S399" i="40"/>
  <c r="S396" i="40"/>
  <c r="S380" i="40"/>
  <c r="S383" i="40"/>
  <c r="S370" i="40"/>
  <c r="S371" i="40"/>
  <c r="S355" i="40"/>
  <c r="S374" i="40"/>
  <c r="S366" i="40"/>
  <c r="S356" i="40"/>
  <c r="S334" i="40"/>
  <c r="S378" i="40"/>
  <c r="S344" i="40"/>
  <c r="S329" i="40"/>
  <c r="S336" i="40"/>
  <c r="S395" i="40"/>
  <c r="S379" i="40"/>
  <c r="S389" i="40"/>
  <c r="S398" i="40"/>
  <c r="S384" i="40"/>
  <c r="S351" i="40"/>
  <c r="S346" i="40"/>
  <c r="S341" i="40"/>
  <c r="S335" i="40"/>
  <c r="S362" i="40"/>
  <c r="S376" i="40"/>
  <c r="S394" i="40"/>
  <c r="S390" i="40"/>
  <c r="S386" i="40"/>
  <c r="S337" i="40"/>
  <c r="S381" i="40"/>
  <c r="S393" i="40"/>
  <c r="S382" i="40"/>
  <c r="S387" i="40"/>
  <c r="S392" i="40"/>
  <c r="S369" i="40"/>
  <c r="S358" i="40"/>
  <c r="S342" i="40"/>
  <c r="S372" i="40"/>
  <c r="S364" i="40"/>
  <c r="V313" i="40"/>
  <c r="V309" i="40"/>
  <c r="V312" i="40"/>
  <c r="V315" i="40"/>
  <c r="V308" i="40"/>
  <c r="V225" i="40"/>
  <c r="V311" i="40"/>
  <c r="V307" i="40"/>
  <c r="V306" i="40"/>
  <c r="V237" i="40"/>
  <c r="V247" i="40"/>
  <c r="V228" i="40"/>
  <c r="V227" i="40"/>
  <c r="V314" i="40"/>
  <c r="V305" i="40"/>
  <c r="V286" i="40"/>
  <c r="V285" i="40"/>
  <c r="K226" i="40"/>
  <c r="M228" i="40"/>
  <c r="M217" i="40"/>
  <c r="M213" i="40"/>
  <c r="M253" i="40"/>
  <c r="M254" i="40"/>
  <c r="M305" i="40"/>
  <c r="M285" i="40"/>
  <c r="M238" i="40"/>
  <c r="M319" i="40"/>
  <c r="M246" i="40"/>
  <c r="M261" i="40"/>
  <c r="M258" i="40"/>
  <c r="M327" i="40"/>
  <c r="M321" i="40"/>
  <c r="M307" i="40"/>
  <c r="M290" i="40"/>
  <c r="M224" i="40"/>
  <c r="M311" i="40"/>
  <c r="M328" i="40"/>
  <c r="M234" i="40"/>
  <c r="M323" i="40"/>
  <c r="M312" i="40"/>
  <c r="M245" i="40"/>
  <c r="M225" i="40"/>
  <c r="M223" i="40"/>
  <c r="M212" i="40"/>
  <c r="M320" i="40"/>
  <c r="M251" i="40"/>
  <c r="M239" i="40"/>
  <c r="M222" i="40"/>
  <c r="M221" i="40"/>
  <c r="M316" i="40"/>
  <c r="M250" i="40"/>
  <c r="M227" i="40"/>
  <c r="M215" i="40"/>
  <c r="M317" i="40"/>
  <c r="M325" i="40"/>
  <c r="M309" i="40"/>
  <c r="M289" i="40"/>
  <c r="M259" i="40"/>
  <c r="M240" i="40"/>
  <c r="M218" i="40"/>
  <c r="J229" i="40"/>
  <c r="N226" i="40"/>
  <c r="V226" i="40" s="1"/>
  <c r="J226" i="40"/>
  <c r="G220" i="40"/>
  <c r="L219" i="40"/>
  <c r="M219" i="40" s="1"/>
  <c r="N229" i="40"/>
  <c r="V229" i="40" s="1"/>
  <c r="I229" i="40"/>
  <c r="I226" i="40"/>
  <c r="L226" i="40"/>
  <c r="M324" i="40"/>
  <c r="M313" i="40"/>
  <c r="M308" i="40"/>
  <c r="M314" i="40"/>
  <c r="M315" i="40"/>
  <c r="M318" i="40"/>
  <c r="M302" i="40"/>
  <c r="M326" i="40"/>
  <c r="M310" i="40"/>
  <c r="M291" i="40"/>
  <c r="M257" i="40"/>
  <c r="M237" i="40"/>
  <c r="M286" i="40"/>
  <c r="M322" i="40"/>
  <c r="M306" i="40"/>
  <c r="M249" i="40"/>
  <c r="M260" i="40"/>
  <c r="M252" i="40"/>
  <c r="M244" i="40"/>
  <c r="M241" i="40"/>
  <c r="M264" i="40"/>
  <c r="M256" i="40"/>
  <c r="M255" i="40"/>
  <c r="M248" i="40"/>
  <c r="M247" i="40"/>
  <c r="M211" i="40"/>
  <c r="J210" i="40"/>
  <c r="K210" i="40"/>
  <c r="H210" i="40"/>
  <c r="L210" i="40"/>
  <c r="I210" i="40"/>
  <c r="F207" i="40"/>
  <c r="O216" i="40"/>
  <c r="F216" i="40"/>
  <c r="O206" i="40"/>
  <c r="N206" i="40"/>
  <c r="L206" i="40"/>
  <c r="K206" i="40"/>
  <c r="J206" i="40"/>
  <c r="I206" i="40"/>
  <c r="H206" i="40"/>
  <c r="F206" i="40"/>
  <c r="O205" i="40"/>
  <c r="N205" i="40"/>
  <c r="L205" i="40"/>
  <c r="K205" i="40"/>
  <c r="J205" i="40"/>
  <c r="I205" i="40"/>
  <c r="H205" i="40"/>
  <c r="F205" i="40"/>
  <c r="O214" i="40"/>
  <c r="L214" i="40"/>
  <c r="K214" i="40"/>
  <c r="J214" i="40"/>
  <c r="I214" i="40"/>
  <c r="H214" i="40"/>
  <c r="F214" i="40"/>
  <c r="H7" i="42"/>
  <c r="W385" i="40" l="1"/>
  <c r="W356" i="40"/>
  <c r="W395" i="40"/>
  <c r="W329" i="40"/>
  <c r="W357" i="40"/>
  <c r="W373" i="40"/>
  <c r="W369" i="40"/>
  <c r="W375" i="40"/>
  <c r="W341" i="40"/>
  <c r="W349" i="40"/>
  <c r="W396" i="40"/>
  <c r="W381" i="40"/>
  <c r="W346" i="40"/>
  <c r="W378" i="40"/>
  <c r="W350" i="40"/>
  <c r="W337" i="40"/>
  <c r="W380" i="40"/>
  <c r="W397" i="40"/>
  <c r="W347" i="40"/>
  <c r="W348" i="40"/>
  <c r="W344" i="40"/>
  <c r="W390" i="40"/>
  <c r="W339" i="40"/>
  <c r="W334" i="40"/>
  <c r="W362" i="40"/>
  <c r="W387" i="40"/>
  <c r="W351" i="40"/>
  <c r="W345" i="40"/>
  <c r="W370" i="40"/>
  <c r="W368" i="40"/>
  <c r="W371" i="40"/>
  <c r="W363" i="40"/>
  <c r="W340" i="40"/>
  <c r="W393" i="40"/>
  <c r="W379" i="40"/>
  <c r="W330" i="40"/>
  <c r="W343" i="40"/>
  <c r="W342" i="40"/>
  <c r="W389" i="40"/>
  <c r="W355" i="40"/>
  <c r="W360" i="40"/>
  <c r="W332" i="40"/>
  <c r="W388" i="40"/>
  <c r="W358" i="40"/>
  <c r="W374" i="40"/>
  <c r="W333" i="40"/>
  <c r="W365" i="40"/>
  <c r="W331" i="40"/>
  <c r="W353" i="40"/>
  <c r="W367" i="40"/>
  <c r="W372" i="40"/>
  <c r="W377" i="40"/>
  <c r="W391" i="40"/>
  <c r="W361" i="40"/>
  <c r="W336" i="40"/>
  <c r="W359" i="40"/>
  <c r="W352" i="40"/>
  <c r="W376" i="40"/>
  <c r="W383" i="40"/>
  <c r="W386" i="40"/>
  <c r="W382" i="40"/>
  <c r="W384" i="40"/>
  <c r="W399" i="40"/>
  <c r="W364" i="40"/>
  <c r="W398" i="40"/>
  <c r="W394" i="40"/>
  <c r="W366" i="40"/>
  <c r="W338" i="40"/>
  <c r="W354" i="40"/>
  <c r="W335" i="40"/>
  <c r="W392" i="40"/>
  <c r="M229" i="40"/>
  <c r="M226" i="40"/>
  <c r="I220" i="40"/>
  <c r="J220" i="40"/>
  <c r="N220" i="40"/>
  <c r="V220" i="40" s="1"/>
  <c r="K220" i="40"/>
  <c r="H220" i="40"/>
  <c r="L220" i="40"/>
  <c r="M210" i="40"/>
  <c r="N216" i="40"/>
  <c r="J216" i="40"/>
  <c r="K216" i="40"/>
  <c r="H216" i="40"/>
  <c r="L216" i="40"/>
  <c r="I216" i="40"/>
  <c r="M214" i="40"/>
  <c r="M206" i="40"/>
  <c r="M205" i="40"/>
  <c r="K209" i="40"/>
  <c r="K196" i="40"/>
  <c r="K197" i="40"/>
  <c r="K198" i="40"/>
  <c r="K199" i="40"/>
  <c r="K200" i="40"/>
  <c r="K201" i="40"/>
  <c r="K202" i="40"/>
  <c r="K203" i="40"/>
  <c r="K204" i="40"/>
  <c r="K207" i="40"/>
  <c r="K208" i="40"/>
  <c r="K230" i="40"/>
  <c r="K232" i="40"/>
  <c r="K233" i="40"/>
  <c r="I53" i="54"/>
  <c r="U182" i="40"/>
  <c r="U183" i="40"/>
  <c r="U184" i="40"/>
  <c r="U185" i="40"/>
  <c r="U186" i="40"/>
  <c r="U187" i="40"/>
  <c r="U171" i="40"/>
  <c r="U172" i="40"/>
  <c r="N230" i="40"/>
  <c r="D18" i="50"/>
  <c r="K18" i="50"/>
  <c r="D19" i="50"/>
  <c r="K19" i="50"/>
  <c r="D20" i="50"/>
  <c r="K20" i="50"/>
  <c r="D21" i="50"/>
  <c r="K21" i="50"/>
  <c r="D22" i="50"/>
  <c r="K22" i="50"/>
  <c r="D23" i="50"/>
  <c r="K23" i="50"/>
  <c r="O178" i="40"/>
  <c r="L178" i="40"/>
  <c r="K178" i="40"/>
  <c r="J178" i="40"/>
  <c r="I178" i="40"/>
  <c r="H178" i="40"/>
  <c r="F178" i="40"/>
  <c r="O165" i="40"/>
  <c r="L165" i="40"/>
  <c r="J165" i="40"/>
  <c r="I165" i="40"/>
  <c r="H165" i="40"/>
  <c r="F165" i="40"/>
  <c r="O193" i="40"/>
  <c r="L193" i="40"/>
  <c r="K193" i="40"/>
  <c r="J193" i="40"/>
  <c r="I193" i="40"/>
  <c r="H193" i="40"/>
  <c r="M220" i="40" l="1"/>
  <c r="M216" i="40"/>
  <c r="M193" i="40"/>
  <c r="M178" i="40"/>
  <c r="M165" i="40"/>
  <c r="N203" i="40"/>
  <c r="N208" i="40"/>
  <c r="N209" i="40"/>
  <c r="I6" i="42"/>
  <c r="G15" i="42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8" i="40"/>
  <c r="F209" i="40"/>
  <c r="F230" i="40"/>
  <c r="F232" i="40"/>
  <c r="F233" i="40"/>
  <c r="F149" i="40"/>
  <c r="I39" i="54" l="1"/>
  <c r="I29" i="54"/>
  <c r="H6" i="42" l="1"/>
  <c r="G144" i="53" l="1"/>
  <c r="G145" i="53"/>
  <c r="G146" i="53" s="1"/>
  <c r="G147" i="53" s="1"/>
  <c r="G148" i="53" s="1"/>
  <c r="G143" i="53"/>
  <c r="M143" i="53"/>
  <c r="M144" i="53"/>
  <c r="M172" i="53"/>
  <c r="M174" i="53"/>
  <c r="M175" i="53"/>
  <c r="M163" i="53"/>
  <c r="M165" i="53"/>
  <c r="M179" i="53"/>
  <c r="M166" i="53"/>
  <c r="M164" i="53"/>
  <c r="M167" i="53"/>
  <c r="M177" i="53"/>
  <c r="M171" i="53"/>
  <c r="M183" i="53"/>
  <c r="M168" i="53"/>
  <c r="M173" i="53"/>
  <c r="M169" i="53"/>
  <c r="M170" i="53"/>
  <c r="M176" i="53"/>
  <c r="M160" i="53"/>
  <c r="M180" i="53"/>
  <c r="M181" i="53"/>
  <c r="M182" i="53"/>
  <c r="M184" i="53"/>
  <c r="M185" i="53"/>
  <c r="M186" i="53"/>
  <c r="M178" i="53"/>
  <c r="M187" i="53"/>
  <c r="M188" i="53"/>
  <c r="M189" i="53"/>
  <c r="M190" i="53"/>
  <c r="M191" i="53"/>
  <c r="M192" i="53"/>
  <c r="M193" i="53"/>
  <c r="M194" i="53"/>
  <c r="M195" i="53"/>
  <c r="M196" i="53"/>
  <c r="M197" i="53"/>
  <c r="M198" i="53"/>
  <c r="M199" i="53"/>
  <c r="M200" i="53"/>
  <c r="M201" i="53"/>
  <c r="M202" i="53"/>
  <c r="M203" i="53"/>
  <c r="M204" i="53"/>
  <c r="M205" i="53"/>
  <c r="M206" i="53"/>
  <c r="M207" i="53"/>
  <c r="M208" i="53"/>
  <c r="M209" i="53"/>
  <c r="M210" i="53"/>
  <c r="M211" i="53"/>
  <c r="M212" i="53"/>
  <c r="M213" i="53"/>
  <c r="M214" i="53"/>
  <c r="M215" i="53"/>
  <c r="M216" i="53"/>
  <c r="M217" i="53"/>
  <c r="M218" i="53"/>
  <c r="M219" i="53"/>
  <c r="M220" i="53"/>
  <c r="M221" i="53"/>
  <c r="M222" i="53"/>
  <c r="M223" i="53"/>
  <c r="M224" i="53"/>
  <c r="M225" i="53"/>
  <c r="M226" i="53"/>
  <c r="M227" i="53"/>
  <c r="M228" i="53"/>
  <c r="M229" i="53"/>
  <c r="M230" i="53"/>
  <c r="M231" i="53"/>
  <c r="M232" i="53"/>
  <c r="M233" i="53"/>
  <c r="M234" i="53"/>
  <c r="M235" i="53"/>
  <c r="M236" i="53"/>
  <c r="M237" i="53"/>
  <c r="M238" i="53"/>
  <c r="M239" i="53"/>
  <c r="M240" i="53"/>
  <c r="M241" i="53"/>
  <c r="M242" i="53"/>
  <c r="M243" i="53"/>
  <c r="M244" i="53"/>
  <c r="M245" i="53"/>
  <c r="M246" i="53"/>
  <c r="M247" i="53"/>
  <c r="M248" i="53"/>
  <c r="M249" i="53"/>
  <c r="M250" i="53"/>
  <c r="M251" i="53"/>
  <c r="M252" i="53"/>
  <c r="M253" i="53"/>
  <c r="M254" i="53"/>
  <c r="M255" i="53"/>
  <c r="M256" i="53"/>
  <c r="M257" i="53"/>
  <c r="M258" i="53"/>
  <c r="M259" i="53"/>
  <c r="M260" i="53"/>
  <c r="M261" i="53"/>
  <c r="M262" i="53"/>
  <c r="M263" i="53"/>
  <c r="M264" i="53"/>
  <c r="M265" i="53"/>
  <c r="M266" i="53"/>
  <c r="M267" i="53"/>
  <c r="M268" i="53"/>
  <c r="M269" i="53"/>
  <c r="M270" i="53"/>
  <c r="M271" i="53"/>
  <c r="M272" i="53"/>
  <c r="M273" i="53"/>
  <c r="M274" i="53"/>
  <c r="M275" i="53"/>
  <c r="M276" i="53"/>
  <c r="M277" i="53"/>
  <c r="M278" i="53"/>
  <c r="M279" i="53"/>
  <c r="M280" i="53"/>
  <c r="M281" i="53"/>
  <c r="M282" i="53"/>
  <c r="M283" i="53"/>
  <c r="M284" i="53"/>
  <c r="M285" i="53"/>
  <c r="M286" i="53"/>
  <c r="M287" i="53"/>
  <c r="M288" i="53"/>
  <c r="M289" i="53"/>
  <c r="M290" i="53"/>
  <c r="M291" i="53"/>
  <c r="M292" i="53"/>
  <c r="M293" i="53"/>
  <c r="M294" i="53"/>
  <c r="O177" i="40"/>
  <c r="L177" i="40"/>
  <c r="J177" i="40"/>
  <c r="I177" i="40"/>
  <c r="H177" i="40"/>
  <c r="O176" i="40"/>
  <c r="L176" i="40"/>
  <c r="K176" i="40"/>
  <c r="J176" i="40"/>
  <c r="I176" i="40"/>
  <c r="H176" i="40"/>
  <c r="O175" i="40"/>
  <c r="L175" i="40"/>
  <c r="J175" i="40"/>
  <c r="I175" i="40"/>
  <c r="H175" i="40"/>
  <c r="O174" i="40"/>
  <c r="L174" i="40"/>
  <c r="K174" i="40"/>
  <c r="J174" i="40"/>
  <c r="I174" i="40"/>
  <c r="H174" i="40"/>
  <c r="G171" i="40"/>
  <c r="O182" i="40"/>
  <c r="N182" i="40"/>
  <c r="L182" i="40"/>
  <c r="K182" i="40"/>
  <c r="J182" i="40"/>
  <c r="I182" i="40"/>
  <c r="H182" i="40"/>
  <c r="O167" i="40"/>
  <c r="N167" i="40"/>
  <c r="L167" i="40"/>
  <c r="K167" i="40"/>
  <c r="J167" i="40"/>
  <c r="I167" i="40"/>
  <c r="H167" i="40"/>
  <c r="O127" i="40"/>
  <c r="L127" i="40"/>
  <c r="K127" i="40"/>
  <c r="J127" i="40"/>
  <c r="I127" i="40"/>
  <c r="H127" i="40"/>
  <c r="F127" i="40"/>
  <c r="O173" i="40"/>
  <c r="L173" i="40"/>
  <c r="K173" i="40"/>
  <c r="J173" i="40"/>
  <c r="I173" i="40"/>
  <c r="H173" i="40"/>
  <c r="O134" i="40"/>
  <c r="N134" i="40"/>
  <c r="L134" i="40"/>
  <c r="K134" i="40"/>
  <c r="J134" i="40"/>
  <c r="I134" i="40"/>
  <c r="H134" i="40"/>
  <c r="F134" i="40"/>
  <c r="O133" i="40"/>
  <c r="N133" i="40"/>
  <c r="L133" i="40"/>
  <c r="K133" i="40"/>
  <c r="J133" i="40"/>
  <c r="I133" i="40"/>
  <c r="H133" i="40"/>
  <c r="F133" i="40"/>
  <c r="N139" i="40"/>
  <c r="O155" i="40"/>
  <c r="L155" i="40"/>
  <c r="K155" i="40"/>
  <c r="J155" i="40"/>
  <c r="I155" i="40"/>
  <c r="H155" i="40"/>
  <c r="O132" i="40"/>
  <c r="L132" i="40"/>
  <c r="K132" i="40"/>
  <c r="J132" i="40"/>
  <c r="I132" i="40"/>
  <c r="H132" i="40"/>
  <c r="F132" i="40"/>
  <c r="O131" i="40"/>
  <c r="L131" i="40"/>
  <c r="K131" i="40"/>
  <c r="J131" i="40"/>
  <c r="I131" i="40"/>
  <c r="H131" i="40"/>
  <c r="F131" i="40"/>
  <c r="O171" i="40"/>
  <c r="I171" i="40"/>
  <c r="N135" i="40"/>
  <c r="N136" i="40"/>
  <c r="O170" i="40"/>
  <c r="L170" i="40"/>
  <c r="K170" i="40"/>
  <c r="J170" i="40"/>
  <c r="I170" i="40"/>
  <c r="H170" i="40"/>
  <c r="O169" i="40"/>
  <c r="N169" i="40"/>
  <c r="L169" i="40"/>
  <c r="K169" i="40"/>
  <c r="J169" i="40"/>
  <c r="I169" i="40"/>
  <c r="H169" i="40"/>
  <c r="O168" i="40"/>
  <c r="N168" i="40"/>
  <c r="L168" i="40"/>
  <c r="K168" i="40"/>
  <c r="J168" i="40"/>
  <c r="I168" i="40"/>
  <c r="H168" i="40"/>
  <c r="O166" i="40"/>
  <c r="L166" i="40"/>
  <c r="K166" i="40"/>
  <c r="J166" i="40"/>
  <c r="I166" i="40"/>
  <c r="H166" i="40"/>
  <c r="D16" i="50"/>
  <c r="K16" i="50"/>
  <c r="D17" i="50"/>
  <c r="K17" i="50"/>
  <c r="L172" i="40"/>
  <c r="L179" i="40"/>
  <c r="L180" i="40"/>
  <c r="L181" i="40"/>
  <c r="L183" i="40"/>
  <c r="L184" i="40"/>
  <c r="L185" i="40"/>
  <c r="L186" i="40"/>
  <c r="L187" i="40"/>
  <c r="L188" i="40"/>
  <c r="L189" i="40"/>
  <c r="L190" i="40"/>
  <c r="L191" i="40"/>
  <c r="L192" i="40"/>
  <c r="L194" i="40"/>
  <c r="L195" i="40"/>
  <c r="L196" i="40"/>
  <c r="L197" i="40"/>
  <c r="L198" i="40"/>
  <c r="L199" i="40"/>
  <c r="L200" i="40"/>
  <c r="L201" i="40"/>
  <c r="L202" i="40"/>
  <c r="L203" i="40"/>
  <c r="L204" i="40"/>
  <c r="L207" i="40"/>
  <c r="L208" i="40"/>
  <c r="L209" i="40"/>
  <c r="L230" i="40"/>
  <c r="L232" i="40"/>
  <c r="L233" i="40"/>
  <c r="L164" i="40"/>
  <c r="K172" i="40"/>
  <c r="K179" i="40"/>
  <c r="K180" i="40"/>
  <c r="K181" i="40"/>
  <c r="K183" i="40"/>
  <c r="K184" i="40"/>
  <c r="K185" i="40"/>
  <c r="K186" i="40"/>
  <c r="K187" i="40"/>
  <c r="K188" i="40"/>
  <c r="K189" i="40"/>
  <c r="K190" i="40"/>
  <c r="K191" i="40"/>
  <c r="K192" i="40"/>
  <c r="K194" i="40"/>
  <c r="K195" i="40"/>
  <c r="K164" i="40"/>
  <c r="J172" i="40"/>
  <c r="J179" i="40"/>
  <c r="J180" i="40"/>
  <c r="J181" i="40"/>
  <c r="J183" i="40"/>
  <c r="J184" i="40"/>
  <c r="J185" i="40"/>
  <c r="J186" i="40"/>
  <c r="J187" i="40"/>
  <c r="J188" i="40"/>
  <c r="J189" i="40"/>
  <c r="J190" i="40"/>
  <c r="J191" i="40"/>
  <c r="J192" i="40"/>
  <c r="J194" i="40"/>
  <c r="J195" i="40"/>
  <c r="J196" i="40"/>
  <c r="J197" i="40"/>
  <c r="J198" i="40"/>
  <c r="J199" i="40"/>
  <c r="J200" i="40"/>
  <c r="J201" i="40"/>
  <c r="J202" i="40"/>
  <c r="J203" i="40"/>
  <c r="J204" i="40"/>
  <c r="J207" i="40"/>
  <c r="J208" i="40"/>
  <c r="J209" i="40"/>
  <c r="J230" i="40"/>
  <c r="J232" i="40"/>
  <c r="J233" i="40"/>
  <c r="J164" i="40"/>
  <c r="I172" i="40"/>
  <c r="I179" i="40"/>
  <c r="I180" i="40"/>
  <c r="I181" i="40"/>
  <c r="I183" i="40"/>
  <c r="I184" i="40"/>
  <c r="I185" i="40"/>
  <c r="I186" i="40"/>
  <c r="I187" i="40"/>
  <c r="I188" i="40"/>
  <c r="I189" i="40"/>
  <c r="I190" i="40"/>
  <c r="I191" i="40"/>
  <c r="I192" i="40"/>
  <c r="I194" i="40"/>
  <c r="I195" i="40"/>
  <c r="I196" i="40"/>
  <c r="I197" i="40"/>
  <c r="I198" i="40"/>
  <c r="I199" i="40"/>
  <c r="I200" i="40"/>
  <c r="I201" i="40"/>
  <c r="I202" i="40"/>
  <c r="I203" i="40"/>
  <c r="I204" i="40"/>
  <c r="I207" i="40"/>
  <c r="I208" i="40"/>
  <c r="I209" i="40"/>
  <c r="I230" i="40"/>
  <c r="I232" i="40"/>
  <c r="I233" i="40"/>
  <c r="I164" i="40"/>
  <c r="H172" i="40"/>
  <c r="H179" i="40"/>
  <c r="H180" i="40"/>
  <c r="H181" i="40"/>
  <c r="H183" i="40"/>
  <c r="H184" i="40"/>
  <c r="H185" i="40"/>
  <c r="H186" i="40"/>
  <c r="H187" i="40"/>
  <c r="H188" i="40"/>
  <c r="H189" i="40"/>
  <c r="H190" i="40"/>
  <c r="H191" i="40"/>
  <c r="H192" i="40"/>
  <c r="H194" i="40"/>
  <c r="H195" i="40"/>
  <c r="H196" i="40"/>
  <c r="H197" i="40"/>
  <c r="H198" i="40"/>
  <c r="H199" i="40"/>
  <c r="H200" i="40"/>
  <c r="H201" i="40"/>
  <c r="H202" i="40"/>
  <c r="H203" i="40"/>
  <c r="H204" i="40"/>
  <c r="H207" i="40"/>
  <c r="H208" i="40"/>
  <c r="H209" i="40"/>
  <c r="H230" i="40"/>
  <c r="H232" i="40"/>
  <c r="H233" i="40"/>
  <c r="H164" i="40"/>
  <c r="M182" i="40" l="1"/>
  <c r="M176" i="40"/>
  <c r="M177" i="40"/>
  <c r="M174" i="40"/>
  <c r="M175" i="40"/>
  <c r="J171" i="40"/>
  <c r="L171" i="40"/>
  <c r="K171" i="40"/>
  <c r="M166" i="40"/>
  <c r="M168" i="40"/>
  <c r="M170" i="40"/>
  <c r="M133" i="40"/>
  <c r="M173" i="40"/>
  <c r="M127" i="40"/>
  <c r="M134" i="40"/>
  <c r="M155" i="40"/>
  <c r="M131" i="40"/>
  <c r="M132" i="40"/>
  <c r="M167" i="40"/>
  <c r="M169" i="40"/>
  <c r="H171" i="40"/>
  <c r="M171" i="40" l="1"/>
  <c r="F6" i="42" l="1"/>
  <c r="E6" i="42"/>
  <c r="F143" i="40"/>
  <c r="F144" i="40"/>
  <c r="F145" i="40"/>
  <c r="F146" i="40"/>
  <c r="F147" i="40"/>
  <c r="F148" i="40"/>
  <c r="C3" i="42"/>
  <c r="F140" i="40"/>
  <c r="F141" i="40"/>
  <c r="F142" i="40"/>
  <c r="N67" i="49"/>
  <c r="U3" i="40" l="1"/>
  <c r="U4" i="40"/>
  <c r="U5" i="40"/>
  <c r="U6" i="40"/>
  <c r="U7" i="40"/>
  <c r="U8" i="40"/>
  <c r="U9" i="40"/>
  <c r="U10" i="40"/>
  <c r="U11" i="40"/>
  <c r="U12" i="40"/>
  <c r="U13" i="40"/>
  <c r="U14" i="40"/>
  <c r="U15" i="40"/>
  <c r="U16" i="40"/>
  <c r="U17" i="40"/>
  <c r="U18" i="40"/>
  <c r="U19" i="40"/>
  <c r="U20" i="40"/>
  <c r="U21" i="40"/>
  <c r="U22" i="40"/>
  <c r="U23" i="40"/>
  <c r="U24" i="40"/>
  <c r="U25" i="40"/>
  <c r="U26" i="40"/>
  <c r="U27" i="40"/>
  <c r="U28" i="40"/>
  <c r="U29" i="40"/>
  <c r="U30" i="40"/>
  <c r="U31" i="40"/>
  <c r="U32" i="40"/>
  <c r="U33" i="40"/>
  <c r="U34" i="40"/>
  <c r="U35" i="40"/>
  <c r="U36" i="40"/>
  <c r="U37" i="40"/>
  <c r="U38" i="40"/>
  <c r="U39" i="40"/>
  <c r="U40" i="40"/>
  <c r="U41" i="40"/>
  <c r="U42" i="40"/>
  <c r="U43" i="40"/>
  <c r="U44" i="40"/>
  <c r="U45" i="40"/>
  <c r="U46" i="40"/>
  <c r="U47" i="40"/>
  <c r="U48" i="40"/>
  <c r="U49" i="40"/>
  <c r="U50" i="40"/>
  <c r="U51" i="40"/>
  <c r="U52" i="40"/>
  <c r="U53" i="40"/>
  <c r="U54" i="40"/>
  <c r="U55" i="40"/>
  <c r="U56" i="40"/>
  <c r="U57" i="40"/>
  <c r="U58" i="40"/>
  <c r="U59" i="40"/>
  <c r="U60" i="40"/>
  <c r="U61" i="40"/>
  <c r="U62" i="40"/>
  <c r="U63" i="40"/>
  <c r="U64" i="40"/>
  <c r="U65" i="40"/>
  <c r="U66" i="40"/>
  <c r="U67" i="40"/>
  <c r="U68" i="40"/>
  <c r="U69" i="40"/>
  <c r="U70" i="40"/>
  <c r="U71" i="40"/>
  <c r="U72" i="40"/>
  <c r="U73" i="40"/>
  <c r="U74" i="40"/>
  <c r="U75" i="40"/>
  <c r="U76" i="40"/>
  <c r="U77" i="40"/>
  <c r="U78" i="40"/>
  <c r="U79" i="40"/>
  <c r="U80" i="40"/>
  <c r="U81" i="40"/>
  <c r="U82" i="40"/>
  <c r="U83" i="40"/>
  <c r="U84" i="40"/>
  <c r="U85" i="40"/>
  <c r="U86" i="40"/>
  <c r="U87" i="40"/>
  <c r="U88" i="40"/>
  <c r="U89" i="40"/>
  <c r="U90" i="40"/>
  <c r="U91" i="40"/>
  <c r="U92" i="40"/>
  <c r="U93" i="40"/>
  <c r="U94" i="40"/>
  <c r="U95" i="40"/>
  <c r="U96" i="40"/>
  <c r="U97" i="40"/>
  <c r="U98" i="40"/>
  <c r="U99" i="40"/>
  <c r="U100" i="40"/>
  <c r="U101" i="40"/>
  <c r="U102" i="40"/>
  <c r="U103" i="40"/>
  <c r="U104" i="40"/>
  <c r="U105" i="40"/>
  <c r="U106" i="40"/>
  <c r="U107" i="40"/>
  <c r="U108" i="40"/>
  <c r="U109" i="40"/>
  <c r="U110" i="40"/>
  <c r="U111" i="40"/>
  <c r="U112" i="40"/>
  <c r="U113" i="40"/>
  <c r="U114" i="40"/>
  <c r="U115" i="40"/>
  <c r="U116" i="40"/>
  <c r="U117" i="40"/>
  <c r="U118" i="40"/>
  <c r="U119" i="40"/>
  <c r="U120" i="40"/>
  <c r="U121" i="40"/>
  <c r="U122" i="40"/>
  <c r="U123" i="40"/>
  <c r="U124" i="40"/>
  <c r="U125" i="40"/>
  <c r="U126" i="40"/>
  <c r="U127" i="40"/>
  <c r="U128" i="40"/>
  <c r="U129" i="40"/>
  <c r="U130" i="40"/>
  <c r="U131" i="40"/>
  <c r="U132" i="40"/>
  <c r="U133" i="40"/>
  <c r="U134" i="40"/>
  <c r="U135" i="40"/>
  <c r="U136" i="40"/>
  <c r="U137" i="40"/>
  <c r="U138" i="40"/>
  <c r="U139" i="40"/>
  <c r="U140" i="40"/>
  <c r="U141" i="40"/>
  <c r="U142" i="40"/>
  <c r="U143" i="40"/>
  <c r="U144" i="40"/>
  <c r="U145" i="40"/>
  <c r="U146" i="40"/>
  <c r="U147" i="40"/>
  <c r="U148" i="40"/>
  <c r="U149" i="40"/>
  <c r="U150" i="40"/>
  <c r="U151" i="40"/>
  <c r="U152" i="40"/>
  <c r="U153" i="40"/>
  <c r="U154" i="40"/>
  <c r="U155" i="40"/>
  <c r="U156" i="40"/>
  <c r="U157" i="40"/>
  <c r="U158" i="40"/>
  <c r="U159" i="40"/>
  <c r="U160" i="40"/>
  <c r="U161" i="40"/>
  <c r="U162" i="40"/>
  <c r="U163" i="40"/>
  <c r="U164" i="40"/>
  <c r="U165" i="40"/>
  <c r="U166" i="40"/>
  <c r="U167" i="40"/>
  <c r="U168" i="40"/>
  <c r="U169" i="40"/>
  <c r="U170" i="40"/>
  <c r="U173" i="40"/>
  <c r="U174" i="40"/>
  <c r="U175" i="40"/>
  <c r="U176" i="40"/>
  <c r="U177" i="40"/>
  <c r="U178" i="40"/>
  <c r="U179" i="40"/>
  <c r="U180" i="40"/>
  <c r="U181" i="40"/>
  <c r="U188" i="40"/>
  <c r="U189" i="40"/>
  <c r="U190" i="40"/>
  <c r="U191" i="40"/>
  <c r="U192" i="40"/>
  <c r="U193" i="40"/>
  <c r="U194" i="40"/>
  <c r="U195" i="40"/>
  <c r="U196" i="40"/>
  <c r="U197" i="40"/>
  <c r="U198" i="40"/>
  <c r="U199" i="40"/>
  <c r="U200" i="40"/>
  <c r="U201" i="40"/>
  <c r="U202" i="40"/>
  <c r="U203" i="40"/>
  <c r="U204" i="40"/>
  <c r="U205" i="40"/>
  <c r="U206" i="40"/>
  <c r="U207" i="40"/>
  <c r="U208" i="40"/>
  <c r="U209" i="40"/>
  <c r="U210" i="40"/>
  <c r="U211" i="40"/>
  <c r="U212" i="40"/>
  <c r="U213" i="40"/>
  <c r="U214" i="40"/>
  <c r="U215" i="40"/>
  <c r="U216" i="40"/>
  <c r="U217" i="40"/>
  <c r="U218" i="40"/>
  <c r="U219" i="40"/>
  <c r="U220" i="40"/>
  <c r="U221" i="40"/>
  <c r="U222" i="40"/>
  <c r="U223" i="40"/>
  <c r="U224" i="40"/>
  <c r="U225" i="40"/>
  <c r="U226" i="40"/>
  <c r="U227" i="40"/>
  <c r="U228" i="40"/>
  <c r="U229" i="40"/>
  <c r="U230" i="40"/>
  <c r="U231" i="40"/>
  <c r="U232" i="40"/>
  <c r="U233" i="40"/>
  <c r="U2" i="40"/>
  <c r="M131" i="53"/>
  <c r="M132" i="53"/>
  <c r="M130" i="53"/>
  <c r="M140" i="53"/>
  <c r="M133" i="53"/>
  <c r="M136" i="53"/>
  <c r="M135" i="53"/>
  <c r="M138" i="53"/>
  <c r="M139" i="53"/>
  <c r="M134" i="53"/>
  <c r="M141" i="53"/>
  <c r="M137" i="53"/>
  <c r="M145" i="53"/>
  <c r="M142" i="53"/>
  <c r="M146" i="53"/>
  <c r="M147" i="53"/>
  <c r="M148" i="53"/>
  <c r="M150" i="53"/>
  <c r="M149" i="53"/>
  <c r="M151" i="53"/>
  <c r="M152" i="53"/>
  <c r="M153" i="53"/>
  <c r="M154" i="53"/>
  <c r="M155" i="53"/>
  <c r="M156" i="53"/>
  <c r="M157" i="53"/>
  <c r="M158" i="53"/>
  <c r="M159" i="53"/>
  <c r="M161" i="53"/>
  <c r="M162" i="53"/>
  <c r="B95" i="49"/>
  <c r="K3" i="50" l="1"/>
  <c r="K4" i="50"/>
  <c r="K5" i="50"/>
  <c r="K6" i="50"/>
  <c r="K7" i="50"/>
  <c r="K8" i="50"/>
  <c r="K9" i="50"/>
  <c r="K10" i="50"/>
  <c r="K11" i="50"/>
  <c r="K12" i="50"/>
  <c r="K13" i="50"/>
  <c r="K14" i="50"/>
  <c r="K15" i="50"/>
  <c r="D2" i="50"/>
  <c r="K129" i="40" l="1"/>
  <c r="F139" i="40" l="1"/>
  <c r="F138" i="40"/>
  <c r="F137" i="40"/>
  <c r="F136" i="40"/>
  <c r="F135" i="40"/>
  <c r="F130" i="40"/>
  <c r="F129" i="40"/>
  <c r="F128" i="40"/>
  <c r="F126" i="40"/>
  <c r="F125" i="40"/>
  <c r="F124" i="40"/>
  <c r="F123" i="40"/>
  <c r="F122" i="40"/>
  <c r="F121" i="40"/>
  <c r="F120" i="40"/>
  <c r="F119" i="40"/>
  <c r="F118" i="40"/>
  <c r="F117" i="40"/>
  <c r="F116" i="40"/>
  <c r="F115" i="40"/>
  <c r="F114" i="40"/>
  <c r="F113" i="40"/>
  <c r="F112" i="40"/>
  <c r="F111" i="40"/>
  <c r="F110" i="40"/>
  <c r="M85" i="53" l="1"/>
  <c r="M80" i="53"/>
  <c r="M81" i="53"/>
  <c r="M82" i="53"/>
  <c r="M83" i="53"/>
  <c r="M84" i="53"/>
  <c r="M86" i="53"/>
  <c r="M87" i="53"/>
  <c r="M88" i="53"/>
  <c r="M74" i="53"/>
  <c r="M75" i="53"/>
  <c r="N94" i="40"/>
  <c r="N93" i="40"/>
  <c r="N92" i="40"/>
  <c r="F90" i="40"/>
  <c r="F89" i="40"/>
  <c r="H80" i="40"/>
  <c r="H81" i="40"/>
  <c r="H82" i="40"/>
  <c r="H83" i="40"/>
  <c r="H84" i="40"/>
  <c r="H85" i="40"/>
  <c r="H86" i="40"/>
  <c r="H87" i="40"/>
  <c r="H88" i="40"/>
  <c r="H89" i="40"/>
  <c r="H90" i="40"/>
  <c r="H91" i="40"/>
  <c r="H92" i="40"/>
  <c r="H93" i="40"/>
  <c r="H94" i="40"/>
  <c r="H95" i="40"/>
  <c r="H96" i="40"/>
  <c r="H97" i="40"/>
  <c r="H98" i="40"/>
  <c r="H99" i="40"/>
  <c r="H100" i="40"/>
  <c r="H101" i="40"/>
  <c r="H102" i="40"/>
  <c r="H103" i="40"/>
  <c r="H104" i="40"/>
  <c r="H105" i="40"/>
  <c r="H106" i="40"/>
  <c r="H107" i="40"/>
  <c r="H108" i="40"/>
  <c r="H109" i="40"/>
  <c r="H110" i="40"/>
  <c r="H111" i="40"/>
  <c r="H112" i="40"/>
  <c r="H113" i="40"/>
  <c r="H114" i="40"/>
  <c r="H115" i="40"/>
  <c r="H116" i="40"/>
  <c r="H117" i="40"/>
  <c r="H118" i="40"/>
  <c r="H119" i="40"/>
  <c r="H120" i="40"/>
  <c r="H121" i="40"/>
  <c r="H122" i="40"/>
  <c r="H123" i="40"/>
  <c r="H124" i="40"/>
  <c r="H125" i="40"/>
  <c r="H126" i="40"/>
  <c r="H128" i="40"/>
  <c r="H129" i="40"/>
  <c r="H130" i="40"/>
  <c r="H135" i="40"/>
  <c r="H136" i="40"/>
  <c r="H137" i="40"/>
  <c r="H138" i="40"/>
  <c r="H139" i="40"/>
  <c r="H140" i="40"/>
  <c r="H141" i="40"/>
  <c r="H142" i="40"/>
  <c r="H143" i="40"/>
  <c r="H144" i="40"/>
  <c r="H145" i="40"/>
  <c r="H146" i="40"/>
  <c r="H147" i="40"/>
  <c r="H148" i="40"/>
  <c r="H149" i="40"/>
  <c r="H150" i="40"/>
  <c r="H151" i="40"/>
  <c r="H152" i="40"/>
  <c r="H153" i="40"/>
  <c r="H154" i="40"/>
  <c r="H156" i="40"/>
  <c r="H157" i="40"/>
  <c r="H158" i="40"/>
  <c r="H159" i="40"/>
  <c r="H160" i="40"/>
  <c r="H161" i="40"/>
  <c r="H162" i="40"/>
  <c r="H163" i="40"/>
  <c r="H71" i="40"/>
  <c r="H72" i="40"/>
  <c r="H73" i="40"/>
  <c r="H74" i="40"/>
  <c r="H75" i="40"/>
  <c r="H76" i="40"/>
  <c r="H77" i="40"/>
  <c r="H78" i="40"/>
  <c r="H79" i="40"/>
  <c r="H70" i="40"/>
  <c r="J5" i="42"/>
  <c r="K5" i="42" s="1"/>
  <c r="J6" i="42"/>
  <c r="K6" i="42" s="1"/>
  <c r="J7" i="42"/>
  <c r="K7" i="42" s="1"/>
  <c r="J8" i="42"/>
  <c r="K8" i="42" s="1"/>
  <c r="J9" i="42"/>
  <c r="K9" i="42" s="1"/>
  <c r="J10" i="42"/>
  <c r="K10" i="42" s="1"/>
  <c r="J11" i="42"/>
  <c r="K11" i="42" s="1"/>
  <c r="J12" i="42"/>
  <c r="K12" i="42" s="1"/>
  <c r="J2" i="42"/>
  <c r="J3" i="42"/>
  <c r="J4" i="42"/>
  <c r="K4" i="42" s="1"/>
  <c r="I12" i="42"/>
  <c r="N3" i="43" l="1"/>
  <c r="A10" i="43"/>
  <c r="N2" i="43"/>
  <c r="A2" i="43" s="1"/>
  <c r="M2" i="43"/>
  <c r="M73" i="53"/>
  <c r="M96" i="53"/>
  <c r="M91" i="53"/>
  <c r="M92" i="53"/>
  <c r="M89" i="53"/>
  <c r="M78" i="53"/>
  <c r="M101" i="53"/>
  <c r="M103" i="53"/>
  <c r="M102" i="53"/>
  <c r="M90" i="53"/>
  <c r="M93" i="53"/>
  <c r="M99" i="53"/>
  <c r="M98" i="53"/>
  <c r="M97" i="53"/>
  <c r="M109" i="53"/>
  <c r="M108" i="53"/>
  <c r="M114" i="53"/>
  <c r="M113" i="53"/>
  <c r="M111" i="53"/>
  <c r="M110" i="53"/>
  <c r="M106" i="53"/>
  <c r="M107" i="53"/>
  <c r="M104" i="53"/>
  <c r="M105" i="53"/>
  <c r="M115" i="53"/>
  <c r="M112" i="53"/>
  <c r="M119" i="53"/>
  <c r="M120" i="53"/>
  <c r="M116" i="53"/>
  <c r="M121" i="53"/>
  <c r="M118" i="53"/>
  <c r="M117" i="53"/>
  <c r="M122" i="53"/>
  <c r="M123" i="53"/>
  <c r="M124" i="53"/>
  <c r="M125" i="53"/>
  <c r="M126" i="53"/>
  <c r="M127" i="53"/>
  <c r="M128" i="53"/>
  <c r="A143" i="53" s="1"/>
  <c r="M129" i="53"/>
  <c r="M58" i="53"/>
  <c r="M37" i="53"/>
  <c r="M38" i="53"/>
  <c r="M39" i="53"/>
  <c r="M25" i="53"/>
  <c r="M26" i="53"/>
  <c r="M27" i="53"/>
  <c r="M28" i="53"/>
  <c r="M29" i="53"/>
  <c r="M30" i="53"/>
  <c r="M31" i="53"/>
  <c r="M32" i="53"/>
  <c r="M33" i="53"/>
  <c r="M34" i="53"/>
  <c r="M35" i="53"/>
  <c r="M36" i="53"/>
  <c r="M40" i="53"/>
  <c r="M41" i="53"/>
  <c r="M42" i="53"/>
  <c r="M43" i="53"/>
  <c r="M44" i="53"/>
  <c r="M45" i="53"/>
  <c r="M46" i="53"/>
  <c r="M47" i="53"/>
  <c r="M48" i="53"/>
  <c r="M49" i="53"/>
  <c r="M51" i="53"/>
  <c r="M50" i="53"/>
  <c r="M52" i="53"/>
  <c r="M53" i="53"/>
  <c r="M54" i="53"/>
  <c r="M55" i="53"/>
  <c r="M56" i="53"/>
  <c r="M57" i="53"/>
  <c r="M59" i="53"/>
  <c r="M60" i="53"/>
  <c r="M61" i="53"/>
  <c r="M62" i="53"/>
  <c r="M63" i="53"/>
  <c r="M64" i="53"/>
  <c r="M66" i="53"/>
  <c r="M67" i="53"/>
  <c r="M68" i="53"/>
  <c r="M65" i="53"/>
  <c r="M69" i="53"/>
  <c r="M70" i="53"/>
  <c r="M71" i="53"/>
  <c r="M72" i="53"/>
  <c r="M76" i="53"/>
  <c r="M77" i="53"/>
  <c r="M79" i="53"/>
  <c r="M100" i="53"/>
  <c r="M95" i="53"/>
  <c r="M94" i="53"/>
  <c r="A9" i="43" l="1"/>
  <c r="A8" i="43"/>
  <c r="A4" i="43"/>
  <c r="A7" i="43"/>
  <c r="A3" i="43"/>
  <c r="A12" i="43"/>
  <c r="A11" i="43"/>
  <c r="A15" i="43"/>
  <c r="A14" i="43"/>
  <c r="A13" i="43"/>
  <c r="M3" i="53"/>
  <c r="M4" i="53"/>
  <c r="M5" i="53"/>
  <c r="M6" i="53"/>
  <c r="M7" i="53"/>
  <c r="M8" i="53"/>
  <c r="M9" i="53"/>
  <c r="M10" i="53"/>
  <c r="M11" i="53"/>
  <c r="M12" i="53"/>
  <c r="M13" i="53"/>
  <c r="M14" i="53"/>
  <c r="M15" i="53"/>
  <c r="M16" i="53"/>
  <c r="M17" i="53"/>
  <c r="M18" i="53"/>
  <c r="M19" i="53"/>
  <c r="M20" i="53"/>
  <c r="M21" i="53"/>
  <c r="M22" i="53"/>
  <c r="M23" i="53"/>
  <c r="M24" i="53"/>
  <c r="M2" i="53"/>
  <c r="G2" i="53"/>
  <c r="G3" i="53" s="1"/>
  <c r="G4" i="53" s="1"/>
  <c r="G5" i="53" s="1"/>
  <c r="G6" i="53" s="1"/>
  <c r="G7" i="53" s="1"/>
  <c r="G8" i="53" s="1"/>
  <c r="G9" i="53" s="1"/>
  <c r="G10" i="53" s="1"/>
  <c r="G11" i="53" s="1"/>
  <c r="G12" i="53" s="1"/>
  <c r="G13" i="53" s="1"/>
  <c r="G14" i="53" s="1"/>
  <c r="G15" i="53" s="1"/>
  <c r="G16" i="53" s="1"/>
  <c r="G17" i="53" s="1"/>
  <c r="G18" i="53" s="1"/>
  <c r="G19" i="53" s="1"/>
  <c r="G20" i="53" s="1"/>
  <c r="G21" i="53" s="1"/>
  <c r="G22" i="53" s="1"/>
  <c r="G23" i="53" s="1"/>
  <c r="G24" i="53" s="1"/>
  <c r="G25" i="53" s="1"/>
  <c r="G26" i="53" s="1"/>
  <c r="G27" i="53" s="1"/>
  <c r="G28" i="53" s="1"/>
  <c r="G29" i="53" s="1"/>
  <c r="G30" i="53" s="1"/>
  <c r="G31" i="53" s="1"/>
  <c r="G32" i="53" s="1"/>
  <c r="G33" i="53" s="1"/>
  <c r="G34" i="53" s="1"/>
  <c r="G35" i="53" s="1"/>
  <c r="G36" i="53" s="1"/>
  <c r="H57" i="42"/>
  <c r="T29" i="40"/>
  <c r="A378" i="53" l="1"/>
  <c r="A201" i="53"/>
  <c r="A245" i="53"/>
  <c r="A430" i="53"/>
  <c r="A409" i="53"/>
  <c r="A340" i="53"/>
  <c r="A331" i="53"/>
  <c r="A179" i="53"/>
  <c r="A311" i="53"/>
  <c r="A451" i="53"/>
  <c r="A416" i="53"/>
  <c r="A450" i="53"/>
  <c r="A254" i="53"/>
  <c r="A223" i="53"/>
  <c r="A205" i="53"/>
  <c r="A422" i="53"/>
  <c r="A177" i="53"/>
  <c r="A196" i="53"/>
  <c r="A366" i="53"/>
  <c r="A345" i="53"/>
  <c r="A218" i="53"/>
  <c r="A264" i="53"/>
  <c r="A215" i="53"/>
  <c r="A454" i="53"/>
  <c r="A421" i="53"/>
  <c r="A352" i="53"/>
  <c r="A401" i="53"/>
  <c r="A228" i="53"/>
  <c r="A165" i="53"/>
  <c r="A285" i="53"/>
  <c r="A232" i="53"/>
  <c r="A239" i="53"/>
  <c r="A181" i="53"/>
  <c r="A214" i="53"/>
  <c r="A284" i="53"/>
  <c r="A278" i="53"/>
  <c r="A253" i="53"/>
  <c r="A249" i="53"/>
  <c r="A213" i="53"/>
  <c r="A224" i="53"/>
  <c r="A220" i="53"/>
  <c r="A222" i="53"/>
  <c r="A442" i="53"/>
  <c r="A292" i="53"/>
  <c r="A291" i="53"/>
  <c r="A427" i="53"/>
  <c r="A211" i="53"/>
  <c r="A248" i="53"/>
  <c r="A137" i="53"/>
  <c r="A312" i="53"/>
  <c r="A440" i="53"/>
  <c r="A317" i="53"/>
  <c r="A381" i="53"/>
  <c r="A210" i="53"/>
  <c r="A402" i="53"/>
  <c r="A335" i="53"/>
  <c r="A396" i="53"/>
  <c r="A185" i="53"/>
  <c r="A166" i="53"/>
  <c r="A395" i="53"/>
  <c r="A277" i="53"/>
  <c r="A376" i="53"/>
  <c r="A445" i="53"/>
  <c r="A338" i="53"/>
  <c r="A198" i="53"/>
  <c r="A191" i="53"/>
  <c r="A332" i="53"/>
  <c r="A371" i="53"/>
  <c r="A295" i="53"/>
  <c r="A374" i="53"/>
  <c r="A251" i="53"/>
  <c r="A288" i="53"/>
  <c r="A281" i="53"/>
  <c r="A180" i="53"/>
  <c r="A302" i="53"/>
  <c r="A399" i="53"/>
  <c r="A247" i="53"/>
  <c r="A164" i="53"/>
  <c r="A193" i="53"/>
  <c r="A357" i="53"/>
  <c r="A266" i="53"/>
  <c r="A337" i="53"/>
  <c r="A390" i="53"/>
  <c r="A189" i="53"/>
  <c r="A200" i="53"/>
  <c r="A406" i="53"/>
  <c r="A169" i="53"/>
  <c r="A299" i="53"/>
  <c r="A403" i="53"/>
  <c r="A404" i="53"/>
  <c r="A225" i="53"/>
  <c r="A195" i="53"/>
  <c r="A375" i="53"/>
  <c r="A314" i="53"/>
  <c r="A447" i="53"/>
  <c r="A290" i="53"/>
  <c r="A446" i="53"/>
  <c r="A297" i="53"/>
  <c r="A167" i="53"/>
  <c r="A176" i="53"/>
  <c r="A231" i="53"/>
  <c r="A271" i="53"/>
  <c r="A275" i="53"/>
  <c r="A273" i="53"/>
  <c r="A358" i="53"/>
  <c r="A455" i="53"/>
  <c r="A342" i="53"/>
  <c r="A206" i="53"/>
  <c r="A236" i="53"/>
  <c r="A235" i="53"/>
  <c r="A240" i="53"/>
  <c r="A267" i="53"/>
  <c r="A260" i="53"/>
  <c r="A379" i="53"/>
  <c r="A246" i="53"/>
  <c r="A414" i="53"/>
  <c r="A350" i="53"/>
  <c r="A258" i="53"/>
  <c r="A457" i="53"/>
  <c r="A393" i="53"/>
  <c r="A329" i="53"/>
  <c r="A452" i="53"/>
  <c r="A388" i="53"/>
  <c r="A324" i="53"/>
  <c r="A269" i="53"/>
  <c r="A160" i="53"/>
  <c r="A289" i="53"/>
  <c r="A197" i="53"/>
  <c r="A255" i="53"/>
  <c r="A233" i="53"/>
  <c r="A259" i="53"/>
  <c r="A237" i="53"/>
  <c r="A279" i="53"/>
  <c r="A257" i="53"/>
  <c r="A359" i="53"/>
  <c r="A294" i="53"/>
  <c r="A426" i="53"/>
  <c r="A362" i="53"/>
  <c r="A298" i="53"/>
  <c r="A387" i="53"/>
  <c r="A405" i="53"/>
  <c r="A341" i="53"/>
  <c r="A458" i="53"/>
  <c r="A400" i="53"/>
  <c r="A336" i="53"/>
  <c r="A202" i="53"/>
  <c r="A226" i="53"/>
  <c r="A449" i="53"/>
  <c r="A385" i="53"/>
  <c r="A321" i="53"/>
  <c r="A444" i="53"/>
  <c r="A380" i="53"/>
  <c r="A316" i="53"/>
  <c r="A439" i="53"/>
  <c r="A319" i="53"/>
  <c r="A407" i="53"/>
  <c r="A386" i="53"/>
  <c r="A322" i="53"/>
  <c r="A171" i="53"/>
  <c r="A429" i="53"/>
  <c r="A365" i="53"/>
  <c r="A301" i="53"/>
  <c r="A424" i="53"/>
  <c r="A360" i="53"/>
  <c r="A85" i="53"/>
  <c r="A287" i="53"/>
  <c r="A204" i="53"/>
  <c r="A323" i="53"/>
  <c r="A265" i="53"/>
  <c r="A208" i="53"/>
  <c r="A307" i="53"/>
  <c r="A207" i="53"/>
  <c r="A293" i="53"/>
  <c r="A227" i="53"/>
  <c r="A209" i="53"/>
  <c r="A268" i="53"/>
  <c r="A272" i="53"/>
  <c r="A355" i="53"/>
  <c r="A229" i="53"/>
  <c r="A339" i="53"/>
  <c r="A383" i="53"/>
  <c r="A216" i="53"/>
  <c r="A168" i="53"/>
  <c r="A186" i="53"/>
  <c r="A182" i="53"/>
  <c r="A199" i="53"/>
  <c r="A170" i="53"/>
  <c r="A347" i="53"/>
  <c r="A459" i="53"/>
  <c r="A398" i="53"/>
  <c r="A334" i="53"/>
  <c r="A194" i="53"/>
  <c r="A441" i="53"/>
  <c r="A377" i="53"/>
  <c r="A313" i="53"/>
  <c r="A436" i="53"/>
  <c r="A372" i="53"/>
  <c r="A308" i="53"/>
  <c r="A219" i="53"/>
  <c r="A244" i="53"/>
  <c r="A423" i="53"/>
  <c r="A261" i="53"/>
  <c r="A187" i="53"/>
  <c r="A238" i="53"/>
  <c r="A192" i="53"/>
  <c r="A286" i="53"/>
  <c r="A212" i="53"/>
  <c r="A270" i="53"/>
  <c r="A343" i="53"/>
  <c r="A230" i="53"/>
  <c r="A410" i="53"/>
  <c r="A346" i="53"/>
  <c r="A242" i="53"/>
  <c r="A453" i="53"/>
  <c r="A389" i="53"/>
  <c r="A325" i="53"/>
  <c r="A448" i="53"/>
  <c r="A384" i="53"/>
  <c r="A320" i="53"/>
  <c r="A326" i="53"/>
  <c r="A183" i="53"/>
  <c r="A433" i="53"/>
  <c r="A369" i="53"/>
  <c r="A305" i="53"/>
  <c r="A428" i="53"/>
  <c r="A364" i="53"/>
  <c r="A300" i="53"/>
  <c r="A367" i="53"/>
  <c r="A303" i="53"/>
  <c r="A434" i="53"/>
  <c r="A370" i="53"/>
  <c r="A306" i="53"/>
  <c r="A419" i="53"/>
  <c r="A413" i="53"/>
  <c r="A349" i="53"/>
  <c r="A415" i="53"/>
  <c r="A408" i="53"/>
  <c r="A344" i="53"/>
  <c r="A234" i="53"/>
  <c r="A217" i="53"/>
  <c r="A243" i="53"/>
  <c r="A221" i="53"/>
  <c r="A263" i="53"/>
  <c r="A241" i="53"/>
  <c r="A315" i="53"/>
  <c r="A391" i="53"/>
  <c r="A382" i="53"/>
  <c r="A318" i="53"/>
  <c r="A178" i="53"/>
  <c r="A425" i="53"/>
  <c r="A361" i="53"/>
  <c r="A296" i="53"/>
  <c r="A420" i="53"/>
  <c r="A356" i="53"/>
  <c r="A282" i="53"/>
  <c r="A280" i="53"/>
  <c r="A190" i="53"/>
  <c r="A363" i="53"/>
  <c r="A203" i="53"/>
  <c r="A252" i="53"/>
  <c r="A283" i="53"/>
  <c r="A256" i="53"/>
  <c r="A184" i="53"/>
  <c r="A276" i="53"/>
  <c r="A411" i="53"/>
  <c r="A327" i="53"/>
  <c r="A443" i="53"/>
  <c r="A394" i="53"/>
  <c r="A330" i="53"/>
  <c r="A188" i="53"/>
  <c r="A437" i="53"/>
  <c r="A373" i="53"/>
  <c r="A309" i="53"/>
  <c r="A432" i="53"/>
  <c r="A368" i="53"/>
  <c r="A304" i="53"/>
  <c r="A310" i="53"/>
  <c r="A435" i="53"/>
  <c r="A417" i="53"/>
  <c r="A353" i="53"/>
  <c r="A431" i="53"/>
  <c r="A412" i="53"/>
  <c r="A348" i="53"/>
  <c r="A250" i="53"/>
  <c r="A351" i="53"/>
  <c r="A262" i="53"/>
  <c r="A418" i="53"/>
  <c r="A354" i="53"/>
  <c r="A274" i="53"/>
  <c r="A438" i="53"/>
  <c r="A397" i="53"/>
  <c r="A333" i="53"/>
  <c r="A456" i="53"/>
  <c r="A392" i="53"/>
  <c r="A328" i="53"/>
  <c r="A173" i="53"/>
  <c r="A147" i="53"/>
  <c r="A142" i="53"/>
  <c r="A135" i="53"/>
  <c r="A149" i="53"/>
  <c r="A159" i="53"/>
  <c r="A174" i="53"/>
  <c r="A133" i="53"/>
  <c r="A150" i="53"/>
  <c r="A132" i="53"/>
  <c r="A163" i="53"/>
  <c r="A154" i="53"/>
  <c r="A172" i="53"/>
  <c r="A130" i="53"/>
  <c r="A161" i="53"/>
  <c r="A144" i="53"/>
  <c r="A158" i="53"/>
  <c r="A162" i="53"/>
  <c r="A157" i="53"/>
  <c r="A153" i="53"/>
  <c r="A146" i="53"/>
  <c r="A175" i="53"/>
  <c r="A134" i="53"/>
  <c r="A138" i="53"/>
  <c r="A131" i="53"/>
  <c r="A141" i="53"/>
  <c r="A136" i="53"/>
  <c r="A152" i="53"/>
  <c r="A156" i="53"/>
  <c r="A139" i="53"/>
  <c r="A151" i="53"/>
  <c r="A148" i="53"/>
  <c r="A155" i="53"/>
  <c r="A145" i="53"/>
  <c r="A140" i="53"/>
  <c r="A74" i="53"/>
  <c r="A80" i="53"/>
  <c r="A81" i="53"/>
  <c r="A82" i="53"/>
  <c r="A91" i="53"/>
  <c r="A97" i="53"/>
  <c r="A107" i="53"/>
  <c r="A129" i="53"/>
  <c r="A113" i="53"/>
  <c r="A127" i="53"/>
  <c r="A89" i="53"/>
  <c r="A105" i="53"/>
  <c r="A87" i="53"/>
  <c r="A115" i="53"/>
  <c r="A96" i="53"/>
  <c r="A111" i="53"/>
  <c r="A75" i="53"/>
  <c r="A125" i="53"/>
  <c r="A112" i="53"/>
  <c r="A103" i="53"/>
  <c r="A116" i="53"/>
  <c r="A110" i="53"/>
  <c r="A102" i="53"/>
  <c r="A117" i="53"/>
  <c r="A78" i="53"/>
  <c r="A118" i="53"/>
  <c r="A101" i="53"/>
  <c r="A90" i="53"/>
  <c r="A119" i="53"/>
  <c r="A92" i="53"/>
  <c r="A93" i="53"/>
  <c r="A126" i="53"/>
  <c r="A122" i="53"/>
  <c r="A99" i="53"/>
  <c r="A120" i="53"/>
  <c r="A98" i="53"/>
  <c r="A121" i="53"/>
  <c r="A114" i="53"/>
  <c r="A123" i="53"/>
  <c r="A106" i="53"/>
  <c r="A128" i="53"/>
  <c r="A109" i="53"/>
  <c r="A108" i="53"/>
  <c r="A124" i="53"/>
  <c r="A104" i="53"/>
  <c r="A38" i="53"/>
  <c r="A58" i="53"/>
  <c r="A37" i="53"/>
  <c r="G37" i="53"/>
  <c r="G38" i="53" s="1"/>
  <c r="G39" i="53" s="1"/>
  <c r="G40" i="53" s="1"/>
  <c r="G41" i="53" s="1"/>
  <c r="G42" i="53" s="1"/>
  <c r="G43" i="53" s="1"/>
  <c r="G44" i="53" s="1"/>
  <c r="G45" i="53" s="1"/>
  <c r="G46" i="53" s="1"/>
  <c r="G47" i="53" s="1"/>
  <c r="G48" i="53" s="1"/>
  <c r="G49" i="53" s="1"/>
  <c r="A39" i="53"/>
  <c r="A48" i="53"/>
  <c r="A95" i="53"/>
  <c r="A42" i="53"/>
  <c r="A65" i="53"/>
  <c r="A61" i="53"/>
  <c r="A77" i="53"/>
  <c r="A59" i="53"/>
  <c r="A52" i="53"/>
  <c r="A100" i="53"/>
  <c r="A94" i="53"/>
  <c r="A67" i="53"/>
  <c r="A49" i="53"/>
  <c r="A64" i="53"/>
  <c r="A47" i="53"/>
  <c r="A71" i="53"/>
  <c r="A54" i="53"/>
  <c r="A50" i="53"/>
  <c r="A66" i="53"/>
  <c r="A83" i="53"/>
  <c r="A62" i="53"/>
  <c r="A45" i="53"/>
  <c r="A79" i="53"/>
  <c r="A84" i="53"/>
  <c r="A68" i="53"/>
  <c r="A51" i="53"/>
  <c r="A73" i="53"/>
  <c r="A76" i="53"/>
  <c r="A57" i="53"/>
  <c r="A69" i="53"/>
  <c r="A72" i="53"/>
  <c r="A55" i="53"/>
  <c r="A86" i="53"/>
  <c r="A63" i="53"/>
  <c r="A46" i="53"/>
  <c r="A44" i="53"/>
  <c r="A88" i="53"/>
  <c r="A60" i="53"/>
  <c r="A43" i="53"/>
  <c r="A56" i="53"/>
  <c r="A70" i="53"/>
  <c r="A53" i="53"/>
  <c r="A2" i="53"/>
  <c r="A33" i="53"/>
  <c r="A3" i="53"/>
  <c r="A29" i="53"/>
  <c r="A40" i="53"/>
  <c r="A25" i="53"/>
  <c r="A21" i="53"/>
  <c r="A17" i="53"/>
  <c r="A13" i="53"/>
  <c r="A9" i="53"/>
  <c r="A5" i="53"/>
  <c r="A36" i="53"/>
  <c r="A28" i="53"/>
  <c r="A24" i="53"/>
  <c r="A20" i="53"/>
  <c r="A16" i="53"/>
  <c r="A12" i="53"/>
  <c r="A8" i="53"/>
  <c r="A4" i="53"/>
  <c r="A35" i="53"/>
  <c r="A31" i="53"/>
  <c r="A41" i="53"/>
  <c r="A34" i="53"/>
  <c r="A30" i="53"/>
  <c r="A26" i="53"/>
  <c r="A22" i="53"/>
  <c r="A18" i="53"/>
  <c r="A14" i="53"/>
  <c r="A10" i="53"/>
  <c r="A6" i="53"/>
  <c r="A32" i="53"/>
  <c r="A27" i="53"/>
  <c r="A23" i="53"/>
  <c r="A19" i="53"/>
  <c r="A15" i="53"/>
  <c r="A11" i="53"/>
  <c r="A7" i="53"/>
  <c r="H59" i="42" l="1"/>
  <c r="H62" i="42"/>
  <c r="H63" i="42"/>
  <c r="H64" i="42"/>
  <c r="H65" i="42"/>
  <c r="D15" i="50" l="1"/>
  <c r="D14" i="50"/>
  <c r="D13" i="50"/>
  <c r="D12" i="50"/>
  <c r="D11" i="50"/>
  <c r="D10" i="50"/>
  <c r="D9" i="50"/>
  <c r="D8" i="50"/>
  <c r="D7" i="50"/>
  <c r="D6" i="50"/>
  <c r="D5" i="50"/>
  <c r="D4" i="50"/>
  <c r="D3" i="50"/>
  <c r="M2" i="50"/>
  <c r="T67" i="40"/>
  <c r="T68" i="40" s="1"/>
  <c r="T69" i="40" s="1"/>
  <c r="T70" i="40" s="1"/>
  <c r="T71" i="40" s="1"/>
  <c r="T72" i="40" s="1"/>
  <c r="T73" i="40" s="1"/>
  <c r="T74" i="40" s="1"/>
  <c r="T75" i="40" s="1"/>
  <c r="T76" i="40" s="1"/>
  <c r="T77" i="40" s="1"/>
  <c r="T78" i="40" s="1"/>
  <c r="T79" i="40" s="1"/>
  <c r="T80" i="40" s="1"/>
  <c r="T81" i="40" s="1"/>
  <c r="T82" i="40" s="1"/>
  <c r="T83" i="40" s="1"/>
  <c r="T84" i="40" s="1"/>
  <c r="T85" i="40" s="1"/>
  <c r="T86" i="40" s="1"/>
  <c r="T87" i="40" s="1"/>
  <c r="T88" i="40" s="1"/>
  <c r="T89" i="40" s="1"/>
  <c r="T90" i="40" s="1"/>
  <c r="T91" i="40" s="1"/>
  <c r="T92" i="40" s="1"/>
  <c r="T93" i="40" s="1"/>
  <c r="T94" i="40" s="1"/>
  <c r="T30" i="40"/>
  <c r="T31" i="40" s="1"/>
  <c r="T32" i="40" s="1"/>
  <c r="T33" i="40" s="1"/>
  <c r="T34" i="40" s="1"/>
  <c r="T35" i="40" s="1"/>
  <c r="T36" i="40" s="1"/>
  <c r="T37" i="40" s="1"/>
  <c r="T38" i="40" s="1"/>
  <c r="T39" i="40" s="1"/>
  <c r="T40" i="40" s="1"/>
  <c r="T41" i="40" s="1"/>
  <c r="T42" i="40" s="1"/>
  <c r="T43" i="40" s="1"/>
  <c r="T44" i="40" s="1"/>
  <c r="T45" i="40" s="1"/>
  <c r="T46" i="40" s="1"/>
  <c r="T47" i="40" s="1"/>
  <c r="T48" i="40" s="1"/>
  <c r="T49" i="40" s="1"/>
  <c r="T50" i="40" s="1"/>
  <c r="T51" i="40" s="1"/>
  <c r="T52" i="40" s="1"/>
  <c r="T53" i="40" s="1"/>
  <c r="T54" i="40" s="1"/>
  <c r="T55" i="40" s="1"/>
  <c r="T56" i="40" s="1"/>
  <c r="T57" i="40" s="1"/>
  <c r="T58" i="40" s="1"/>
  <c r="T59" i="40" s="1"/>
  <c r="T60" i="40" s="1"/>
  <c r="T61" i="40" s="1"/>
  <c r="T62" i="40" s="1"/>
  <c r="T63" i="40" s="1"/>
  <c r="T64" i="40" s="1"/>
  <c r="T65" i="40" s="1"/>
  <c r="A2" i="50" l="1"/>
  <c r="A24" i="50"/>
  <c r="A26" i="50"/>
  <c r="A17" i="50"/>
  <c r="A20" i="50"/>
  <c r="A22" i="50"/>
  <c r="A21" i="50"/>
  <c r="A19" i="50"/>
  <c r="A18" i="50"/>
  <c r="B18" i="50" s="1"/>
  <c r="A23" i="50"/>
  <c r="A12" i="50"/>
  <c r="A16" i="50"/>
  <c r="A11" i="50"/>
  <c r="A15" i="50"/>
  <c r="A6" i="50"/>
  <c r="A9" i="50"/>
  <c r="A14" i="50"/>
  <c r="A7" i="50"/>
  <c r="A5" i="50"/>
  <c r="A10" i="50"/>
  <c r="A3" i="50"/>
  <c r="A13" i="50"/>
  <c r="A4" i="50"/>
  <c r="I4" i="42"/>
  <c r="I5" i="42"/>
  <c r="I7" i="42"/>
  <c r="I8" i="42"/>
  <c r="I9" i="42"/>
  <c r="I10" i="42"/>
  <c r="I11" i="42"/>
  <c r="N72" i="40"/>
  <c r="B45" i="42"/>
  <c r="B46" i="42"/>
  <c r="B47" i="42"/>
  <c r="B48" i="42"/>
  <c r="B49" i="42"/>
  <c r="B50" i="42"/>
  <c r="N52" i="40"/>
  <c r="F134" i="49"/>
  <c r="F133" i="49"/>
  <c r="F131" i="49"/>
  <c r="F130" i="49"/>
  <c r="F124" i="49"/>
  <c r="F123" i="49"/>
  <c r="N46" i="40"/>
  <c r="T4" i="49"/>
  <c r="T3" i="49"/>
  <c r="F63" i="40"/>
  <c r="F62" i="40"/>
  <c r="F61" i="40"/>
  <c r="F60" i="40"/>
  <c r="F59" i="40"/>
  <c r="S84" i="49" l="1"/>
  <c r="S36" i="49"/>
  <c r="S59" i="49"/>
  <c r="S43" i="49"/>
  <c r="S27" i="49"/>
  <c r="S11" i="49"/>
  <c r="S64" i="49"/>
  <c r="S16" i="49"/>
  <c r="S54" i="49"/>
  <c r="S38" i="49"/>
  <c r="S22" i="49"/>
  <c r="S6" i="49"/>
  <c r="S89" i="49"/>
  <c r="S33" i="49"/>
  <c r="S17" i="49"/>
  <c r="S87" i="49"/>
  <c r="S71" i="49"/>
  <c r="S74" i="49"/>
  <c r="S81" i="49"/>
  <c r="S65" i="49"/>
  <c r="S76" i="49"/>
  <c r="S42" i="49"/>
  <c r="S56" i="49"/>
  <c r="S37" i="49"/>
  <c r="S75" i="49"/>
  <c r="S69" i="49"/>
  <c r="S72" i="49"/>
  <c r="S24" i="49"/>
  <c r="S55" i="49"/>
  <c r="S39" i="49"/>
  <c r="S23" i="49"/>
  <c r="S7" i="49"/>
  <c r="S86" i="49"/>
  <c r="S34" i="49"/>
  <c r="S18" i="49"/>
  <c r="S80" i="49"/>
  <c r="S28" i="49"/>
  <c r="S85" i="49"/>
  <c r="S29" i="49"/>
  <c r="S13" i="49"/>
  <c r="S83" i="49"/>
  <c r="S67" i="49"/>
  <c r="S70" i="49"/>
  <c r="S77" i="49"/>
  <c r="S61" i="49"/>
  <c r="S31" i="49"/>
  <c r="S58" i="49"/>
  <c r="S10" i="49"/>
  <c r="S90" i="49"/>
  <c r="S21" i="49"/>
  <c r="S78" i="49"/>
  <c r="S60" i="49"/>
  <c r="S12" i="49"/>
  <c r="S35" i="49"/>
  <c r="S19" i="49"/>
  <c r="S88" i="49"/>
  <c r="S40" i="49"/>
  <c r="S82" i="49"/>
  <c r="S30" i="49"/>
  <c r="S14" i="49"/>
  <c r="S68" i="49"/>
  <c r="S20" i="49"/>
  <c r="S57" i="49"/>
  <c r="S41" i="49"/>
  <c r="S25" i="49"/>
  <c r="S9" i="49"/>
  <c r="S79" i="49"/>
  <c r="S63" i="49"/>
  <c r="S66" i="49"/>
  <c r="S73" i="49"/>
  <c r="S8" i="49"/>
  <c r="S15" i="49"/>
  <c r="S32" i="49"/>
  <c r="S26" i="49"/>
  <c r="S53" i="49"/>
  <c r="S5" i="49"/>
  <c r="S62" i="49"/>
  <c r="S3" i="49"/>
  <c r="T96" i="40"/>
  <c r="T97" i="40" s="1"/>
  <c r="T98" i="40" s="1"/>
  <c r="T99" i="40" s="1"/>
  <c r="T100" i="40" s="1"/>
  <c r="T101" i="40" s="1"/>
  <c r="T102" i="40" s="1"/>
  <c r="T103" i="40" s="1"/>
  <c r="T104" i="40" s="1"/>
  <c r="T105" i="40" s="1"/>
  <c r="T106" i="40" s="1"/>
  <c r="T107" i="40" s="1"/>
  <c r="T108" i="40" s="1"/>
  <c r="T109" i="40" s="1"/>
  <c r="T110" i="40" s="1"/>
  <c r="T111" i="40" s="1"/>
  <c r="T112" i="40" s="1"/>
  <c r="T113" i="40" s="1"/>
  <c r="T114" i="40" s="1"/>
  <c r="T115" i="40" s="1"/>
  <c r="T116" i="40" s="1"/>
  <c r="T117" i="40" s="1"/>
  <c r="T118" i="40" s="1"/>
  <c r="T119" i="40" s="1"/>
  <c r="T120" i="40" s="1"/>
  <c r="T121" i="40" s="1"/>
  <c r="T122" i="40" s="1"/>
  <c r="T123" i="40" s="1"/>
  <c r="T124" i="40" s="1"/>
  <c r="T125" i="40" s="1"/>
  <c r="T126" i="40" s="1"/>
  <c r="T127" i="40" s="1"/>
  <c r="S4" i="49"/>
  <c r="F102" i="49"/>
  <c r="T128" i="40" l="1"/>
  <c r="T129" i="40" s="1"/>
  <c r="T130" i="40" s="1"/>
  <c r="T131" i="40" s="1"/>
  <c r="T132" i="40" s="1"/>
  <c r="T133" i="40" s="1"/>
  <c r="T134" i="40" s="1"/>
  <c r="T135" i="40" s="1"/>
  <c r="T136" i="40" s="1"/>
  <c r="T137" i="40" s="1"/>
  <c r="T138" i="40" s="1"/>
  <c r="T139" i="40" s="1"/>
  <c r="T140" i="40" s="1"/>
  <c r="T141" i="40" s="1"/>
  <c r="T142" i="40" s="1"/>
  <c r="F2" i="48"/>
  <c r="F3" i="48" s="1"/>
  <c r="F4" i="48" s="1"/>
  <c r="F5" i="48" s="1"/>
  <c r="F6" i="48" s="1"/>
  <c r="F7" i="48" s="1"/>
  <c r="F8" i="48" s="1"/>
  <c r="F9" i="48" s="1"/>
  <c r="F10" i="48" s="1"/>
  <c r="F11" i="48" s="1"/>
  <c r="F12" i="48" s="1"/>
  <c r="T143" i="40" l="1"/>
  <c r="T144" i="40" s="1"/>
  <c r="T145" i="40" s="1"/>
  <c r="T146" i="40" s="1"/>
  <c r="T147" i="40" s="1"/>
  <c r="T148" i="40" s="1"/>
  <c r="T149" i="40" s="1"/>
  <c r="T150" i="40" s="1"/>
  <c r="T151" i="40" s="1"/>
  <c r="T152" i="40" s="1"/>
  <c r="T153" i="40" s="1"/>
  <c r="T154" i="40" s="1"/>
  <c r="T155" i="40" s="1"/>
  <c r="T156" i="40" s="1"/>
  <c r="T157" i="40" s="1"/>
  <c r="T158" i="40" s="1"/>
  <c r="T159" i="40" s="1"/>
  <c r="T160" i="40" s="1"/>
  <c r="T161" i="40" s="1"/>
  <c r="T162" i="40" s="1"/>
  <c r="T163" i="40" s="1"/>
  <c r="T164" i="40" s="1"/>
  <c r="T165" i="40" s="1"/>
  <c r="T166" i="40" s="1"/>
  <c r="T167" i="40" s="1"/>
  <c r="T168" i="40" s="1"/>
  <c r="T169" i="40" s="1"/>
  <c r="T170" i="40" s="1"/>
  <c r="T171" i="40" s="1"/>
  <c r="T172" i="40" s="1"/>
  <c r="T173" i="40" s="1"/>
  <c r="T174" i="40" s="1"/>
  <c r="T175" i="40" s="1"/>
  <c r="T176" i="40" s="1"/>
  <c r="T177" i="40" s="1"/>
  <c r="T178" i="40" s="1"/>
  <c r="T179" i="40" s="1"/>
  <c r="T180" i="40" s="1"/>
  <c r="T181" i="40" s="1"/>
  <c r="T182" i="40" s="1"/>
  <c r="T183" i="40" s="1"/>
  <c r="T184" i="40" s="1"/>
  <c r="T185" i="40" s="1"/>
  <c r="T186" i="40" s="1"/>
  <c r="F13" i="48"/>
  <c r="F14" i="48" s="1"/>
  <c r="F15" i="48" s="1"/>
  <c r="F16" i="48" s="1"/>
  <c r="F17" i="48" s="1"/>
  <c r="F18" i="48" s="1"/>
  <c r="F19" i="48" s="1"/>
  <c r="F20" i="48" s="1"/>
  <c r="F21" i="48" s="1"/>
  <c r="F22" i="48" s="1"/>
  <c r="F23" i="48" s="1"/>
  <c r="F24" i="48" s="1"/>
  <c r="F25" i="48" s="1"/>
  <c r="F26" i="48" s="1"/>
  <c r="F27" i="48" s="1"/>
  <c r="F28" i="48" s="1"/>
  <c r="F29" i="48" s="1"/>
  <c r="F30" i="48" s="1"/>
  <c r="F31" i="48" s="1"/>
  <c r="F32" i="48" s="1"/>
  <c r="F33" i="48" s="1"/>
  <c r="F34" i="48" s="1"/>
  <c r="F35" i="48" s="1"/>
  <c r="F36" i="48" s="1"/>
  <c r="F37" i="48" s="1"/>
  <c r="F38" i="48" s="1"/>
  <c r="F39" i="48" s="1"/>
  <c r="F40" i="48" s="1"/>
  <c r="F41" i="48" s="1"/>
  <c r="F42" i="48" s="1"/>
  <c r="F43" i="48" s="1"/>
  <c r="F44" i="48" s="1"/>
  <c r="F45" i="48" s="1"/>
  <c r="F46" i="48" s="1"/>
  <c r="F47" i="48" s="1"/>
  <c r="F48" i="48" l="1"/>
  <c r="F49" i="48" s="1"/>
  <c r="F50" i="48" s="1"/>
  <c r="F51" i="48" s="1"/>
  <c r="F52" i="48" s="1"/>
  <c r="F53" i="48" s="1"/>
  <c r="F54" i="48" s="1"/>
  <c r="F55" i="48" s="1"/>
  <c r="F56" i="48" s="1"/>
  <c r="F57" i="48" s="1"/>
  <c r="F58" i="48" s="1"/>
  <c r="F59" i="48" s="1"/>
  <c r="F60" i="48" s="1"/>
  <c r="F61" i="48" s="1"/>
  <c r="F62" i="48" s="1"/>
  <c r="F63" i="48" s="1"/>
  <c r="F64" i="48" s="1"/>
  <c r="F65" i="48" s="1"/>
  <c r="F66" i="48" s="1"/>
  <c r="F67" i="48" s="1"/>
  <c r="F68" i="48" s="1"/>
  <c r="F69" i="48" s="1"/>
  <c r="Q55" i="40"/>
  <c r="Q56" i="40"/>
  <c r="Q57" i="40"/>
  <c r="Q58" i="40"/>
  <c r="Q59" i="40"/>
  <c r="Q60" i="40"/>
  <c r="Q61" i="40"/>
  <c r="Q62" i="40"/>
  <c r="Q63" i="40"/>
  <c r="Q64" i="40"/>
  <c r="Q65" i="40"/>
  <c r="Q66" i="40"/>
  <c r="Q67" i="40"/>
  <c r="Q68" i="40"/>
  <c r="Q69" i="40"/>
  <c r="Q70" i="40"/>
  <c r="Q71" i="40"/>
  <c r="Q72" i="40"/>
  <c r="Q73" i="40"/>
  <c r="Q74" i="40"/>
  <c r="Q75" i="40"/>
  <c r="Q76" i="40"/>
  <c r="Q77" i="40"/>
  <c r="Q78" i="40"/>
  <c r="Q79" i="40"/>
  <c r="Q80" i="40"/>
  <c r="Q81" i="40"/>
  <c r="Q82" i="40"/>
  <c r="Q83" i="40"/>
  <c r="Q84" i="40"/>
  <c r="Q85" i="40"/>
  <c r="Q86" i="40"/>
  <c r="Q87" i="40"/>
  <c r="Q88" i="40"/>
  <c r="Q89" i="40"/>
  <c r="Q90" i="40"/>
  <c r="Q91" i="40"/>
  <c r="Q92" i="40"/>
  <c r="Q93" i="40"/>
  <c r="Q94" i="40"/>
  <c r="Q95" i="40"/>
  <c r="Q96" i="40"/>
  <c r="Q97" i="40"/>
  <c r="Q98" i="40"/>
  <c r="Q99" i="40"/>
  <c r="Q100" i="40"/>
  <c r="Q101" i="40"/>
  <c r="Q102" i="40"/>
  <c r="Q103" i="40"/>
  <c r="Q104" i="40"/>
  <c r="Q105" i="40"/>
  <c r="Q106" i="40"/>
  <c r="Q107" i="40"/>
  <c r="Q108" i="40"/>
  <c r="Q109" i="40"/>
  <c r="Q110" i="40"/>
  <c r="Q111" i="40"/>
  <c r="Q112" i="40"/>
  <c r="Q113" i="40"/>
  <c r="Q114" i="40"/>
  <c r="Q115" i="40"/>
  <c r="Q116" i="40"/>
  <c r="Q117" i="40"/>
  <c r="Q118" i="40"/>
  <c r="Q119" i="40"/>
  <c r="Q120" i="40"/>
  <c r="Q121" i="40"/>
  <c r="Q122" i="40"/>
  <c r="Q123" i="40"/>
  <c r="Q124" i="40"/>
  <c r="Q125" i="40"/>
  <c r="Q126" i="40"/>
  <c r="Q127" i="40"/>
  <c r="Q128" i="40"/>
  <c r="Q129" i="40"/>
  <c r="Q130" i="40"/>
  <c r="Q131" i="40"/>
  <c r="Q132" i="40"/>
  <c r="Q133" i="40"/>
  <c r="Q134" i="40"/>
  <c r="Q135" i="40"/>
  <c r="Q136" i="40"/>
  <c r="Q137" i="40"/>
  <c r="Q138" i="40"/>
  <c r="Q139" i="40"/>
  <c r="Q140" i="40"/>
  <c r="Q141" i="40"/>
  <c r="Q142" i="40"/>
  <c r="Q143" i="40"/>
  <c r="Q144" i="40"/>
  <c r="Q145" i="40"/>
  <c r="Q146" i="40"/>
  <c r="Q147" i="40"/>
  <c r="Q148" i="40"/>
  <c r="Q149" i="40"/>
  <c r="Q150" i="40"/>
  <c r="Q151" i="40"/>
  <c r="Q152" i="40"/>
  <c r="Q153" i="40"/>
  <c r="Q154" i="40"/>
  <c r="Q155" i="40"/>
  <c r="Q156" i="40"/>
  <c r="Q157" i="40"/>
  <c r="Q158" i="40"/>
  <c r="Q159" i="40"/>
  <c r="Q160" i="40"/>
  <c r="Q161" i="40"/>
  <c r="Q162" i="40"/>
  <c r="Q163" i="40"/>
  <c r="Q164" i="40"/>
  <c r="Q165" i="40"/>
  <c r="Q166" i="40"/>
  <c r="Q167" i="40"/>
  <c r="Q168" i="40"/>
  <c r="Q169" i="40"/>
  <c r="Q170" i="40"/>
  <c r="Q171" i="40"/>
  <c r="Q172" i="40"/>
  <c r="Q173" i="40"/>
  <c r="Q174" i="40"/>
  <c r="Q175" i="40"/>
  <c r="Q176" i="40"/>
  <c r="Q177" i="40"/>
  <c r="Q178" i="40"/>
  <c r="Q179" i="40"/>
  <c r="Q180" i="40"/>
  <c r="Q181" i="40"/>
  <c r="Q182" i="40"/>
  <c r="Q183" i="40"/>
  <c r="Q184" i="40"/>
  <c r="Q185" i="40"/>
  <c r="Q186" i="40"/>
  <c r="Q187" i="40"/>
  <c r="Q188" i="40"/>
  <c r="Q189" i="40"/>
  <c r="Q190" i="40"/>
  <c r="Q191" i="40"/>
  <c r="Q192" i="40"/>
  <c r="Q193" i="40"/>
  <c r="Q194" i="40"/>
  <c r="Q195" i="40"/>
  <c r="Q196" i="40"/>
  <c r="Q197" i="40"/>
  <c r="Q198" i="40"/>
  <c r="Q199" i="40"/>
  <c r="Q200" i="40"/>
  <c r="Q201" i="40"/>
  <c r="Q202" i="40"/>
  <c r="Q203" i="40"/>
  <c r="Q204" i="40"/>
  <c r="Q205" i="40"/>
  <c r="Q206" i="40"/>
  <c r="Q207" i="40"/>
  <c r="Q208" i="40"/>
  <c r="Q209" i="40"/>
  <c r="Q210" i="40"/>
  <c r="Q211" i="40"/>
  <c r="Q212" i="40"/>
  <c r="Q213" i="40"/>
  <c r="Q214" i="40"/>
  <c r="Q215" i="40"/>
  <c r="Q216" i="40"/>
  <c r="Q230" i="40"/>
  <c r="Q231" i="40"/>
  <c r="Q232" i="40"/>
  <c r="Q233" i="40"/>
  <c r="D45" i="42"/>
  <c r="D46" i="42"/>
  <c r="D47" i="42"/>
  <c r="D48" i="42"/>
  <c r="D49" i="42"/>
  <c r="D50" i="42"/>
  <c r="N4" i="40"/>
  <c r="N18" i="40"/>
  <c r="N19" i="40"/>
  <c r="N20" i="40"/>
  <c r="N21" i="40"/>
  <c r="N22" i="40"/>
  <c r="N23" i="40"/>
  <c r="N24" i="40"/>
  <c r="N25" i="40"/>
  <c r="N26" i="40"/>
  <c r="N28" i="40"/>
  <c r="T187" i="40" l="1"/>
  <c r="T188" i="40" s="1"/>
  <c r="T189" i="40" s="1"/>
  <c r="T190" i="40" s="1"/>
  <c r="T191" i="40" s="1"/>
  <c r="T192" i="40" s="1"/>
  <c r="T193" i="40" s="1"/>
  <c r="T194" i="40" s="1"/>
  <c r="T195" i="40" s="1"/>
  <c r="T196" i="40" s="1"/>
  <c r="T197" i="40" s="1"/>
  <c r="T198" i="40" s="1"/>
  <c r="T199" i="40" s="1"/>
  <c r="T200" i="40" s="1"/>
  <c r="T201" i="40" s="1"/>
  <c r="T202" i="40" s="1"/>
  <c r="T203" i="40" s="1"/>
  <c r="T204" i="40" s="1"/>
  <c r="T205" i="40" s="1"/>
  <c r="T206" i="40" s="1"/>
  <c r="T207" i="40" s="1"/>
  <c r="T208" i="40" s="1"/>
  <c r="T209" i="40" s="1"/>
  <c r="T210" i="40" s="1"/>
  <c r="F72" i="48"/>
  <c r="F73" i="48" s="1"/>
  <c r="F74" i="48" s="1"/>
  <c r="F75" i="48" s="1"/>
  <c r="F76" i="48" s="1"/>
  <c r="F77" i="48" s="1"/>
  <c r="F78" i="48" s="1"/>
  <c r="F79" i="48" s="1"/>
  <c r="F80" i="48" s="1"/>
  <c r="F70" i="48"/>
  <c r="N44" i="40"/>
  <c r="N45" i="40"/>
  <c r="N50" i="40"/>
  <c r="N51" i="40"/>
  <c r="N56" i="40"/>
  <c r="N63" i="40"/>
  <c r="N64" i="40"/>
  <c r="N65" i="40"/>
  <c r="N66" i="40"/>
  <c r="N69" i="40"/>
  <c r="N73" i="40"/>
  <c r="N87" i="40"/>
  <c r="N89" i="40"/>
  <c r="N91" i="40"/>
  <c r="N105" i="40"/>
  <c r="N106" i="40"/>
  <c r="N107" i="40"/>
  <c r="N108" i="40"/>
  <c r="N109" i="40"/>
  <c r="N111" i="40"/>
  <c r="N112" i="40"/>
  <c r="N113" i="40"/>
  <c r="N124" i="40"/>
  <c r="N126" i="40"/>
  <c r="N137" i="40"/>
  <c r="N138" i="40"/>
  <c r="N140" i="40"/>
  <c r="N141" i="40"/>
  <c r="N142" i="40"/>
  <c r="N179" i="40"/>
  <c r="N183" i="40"/>
  <c r="N184" i="40"/>
  <c r="N185" i="40"/>
  <c r="N186" i="40"/>
  <c r="F3" i="45"/>
  <c r="F3" i="46"/>
  <c r="F3" i="47"/>
  <c r="I6" i="47"/>
  <c r="I6" i="46"/>
  <c r="J6" i="46" s="1"/>
  <c r="I7" i="45"/>
  <c r="I8" i="45"/>
  <c r="I9" i="45"/>
  <c r="I10" i="45"/>
  <c r="I11" i="45"/>
  <c r="I12" i="45"/>
  <c r="I13" i="45"/>
  <c r="I14" i="45"/>
  <c r="I15" i="45"/>
  <c r="I16" i="45"/>
  <c r="I17" i="45"/>
  <c r="I18" i="45"/>
  <c r="I6" i="45"/>
  <c r="T211" i="40" l="1"/>
  <c r="T212" i="40" s="1"/>
  <c r="T213" i="40" s="1"/>
  <c r="T214" i="40" s="1"/>
  <c r="T215" i="40" s="1"/>
  <c r="T216" i="40" s="1"/>
  <c r="T217" i="40" s="1"/>
  <c r="T218" i="40" s="1"/>
  <c r="T219" i="40" s="1"/>
  <c r="T220" i="40" s="1"/>
  <c r="T221" i="40" s="1"/>
  <c r="T222" i="40" s="1"/>
  <c r="T223" i="40" s="1"/>
  <c r="T224" i="40" s="1"/>
  <c r="T225" i="40" s="1"/>
  <c r="T226" i="40" s="1"/>
  <c r="T227" i="40" s="1"/>
  <c r="T228" i="40" s="1"/>
  <c r="T229" i="40" s="1"/>
  <c r="T230" i="40" s="1"/>
  <c r="B44" i="42"/>
  <c r="D44" i="42"/>
  <c r="B43" i="42"/>
  <c r="D43" i="42"/>
  <c r="B42" i="42"/>
  <c r="D42" i="42"/>
  <c r="B40" i="42"/>
  <c r="F81" i="48"/>
  <c r="F82" i="48" s="1"/>
  <c r="F83" i="48" s="1"/>
  <c r="F84" i="48" s="1"/>
  <c r="F85" i="48" s="1"/>
  <c r="B41" i="42"/>
  <c r="D41" i="42"/>
  <c r="D40" i="42"/>
  <c r="T231" i="40" l="1"/>
  <c r="T232" i="40" s="1"/>
  <c r="T233" i="40" s="1"/>
  <c r="T234" i="40" s="1"/>
  <c r="T235" i="40" s="1"/>
  <c r="T236" i="40" s="1"/>
  <c r="T237" i="40" s="1"/>
  <c r="T238" i="40" s="1"/>
  <c r="T239" i="40" s="1"/>
  <c r="T240" i="40" s="1"/>
  <c r="T241" i="40" s="1"/>
  <c r="T242" i="40" s="1"/>
  <c r="T243" i="40" s="1"/>
  <c r="T244" i="40" s="1"/>
  <c r="T245" i="40" s="1"/>
  <c r="T246" i="40" s="1"/>
  <c r="T247" i="40" s="1"/>
  <c r="T248" i="40" s="1"/>
  <c r="T249" i="40" s="1"/>
  <c r="T250" i="40" s="1"/>
  <c r="T251" i="40" s="1"/>
  <c r="T252" i="40" s="1"/>
  <c r="T253" i="40" s="1"/>
  <c r="T254" i="40" s="1"/>
  <c r="T255" i="40" s="1"/>
  <c r="T256" i="40" s="1"/>
  <c r="T257" i="40" s="1"/>
  <c r="T258" i="40" s="1"/>
  <c r="T259" i="40" s="1"/>
  <c r="T260" i="40" s="1"/>
  <c r="T261" i="40" s="1"/>
  <c r="T262" i="40" s="1"/>
  <c r="F86" i="48"/>
  <c r="F87" i="48" s="1"/>
  <c r="F88" i="48" s="1"/>
  <c r="F89" i="48" s="1"/>
  <c r="F90" i="48" s="1"/>
  <c r="F91" i="48" s="1"/>
  <c r="F92" i="48" s="1"/>
  <c r="F93" i="48" s="1"/>
  <c r="F94" i="48" s="1"/>
  <c r="F95" i="48" s="1"/>
  <c r="F96" i="48" s="1"/>
  <c r="F97" i="48" s="1"/>
  <c r="F98" i="48" s="1"/>
  <c r="F99" i="48" s="1"/>
  <c r="F100" i="48" s="1"/>
  <c r="F101" i="48" s="1"/>
  <c r="F102" i="48" s="1"/>
  <c r="F103" i="48" s="1"/>
  <c r="F104" i="48" s="1"/>
  <c r="F105" i="48" s="1"/>
  <c r="F106" i="48" s="1"/>
  <c r="F107" i="48" s="1"/>
  <c r="F108" i="48" s="1"/>
  <c r="F109" i="48" s="1"/>
  <c r="F110" i="48" s="1"/>
  <c r="F111" i="48" s="1"/>
  <c r="F112" i="48" s="1"/>
  <c r="F113" i="48" s="1"/>
  <c r="F114" i="48" s="1"/>
  <c r="F115" i="48" s="1"/>
  <c r="F116" i="48" s="1"/>
  <c r="F117" i="48" s="1"/>
  <c r="F118" i="48" s="1"/>
  <c r="F119" i="48" s="1"/>
  <c r="F120" i="48" s="1"/>
  <c r="F121" i="48" s="1"/>
  <c r="F122" i="48" s="1"/>
  <c r="F123" i="48" s="1"/>
  <c r="F124" i="48" s="1"/>
  <c r="F125" i="48" s="1"/>
  <c r="F126" i="48" s="1"/>
  <c r="F127" i="48" s="1"/>
  <c r="F128" i="48" s="1"/>
  <c r="F129" i="48" s="1"/>
  <c r="F130" i="48" s="1"/>
  <c r="A16" i="44"/>
  <c r="Q2" i="40"/>
  <c r="Q3" i="40"/>
  <c r="Q4" i="40"/>
  <c r="Q5" i="40"/>
  <c r="Q6" i="40"/>
  <c r="Q7" i="40"/>
  <c r="Q8" i="40"/>
  <c r="Q9" i="40"/>
  <c r="Q10" i="40"/>
  <c r="Q11" i="40"/>
  <c r="Q12" i="40"/>
  <c r="Q13" i="40"/>
  <c r="Q14" i="40"/>
  <c r="Q15" i="40"/>
  <c r="Q16" i="40"/>
  <c r="Q17" i="40"/>
  <c r="Q18" i="40"/>
  <c r="Q19" i="40"/>
  <c r="Q20" i="40"/>
  <c r="Q21" i="40"/>
  <c r="Q22" i="40"/>
  <c r="Q23" i="40"/>
  <c r="Q24" i="40"/>
  <c r="Q25" i="40"/>
  <c r="Q26" i="40"/>
  <c r="Q27" i="40"/>
  <c r="Q28" i="40"/>
  <c r="Q29" i="40"/>
  <c r="Q46" i="40"/>
  <c r="Q47" i="40"/>
  <c r="Q48" i="40"/>
  <c r="Q49" i="40"/>
  <c r="Q50" i="40"/>
  <c r="Q51" i="40"/>
  <c r="Q52" i="40"/>
  <c r="Q53" i="40"/>
  <c r="Q54" i="40"/>
  <c r="D2" i="43"/>
  <c r="D3" i="43"/>
  <c r="D4" i="43"/>
  <c r="D5" i="43"/>
  <c r="D6" i="43"/>
  <c r="D7" i="43"/>
  <c r="D8" i="43"/>
  <c r="D9" i="43"/>
  <c r="D10" i="43"/>
  <c r="D11" i="43"/>
  <c r="D12" i="43"/>
  <c r="D13" i="43"/>
  <c r="D14" i="43"/>
  <c r="D15" i="43"/>
  <c r="D16" i="43"/>
  <c r="Q31" i="40"/>
  <c r="Q32" i="40"/>
  <c r="Q33" i="40"/>
  <c r="Q34" i="40"/>
  <c r="Q35" i="40"/>
  <c r="Q36" i="40"/>
  <c r="Q37" i="40"/>
  <c r="Q38" i="40"/>
  <c r="Q39" i="40"/>
  <c r="Q40" i="40"/>
  <c r="Q41" i="40"/>
  <c r="Q42" i="40"/>
  <c r="Q43" i="40"/>
  <c r="Q44" i="40"/>
  <c r="Q45" i="40"/>
  <c r="Q30" i="40"/>
  <c r="M3" i="43"/>
  <c r="F58" i="40"/>
  <c r="H58" i="40"/>
  <c r="I58" i="40"/>
  <c r="J58" i="40"/>
  <c r="K58" i="40"/>
  <c r="L58" i="40"/>
  <c r="O58" i="40"/>
  <c r="R58" i="40" s="1"/>
  <c r="V58" i="40" s="1"/>
  <c r="H59" i="40"/>
  <c r="I59" i="40"/>
  <c r="J59" i="40"/>
  <c r="K59" i="40"/>
  <c r="L59" i="40"/>
  <c r="O59" i="40"/>
  <c r="R59" i="40" s="1"/>
  <c r="V59" i="40" s="1"/>
  <c r="H60" i="40"/>
  <c r="I60" i="40"/>
  <c r="J60" i="40"/>
  <c r="K60" i="40"/>
  <c r="L60" i="40"/>
  <c r="O60" i="40"/>
  <c r="R60" i="40" s="1"/>
  <c r="V60" i="40" s="1"/>
  <c r="H61" i="40"/>
  <c r="I61" i="40"/>
  <c r="J61" i="40"/>
  <c r="K61" i="40"/>
  <c r="L61" i="40"/>
  <c r="O61" i="40"/>
  <c r="R61" i="40" s="1"/>
  <c r="V61" i="40" s="1"/>
  <c r="H62" i="40"/>
  <c r="I62" i="40"/>
  <c r="J62" i="40"/>
  <c r="K62" i="40"/>
  <c r="L62" i="40"/>
  <c r="O62" i="40"/>
  <c r="R62" i="40" s="1"/>
  <c r="V62" i="40" s="1"/>
  <c r="H63" i="40"/>
  <c r="I63" i="40"/>
  <c r="J63" i="40"/>
  <c r="K63" i="40"/>
  <c r="L63" i="40"/>
  <c r="O63" i="40"/>
  <c r="R63" i="40" s="1"/>
  <c r="V63" i="40" s="1"/>
  <c r="F64" i="40"/>
  <c r="H64" i="40"/>
  <c r="I64" i="40"/>
  <c r="J64" i="40"/>
  <c r="K64" i="40"/>
  <c r="L64" i="40"/>
  <c r="O64" i="40"/>
  <c r="R64" i="40" s="1"/>
  <c r="V64" i="40" s="1"/>
  <c r="F65" i="40"/>
  <c r="H65" i="40"/>
  <c r="I65" i="40"/>
  <c r="J65" i="40"/>
  <c r="K65" i="40"/>
  <c r="L65" i="40"/>
  <c r="O65" i="40"/>
  <c r="R65" i="40" s="1"/>
  <c r="V65" i="40" s="1"/>
  <c r="F66" i="40"/>
  <c r="H66" i="40"/>
  <c r="I66" i="40"/>
  <c r="J66" i="40"/>
  <c r="K66" i="40"/>
  <c r="L66" i="40"/>
  <c r="O66" i="40"/>
  <c r="R66" i="40" s="1"/>
  <c r="V66" i="40" s="1"/>
  <c r="F67" i="40"/>
  <c r="H67" i="40"/>
  <c r="I67" i="40"/>
  <c r="J67" i="40"/>
  <c r="K67" i="40"/>
  <c r="L67" i="40"/>
  <c r="O67" i="40"/>
  <c r="R67" i="40" s="1"/>
  <c r="V67" i="40" s="1"/>
  <c r="F68" i="40"/>
  <c r="H68" i="40"/>
  <c r="I68" i="40"/>
  <c r="J68" i="40"/>
  <c r="K68" i="40"/>
  <c r="L68" i="40"/>
  <c r="O68" i="40"/>
  <c r="R68" i="40" s="1"/>
  <c r="V68" i="40" s="1"/>
  <c r="F69" i="40"/>
  <c r="H69" i="40"/>
  <c r="I69" i="40"/>
  <c r="J69" i="40"/>
  <c r="K69" i="40"/>
  <c r="L69" i="40"/>
  <c r="O69" i="40"/>
  <c r="R69" i="40" s="1"/>
  <c r="V69" i="40" s="1"/>
  <c r="F70" i="40"/>
  <c r="I70" i="40"/>
  <c r="J70" i="40"/>
  <c r="K70" i="40"/>
  <c r="L70" i="40"/>
  <c r="O70" i="40"/>
  <c r="R70" i="40" s="1"/>
  <c r="V70" i="40" s="1"/>
  <c r="F71" i="40"/>
  <c r="I71" i="40"/>
  <c r="J71" i="40"/>
  <c r="K71" i="40"/>
  <c r="L71" i="40"/>
  <c r="O71" i="40"/>
  <c r="R71" i="40" s="1"/>
  <c r="V71" i="40" s="1"/>
  <c r="F72" i="40"/>
  <c r="I72" i="40"/>
  <c r="J72" i="40"/>
  <c r="K72" i="40"/>
  <c r="L72" i="40"/>
  <c r="O72" i="40"/>
  <c r="R72" i="40" s="1"/>
  <c r="V72" i="40" s="1"/>
  <c r="F73" i="40"/>
  <c r="I73" i="40"/>
  <c r="J73" i="40"/>
  <c r="K73" i="40"/>
  <c r="L73" i="40"/>
  <c r="O73" i="40"/>
  <c r="R73" i="40" s="1"/>
  <c r="V73" i="40" s="1"/>
  <c r="F74" i="40"/>
  <c r="I74" i="40"/>
  <c r="J74" i="40"/>
  <c r="K74" i="40"/>
  <c r="L74" i="40"/>
  <c r="O74" i="40"/>
  <c r="R74" i="40" s="1"/>
  <c r="V74" i="40" s="1"/>
  <c r="F75" i="40"/>
  <c r="I75" i="40"/>
  <c r="J75" i="40"/>
  <c r="K75" i="40"/>
  <c r="L75" i="40"/>
  <c r="O75" i="40"/>
  <c r="R75" i="40" s="1"/>
  <c r="V75" i="40" s="1"/>
  <c r="F76" i="40"/>
  <c r="I76" i="40"/>
  <c r="J76" i="40"/>
  <c r="K76" i="40"/>
  <c r="L76" i="40"/>
  <c r="O76" i="40"/>
  <c r="R76" i="40" s="1"/>
  <c r="V76" i="40" s="1"/>
  <c r="F77" i="40"/>
  <c r="I77" i="40"/>
  <c r="J77" i="40"/>
  <c r="K77" i="40"/>
  <c r="L77" i="40"/>
  <c r="O77" i="40"/>
  <c r="R77" i="40" s="1"/>
  <c r="V77" i="40" s="1"/>
  <c r="F78" i="40"/>
  <c r="I78" i="40"/>
  <c r="J78" i="40"/>
  <c r="K78" i="40"/>
  <c r="L78" i="40"/>
  <c r="O78" i="40"/>
  <c r="R78" i="40" s="1"/>
  <c r="V78" i="40" s="1"/>
  <c r="F79" i="40"/>
  <c r="I79" i="40"/>
  <c r="J79" i="40"/>
  <c r="K79" i="40"/>
  <c r="L79" i="40"/>
  <c r="O79" i="40"/>
  <c r="R79" i="40" s="1"/>
  <c r="V79" i="40" s="1"/>
  <c r="F80" i="40"/>
  <c r="I80" i="40"/>
  <c r="J80" i="40"/>
  <c r="K80" i="40"/>
  <c r="L80" i="40"/>
  <c r="O80" i="40"/>
  <c r="R80" i="40" s="1"/>
  <c r="V80" i="40" s="1"/>
  <c r="F81" i="40"/>
  <c r="I81" i="40"/>
  <c r="J81" i="40"/>
  <c r="K81" i="40"/>
  <c r="L81" i="40"/>
  <c r="O81" i="40"/>
  <c r="R81" i="40" s="1"/>
  <c r="V81" i="40" s="1"/>
  <c r="F82" i="40"/>
  <c r="I82" i="40"/>
  <c r="J82" i="40"/>
  <c r="K82" i="40"/>
  <c r="L82" i="40"/>
  <c r="O82" i="40"/>
  <c r="R82" i="40" s="1"/>
  <c r="V82" i="40" s="1"/>
  <c r="F83" i="40"/>
  <c r="I83" i="40"/>
  <c r="J83" i="40"/>
  <c r="K83" i="40"/>
  <c r="L83" i="40"/>
  <c r="O83" i="40"/>
  <c r="R83" i="40" s="1"/>
  <c r="V83" i="40" s="1"/>
  <c r="I84" i="40"/>
  <c r="J84" i="40"/>
  <c r="K84" i="40"/>
  <c r="L84" i="40"/>
  <c r="O84" i="40"/>
  <c r="R84" i="40" s="1"/>
  <c r="V84" i="40" s="1"/>
  <c r="F85" i="40"/>
  <c r="I85" i="40"/>
  <c r="J85" i="40"/>
  <c r="K85" i="40"/>
  <c r="L85" i="40"/>
  <c r="O85" i="40"/>
  <c r="R85" i="40" s="1"/>
  <c r="V85" i="40" s="1"/>
  <c r="F86" i="40"/>
  <c r="I86" i="40"/>
  <c r="J86" i="40"/>
  <c r="K86" i="40"/>
  <c r="L86" i="40"/>
  <c r="O86" i="40"/>
  <c r="R86" i="40" s="1"/>
  <c r="V86" i="40" s="1"/>
  <c r="F87" i="40"/>
  <c r="I87" i="40"/>
  <c r="J87" i="40"/>
  <c r="K87" i="40"/>
  <c r="L87" i="40"/>
  <c r="O87" i="40"/>
  <c r="R87" i="40" s="1"/>
  <c r="V87" i="40" s="1"/>
  <c r="F88" i="40"/>
  <c r="I88" i="40"/>
  <c r="J88" i="40"/>
  <c r="K88" i="40"/>
  <c r="L88" i="40"/>
  <c r="O88" i="40"/>
  <c r="R88" i="40" s="1"/>
  <c r="V88" i="40" s="1"/>
  <c r="I89" i="40"/>
  <c r="J89" i="40"/>
  <c r="K89" i="40"/>
  <c r="L89" i="40"/>
  <c r="O89" i="40"/>
  <c r="R89" i="40" s="1"/>
  <c r="V89" i="40" s="1"/>
  <c r="I90" i="40"/>
  <c r="J90" i="40"/>
  <c r="K90" i="40"/>
  <c r="L90" i="40"/>
  <c r="O90" i="40"/>
  <c r="R90" i="40" s="1"/>
  <c r="V90" i="40" s="1"/>
  <c r="F91" i="40"/>
  <c r="I91" i="40"/>
  <c r="J91" i="40"/>
  <c r="K91" i="40"/>
  <c r="L91" i="40"/>
  <c r="O91" i="40"/>
  <c r="R91" i="40" s="1"/>
  <c r="V91" i="40" s="1"/>
  <c r="F92" i="40"/>
  <c r="I92" i="40"/>
  <c r="J92" i="40"/>
  <c r="K92" i="40"/>
  <c r="L92" i="40"/>
  <c r="O92" i="40"/>
  <c r="R92" i="40" s="1"/>
  <c r="V92" i="40" s="1"/>
  <c r="F93" i="40"/>
  <c r="I93" i="40"/>
  <c r="J93" i="40"/>
  <c r="K93" i="40"/>
  <c r="L93" i="40"/>
  <c r="O93" i="40"/>
  <c r="R93" i="40" s="1"/>
  <c r="V93" i="40" s="1"/>
  <c r="F94" i="40"/>
  <c r="I94" i="40"/>
  <c r="J94" i="40"/>
  <c r="K94" i="40"/>
  <c r="L94" i="40"/>
  <c r="O94" i="40"/>
  <c r="R94" i="40" s="1"/>
  <c r="V94" i="40" s="1"/>
  <c r="F95" i="40"/>
  <c r="I95" i="40"/>
  <c r="J95" i="40"/>
  <c r="K95" i="40"/>
  <c r="L95" i="40"/>
  <c r="O95" i="40"/>
  <c r="R95" i="40" s="1"/>
  <c r="V95" i="40" s="1"/>
  <c r="F96" i="40"/>
  <c r="I96" i="40"/>
  <c r="J96" i="40"/>
  <c r="K96" i="40"/>
  <c r="L96" i="40"/>
  <c r="O96" i="40"/>
  <c r="R96" i="40" s="1"/>
  <c r="V96" i="40" s="1"/>
  <c r="F97" i="40"/>
  <c r="I97" i="40"/>
  <c r="J97" i="40"/>
  <c r="K97" i="40"/>
  <c r="L97" i="40"/>
  <c r="O97" i="40"/>
  <c r="R97" i="40" s="1"/>
  <c r="V97" i="40" s="1"/>
  <c r="F98" i="40"/>
  <c r="I98" i="40"/>
  <c r="J98" i="40"/>
  <c r="K98" i="40"/>
  <c r="L98" i="40"/>
  <c r="O98" i="40"/>
  <c r="R98" i="40" s="1"/>
  <c r="V98" i="40" s="1"/>
  <c r="F99" i="40"/>
  <c r="I99" i="40"/>
  <c r="J99" i="40"/>
  <c r="K99" i="40"/>
  <c r="L99" i="40"/>
  <c r="O99" i="40"/>
  <c r="R99" i="40" s="1"/>
  <c r="V99" i="40" s="1"/>
  <c r="F100" i="40"/>
  <c r="I100" i="40"/>
  <c r="J100" i="40"/>
  <c r="K100" i="40"/>
  <c r="L100" i="40"/>
  <c r="O100" i="40"/>
  <c r="R100" i="40" s="1"/>
  <c r="V100" i="40" s="1"/>
  <c r="F101" i="40"/>
  <c r="I101" i="40"/>
  <c r="J101" i="40"/>
  <c r="K101" i="40"/>
  <c r="L101" i="40"/>
  <c r="O101" i="40"/>
  <c r="R101" i="40" s="1"/>
  <c r="V101" i="40" s="1"/>
  <c r="F102" i="40"/>
  <c r="I102" i="40"/>
  <c r="J102" i="40"/>
  <c r="K102" i="40"/>
  <c r="L102" i="40"/>
  <c r="O102" i="40"/>
  <c r="R102" i="40" s="1"/>
  <c r="V102" i="40" s="1"/>
  <c r="F103" i="40"/>
  <c r="I103" i="40"/>
  <c r="J103" i="40"/>
  <c r="K103" i="40"/>
  <c r="L103" i="40"/>
  <c r="O103" i="40"/>
  <c r="R103" i="40" s="1"/>
  <c r="V103" i="40" s="1"/>
  <c r="F104" i="40"/>
  <c r="I104" i="40"/>
  <c r="J104" i="40"/>
  <c r="K104" i="40"/>
  <c r="L104" i="40"/>
  <c r="O104" i="40"/>
  <c r="R104" i="40" s="1"/>
  <c r="V104" i="40" s="1"/>
  <c r="I105" i="40"/>
  <c r="J105" i="40"/>
  <c r="K105" i="40"/>
  <c r="L105" i="40"/>
  <c r="O105" i="40"/>
  <c r="R105" i="40" s="1"/>
  <c r="V105" i="40" s="1"/>
  <c r="F106" i="40"/>
  <c r="I106" i="40"/>
  <c r="J106" i="40"/>
  <c r="K106" i="40"/>
  <c r="L106" i="40"/>
  <c r="O106" i="40"/>
  <c r="R106" i="40" s="1"/>
  <c r="V106" i="40" s="1"/>
  <c r="I107" i="40"/>
  <c r="J107" i="40"/>
  <c r="K107" i="40"/>
  <c r="L107" i="40"/>
  <c r="O107" i="40"/>
  <c r="R107" i="40" s="1"/>
  <c r="V107" i="40" s="1"/>
  <c r="F108" i="40"/>
  <c r="I108" i="40"/>
  <c r="J108" i="40"/>
  <c r="K108" i="40"/>
  <c r="L108" i="40"/>
  <c r="O108" i="40"/>
  <c r="R108" i="40" s="1"/>
  <c r="V108" i="40" s="1"/>
  <c r="F109" i="40"/>
  <c r="I109" i="40"/>
  <c r="J109" i="40"/>
  <c r="K109" i="40"/>
  <c r="L109" i="40"/>
  <c r="O109" i="40"/>
  <c r="R109" i="40" s="1"/>
  <c r="V109" i="40" s="1"/>
  <c r="I110" i="40"/>
  <c r="J110" i="40"/>
  <c r="K110" i="40"/>
  <c r="L110" i="40"/>
  <c r="O110" i="40"/>
  <c r="R110" i="40" s="1"/>
  <c r="V110" i="40" s="1"/>
  <c r="I111" i="40"/>
  <c r="J111" i="40"/>
  <c r="K111" i="40"/>
  <c r="L111" i="40"/>
  <c r="O111" i="40"/>
  <c r="R111" i="40" s="1"/>
  <c r="V111" i="40" s="1"/>
  <c r="I112" i="40"/>
  <c r="J112" i="40"/>
  <c r="K112" i="40"/>
  <c r="L112" i="40"/>
  <c r="O112" i="40"/>
  <c r="R112" i="40" s="1"/>
  <c r="V112" i="40" s="1"/>
  <c r="I113" i="40"/>
  <c r="J113" i="40"/>
  <c r="K113" i="40"/>
  <c r="L113" i="40"/>
  <c r="O113" i="40"/>
  <c r="R113" i="40" s="1"/>
  <c r="V113" i="40" s="1"/>
  <c r="I114" i="40"/>
  <c r="J114" i="40"/>
  <c r="K114" i="40"/>
  <c r="L114" i="40"/>
  <c r="O114" i="40"/>
  <c r="R114" i="40" s="1"/>
  <c r="V114" i="40" s="1"/>
  <c r="I115" i="40"/>
  <c r="J115" i="40"/>
  <c r="K115" i="40"/>
  <c r="L115" i="40"/>
  <c r="O115" i="40"/>
  <c r="R115" i="40" s="1"/>
  <c r="V115" i="40" s="1"/>
  <c r="I116" i="40"/>
  <c r="J116" i="40"/>
  <c r="K116" i="40"/>
  <c r="L116" i="40"/>
  <c r="O116" i="40"/>
  <c r="R116" i="40" s="1"/>
  <c r="V116" i="40" s="1"/>
  <c r="I117" i="40"/>
  <c r="J117" i="40"/>
  <c r="K117" i="40"/>
  <c r="L117" i="40"/>
  <c r="O117" i="40"/>
  <c r="R117" i="40" s="1"/>
  <c r="V117" i="40" s="1"/>
  <c r="I118" i="40"/>
  <c r="J118" i="40"/>
  <c r="K118" i="40"/>
  <c r="L118" i="40"/>
  <c r="O118" i="40"/>
  <c r="R118" i="40" s="1"/>
  <c r="V118" i="40" s="1"/>
  <c r="I119" i="40"/>
  <c r="J119" i="40"/>
  <c r="K119" i="40"/>
  <c r="L119" i="40"/>
  <c r="O119" i="40"/>
  <c r="R119" i="40" s="1"/>
  <c r="V119" i="40" s="1"/>
  <c r="I120" i="40"/>
  <c r="J120" i="40"/>
  <c r="K120" i="40"/>
  <c r="L120" i="40"/>
  <c r="O120" i="40"/>
  <c r="R120" i="40" s="1"/>
  <c r="V120" i="40" s="1"/>
  <c r="I121" i="40"/>
  <c r="J121" i="40"/>
  <c r="K121" i="40"/>
  <c r="L121" i="40"/>
  <c r="O121" i="40"/>
  <c r="R121" i="40" s="1"/>
  <c r="V121" i="40" s="1"/>
  <c r="I122" i="40"/>
  <c r="J122" i="40"/>
  <c r="K122" i="40"/>
  <c r="L122" i="40"/>
  <c r="O122" i="40"/>
  <c r="R122" i="40" s="1"/>
  <c r="V122" i="40" s="1"/>
  <c r="I123" i="40"/>
  <c r="J123" i="40"/>
  <c r="K123" i="40"/>
  <c r="L123" i="40"/>
  <c r="O123" i="40"/>
  <c r="R123" i="40" s="1"/>
  <c r="V123" i="40" s="1"/>
  <c r="I124" i="40"/>
  <c r="J124" i="40"/>
  <c r="K124" i="40"/>
  <c r="L124" i="40"/>
  <c r="O124" i="40"/>
  <c r="R124" i="40" s="1"/>
  <c r="V124" i="40" s="1"/>
  <c r="I125" i="40"/>
  <c r="J125" i="40"/>
  <c r="K125" i="40"/>
  <c r="L125" i="40"/>
  <c r="O125" i="40"/>
  <c r="R125" i="40" s="1"/>
  <c r="V125" i="40" s="1"/>
  <c r="I126" i="40"/>
  <c r="J126" i="40"/>
  <c r="K126" i="40"/>
  <c r="L126" i="40"/>
  <c r="O126" i="40"/>
  <c r="R126" i="40" s="1"/>
  <c r="V126" i="40" s="1"/>
  <c r="R127" i="40"/>
  <c r="V127" i="40" s="1"/>
  <c r="I128" i="40"/>
  <c r="J128" i="40"/>
  <c r="K128" i="40"/>
  <c r="L128" i="40"/>
  <c r="O128" i="40"/>
  <c r="R128" i="40" s="1"/>
  <c r="V128" i="40" s="1"/>
  <c r="I129" i="40"/>
  <c r="J129" i="40"/>
  <c r="L129" i="40"/>
  <c r="O129" i="40"/>
  <c r="R129" i="40" s="1"/>
  <c r="V129" i="40" s="1"/>
  <c r="I130" i="40"/>
  <c r="J130" i="40"/>
  <c r="K130" i="40"/>
  <c r="L130" i="40"/>
  <c r="O130" i="40"/>
  <c r="R130" i="40" s="1"/>
  <c r="V130" i="40" s="1"/>
  <c r="R131" i="40"/>
  <c r="V131" i="40" s="1"/>
  <c r="R132" i="40"/>
  <c r="V132" i="40" s="1"/>
  <c r="R133" i="40"/>
  <c r="V133" i="40" s="1"/>
  <c r="R134" i="40"/>
  <c r="V134" i="40" s="1"/>
  <c r="I135" i="40"/>
  <c r="J135" i="40"/>
  <c r="K135" i="40"/>
  <c r="L135" i="40"/>
  <c r="O135" i="40"/>
  <c r="R135" i="40" s="1"/>
  <c r="V135" i="40" s="1"/>
  <c r="I136" i="40"/>
  <c r="J136" i="40"/>
  <c r="K136" i="40"/>
  <c r="L136" i="40"/>
  <c r="O136" i="40"/>
  <c r="R136" i="40" s="1"/>
  <c r="V136" i="40" s="1"/>
  <c r="I137" i="40"/>
  <c r="J137" i="40"/>
  <c r="K137" i="40"/>
  <c r="L137" i="40"/>
  <c r="O137" i="40"/>
  <c r="R137" i="40" s="1"/>
  <c r="V137" i="40" s="1"/>
  <c r="I138" i="40"/>
  <c r="J138" i="40"/>
  <c r="K138" i="40"/>
  <c r="L138" i="40"/>
  <c r="O138" i="40"/>
  <c r="R138" i="40" s="1"/>
  <c r="V138" i="40" s="1"/>
  <c r="I139" i="40"/>
  <c r="J139" i="40"/>
  <c r="K139" i="40"/>
  <c r="L139" i="40"/>
  <c r="O139" i="40"/>
  <c r="R139" i="40" s="1"/>
  <c r="V139" i="40" s="1"/>
  <c r="I140" i="40"/>
  <c r="J140" i="40"/>
  <c r="K140" i="40"/>
  <c r="L140" i="40"/>
  <c r="O140" i="40"/>
  <c r="R140" i="40" s="1"/>
  <c r="V140" i="40" s="1"/>
  <c r="I141" i="40"/>
  <c r="J141" i="40"/>
  <c r="K141" i="40"/>
  <c r="L141" i="40"/>
  <c r="O141" i="40"/>
  <c r="R141" i="40" s="1"/>
  <c r="V141" i="40" s="1"/>
  <c r="I142" i="40"/>
  <c r="J142" i="40"/>
  <c r="K142" i="40"/>
  <c r="L142" i="40"/>
  <c r="O142" i="40"/>
  <c r="R142" i="40" s="1"/>
  <c r="V142" i="40" s="1"/>
  <c r="I143" i="40"/>
  <c r="J143" i="40"/>
  <c r="K143" i="40"/>
  <c r="L143" i="40"/>
  <c r="O143" i="40"/>
  <c r="R143" i="40" s="1"/>
  <c r="V143" i="40" s="1"/>
  <c r="I144" i="40"/>
  <c r="J144" i="40"/>
  <c r="K144" i="40"/>
  <c r="L144" i="40"/>
  <c r="O144" i="40"/>
  <c r="R144" i="40" s="1"/>
  <c r="V144" i="40" s="1"/>
  <c r="I145" i="40"/>
  <c r="J145" i="40"/>
  <c r="K145" i="40"/>
  <c r="L145" i="40"/>
  <c r="O145" i="40"/>
  <c r="R145" i="40" s="1"/>
  <c r="V145" i="40" s="1"/>
  <c r="I146" i="40"/>
  <c r="J146" i="40"/>
  <c r="K146" i="40"/>
  <c r="L146" i="40"/>
  <c r="O146" i="40"/>
  <c r="R146" i="40" s="1"/>
  <c r="V146" i="40" s="1"/>
  <c r="I147" i="40"/>
  <c r="J147" i="40"/>
  <c r="K147" i="40"/>
  <c r="L147" i="40"/>
  <c r="O147" i="40"/>
  <c r="R147" i="40" s="1"/>
  <c r="V147" i="40" s="1"/>
  <c r="I148" i="40"/>
  <c r="J148" i="40"/>
  <c r="K148" i="40"/>
  <c r="L148" i="40"/>
  <c r="O148" i="40"/>
  <c r="R148" i="40" s="1"/>
  <c r="V148" i="40" s="1"/>
  <c r="I149" i="40"/>
  <c r="J149" i="40"/>
  <c r="K149" i="40"/>
  <c r="L149" i="40"/>
  <c r="O149" i="40"/>
  <c r="R149" i="40" s="1"/>
  <c r="V149" i="40" s="1"/>
  <c r="I150" i="40"/>
  <c r="J150" i="40"/>
  <c r="K150" i="40"/>
  <c r="L150" i="40"/>
  <c r="O150" i="40"/>
  <c r="R150" i="40" s="1"/>
  <c r="V150" i="40" s="1"/>
  <c r="I151" i="40"/>
  <c r="J151" i="40"/>
  <c r="K151" i="40"/>
  <c r="L151" i="40"/>
  <c r="O151" i="40"/>
  <c r="R151" i="40" s="1"/>
  <c r="V151" i="40" s="1"/>
  <c r="I152" i="40"/>
  <c r="J152" i="40"/>
  <c r="K152" i="40"/>
  <c r="L152" i="40"/>
  <c r="O152" i="40"/>
  <c r="R152" i="40" s="1"/>
  <c r="V152" i="40" s="1"/>
  <c r="I153" i="40"/>
  <c r="J153" i="40"/>
  <c r="K153" i="40"/>
  <c r="L153" i="40"/>
  <c r="O153" i="40"/>
  <c r="R153" i="40" s="1"/>
  <c r="V153" i="40" s="1"/>
  <c r="I154" i="40"/>
  <c r="J154" i="40"/>
  <c r="K154" i="40"/>
  <c r="L154" i="40"/>
  <c r="O154" i="40"/>
  <c r="R154" i="40" s="1"/>
  <c r="V154" i="40" s="1"/>
  <c r="R155" i="40"/>
  <c r="V155" i="40" s="1"/>
  <c r="I156" i="40"/>
  <c r="J156" i="40"/>
  <c r="L156" i="40"/>
  <c r="O156" i="40"/>
  <c r="R156" i="40" s="1"/>
  <c r="V156" i="40" s="1"/>
  <c r="I157" i="40"/>
  <c r="J157" i="40"/>
  <c r="K157" i="40"/>
  <c r="L157" i="40"/>
  <c r="O157" i="40"/>
  <c r="R157" i="40" s="1"/>
  <c r="V157" i="40" s="1"/>
  <c r="I158" i="40"/>
  <c r="J158" i="40"/>
  <c r="K158" i="40"/>
  <c r="L158" i="40"/>
  <c r="O158" i="40"/>
  <c r="R158" i="40" s="1"/>
  <c r="V158" i="40" s="1"/>
  <c r="I159" i="40"/>
  <c r="J159" i="40"/>
  <c r="K159" i="40"/>
  <c r="L159" i="40"/>
  <c r="O159" i="40"/>
  <c r="R159" i="40" s="1"/>
  <c r="V159" i="40" s="1"/>
  <c r="I160" i="40"/>
  <c r="J160" i="40"/>
  <c r="K160" i="40"/>
  <c r="L160" i="40"/>
  <c r="O160" i="40"/>
  <c r="R160" i="40" s="1"/>
  <c r="V160" i="40" s="1"/>
  <c r="I161" i="40"/>
  <c r="J161" i="40"/>
  <c r="K161" i="40"/>
  <c r="L161" i="40"/>
  <c r="O161" i="40"/>
  <c r="R161" i="40" s="1"/>
  <c r="V161" i="40" s="1"/>
  <c r="I162" i="40"/>
  <c r="J162" i="40"/>
  <c r="K162" i="40"/>
  <c r="L162" i="40"/>
  <c r="O162" i="40"/>
  <c r="R162" i="40" s="1"/>
  <c r="V162" i="40" s="1"/>
  <c r="I163" i="40"/>
  <c r="J163" i="40"/>
  <c r="K163" i="40"/>
  <c r="L163" i="40"/>
  <c r="O163" i="40"/>
  <c r="R163" i="40" s="1"/>
  <c r="V163" i="40" s="1"/>
  <c r="O164" i="40"/>
  <c r="R164" i="40" s="1"/>
  <c r="V164" i="40" s="1"/>
  <c r="R165" i="40"/>
  <c r="V165" i="40" s="1"/>
  <c r="R166" i="40"/>
  <c r="V166" i="40" s="1"/>
  <c r="R167" i="40"/>
  <c r="V167" i="40" s="1"/>
  <c r="R168" i="40"/>
  <c r="V168" i="40" s="1"/>
  <c r="R169" i="40"/>
  <c r="V169" i="40" s="1"/>
  <c r="R170" i="40"/>
  <c r="V170" i="40" s="1"/>
  <c r="R171" i="40"/>
  <c r="V171" i="40" s="1"/>
  <c r="O172" i="40"/>
  <c r="R172" i="40" s="1"/>
  <c r="V172" i="40" s="1"/>
  <c r="R173" i="40"/>
  <c r="V173" i="40" s="1"/>
  <c r="R174" i="40"/>
  <c r="V174" i="40" s="1"/>
  <c r="R175" i="40"/>
  <c r="V175" i="40" s="1"/>
  <c r="R176" i="40"/>
  <c r="V176" i="40" s="1"/>
  <c r="R177" i="40"/>
  <c r="V177" i="40" s="1"/>
  <c r="R178" i="40"/>
  <c r="V178" i="40" s="1"/>
  <c r="O179" i="40"/>
  <c r="R179" i="40" s="1"/>
  <c r="V179" i="40" s="1"/>
  <c r="O180" i="40"/>
  <c r="R180" i="40" s="1"/>
  <c r="V180" i="40" s="1"/>
  <c r="O181" i="40"/>
  <c r="R181" i="40" s="1"/>
  <c r="V181" i="40" s="1"/>
  <c r="R182" i="40"/>
  <c r="V182" i="40" s="1"/>
  <c r="O183" i="40"/>
  <c r="R183" i="40" s="1"/>
  <c r="V183" i="40" s="1"/>
  <c r="O184" i="40"/>
  <c r="R184" i="40" s="1"/>
  <c r="V184" i="40" s="1"/>
  <c r="O185" i="40"/>
  <c r="R185" i="40" s="1"/>
  <c r="V185" i="40" s="1"/>
  <c r="O186" i="40"/>
  <c r="R186" i="40" s="1"/>
  <c r="V186" i="40" s="1"/>
  <c r="O187" i="40"/>
  <c r="R187" i="40" s="1"/>
  <c r="V187" i="40" s="1"/>
  <c r="O188" i="40"/>
  <c r="R188" i="40" s="1"/>
  <c r="V188" i="40" s="1"/>
  <c r="O189" i="40"/>
  <c r="R189" i="40" s="1"/>
  <c r="V189" i="40" s="1"/>
  <c r="O190" i="40"/>
  <c r="R190" i="40" s="1"/>
  <c r="V190" i="40" s="1"/>
  <c r="O191" i="40"/>
  <c r="R191" i="40" s="1"/>
  <c r="V191" i="40" s="1"/>
  <c r="O192" i="40"/>
  <c r="R192" i="40" s="1"/>
  <c r="V192" i="40" s="1"/>
  <c r="R193" i="40"/>
  <c r="V193" i="40" s="1"/>
  <c r="O194" i="40"/>
  <c r="R194" i="40" s="1"/>
  <c r="V194" i="40" s="1"/>
  <c r="O195" i="40"/>
  <c r="R195" i="40" s="1"/>
  <c r="V195" i="40" s="1"/>
  <c r="O196" i="40"/>
  <c r="R196" i="40" s="1"/>
  <c r="V196" i="40" s="1"/>
  <c r="O197" i="40"/>
  <c r="R197" i="40" s="1"/>
  <c r="V197" i="40" s="1"/>
  <c r="O198" i="40"/>
  <c r="R198" i="40" s="1"/>
  <c r="V198" i="40" s="1"/>
  <c r="O199" i="40"/>
  <c r="R199" i="40" s="1"/>
  <c r="V199" i="40" s="1"/>
  <c r="O200" i="40"/>
  <c r="R200" i="40" s="1"/>
  <c r="V200" i="40" s="1"/>
  <c r="O201" i="40"/>
  <c r="R201" i="40" s="1"/>
  <c r="V201" i="40" s="1"/>
  <c r="O202" i="40"/>
  <c r="R202" i="40" s="1"/>
  <c r="V202" i="40" s="1"/>
  <c r="O203" i="40"/>
  <c r="R203" i="40" s="1"/>
  <c r="V203" i="40" s="1"/>
  <c r="O204" i="40"/>
  <c r="R204" i="40" s="1"/>
  <c r="V204" i="40" s="1"/>
  <c r="R205" i="40"/>
  <c r="V205" i="40" s="1"/>
  <c r="R206" i="40"/>
  <c r="V206" i="40" s="1"/>
  <c r="O207" i="40"/>
  <c r="R207" i="40" s="1"/>
  <c r="V207" i="40" s="1"/>
  <c r="O208" i="40"/>
  <c r="R208" i="40" s="1"/>
  <c r="V208" i="40" s="1"/>
  <c r="O209" i="40"/>
  <c r="R209" i="40" s="1"/>
  <c r="V209" i="40" s="1"/>
  <c r="R210" i="40"/>
  <c r="V210" i="40" s="1"/>
  <c r="R211" i="40"/>
  <c r="V211" i="40" s="1"/>
  <c r="R212" i="40"/>
  <c r="V212" i="40" s="1"/>
  <c r="R213" i="40"/>
  <c r="V213" i="40" s="1"/>
  <c r="R214" i="40"/>
  <c r="V214" i="40" s="1"/>
  <c r="R215" i="40"/>
  <c r="V215" i="40" s="1"/>
  <c r="R216" i="40"/>
  <c r="V216" i="40" s="1"/>
  <c r="O230" i="40"/>
  <c r="R230" i="40" s="1"/>
  <c r="V230" i="40" s="1"/>
  <c r="R231" i="40"/>
  <c r="V231" i="40" s="1"/>
  <c r="O232" i="40"/>
  <c r="R232" i="40" s="1"/>
  <c r="V232" i="40" s="1"/>
  <c r="O233" i="40"/>
  <c r="R233" i="40" s="1"/>
  <c r="V233" i="40" s="1"/>
  <c r="N13" i="42"/>
  <c r="N3" i="42"/>
  <c r="N4" i="42"/>
  <c r="N5" i="42"/>
  <c r="N6" i="42"/>
  <c r="N7" i="42"/>
  <c r="N8" i="42"/>
  <c r="N9" i="42"/>
  <c r="N10" i="42"/>
  <c r="N11" i="42"/>
  <c r="N12" i="42"/>
  <c r="N2" i="42"/>
  <c r="O3" i="42"/>
  <c r="O4" i="42"/>
  <c r="O5" i="42"/>
  <c r="O6" i="42"/>
  <c r="O7" i="42"/>
  <c r="O9" i="42"/>
  <c r="O10" i="42"/>
  <c r="O11" i="42"/>
  <c r="O12" i="42"/>
  <c r="O13" i="42"/>
  <c r="O2" i="42"/>
  <c r="C27" i="42"/>
  <c r="D27" i="42"/>
  <c r="E27" i="42"/>
  <c r="F27" i="42"/>
  <c r="C28" i="42"/>
  <c r="D28" i="42"/>
  <c r="E28" i="42"/>
  <c r="F28" i="42"/>
  <c r="C29" i="42"/>
  <c r="D29" i="42"/>
  <c r="E29" i="42"/>
  <c r="F29" i="42"/>
  <c r="C30" i="42"/>
  <c r="D30" i="42"/>
  <c r="E30" i="42"/>
  <c r="F30" i="42"/>
  <c r="C31" i="42"/>
  <c r="D31" i="42"/>
  <c r="E31" i="42"/>
  <c r="F31" i="42"/>
  <c r="C32" i="42"/>
  <c r="D32" i="42"/>
  <c r="E32" i="42"/>
  <c r="F32" i="42"/>
  <c r="C33" i="42"/>
  <c r="D33" i="42"/>
  <c r="E33" i="42"/>
  <c r="F33" i="42"/>
  <c r="L4" i="42"/>
  <c r="M4" i="42" s="1"/>
  <c r="L5" i="42"/>
  <c r="M5" i="42" s="1"/>
  <c r="L6" i="42"/>
  <c r="M6" i="42" s="1"/>
  <c r="L7" i="42"/>
  <c r="M7" i="42" s="1"/>
  <c r="L8" i="42"/>
  <c r="M8" i="42" s="1"/>
  <c r="L9" i="42"/>
  <c r="M9" i="42" s="1"/>
  <c r="L10" i="42"/>
  <c r="M10" i="42" s="1"/>
  <c r="L11" i="42"/>
  <c r="M11" i="42" s="1"/>
  <c r="L12" i="42"/>
  <c r="M12" i="42" s="1"/>
  <c r="L13" i="42"/>
  <c r="M13" i="42" s="1"/>
  <c r="H3" i="40"/>
  <c r="I3" i="40"/>
  <c r="J3" i="40"/>
  <c r="K3" i="40"/>
  <c r="L3" i="40"/>
  <c r="H4" i="40"/>
  <c r="I4" i="40"/>
  <c r="J4" i="40"/>
  <c r="K4" i="40"/>
  <c r="L4" i="40"/>
  <c r="H5" i="40"/>
  <c r="I5" i="40"/>
  <c r="J5" i="40"/>
  <c r="K5" i="40"/>
  <c r="L5" i="40"/>
  <c r="H6" i="40"/>
  <c r="I6" i="40"/>
  <c r="J6" i="40"/>
  <c r="K6" i="40"/>
  <c r="L6" i="40"/>
  <c r="H7" i="40"/>
  <c r="I7" i="40"/>
  <c r="J7" i="40"/>
  <c r="K7" i="40"/>
  <c r="L7" i="40"/>
  <c r="H8" i="40"/>
  <c r="I8" i="40"/>
  <c r="J8" i="40"/>
  <c r="K8" i="40"/>
  <c r="L8" i="40"/>
  <c r="H9" i="40"/>
  <c r="I9" i="40"/>
  <c r="J9" i="40"/>
  <c r="K9" i="40"/>
  <c r="L9" i="40"/>
  <c r="H10" i="40"/>
  <c r="I10" i="40"/>
  <c r="J10" i="40"/>
  <c r="K10" i="40"/>
  <c r="L10" i="40"/>
  <c r="H11" i="40"/>
  <c r="I11" i="40"/>
  <c r="J11" i="40"/>
  <c r="K11" i="40"/>
  <c r="L11" i="40"/>
  <c r="H12" i="40"/>
  <c r="I12" i="40"/>
  <c r="J12" i="40"/>
  <c r="K12" i="40"/>
  <c r="L12" i="40"/>
  <c r="H13" i="40"/>
  <c r="I13" i="40"/>
  <c r="J13" i="40"/>
  <c r="K13" i="40"/>
  <c r="L13" i="40"/>
  <c r="H14" i="40"/>
  <c r="I14" i="40"/>
  <c r="J14" i="40"/>
  <c r="K14" i="40"/>
  <c r="L14" i="40"/>
  <c r="H15" i="40"/>
  <c r="I15" i="40"/>
  <c r="J15" i="40"/>
  <c r="K15" i="40"/>
  <c r="L15" i="40"/>
  <c r="H16" i="40"/>
  <c r="I16" i="40"/>
  <c r="J16" i="40"/>
  <c r="K16" i="40"/>
  <c r="L16" i="40"/>
  <c r="H17" i="40"/>
  <c r="I17" i="40"/>
  <c r="J17" i="40"/>
  <c r="K17" i="40"/>
  <c r="L17" i="40"/>
  <c r="H18" i="40"/>
  <c r="I18" i="40"/>
  <c r="J18" i="40"/>
  <c r="K18" i="40"/>
  <c r="L18" i="40"/>
  <c r="H19" i="40"/>
  <c r="I19" i="40"/>
  <c r="J19" i="40"/>
  <c r="K19" i="40"/>
  <c r="L19" i="40"/>
  <c r="H20" i="40"/>
  <c r="I20" i="40"/>
  <c r="J20" i="40"/>
  <c r="K20" i="40"/>
  <c r="L20" i="40"/>
  <c r="H21" i="40"/>
  <c r="I21" i="40"/>
  <c r="J21" i="40"/>
  <c r="K21" i="40"/>
  <c r="L21" i="40"/>
  <c r="H22" i="40"/>
  <c r="I22" i="40"/>
  <c r="J22" i="40"/>
  <c r="K22" i="40"/>
  <c r="L22" i="40"/>
  <c r="H23" i="40"/>
  <c r="I23" i="40"/>
  <c r="J23" i="40"/>
  <c r="K23" i="40"/>
  <c r="L23" i="40"/>
  <c r="H24" i="40"/>
  <c r="I24" i="40"/>
  <c r="J24" i="40"/>
  <c r="K24" i="40"/>
  <c r="L24" i="40"/>
  <c r="H25" i="40"/>
  <c r="I25" i="40"/>
  <c r="J25" i="40"/>
  <c r="K25" i="40"/>
  <c r="L25" i="40"/>
  <c r="H26" i="40"/>
  <c r="I26" i="40"/>
  <c r="J26" i="40"/>
  <c r="K26" i="40"/>
  <c r="L26" i="40"/>
  <c r="H27" i="40"/>
  <c r="I27" i="40"/>
  <c r="J27" i="40"/>
  <c r="K27" i="40"/>
  <c r="L27" i="40"/>
  <c r="H28" i="40"/>
  <c r="I28" i="40"/>
  <c r="J28" i="40"/>
  <c r="K28" i="40"/>
  <c r="L28" i="40"/>
  <c r="H29" i="40"/>
  <c r="I29" i="40"/>
  <c r="J29" i="40"/>
  <c r="K29" i="40"/>
  <c r="L29" i="40"/>
  <c r="H30" i="40"/>
  <c r="I30" i="40"/>
  <c r="J30" i="40"/>
  <c r="K30" i="40"/>
  <c r="L30" i="40"/>
  <c r="H31" i="40"/>
  <c r="I31" i="40"/>
  <c r="J31" i="40"/>
  <c r="K31" i="40"/>
  <c r="L31" i="40"/>
  <c r="H32" i="40"/>
  <c r="I32" i="40"/>
  <c r="J32" i="40"/>
  <c r="K32" i="40"/>
  <c r="L32" i="40"/>
  <c r="H33" i="40"/>
  <c r="I33" i="40"/>
  <c r="J33" i="40"/>
  <c r="K33" i="40"/>
  <c r="L33" i="40"/>
  <c r="H34" i="40"/>
  <c r="I34" i="40"/>
  <c r="J34" i="40"/>
  <c r="K34" i="40"/>
  <c r="L34" i="40"/>
  <c r="H35" i="40"/>
  <c r="I35" i="40"/>
  <c r="J35" i="40"/>
  <c r="K35" i="40"/>
  <c r="L35" i="40"/>
  <c r="H36" i="40"/>
  <c r="I36" i="40"/>
  <c r="J36" i="40"/>
  <c r="K36" i="40"/>
  <c r="L36" i="40"/>
  <c r="H37" i="40"/>
  <c r="I37" i="40"/>
  <c r="J37" i="40"/>
  <c r="K37" i="40"/>
  <c r="L37" i="40"/>
  <c r="H38" i="40"/>
  <c r="I38" i="40"/>
  <c r="J38" i="40"/>
  <c r="K38" i="40"/>
  <c r="L38" i="40"/>
  <c r="H39" i="40"/>
  <c r="I39" i="40"/>
  <c r="J39" i="40"/>
  <c r="K39" i="40"/>
  <c r="L39" i="40"/>
  <c r="H40" i="40"/>
  <c r="I40" i="40"/>
  <c r="J40" i="40"/>
  <c r="K40" i="40"/>
  <c r="L40" i="40"/>
  <c r="H41" i="40"/>
  <c r="I41" i="40"/>
  <c r="J41" i="40"/>
  <c r="K41" i="40"/>
  <c r="L41" i="40"/>
  <c r="H42" i="40"/>
  <c r="I42" i="40"/>
  <c r="J42" i="40"/>
  <c r="K42" i="40"/>
  <c r="L42" i="40"/>
  <c r="H43" i="40"/>
  <c r="I43" i="40"/>
  <c r="J43" i="40"/>
  <c r="K43" i="40"/>
  <c r="L43" i="40"/>
  <c r="H44" i="40"/>
  <c r="I44" i="40"/>
  <c r="J44" i="40"/>
  <c r="K44" i="40"/>
  <c r="L44" i="40"/>
  <c r="H45" i="40"/>
  <c r="I45" i="40"/>
  <c r="J45" i="40"/>
  <c r="K45" i="40"/>
  <c r="L45" i="40"/>
  <c r="H46" i="40"/>
  <c r="I46" i="40"/>
  <c r="J46" i="40"/>
  <c r="K46" i="40"/>
  <c r="L46" i="40"/>
  <c r="H47" i="40"/>
  <c r="I47" i="40"/>
  <c r="J47" i="40"/>
  <c r="K47" i="40"/>
  <c r="L47" i="40"/>
  <c r="H48" i="40"/>
  <c r="I48" i="40"/>
  <c r="J48" i="40"/>
  <c r="K48" i="40"/>
  <c r="L48" i="40"/>
  <c r="H49" i="40"/>
  <c r="I49" i="40"/>
  <c r="J49" i="40"/>
  <c r="K49" i="40"/>
  <c r="L49" i="40"/>
  <c r="H50" i="40"/>
  <c r="I50" i="40"/>
  <c r="J50" i="40"/>
  <c r="K50" i="40"/>
  <c r="L50" i="40"/>
  <c r="H51" i="40"/>
  <c r="I51" i="40"/>
  <c r="J51" i="40"/>
  <c r="K51" i="40"/>
  <c r="L51" i="40"/>
  <c r="H52" i="40"/>
  <c r="I52" i="40"/>
  <c r="J52" i="40"/>
  <c r="K52" i="40"/>
  <c r="L52" i="40"/>
  <c r="H53" i="40"/>
  <c r="I53" i="40"/>
  <c r="J53" i="40"/>
  <c r="K53" i="40"/>
  <c r="L53" i="40"/>
  <c r="H54" i="40"/>
  <c r="I54" i="40"/>
  <c r="J54" i="40"/>
  <c r="K54" i="40"/>
  <c r="L54" i="40"/>
  <c r="H55" i="40"/>
  <c r="I55" i="40"/>
  <c r="J55" i="40"/>
  <c r="K55" i="40"/>
  <c r="L55" i="40"/>
  <c r="H56" i="40"/>
  <c r="I56" i="40"/>
  <c r="J56" i="40"/>
  <c r="K56" i="40"/>
  <c r="L56" i="40"/>
  <c r="H57" i="40"/>
  <c r="I57" i="40"/>
  <c r="J57" i="40"/>
  <c r="K57" i="40"/>
  <c r="L57" i="40"/>
  <c r="L2" i="40"/>
  <c r="K2" i="40"/>
  <c r="J2" i="40"/>
  <c r="I2" i="40"/>
  <c r="H2" i="40"/>
  <c r="B39" i="42"/>
  <c r="J13" i="42"/>
  <c r="K13" i="42" s="1"/>
  <c r="O29" i="40"/>
  <c r="R29" i="40" s="1"/>
  <c r="V29" i="40" s="1"/>
  <c r="O30" i="40"/>
  <c r="R30" i="40" s="1"/>
  <c r="V30" i="40" s="1"/>
  <c r="O31" i="40"/>
  <c r="R31" i="40" s="1"/>
  <c r="V31" i="40" s="1"/>
  <c r="O32" i="40"/>
  <c r="R32" i="40" s="1"/>
  <c r="V32" i="40" s="1"/>
  <c r="O33" i="40"/>
  <c r="R33" i="40" s="1"/>
  <c r="V33" i="40" s="1"/>
  <c r="O34" i="40"/>
  <c r="R34" i="40" s="1"/>
  <c r="V34" i="40" s="1"/>
  <c r="O35" i="40"/>
  <c r="R35" i="40" s="1"/>
  <c r="V35" i="40" s="1"/>
  <c r="O36" i="40"/>
  <c r="R36" i="40" s="1"/>
  <c r="V36" i="40" s="1"/>
  <c r="O37" i="40"/>
  <c r="R37" i="40" s="1"/>
  <c r="V37" i="40" s="1"/>
  <c r="O38" i="40"/>
  <c r="R38" i="40" s="1"/>
  <c r="V38" i="40" s="1"/>
  <c r="O39" i="40"/>
  <c r="R39" i="40" s="1"/>
  <c r="V39" i="40" s="1"/>
  <c r="O40" i="40"/>
  <c r="R40" i="40" s="1"/>
  <c r="V40" i="40" s="1"/>
  <c r="O41" i="40"/>
  <c r="R41" i="40" s="1"/>
  <c r="V41" i="40" s="1"/>
  <c r="O42" i="40"/>
  <c r="R42" i="40" s="1"/>
  <c r="V42" i="40" s="1"/>
  <c r="O43" i="40"/>
  <c r="R43" i="40" s="1"/>
  <c r="V43" i="40" s="1"/>
  <c r="O44" i="40"/>
  <c r="R44" i="40" s="1"/>
  <c r="V44" i="40" s="1"/>
  <c r="O45" i="40"/>
  <c r="R45" i="40" s="1"/>
  <c r="V45" i="40" s="1"/>
  <c r="O46" i="40"/>
  <c r="R46" i="40" s="1"/>
  <c r="V46" i="40" s="1"/>
  <c r="O47" i="40"/>
  <c r="R47" i="40" s="1"/>
  <c r="V47" i="40" s="1"/>
  <c r="O48" i="40"/>
  <c r="R48" i="40" s="1"/>
  <c r="V48" i="40" s="1"/>
  <c r="O49" i="40"/>
  <c r="R49" i="40" s="1"/>
  <c r="V49" i="40" s="1"/>
  <c r="O50" i="40"/>
  <c r="R50" i="40" s="1"/>
  <c r="V50" i="40" s="1"/>
  <c r="O51" i="40"/>
  <c r="R51" i="40" s="1"/>
  <c r="V51" i="40" s="1"/>
  <c r="O52" i="40"/>
  <c r="R52" i="40" s="1"/>
  <c r="V52" i="40" s="1"/>
  <c r="O53" i="40"/>
  <c r="R53" i="40" s="1"/>
  <c r="V53" i="40" s="1"/>
  <c r="O54" i="40"/>
  <c r="R54" i="40" s="1"/>
  <c r="V54" i="40" s="1"/>
  <c r="O55" i="40"/>
  <c r="R55" i="40" s="1"/>
  <c r="V55" i="40" s="1"/>
  <c r="O56" i="40"/>
  <c r="R56" i="40" s="1"/>
  <c r="V56" i="40" s="1"/>
  <c r="O57" i="40"/>
  <c r="R57" i="40" s="1"/>
  <c r="V57" i="40" s="1"/>
  <c r="O18" i="40"/>
  <c r="R18" i="40" s="1"/>
  <c r="V18" i="40" s="1"/>
  <c r="O19" i="40"/>
  <c r="R19" i="40" s="1"/>
  <c r="V19" i="40" s="1"/>
  <c r="O20" i="40"/>
  <c r="R20" i="40" s="1"/>
  <c r="V20" i="40" s="1"/>
  <c r="O21" i="40"/>
  <c r="R21" i="40" s="1"/>
  <c r="V21" i="40" s="1"/>
  <c r="O22" i="40"/>
  <c r="R22" i="40" s="1"/>
  <c r="V22" i="40" s="1"/>
  <c r="O23" i="40"/>
  <c r="R23" i="40" s="1"/>
  <c r="V23" i="40" s="1"/>
  <c r="O24" i="40"/>
  <c r="R24" i="40" s="1"/>
  <c r="V24" i="40" s="1"/>
  <c r="O25" i="40"/>
  <c r="R25" i="40" s="1"/>
  <c r="V25" i="40" s="1"/>
  <c r="O26" i="40"/>
  <c r="R26" i="40" s="1"/>
  <c r="V26" i="40" s="1"/>
  <c r="O27" i="40"/>
  <c r="R27" i="40" s="1"/>
  <c r="V27" i="40" s="1"/>
  <c r="O28" i="40"/>
  <c r="R28" i="40" s="1"/>
  <c r="V28" i="40" s="1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6" i="40"/>
  <c r="F57" i="40"/>
  <c r="F25" i="40"/>
  <c r="O17" i="40"/>
  <c r="R17" i="40" s="1"/>
  <c r="V17" i="40" s="1"/>
  <c r="O16" i="40"/>
  <c r="R16" i="40" s="1"/>
  <c r="V16" i="40" s="1"/>
  <c r="F17" i="40"/>
  <c r="F18" i="40"/>
  <c r="F19" i="40"/>
  <c r="F20" i="40"/>
  <c r="F21" i="40"/>
  <c r="F22" i="40"/>
  <c r="F23" i="40"/>
  <c r="F24" i="40"/>
  <c r="F16" i="40"/>
  <c r="O3" i="40"/>
  <c r="R3" i="40" s="1"/>
  <c r="V3" i="40" s="1"/>
  <c r="O4" i="40"/>
  <c r="R4" i="40" s="1"/>
  <c r="V4" i="40" s="1"/>
  <c r="O5" i="40"/>
  <c r="R5" i="40" s="1"/>
  <c r="V5" i="40" s="1"/>
  <c r="O6" i="40"/>
  <c r="R6" i="40" s="1"/>
  <c r="V6" i="40" s="1"/>
  <c r="O7" i="40"/>
  <c r="R7" i="40" s="1"/>
  <c r="V7" i="40" s="1"/>
  <c r="O8" i="40"/>
  <c r="R8" i="40" s="1"/>
  <c r="V8" i="40" s="1"/>
  <c r="O9" i="40"/>
  <c r="R9" i="40" s="1"/>
  <c r="V9" i="40" s="1"/>
  <c r="O10" i="40"/>
  <c r="R10" i="40" s="1"/>
  <c r="V10" i="40" s="1"/>
  <c r="O11" i="40"/>
  <c r="R11" i="40" s="1"/>
  <c r="V11" i="40" s="1"/>
  <c r="O12" i="40"/>
  <c r="R12" i="40" s="1"/>
  <c r="V12" i="40" s="1"/>
  <c r="O13" i="40"/>
  <c r="R13" i="40" s="1"/>
  <c r="V13" i="40" s="1"/>
  <c r="O14" i="40"/>
  <c r="R14" i="40" s="1"/>
  <c r="V14" i="40" s="1"/>
  <c r="O15" i="40"/>
  <c r="R15" i="40" s="1"/>
  <c r="V15" i="40" s="1"/>
  <c r="O2" i="40"/>
  <c r="R2" i="40" s="1"/>
  <c r="V2" i="40" s="1"/>
  <c r="W2" i="40" s="1"/>
  <c r="F3" i="40"/>
  <c r="F4" i="40"/>
  <c r="F5" i="40"/>
  <c r="F6" i="40"/>
  <c r="F7" i="40"/>
  <c r="F8" i="40"/>
  <c r="F9" i="40"/>
  <c r="F10" i="40"/>
  <c r="F11" i="40"/>
  <c r="F12" i="40"/>
  <c r="F13" i="40"/>
  <c r="F14" i="40"/>
  <c r="F15" i="40"/>
  <c r="F2" i="40"/>
  <c r="I3" i="42"/>
  <c r="I2" i="42"/>
  <c r="G10" i="52" l="1"/>
  <c r="G26" i="52"/>
  <c r="G42" i="52"/>
  <c r="G3" i="52"/>
  <c r="G19" i="52"/>
  <c r="G35" i="52"/>
  <c r="G4" i="52"/>
  <c r="G20" i="52"/>
  <c r="G36" i="52"/>
  <c r="G41" i="52"/>
  <c r="G17" i="52"/>
  <c r="G44" i="52"/>
  <c r="G38" i="52"/>
  <c r="G16" i="52"/>
  <c r="G14" i="52"/>
  <c r="G30" i="52"/>
  <c r="G2" i="52"/>
  <c r="G7" i="52"/>
  <c r="G23" i="52"/>
  <c r="G39" i="52"/>
  <c r="G8" i="52"/>
  <c r="G24" i="52"/>
  <c r="G40" i="52"/>
  <c r="G5" i="52"/>
  <c r="G21" i="52"/>
  <c r="G18" i="52"/>
  <c r="G34" i="52"/>
  <c r="G29" i="52"/>
  <c r="G11" i="52"/>
  <c r="G43" i="52"/>
  <c r="G12" i="52"/>
  <c r="G28" i="52"/>
  <c r="G9" i="52"/>
  <c r="G6" i="52"/>
  <c r="G45" i="52"/>
  <c r="G31" i="52"/>
  <c r="G33" i="52"/>
  <c r="G32" i="52"/>
  <c r="G25" i="52"/>
  <c r="G27" i="52"/>
  <c r="G37" i="52"/>
  <c r="G22" i="52"/>
  <c r="G15" i="52"/>
  <c r="G13" i="52"/>
  <c r="S2" i="40"/>
  <c r="S271" i="40"/>
  <c r="S283" i="40"/>
  <c r="A271" i="40"/>
  <c r="T263" i="40"/>
  <c r="A30" i="40"/>
  <c r="A234" i="40"/>
  <c r="A312" i="40"/>
  <c r="A279" i="40"/>
  <c r="A292" i="40"/>
  <c r="A256" i="40"/>
  <c r="A281" i="40"/>
  <c r="A320" i="40"/>
  <c r="A263" i="40"/>
  <c r="A284" i="40"/>
  <c r="A241" i="40"/>
  <c r="A294" i="40"/>
  <c r="A244" i="40"/>
  <c r="A324" i="40"/>
  <c r="A306" i="40"/>
  <c r="A319" i="40"/>
  <c r="A303" i="40"/>
  <c r="A297" i="40"/>
  <c r="A245" i="40"/>
  <c r="A293" i="40"/>
  <c r="A262" i="40"/>
  <c r="A296" i="40"/>
  <c r="A285" i="40"/>
  <c r="A249" i="40"/>
  <c r="A288" i="40"/>
  <c r="A264" i="40"/>
  <c r="A235" i="40"/>
  <c r="A237" i="40"/>
  <c r="A246" i="40"/>
  <c r="A299" i="40"/>
  <c r="A247" i="40"/>
  <c r="A267" i="40"/>
  <c r="A251" i="40"/>
  <c r="A308" i="40"/>
  <c r="A265" i="40"/>
  <c r="A325" i="40"/>
  <c r="A254" i="40"/>
  <c r="A272" i="40"/>
  <c r="A238" i="40"/>
  <c r="A275" i="40"/>
  <c r="A239" i="40"/>
  <c r="A283" i="40"/>
  <c r="A270" i="40"/>
  <c r="A298" i="40"/>
  <c r="A291" i="40"/>
  <c r="A240" i="40"/>
  <c r="A269" i="40"/>
  <c r="A301" i="40"/>
  <c r="A274" i="40"/>
  <c r="A258" i="40"/>
  <c r="A278" i="40"/>
  <c r="A309" i="40"/>
  <c r="A280" i="40"/>
  <c r="A318" i="40"/>
  <c r="A290" i="40"/>
  <c r="A328" i="40"/>
  <c r="A287" i="40"/>
  <c r="A327" i="40"/>
  <c r="A255" i="40"/>
  <c r="A268" i="40"/>
  <c r="A313" i="40"/>
  <c r="A276" i="40"/>
  <c r="A286" i="40"/>
  <c r="A314" i="40"/>
  <c r="A236" i="40"/>
  <c r="A259" i="40"/>
  <c r="A282" i="40"/>
  <c r="A277" i="40"/>
  <c r="A321" i="40"/>
  <c r="A266" i="40"/>
  <c r="A242" i="40"/>
  <c r="A253" i="40"/>
  <c r="A295" i="40"/>
  <c r="A315" i="40"/>
  <c r="A316" i="40"/>
  <c r="A310" i="40"/>
  <c r="A289" i="40"/>
  <c r="A302" i="40"/>
  <c r="A273" i="40"/>
  <c r="A300" i="40"/>
  <c r="A322" i="40"/>
  <c r="A311" i="40"/>
  <c r="A304" i="40"/>
  <c r="A252" i="40"/>
  <c r="A307" i="40"/>
  <c r="A260" i="40"/>
  <c r="A323" i="40"/>
  <c r="A326" i="40"/>
  <c r="A257" i="40"/>
  <c r="A250" i="40"/>
  <c r="A317" i="40"/>
  <c r="A261" i="40"/>
  <c r="A305" i="40"/>
  <c r="A248" i="40"/>
  <c r="A243" i="40"/>
  <c r="S219" i="40"/>
  <c r="S227" i="40"/>
  <c r="S275" i="40"/>
  <c r="S313" i="40"/>
  <c r="S314" i="40"/>
  <c r="S221" i="40"/>
  <c r="S264" i="40"/>
  <c r="S312" i="40"/>
  <c r="S288" i="40"/>
  <c r="S268" i="40"/>
  <c r="S319" i="40"/>
  <c r="S324" i="40"/>
  <c r="S238" i="40"/>
  <c r="S294" i="40"/>
  <c r="S322" i="40"/>
  <c r="S308" i="40"/>
  <c r="S304" i="40"/>
  <c r="S325" i="40"/>
  <c r="S309" i="40"/>
  <c r="S287" i="40"/>
  <c r="S243" i="40"/>
  <c r="S250" i="40"/>
  <c r="S263" i="40"/>
  <c r="S239" i="40"/>
  <c r="S297" i="40"/>
  <c r="S261" i="40"/>
  <c r="S257" i="40"/>
  <c r="S228" i="40"/>
  <c r="S218" i="40"/>
  <c r="S229" i="40"/>
  <c r="S293" i="40"/>
  <c r="S217" i="40"/>
  <c r="S320" i="40"/>
  <c r="S220" i="40"/>
  <c r="S326" i="40"/>
  <c r="S303" i="40"/>
  <c r="S311" i="40"/>
  <c r="S276" i="40"/>
  <c r="S237" i="40"/>
  <c r="S273" i="40"/>
  <c r="S262" i="40"/>
  <c r="S305" i="40"/>
  <c r="S291" i="40"/>
  <c r="S251" i="40"/>
  <c r="S258" i="40"/>
  <c r="S235" i="40"/>
  <c r="S254" i="40"/>
  <c r="S236" i="40"/>
  <c r="S256" i="40"/>
  <c r="S307" i="40"/>
  <c r="S242" i="40"/>
  <c r="S269" i="40"/>
  <c r="S260" i="40"/>
  <c r="S292" i="40"/>
  <c r="S265" i="40"/>
  <c r="S226" i="40"/>
  <c r="S223" i="40"/>
  <c r="S318" i="40"/>
  <c r="S222" i="40"/>
  <c r="S290" i="40"/>
  <c r="S295" i="40"/>
  <c r="S277" i="40"/>
  <c r="S310" i="40"/>
  <c r="S285" i="40"/>
  <c r="S272" i="40"/>
  <c r="S317" i="40"/>
  <c r="S286" i="40"/>
  <c r="S282" i="40"/>
  <c r="S289" i="40"/>
  <c r="S299" i="40"/>
  <c r="S284" i="40"/>
  <c r="S259" i="40"/>
  <c r="S255" i="40"/>
  <c r="S266" i="40"/>
  <c r="S253" i="40"/>
  <c r="S240" i="40"/>
  <c r="S281" i="40"/>
  <c r="S300" i="40"/>
  <c r="S248" i="40"/>
  <c r="S244" i="40"/>
  <c r="S241" i="40"/>
  <c r="S224" i="40"/>
  <c r="S225" i="40"/>
  <c r="S270" i="40"/>
  <c r="S274" i="40"/>
  <c r="S316" i="40"/>
  <c r="S278" i="40"/>
  <c r="S323" i="40"/>
  <c r="S321" i="40"/>
  <c r="S328" i="40"/>
  <c r="S298" i="40"/>
  <c r="S279" i="40"/>
  <c r="S296" i="40"/>
  <c r="S267" i="40"/>
  <c r="S247" i="40"/>
  <c r="S327" i="40"/>
  <c r="S315" i="40"/>
  <c r="S306" i="40"/>
  <c r="S301" i="40"/>
  <c r="S302" i="40"/>
  <c r="S234" i="40"/>
  <c r="S280" i="40"/>
  <c r="S246" i="40"/>
  <c r="S252" i="40"/>
  <c r="S245" i="40"/>
  <c r="S249" i="40"/>
  <c r="P6" i="42"/>
  <c r="D26" i="42"/>
  <c r="C26" i="42"/>
  <c r="E26" i="42"/>
  <c r="F26" i="42"/>
  <c r="F25" i="42"/>
  <c r="D25" i="42"/>
  <c r="C25" i="42"/>
  <c r="E25" i="42"/>
  <c r="B8" i="54"/>
  <c r="B12" i="54"/>
  <c r="B9" i="54"/>
  <c r="B6" i="54"/>
  <c r="B10" i="54"/>
  <c r="B7" i="54"/>
  <c r="A5" i="40"/>
  <c r="A3" i="40"/>
  <c r="A2" i="40"/>
  <c r="A28" i="40"/>
  <c r="A24" i="40"/>
  <c r="A20" i="40"/>
  <c r="A12" i="40"/>
  <c r="A8" i="40"/>
  <c r="A16" i="40"/>
  <c r="S15" i="40"/>
  <c r="S11" i="40"/>
  <c r="S7" i="40"/>
  <c r="S3" i="40"/>
  <c r="W3" i="40" s="1"/>
  <c r="S231" i="40"/>
  <c r="S215" i="40"/>
  <c r="S183" i="40"/>
  <c r="S163" i="40"/>
  <c r="S143" i="40"/>
  <c r="S119" i="40"/>
  <c r="S107" i="40"/>
  <c r="S91" i="40"/>
  <c r="S75" i="40"/>
  <c r="S71" i="40"/>
  <c r="S67" i="40"/>
  <c r="S63" i="40"/>
  <c r="S61" i="40"/>
  <c r="S59" i="40"/>
  <c r="S211" i="40"/>
  <c r="S195" i="40"/>
  <c r="S179" i="40"/>
  <c r="S171" i="40"/>
  <c r="S151" i="40"/>
  <c r="S139" i="40"/>
  <c r="S127" i="40"/>
  <c r="S115" i="40"/>
  <c r="S95" i="40"/>
  <c r="S79" i="40"/>
  <c r="S14" i="40"/>
  <c r="S24" i="40"/>
  <c r="S44" i="40"/>
  <c r="S232" i="40"/>
  <c r="S216" i="40"/>
  <c r="S212" i="40"/>
  <c r="S208" i="40"/>
  <c r="S204" i="40"/>
  <c r="S200" i="40"/>
  <c r="S196" i="40"/>
  <c r="S192" i="40"/>
  <c r="S188" i="40"/>
  <c r="S184" i="40"/>
  <c r="S180" i="40"/>
  <c r="S176" i="40"/>
  <c r="S172" i="40"/>
  <c r="S168" i="40"/>
  <c r="S164" i="40"/>
  <c r="S160" i="40"/>
  <c r="S156" i="40"/>
  <c r="S152" i="40"/>
  <c r="S148" i="40"/>
  <c r="S144" i="40"/>
  <c r="S140" i="40"/>
  <c r="S136" i="40"/>
  <c r="S132" i="40"/>
  <c r="S128" i="40"/>
  <c r="S124" i="40"/>
  <c r="S120" i="40"/>
  <c r="S116" i="40"/>
  <c r="S112" i="40"/>
  <c r="S108" i="40"/>
  <c r="S104" i="40"/>
  <c r="S100" i="40"/>
  <c r="S96" i="40"/>
  <c r="S92" i="40"/>
  <c r="S88" i="40"/>
  <c r="S84" i="40"/>
  <c r="S80" i="40"/>
  <c r="S76" i="40"/>
  <c r="S72" i="40"/>
  <c r="S68" i="40"/>
  <c r="S64" i="40"/>
  <c r="S25" i="40"/>
  <c r="S21" i="40"/>
  <c r="S57" i="40"/>
  <c r="S53" i="40"/>
  <c r="S49" i="40"/>
  <c r="S45" i="40"/>
  <c r="S41" i="40"/>
  <c r="S37" i="40"/>
  <c r="S33" i="40"/>
  <c r="S29" i="40"/>
  <c r="S203" i="40"/>
  <c r="S187" i="40"/>
  <c r="S175" i="40"/>
  <c r="S155" i="40"/>
  <c r="S135" i="40"/>
  <c r="S123" i="40"/>
  <c r="S99" i="40"/>
  <c r="S83" i="40"/>
  <c r="S10" i="40"/>
  <c r="S28" i="40"/>
  <c r="S56" i="40"/>
  <c r="S48" i="40"/>
  <c r="S40" i="40"/>
  <c r="S32" i="40"/>
  <c r="S13" i="40"/>
  <c r="S9" i="40"/>
  <c r="S5" i="40"/>
  <c r="S16" i="40"/>
  <c r="S27" i="40"/>
  <c r="S23" i="40"/>
  <c r="S19" i="40"/>
  <c r="S55" i="40"/>
  <c r="S51" i="40"/>
  <c r="S47" i="40"/>
  <c r="S43" i="40"/>
  <c r="S39" i="40"/>
  <c r="S35" i="40"/>
  <c r="S31" i="40"/>
  <c r="S233" i="40"/>
  <c r="S213" i="40"/>
  <c r="S209" i="40"/>
  <c r="S205" i="40"/>
  <c r="S201" i="40"/>
  <c r="S197" i="40"/>
  <c r="S193" i="40"/>
  <c r="S189" i="40"/>
  <c r="S185" i="40"/>
  <c r="S181" i="40"/>
  <c r="S177" i="40"/>
  <c r="S173" i="40"/>
  <c r="S169" i="40"/>
  <c r="S165" i="40"/>
  <c r="S161" i="40"/>
  <c r="S157" i="40"/>
  <c r="S153" i="40"/>
  <c r="S149" i="40"/>
  <c r="S145" i="40"/>
  <c r="S141" i="40"/>
  <c r="S137" i="40"/>
  <c r="S133" i="40"/>
  <c r="S129" i="40"/>
  <c r="S125" i="40"/>
  <c r="S121" i="40"/>
  <c r="S117" i="40"/>
  <c r="S113" i="40"/>
  <c r="S109" i="40"/>
  <c r="S105" i="40"/>
  <c r="S101" i="40"/>
  <c r="S97" i="40"/>
  <c r="S93" i="40"/>
  <c r="S89" i="40"/>
  <c r="S85" i="40"/>
  <c r="S81" i="40"/>
  <c r="S77" i="40"/>
  <c r="S73" i="40"/>
  <c r="S69" i="40"/>
  <c r="S65" i="40"/>
  <c r="S62" i="40"/>
  <c r="S60" i="40"/>
  <c r="S58" i="40"/>
  <c r="S207" i="40"/>
  <c r="S199" i="40"/>
  <c r="S191" i="40"/>
  <c r="S167" i="40"/>
  <c r="S159" i="40"/>
  <c r="S147" i="40"/>
  <c r="S131" i="40"/>
  <c r="S111" i="40"/>
  <c r="S103" i="40"/>
  <c r="S87" i="40"/>
  <c r="S6" i="40"/>
  <c r="S20" i="40"/>
  <c r="S52" i="40"/>
  <c r="S36" i="40"/>
  <c r="S12" i="40"/>
  <c r="S8" i="40"/>
  <c r="S4" i="40"/>
  <c r="W4" i="40" s="1"/>
  <c r="S17" i="40"/>
  <c r="S26" i="40"/>
  <c r="S22" i="40"/>
  <c r="S18" i="40"/>
  <c r="S54" i="40"/>
  <c r="S50" i="40"/>
  <c r="S46" i="40"/>
  <c r="S42" i="40"/>
  <c r="S38" i="40"/>
  <c r="S34" i="40"/>
  <c r="S30" i="40"/>
  <c r="S230" i="40"/>
  <c r="S214" i="40"/>
  <c r="S210" i="40"/>
  <c r="S206" i="40"/>
  <c r="S202" i="40"/>
  <c r="S198" i="40"/>
  <c r="S194" i="40"/>
  <c r="S190" i="40"/>
  <c r="S186" i="40"/>
  <c r="S182" i="40"/>
  <c r="S178" i="40"/>
  <c r="S174" i="40"/>
  <c r="S170" i="40"/>
  <c r="S166" i="40"/>
  <c r="S162" i="40"/>
  <c r="S158" i="40"/>
  <c r="S154" i="40"/>
  <c r="S150" i="40"/>
  <c r="S146" i="40"/>
  <c r="S142" i="40"/>
  <c r="S138" i="40"/>
  <c r="S134" i="40"/>
  <c r="S130" i="40"/>
  <c r="S126" i="40"/>
  <c r="S122" i="40"/>
  <c r="S118" i="40"/>
  <c r="S114" i="40"/>
  <c r="S110" i="40"/>
  <c r="S106" i="40"/>
  <c r="S102" i="40"/>
  <c r="S98" i="40"/>
  <c r="S94" i="40"/>
  <c r="S90" i="40"/>
  <c r="S86" i="40"/>
  <c r="S82" i="40"/>
  <c r="S78" i="40"/>
  <c r="S74" i="40"/>
  <c r="S70" i="40"/>
  <c r="S66" i="40"/>
  <c r="A44" i="40"/>
  <c r="A40" i="40"/>
  <c r="A36" i="40"/>
  <c r="A37" i="40"/>
  <c r="A43" i="40"/>
  <c r="A39" i="40"/>
  <c r="A35" i="40"/>
  <c r="A46" i="40"/>
  <c r="A27" i="40"/>
  <c r="A23" i="40"/>
  <c r="A19" i="40"/>
  <c r="A15" i="40"/>
  <c r="A11" i="40"/>
  <c r="A7" i="40"/>
  <c r="A42" i="40"/>
  <c r="A38" i="40"/>
  <c r="A34" i="40"/>
  <c r="A45" i="40"/>
  <c r="A26" i="40"/>
  <c r="A22" i="40"/>
  <c r="A18" i="40"/>
  <c r="A14" i="40"/>
  <c r="A10" i="40"/>
  <c r="A6" i="40"/>
  <c r="D39" i="42"/>
  <c r="A41" i="40"/>
  <c r="A33" i="40"/>
  <c r="A29" i="40"/>
  <c r="A9" i="40"/>
  <c r="A32" i="40"/>
  <c r="A47" i="40"/>
  <c r="A4" i="40"/>
  <c r="A31" i="40"/>
  <c r="A25" i="40"/>
  <c r="A21" i="40"/>
  <c r="A17" i="40"/>
  <c r="A13" i="40"/>
  <c r="B23" i="42"/>
  <c r="B33" i="42"/>
  <c r="B24" i="42"/>
  <c r="B30" i="42"/>
  <c r="B26" i="42"/>
  <c r="B29" i="42"/>
  <c r="B25" i="42"/>
  <c r="B32" i="42"/>
  <c r="B28" i="42"/>
  <c r="B31" i="42"/>
  <c r="B27" i="42"/>
  <c r="A56" i="40"/>
  <c r="A63" i="40"/>
  <c r="A71" i="40"/>
  <c r="A77" i="40"/>
  <c r="A84" i="40"/>
  <c r="A92" i="40"/>
  <c r="A99" i="40"/>
  <c r="A105" i="40"/>
  <c r="A113" i="40"/>
  <c r="A120" i="40"/>
  <c r="A127" i="40"/>
  <c r="A135" i="40"/>
  <c r="A141" i="40"/>
  <c r="A148" i="40"/>
  <c r="A153" i="40"/>
  <c r="A159" i="40"/>
  <c r="A164" i="40"/>
  <c r="A169" i="40"/>
  <c r="A175" i="40"/>
  <c r="A180" i="40"/>
  <c r="A185" i="40"/>
  <c r="A191" i="40"/>
  <c r="A196" i="40"/>
  <c r="A201" i="40"/>
  <c r="A207" i="40"/>
  <c r="A212" i="40"/>
  <c r="A217" i="40"/>
  <c r="A223" i="40"/>
  <c r="A228" i="40"/>
  <c r="A233" i="40"/>
  <c r="A57" i="40"/>
  <c r="A65" i="40"/>
  <c r="A72" i="40"/>
  <c r="A79" i="40"/>
  <c r="A87" i="40"/>
  <c r="A93" i="40"/>
  <c r="A100" i="40"/>
  <c r="A108" i="40"/>
  <c r="A115" i="40"/>
  <c r="A121" i="40"/>
  <c r="A129" i="40"/>
  <c r="A136" i="40"/>
  <c r="A143" i="40"/>
  <c r="A149" i="40"/>
  <c r="A155" i="40"/>
  <c r="A160" i="40"/>
  <c r="A165" i="40"/>
  <c r="A171" i="40"/>
  <c r="A176" i="40"/>
  <c r="A181" i="40"/>
  <c r="A187" i="40"/>
  <c r="A192" i="40"/>
  <c r="A197" i="40"/>
  <c r="A203" i="40"/>
  <c r="A208" i="40"/>
  <c r="A213" i="40"/>
  <c r="A219" i="40"/>
  <c r="A224" i="40"/>
  <c r="A229" i="40"/>
  <c r="A60" i="40"/>
  <c r="A67" i="40"/>
  <c r="A73" i="40"/>
  <c r="A81" i="40"/>
  <c r="A88" i="40"/>
  <c r="A95" i="40"/>
  <c r="A103" i="40"/>
  <c r="A109" i="40"/>
  <c r="A116" i="40"/>
  <c r="A124" i="40"/>
  <c r="A131" i="40"/>
  <c r="A137" i="40"/>
  <c r="A145" i="40"/>
  <c r="A151" i="40"/>
  <c r="A156" i="40"/>
  <c r="A161" i="40"/>
  <c r="A167" i="40"/>
  <c r="A172" i="40"/>
  <c r="A177" i="40"/>
  <c r="A183" i="40"/>
  <c r="A188" i="40"/>
  <c r="A193" i="40"/>
  <c r="A199" i="40"/>
  <c r="A204" i="40"/>
  <c r="A209" i="40"/>
  <c r="A215" i="40"/>
  <c r="A220" i="40"/>
  <c r="A225" i="40"/>
  <c r="A231" i="40"/>
  <c r="A55" i="40"/>
  <c r="A61" i="40"/>
  <c r="A68" i="40"/>
  <c r="A76" i="40"/>
  <c r="A83" i="40"/>
  <c r="A89" i="40"/>
  <c r="A97" i="40"/>
  <c r="A104" i="40"/>
  <c r="A111" i="40"/>
  <c r="A119" i="40"/>
  <c r="A125" i="40"/>
  <c r="A132" i="40"/>
  <c r="A140" i="40"/>
  <c r="A147" i="40"/>
  <c r="A152" i="40"/>
  <c r="A157" i="40"/>
  <c r="A163" i="40"/>
  <c r="A168" i="40"/>
  <c r="A173" i="40"/>
  <c r="A179" i="40"/>
  <c r="A184" i="40"/>
  <c r="A189" i="40"/>
  <c r="A195" i="40"/>
  <c r="A200" i="40"/>
  <c r="A205" i="40"/>
  <c r="A211" i="40"/>
  <c r="A216" i="40"/>
  <c r="A221" i="40"/>
  <c r="A227" i="40"/>
  <c r="A232" i="40"/>
  <c r="A230" i="40"/>
  <c r="A118" i="40"/>
  <c r="A70" i="40"/>
  <c r="A128" i="40"/>
  <c r="A64" i="40"/>
  <c r="A210" i="40"/>
  <c r="A162" i="40"/>
  <c r="A130" i="40"/>
  <c r="A98" i="40"/>
  <c r="A66" i="40"/>
  <c r="A123" i="40"/>
  <c r="A142" i="40"/>
  <c r="A78" i="40"/>
  <c r="A96" i="40"/>
  <c r="A194" i="40"/>
  <c r="A101" i="40"/>
  <c r="A158" i="40"/>
  <c r="A94" i="40"/>
  <c r="A117" i="40"/>
  <c r="A222" i="40"/>
  <c r="A206" i="40"/>
  <c r="A174" i="40"/>
  <c r="A126" i="40"/>
  <c r="A62" i="40"/>
  <c r="A218" i="40"/>
  <c r="A202" i="40"/>
  <c r="A186" i="40"/>
  <c r="A170" i="40"/>
  <c r="A154" i="40"/>
  <c r="A138" i="40"/>
  <c r="A122" i="40"/>
  <c r="A106" i="40"/>
  <c r="A90" i="40"/>
  <c r="A74" i="40"/>
  <c r="A58" i="40"/>
  <c r="A133" i="40"/>
  <c r="A112" i="40"/>
  <c r="A91" i="40"/>
  <c r="A69" i="40"/>
  <c r="A214" i="40"/>
  <c r="A198" i="40"/>
  <c r="A182" i="40"/>
  <c r="A166" i="40"/>
  <c r="A150" i="40"/>
  <c r="A134" i="40"/>
  <c r="A102" i="40"/>
  <c r="A86" i="40"/>
  <c r="A59" i="40"/>
  <c r="A107" i="40"/>
  <c r="A85" i="40"/>
  <c r="A226" i="40"/>
  <c r="A178" i="40"/>
  <c r="A146" i="40"/>
  <c r="A114" i="40"/>
  <c r="A82" i="40"/>
  <c r="A144" i="40"/>
  <c r="A80" i="40"/>
  <c r="A190" i="40"/>
  <c r="A110" i="40"/>
  <c r="A139" i="40"/>
  <c r="A75" i="40"/>
  <c r="A48" i="40"/>
  <c r="M191" i="40"/>
  <c r="M207" i="40"/>
  <c r="M143" i="40"/>
  <c r="M159" i="40"/>
  <c r="M151" i="40"/>
  <c r="M150" i="40"/>
  <c r="M111" i="40"/>
  <c r="M79" i="40"/>
  <c r="M63" i="40"/>
  <c r="M119" i="40"/>
  <c r="M118" i="40"/>
  <c r="M95" i="40"/>
  <c r="M87" i="40"/>
  <c r="M86" i="40"/>
  <c r="M71" i="40"/>
  <c r="A52" i="40"/>
  <c r="A51" i="40"/>
  <c r="A50" i="40"/>
  <c r="A54" i="40"/>
  <c r="A53" i="40"/>
  <c r="A49" i="40"/>
  <c r="E24" i="42"/>
  <c r="P12" i="42"/>
  <c r="C24" i="42"/>
  <c r="D24" i="42"/>
  <c r="F24" i="42"/>
  <c r="M230" i="40"/>
  <c r="M147" i="40"/>
  <c r="M141" i="40"/>
  <c r="M103" i="40"/>
  <c r="M102" i="40"/>
  <c r="M91" i="40"/>
  <c r="M83" i="40"/>
  <c r="M77" i="40"/>
  <c r="M203" i="40"/>
  <c r="M195" i="40"/>
  <c r="M139" i="40"/>
  <c r="M125" i="40"/>
  <c r="M75" i="40"/>
  <c r="M67" i="40"/>
  <c r="M199" i="40"/>
  <c r="M198" i="40"/>
  <c r="M187" i="40"/>
  <c r="M179" i="40"/>
  <c r="M135" i="40"/>
  <c r="M123" i="40"/>
  <c r="M115" i="40"/>
  <c r="M109" i="40"/>
  <c r="M59" i="40"/>
  <c r="M183" i="40"/>
  <c r="M163" i="40"/>
  <c r="M157" i="40"/>
  <c r="M107" i="40"/>
  <c r="M99" i="40"/>
  <c r="M97" i="40"/>
  <c r="M209" i="40"/>
  <c r="M204" i="40"/>
  <c r="M190" i="40"/>
  <c r="M188" i="40"/>
  <c r="M172" i="40"/>
  <c r="M156" i="40"/>
  <c r="M149" i="40"/>
  <c r="M142" i="40"/>
  <c r="M140" i="40"/>
  <c r="M126" i="40"/>
  <c r="M124" i="40"/>
  <c r="M117" i="40"/>
  <c r="M110" i="40"/>
  <c r="M108" i="40"/>
  <c r="M101" i="40"/>
  <c r="M94" i="40"/>
  <c r="M92" i="40"/>
  <c r="M89" i="40"/>
  <c r="M78" i="40"/>
  <c r="M76" i="40"/>
  <c r="M70" i="40"/>
  <c r="M69" i="40"/>
  <c r="M65" i="40"/>
  <c r="M60" i="40"/>
  <c r="M232" i="40"/>
  <c r="M202" i="40"/>
  <c r="M200" i="40"/>
  <c r="M189" i="40"/>
  <c r="M186" i="40"/>
  <c r="M184" i="40"/>
  <c r="M161" i="40"/>
  <c r="M152" i="40"/>
  <c r="M145" i="40"/>
  <c r="M138" i="40"/>
  <c r="M136" i="40"/>
  <c r="M129" i="40"/>
  <c r="M122" i="40"/>
  <c r="M120" i="40"/>
  <c r="M113" i="40"/>
  <c r="M106" i="40"/>
  <c r="M104" i="40"/>
  <c r="M90" i="40"/>
  <c r="M88" i="40"/>
  <c r="M85" i="40"/>
  <c r="M81" i="40"/>
  <c r="M74" i="40"/>
  <c r="M72" i="40"/>
  <c r="M61" i="40"/>
  <c r="M58" i="40"/>
  <c r="M233" i="40"/>
  <c r="M201" i="40"/>
  <c r="M196" i="40"/>
  <c r="M185" i="40"/>
  <c r="M180" i="40"/>
  <c r="M164" i="40"/>
  <c r="M158" i="40"/>
  <c r="M148" i="40"/>
  <c r="M116" i="40"/>
  <c r="M100" i="40"/>
  <c r="M84" i="40"/>
  <c r="M68" i="40"/>
  <c r="M62" i="40"/>
  <c r="M208" i="40"/>
  <c r="M197" i="40"/>
  <c r="M194" i="40"/>
  <c r="M192" i="40"/>
  <c r="M181" i="40"/>
  <c r="M162" i="40"/>
  <c r="M160" i="40"/>
  <c r="M154" i="40"/>
  <c r="M153" i="40"/>
  <c r="M146" i="40"/>
  <c r="M144" i="40"/>
  <c r="M137" i="40"/>
  <c r="M130" i="40"/>
  <c r="M128" i="40"/>
  <c r="M121" i="40"/>
  <c r="M114" i="40"/>
  <c r="M112" i="40"/>
  <c r="M105" i="40"/>
  <c r="M98" i="40"/>
  <c r="M96" i="40"/>
  <c r="M93" i="40"/>
  <c r="M82" i="40"/>
  <c r="M80" i="40"/>
  <c r="M73" i="40"/>
  <c r="M66" i="40"/>
  <c r="M64" i="40"/>
  <c r="P9" i="42"/>
  <c r="P5" i="42"/>
  <c r="P8" i="42"/>
  <c r="P4" i="42"/>
  <c r="P10" i="42"/>
  <c r="P7" i="42"/>
  <c r="P11" i="42"/>
  <c r="P13" i="42"/>
  <c r="L3" i="42"/>
  <c r="M3" i="42" s="1"/>
  <c r="D22" i="42"/>
  <c r="F23" i="42"/>
  <c r="B22" i="42"/>
  <c r="E22" i="42"/>
  <c r="K3" i="42"/>
  <c r="F22" i="42"/>
  <c r="K2" i="42"/>
  <c r="C22" i="42"/>
  <c r="L2" i="42"/>
  <c r="M2" i="42" s="1"/>
  <c r="D23" i="42"/>
  <c r="E23" i="42"/>
  <c r="C23" i="42"/>
  <c r="M50" i="40"/>
  <c r="M42" i="40"/>
  <c r="M36" i="40"/>
  <c r="M14" i="40"/>
  <c r="M55" i="40"/>
  <c r="M48" i="40"/>
  <c r="M41" i="40"/>
  <c r="M37" i="40"/>
  <c r="M34" i="40"/>
  <c r="M7" i="40"/>
  <c r="M27" i="40"/>
  <c r="M23" i="40"/>
  <c r="M19" i="40"/>
  <c r="M54" i="40"/>
  <c r="M46" i="40"/>
  <c r="M57" i="40"/>
  <c r="M51" i="40"/>
  <c r="M47" i="40"/>
  <c r="M40" i="40"/>
  <c r="M38" i="40"/>
  <c r="M33" i="40"/>
  <c r="M32" i="40"/>
  <c r="M29" i="40"/>
  <c r="M28" i="40"/>
  <c r="M25" i="40"/>
  <c r="M24" i="40"/>
  <c r="M21" i="40"/>
  <c r="M20" i="40"/>
  <c r="M17" i="40"/>
  <c r="M16" i="40"/>
  <c r="M11" i="40"/>
  <c r="M3" i="40"/>
  <c r="M4" i="40"/>
  <c r="M53" i="40"/>
  <c r="M43" i="40"/>
  <c r="M35" i="40"/>
  <c r="M30" i="40"/>
  <c r="M26" i="40"/>
  <c r="M22" i="40"/>
  <c r="M18" i="40"/>
  <c r="M13" i="40"/>
  <c r="M12" i="40"/>
  <c r="M9" i="40"/>
  <c r="M8" i="40"/>
  <c r="M5" i="40"/>
  <c r="M56" i="40"/>
  <c r="M52" i="40"/>
  <c r="M49" i="40"/>
  <c r="M45" i="40"/>
  <c r="M44" i="40"/>
  <c r="M39" i="40"/>
  <c r="M31" i="40"/>
  <c r="M15" i="40"/>
  <c r="M10" i="40"/>
  <c r="M6" i="40"/>
  <c r="M2" i="40"/>
  <c r="H27" i="50" l="1"/>
  <c r="G27" i="50"/>
  <c r="E27" i="50"/>
  <c r="B27" i="50"/>
  <c r="I27" i="50"/>
  <c r="B23" i="50"/>
  <c r="B20" i="50"/>
  <c r="G25" i="50"/>
  <c r="B25" i="50"/>
  <c r="H24" i="50"/>
  <c r="G24" i="50"/>
  <c r="G26" i="50"/>
  <c r="I25" i="50"/>
  <c r="B22" i="50"/>
  <c r="H26" i="50"/>
  <c r="B19" i="50"/>
  <c r="E26" i="50"/>
  <c r="B26" i="50"/>
  <c r="H25" i="50"/>
  <c r="B21" i="50"/>
  <c r="I26" i="50"/>
  <c r="I24" i="50"/>
  <c r="E25" i="50"/>
  <c r="B24" i="50"/>
  <c r="E24" i="50"/>
  <c r="H30" i="50"/>
  <c r="H29" i="50"/>
  <c r="H28" i="50"/>
  <c r="B29" i="50"/>
  <c r="B28" i="50"/>
  <c r="B30" i="50"/>
  <c r="I30" i="50"/>
  <c r="I28" i="50"/>
  <c r="I29" i="50"/>
  <c r="W70" i="40"/>
  <c r="W86" i="40"/>
  <c r="W38" i="40"/>
  <c r="W17" i="40"/>
  <c r="W9" i="40"/>
  <c r="W66" i="40"/>
  <c r="W82" i="40"/>
  <c r="W98" i="40"/>
  <c r="W114" i="40"/>
  <c r="W130" i="40"/>
  <c r="W146" i="40"/>
  <c r="W162" i="40"/>
  <c r="W178" i="40"/>
  <c r="W194" i="40"/>
  <c r="W210" i="40"/>
  <c r="W34" i="40"/>
  <c r="W50" i="40"/>
  <c r="W102" i="40"/>
  <c r="W118" i="40"/>
  <c r="W134" i="40"/>
  <c r="W150" i="40"/>
  <c r="W166" i="40"/>
  <c r="W182" i="40"/>
  <c r="W198" i="40"/>
  <c r="W214" i="40"/>
  <c r="W54" i="40"/>
  <c r="W36" i="40"/>
  <c r="W87" i="40"/>
  <c r="W147" i="40"/>
  <c r="W199" i="40"/>
  <c r="W62" i="40"/>
  <c r="W77" i="40"/>
  <c r="W93" i="40"/>
  <c r="W109" i="40"/>
  <c r="W125" i="40"/>
  <c r="W141" i="40"/>
  <c r="W157" i="40"/>
  <c r="W173" i="40"/>
  <c r="W189" i="40"/>
  <c r="W205" i="40"/>
  <c r="W31" i="40"/>
  <c r="W47" i="40"/>
  <c r="W23" i="40"/>
  <c r="W48" i="40"/>
  <c r="W83" i="40"/>
  <c r="W155" i="40"/>
  <c r="W29" i="40"/>
  <c r="W21" i="40"/>
  <c r="W72" i="40"/>
  <c r="W88" i="40"/>
  <c r="W104" i="40"/>
  <c r="W120" i="40"/>
  <c r="W136" i="40"/>
  <c r="W152" i="40"/>
  <c r="W168" i="40"/>
  <c r="W184" i="40"/>
  <c r="W200" i="40"/>
  <c r="W216" i="40"/>
  <c r="W14" i="40"/>
  <c r="W127" i="40"/>
  <c r="W179" i="40"/>
  <c r="W61" i="40"/>
  <c r="W75" i="40"/>
  <c r="W143" i="40"/>
  <c r="W231" i="40"/>
  <c r="W15" i="40"/>
  <c r="W74" i="40"/>
  <c r="W90" i="40"/>
  <c r="W106" i="40"/>
  <c r="W122" i="40"/>
  <c r="W138" i="40"/>
  <c r="W154" i="40"/>
  <c r="W170" i="40"/>
  <c r="W186" i="40"/>
  <c r="W202" i="40"/>
  <c r="W230" i="40"/>
  <c r="W42" i="40"/>
  <c r="W18" i="40"/>
  <c r="W52" i="40"/>
  <c r="W103" i="40"/>
  <c r="W159" i="40"/>
  <c r="W207" i="40"/>
  <c r="W65" i="40"/>
  <c r="W81" i="40"/>
  <c r="W97" i="40"/>
  <c r="W113" i="40"/>
  <c r="W129" i="40"/>
  <c r="W145" i="40"/>
  <c r="W161" i="40"/>
  <c r="W177" i="40"/>
  <c r="W193" i="40"/>
  <c r="W209" i="40"/>
  <c r="W35" i="40"/>
  <c r="W51" i="40"/>
  <c r="W27" i="40"/>
  <c r="W13" i="40"/>
  <c r="W56" i="40"/>
  <c r="W99" i="40"/>
  <c r="W175" i="40"/>
  <c r="W33" i="40"/>
  <c r="W49" i="40"/>
  <c r="W25" i="40"/>
  <c r="W76" i="40"/>
  <c r="W92" i="40"/>
  <c r="W108" i="40"/>
  <c r="W124" i="40"/>
  <c r="W140" i="40"/>
  <c r="W246" i="40"/>
  <c r="W301" i="40"/>
  <c r="W247" i="40"/>
  <c r="W298" i="40"/>
  <c r="W278" i="40"/>
  <c r="W225" i="40"/>
  <c r="W248" i="40"/>
  <c r="W253" i="40"/>
  <c r="W284" i="40"/>
  <c r="W286" i="40"/>
  <c r="W310" i="40"/>
  <c r="W222" i="40"/>
  <c r="W265" i="40"/>
  <c r="W242" i="40"/>
  <c r="W254" i="40"/>
  <c r="W291" i="40"/>
  <c r="W237" i="40"/>
  <c r="W326" i="40"/>
  <c r="W293" i="40"/>
  <c r="W257" i="40"/>
  <c r="W263" i="40"/>
  <c r="W309" i="40"/>
  <c r="W322" i="40"/>
  <c r="W319" i="40"/>
  <c r="W264" i="40"/>
  <c r="W275" i="40"/>
  <c r="W283" i="40"/>
  <c r="W156" i="40"/>
  <c r="W172" i="40"/>
  <c r="W188" i="40"/>
  <c r="W204" i="40"/>
  <c r="W232" i="40"/>
  <c r="W79" i="40"/>
  <c r="W139" i="40"/>
  <c r="W195" i="40"/>
  <c r="W63" i="40"/>
  <c r="W91" i="40"/>
  <c r="W163" i="40"/>
  <c r="W249" i="40"/>
  <c r="W280" i="40"/>
  <c r="W306" i="40"/>
  <c r="W267" i="40"/>
  <c r="W328" i="40"/>
  <c r="W316" i="40"/>
  <c r="W224" i="40"/>
  <c r="W300" i="40"/>
  <c r="W266" i="40"/>
  <c r="W299" i="40"/>
  <c r="W317" i="40"/>
  <c r="W277" i="40"/>
  <c r="W318" i="40"/>
  <c r="W292" i="40"/>
  <c r="W307" i="40"/>
  <c r="W235" i="40"/>
  <c r="W305" i="40"/>
  <c r="W276" i="40"/>
  <c r="W220" i="40"/>
  <c r="W229" i="40"/>
  <c r="W261" i="40"/>
  <c r="W250" i="40"/>
  <c r="W325" i="40"/>
  <c r="W294" i="40"/>
  <c r="W268" i="40"/>
  <c r="W221" i="40"/>
  <c r="W227" i="40"/>
  <c r="W271" i="40"/>
  <c r="W78" i="40"/>
  <c r="W94" i="40"/>
  <c r="W110" i="40"/>
  <c r="W126" i="40"/>
  <c r="W142" i="40"/>
  <c r="W158" i="40"/>
  <c r="W174" i="40"/>
  <c r="W190" i="40"/>
  <c r="W206" i="40"/>
  <c r="W30" i="40"/>
  <c r="W46" i="40"/>
  <c r="W22" i="40"/>
  <c r="W8" i="40"/>
  <c r="W20" i="40"/>
  <c r="W111" i="40"/>
  <c r="W167" i="40"/>
  <c r="W58" i="40"/>
  <c r="W69" i="40"/>
  <c r="W85" i="40"/>
  <c r="W101" i="40"/>
  <c r="W117" i="40"/>
  <c r="W133" i="40"/>
  <c r="W149" i="40"/>
  <c r="W165" i="40"/>
  <c r="W181" i="40"/>
  <c r="W197" i="40"/>
  <c r="W213" i="40"/>
  <c r="W39" i="40"/>
  <c r="W55" i="40"/>
  <c r="W16" i="40"/>
  <c r="W32" i="40"/>
  <c r="W28" i="40"/>
  <c r="W123" i="40"/>
  <c r="W187" i="40"/>
  <c r="W37" i="40"/>
  <c r="W53" i="40"/>
  <c r="W64" i="40"/>
  <c r="W80" i="40"/>
  <c r="W96" i="40"/>
  <c r="W112" i="40"/>
  <c r="W128" i="40"/>
  <c r="W144" i="40"/>
  <c r="W160" i="40"/>
  <c r="W176" i="40"/>
  <c r="W192" i="40"/>
  <c r="W208" i="40"/>
  <c r="W44" i="40"/>
  <c r="W95" i="40"/>
  <c r="W151" i="40"/>
  <c r="W211" i="40"/>
  <c r="W67" i="40"/>
  <c r="W107" i="40"/>
  <c r="W183" i="40"/>
  <c r="W7" i="40"/>
  <c r="W245" i="40"/>
  <c r="W234" i="40"/>
  <c r="W315" i="40"/>
  <c r="W296" i="40"/>
  <c r="W321" i="40"/>
  <c r="W274" i="40"/>
  <c r="W241" i="40"/>
  <c r="W281" i="40"/>
  <c r="W255" i="40"/>
  <c r="W289" i="40"/>
  <c r="W272" i="40"/>
  <c r="W295" i="40"/>
  <c r="W223" i="40"/>
  <c r="W260" i="40"/>
  <c r="W256" i="40"/>
  <c r="W258" i="40"/>
  <c r="W262" i="40"/>
  <c r="W311" i="40"/>
  <c r="W320" i="40"/>
  <c r="W218" i="40"/>
  <c r="W297" i="40"/>
  <c r="W243" i="40"/>
  <c r="W304" i="40"/>
  <c r="W238" i="40"/>
  <c r="W288" i="40"/>
  <c r="W314" i="40"/>
  <c r="W219" i="40"/>
  <c r="W26" i="40"/>
  <c r="W12" i="40"/>
  <c r="W6" i="40"/>
  <c r="W131" i="40"/>
  <c r="W191" i="40"/>
  <c r="W60" i="40"/>
  <c r="W73" i="40"/>
  <c r="W89" i="40"/>
  <c r="W105" i="40"/>
  <c r="W121" i="40"/>
  <c r="W137" i="40"/>
  <c r="W153" i="40"/>
  <c r="W169" i="40"/>
  <c r="W185" i="40"/>
  <c r="W201" i="40"/>
  <c r="W233" i="40"/>
  <c r="W43" i="40"/>
  <c r="W19" i="40"/>
  <c r="W5" i="40"/>
  <c r="W40" i="40"/>
  <c r="W10" i="40"/>
  <c r="W135" i="40"/>
  <c r="W203" i="40"/>
  <c r="W41" i="40"/>
  <c r="W57" i="40"/>
  <c r="W68" i="40"/>
  <c r="W84" i="40"/>
  <c r="W100" i="40"/>
  <c r="W116" i="40"/>
  <c r="W132" i="40"/>
  <c r="W148" i="40"/>
  <c r="W164" i="40"/>
  <c r="W180" i="40"/>
  <c r="W196" i="40"/>
  <c r="W212" i="40"/>
  <c r="W24" i="40"/>
  <c r="W115" i="40"/>
  <c r="W171" i="40"/>
  <c r="W59" i="40"/>
  <c r="W71" i="40"/>
  <c r="W119" i="40"/>
  <c r="W215" i="40"/>
  <c r="W11" i="40"/>
  <c r="W252" i="40"/>
  <c r="W302" i="40"/>
  <c r="W327" i="40"/>
  <c r="W279" i="40"/>
  <c r="W323" i="40"/>
  <c r="W270" i="40"/>
  <c r="W244" i="40"/>
  <c r="W240" i="40"/>
  <c r="W259" i="40"/>
  <c r="W282" i="40"/>
  <c r="W285" i="40"/>
  <c r="W290" i="40"/>
  <c r="W226" i="40"/>
  <c r="W269" i="40"/>
  <c r="W236" i="40"/>
  <c r="W251" i="40"/>
  <c r="W273" i="40"/>
  <c r="W303" i="40"/>
  <c r="W217" i="40"/>
  <c r="W228" i="40"/>
  <c r="W239" i="40"/>
  <c r="W287" i="40"/>
  <c r="W308" i="40"/>
  <c r="W324" i="40"/>
  <c r="W312" i="40"/>
  <c r="W313" i="40"/>
  <c r="W45" i="40"/>
  <c r="C160" i="48" s="1"/>
  <c r="O57" i="52"/>
  <c r="O56" i="52"/>
  <c r="O58" i="52"/>
  <c r="G54" i="52"/>
  <c r="O55" i="52"/>
  <c r="T264" i="40"/>
  <c r="T265" i="40" s="1"/>
  <c r="T266" i="40" s="1"/>
  <c r="T267" i="40" s="1"/>
  <c r="T268" i="40" s="1"/>
  <c r="T269" i="40" s="1"/>
  <c r="T270" i="40" s="1"/>
  <c r="T271" i="40" s="1"/>
  <c r="D11" i="46"/>
  <c r="G11" i="46"/>
  <c r="E11" i="46"/>
  <c r="F11" i="46"/>
  <c r="D11" i="47"/>
  <c r="E11" i="47"/>
  <c r="F11" i="47"/>
  <c r="G11" i="47"/>
  <c r="F9" i="46"/>
  <c r="D9" i="46"/>
  <c r="E9" i="46"/>
  <c r="E10" i="46"/>
  <c r="G10" i="46"/>
  <c r="D10" i="46"/>
  <c r="F10" i="46"/>
  <c r="G9" i="46"/>
  <c r="B15" i="43"/>
  <c r="B14" i="43"/>
  <c r="B13" i="43"/>
  <c r="B12" i="43"/>
  <c r="E20" i="50"/>
  <c r="H20" i="50"/>
  <c r="G22" i="50"/>
  <c r="G18" i="50"/>
  <c r="G20" i="50"/>
  <c r="E18" i="50"/>
  <c r="E22" i="50"/>
  <c r="G21" i="50"/>
  <c r="H22" i="50"/>
  <c r="H18" i="50"/>
  <c r="H21" i="50"/>
  <c r="I18" i="50"/>
  <c r="E21" i="50"/>
  <c r="I22" i="50"/>
  <c r="I21" i="50"/>
  <c r="I20" i="50"/>
  <c r="E23" i="50"/>
  <c r="G23" i="50"/>
  <c r="H19" i="50"/>
  <c r="G19" i="50"/>
  <c r="E19" i="50"/>
  <c r="I19" i="50"/>
  <c r="I23" i="50"/>
  <c r="H23" i="50"/>
  <c r="F7" i="46"/>
  <c r="D7" i="46"/>
  <c r="E6" i="46"/>
  <c r="E7" i="46"/>
  <c r="F6" i="46"/>
  <c r="D6" i="46"/>
  <c r="E17" i="50"/>
  <c r="G17" i="50"/>
  <c r="G6" i="46"/>
  <c r="G7" i="46"/>
  <c r="F8" i="46"/>
  <c r="D8" i="46"/>
  <c r="E8" i="46"/>
  <c r="G8" i="46"/>
  <c r="L39" i="49"/>
  <c r="H39" i="49"/>
  <c r="C39" i="49"/>
  <c r="D39" i="49"/>
  <c r="E39" i="49"/>
  <c r="I39" i="49"/>
  <c r="F39" i="49"/>
  <c r="O39" i="49" s="1"/>
  <c r="K39" i="49"/>
  <c r="M39" i="49"/>
  <c r="J39" i="49"/>
  <c r="G16" i="50"/>
  <c r="E16" i="50"/>
  <c r="B16" i="50"/>
  <c r="H16" i="50"/>
  <c r="I16" i="50"/>
  <c r="C59" i="49"/>
  <c r="E58" i="49"/>
  <c r="E59" i="49"/>
  <c r="H59" i="49"/>
  <c r="D58" i="49"/>
  <c r="D59" i="49"/>
  <c r="F58" i="49"/>
  <c r="N58" i="49" s="1"/>
  <c r="F59" i="49"/>
  <c r="N59" i="49" s="1"/>
  <c r="H58" i="49"/>
  <c r="C58" i="49"/>
  <c r="I58" i="49"/>
  <c r="I59" i="49"/>
  <c r="H40" i="49"/>
  <c r="I57" i="49"/>
  <c r="D57" i="49"/>
  <c r="H57" i="49"/>
  <c r="E57" i="49"/>
  <c r="F57" i="49"/>
  <c r="O57" i="49" s="1"/>
  <c r="C57" i="49"/>
  <c r="M58" i="49"/>
  <c r="L57" i="49"/>
  <c r="M59" i="49"/>
  <c r="K57" i="49"/>
  <c r="L59" i="49"/>
  <c r="L58" i="49"/>
  <c r="N57" i="49"/>
  <c r="E7" i="43"/>
  <c r="K59" i="49"/>
  <c r="K58" i="49"/>
  <c r="J57" i="49"/>
  <c r="O58" i="49"/>
  <c r="J58" i="49"/>
  <c r="M57" i="49"/>
  <c r="J59" i="49"/>
  <c r="B17" i="50"/>
  <c r="H17" i="50"/>
  <c r="I17" i="50"/>
  <c r="I6" i="54"/>
  <c r="I7" i="54"/>
  <c r="H7" i="43"/>
  <c r="H11" i="50"/>
  <c r="I11" i="50"/>
  <c r="E11" i="50"/>
  <c r="G11" i="50"/>
  <c r="D48" i="49"/>
  <c r="H48" i="49"/>
  <c r="M48" i="49"/>
  <c r="L47" i="49"/>
  <c r="H47" i="49"/>
  <c r="J54" i="49"/>
  <c r="L54" i="49"/>
  <c r="E48" i="49"/>
  <c r="J48" i="49"/>
  <c r="C48" i="49"/>
  <c r="E47" i="49"/>
  <c r="M47" i="49"/>
  <c r="K54" i="49"/>
  <c r="C54" i="49"/>
  <c r="H54" i="49"/>
  <c r="H37" i="49"/>
  <c r="D37" i="49"/>
  <c r="C36" i="49"/>
  <c r="M40" i="49"/>
  <c r="J40" i="49"/>
  <c r="I38" i="49"/>
  <c r="K38" i="49"/>
  <c r="F48" i="49"/>
  <c r="K48" i="49"/>
  <c r="I47" i="49"/>
  <c r="C47" i="49"/>
  <c r="K47" i="49"/>
  <c r="I54" i="49"/>
  <c r="F54" i="49"/>
  <c r="E37" i="49"/>
  <c r="M37" i="49"/>
  <c r="K37" i="49"/>
  <c r="F36" i="49"/>
  <c r="L40" i="49"/>
  <c r="F40" i="49"/>
  <c r="C38" i="49"/>
  <c r="M38" i="49"/>
  <c r="E38" i="49"/>
  <c r="C37" i="49"/>
  <c r="E36" i="49"/>
  <c r="K40" i="49"/>
  <c r="D38" i="49"/>
  <c r="M54" i="49"/>
  <c r="I37" i="49"/>
  <c r="C40" i="49"/>
  <c r="E40" i="49"/>
  <c r="F38" i="49"/>
  <c r="I48" i="49"/>
  <c r="L48" i="49"/>
  <c r="J47" i="49"/>
  <c r="D47" i="49"/>
  <c r="F47" i="49"/>
  <c r="E54" i="49"/>
  <c r="D54" i="49"/>
  <c r="F37" i="49"/>
  <c r="J37" i="49"/>
  <c r="D40" i="49"/>
  <c r="H38" i="49"/>
  <c r="J38" i="49"/>
  <c r="L37" i="49"/>
  <c r="D36" i="49"/>
  <c r="I40" i="49"/>
  <c r="L38" i="49"/>
  <c r="G7" i="43"/>
  <c r="I7" i="43"/>
  <c r="E15" i="50"/>
  <c r="G15" i="50"/>
  <c r="E13" i="50"/>
  <c r="G10" i="50"/>
  <c r="E8" i="50"/>
  <c r="E12" i="50"/>
  <c r="G14" i="50"/>
  <c r="G12" i="50"/>
  <c r="E10" i="50"/>
  <c r="G8" i="50"/>
  <c r="E14" i="50"/>
  <c r="G9" i="50"/>
  <c r="G13" i="50"/>
  <c r="E9" i="50"/>
  <c r="D10" i="47"/>
  <c r="E10" i="47"/>
  <c r="F10" i="47"/>
  <c r="G10" i="47"/>
  <c r="G7" i="47"/>
  <c r="E5" i="43"/>
  <c r="I8" i="43"/>
  <c r="H10" i="43"/>
  <c r="H13" i="43"/>
  <c r="I10" i="43"/>
  <c r="I5" i="43"/>
  <c r="G3" i="43"/>
  <c r="E4" i="43"/>
  <c r="E14" i="43"/>
  <c r="I9" i="43"/>
  <c r="E8" i="43"/>
  <c r="G16" i="43"/>
  <c r="G6" i="43"/>
  <c r="H16" i="43"/>
  <c r="I3" i="43"/>
  <c r="E3" i="43"/>
  <c r="B2" i="43"/>
  <c r="G2" i="43"/>
  <c r="C14" i="44" s="1"/>
  <c r="G13" i="44" s="1"/>
  <c r="G5" i="43"/>
  <c r="I16" i="43"/>
  <c r="B9" i="43"/>
  <c r="H9" i="43"/>
  <c r="I11" i="43"/>
  <c r="B10" i="43"/>
  <c r="H15" i="43"/>
  <c r="I15" i="43"/>
  <c r="E9" i="43"/>
  <c r="G9" i="43"/>
  <c r="E11" i="43"/>
  <c r="B5" i="43"/>
  <c r="B4" i="43"/>
  <c r="I10" i="54"/>
  <c r="B11" i="43"/>
  <c r="G4" i="43"/>
  <c r="E10" i="43"/>
  <c r="I4" i="43"/>
  <c r="G12" i="43"/>
  <c r="H4" i="43"/>
  <c r="G10" i="43"/>
  <c r="H12" i="43"/>
  <c r="H11" i="43"/>
  <c r="G11" i="43"/>
  <c r="H6" i="43"/>
  <c r="E13" i="43"/>
  <c r="G8" i="43"/>
  <c r="G15" i="43"/>
  <c r="B7" i="43"/>
  <c r="E15" i="43"/>
  <c r="H2" i="43"/>
  <c r="E2" i="43"/>
  <c r="E6" i="43"/>
  <c r="G14" i="43"/>
  <c r="I6" i="43"/>
  <c r="H3" i="43"/>
  <c r="H14" i="43"/>
  <c r="E12" i="43"/>
  <c r="I13" i="43"/>
  <c r="H8" i="43"/>
  <c r="B8" i="43"/>
  <c r="G13" i="43"/>
  <c r="I12" i="43"/>
  <c r="H5" i="43"/>
  <c r="I14" i="43"/>
  <c r="B6" i="43"/>
  <c r="I2" i="43"/>
  <c r="B3" i="43"/>
  <c r="P3" i="42"/>
  <c r="I8" i="54"/>
  <c r="I5" i="54"/>
  <c r="I12" i="54"/>
  <c r="I9" i="54"/>
  <c r="B5" i="54"/>
  <c r="P2" i="42"/>
  <c r="I6" i="50"/>
  <c r="I10" i="50"/>
  <c r="I14" i="50"/>
  <c r="I3" i="50"/>
  <c r="I7" i="50"/>
  <c r="I15" i="50"/>
  <c r="I4" i="50"/>
  <c r="I8" i="50"/>
  <c r="I12" i="50"/>
  <c r="I5" i="50"/>
  <c r="I9" i="50"/>
  <c r="I13" i="50"/>
  <c r="I2" i="50"/>
  <c r="H2" i="50"/>
  <c r="H3" i="50"/>
  <c r="H14" i="50"/>
  <c r="E4" i="50"/>
  <c r="G4" i="50"/>
  <c r="G7" i="50"/>
  <c r="B3" i="50"/>
  <c r="B7" i="50"/>
  <c r="H6" i="50"/>
  <c r="H7" i="50"/>
  <c r="B14" i="50"/>
  <c r="E5" i="50"/>
  <c r="G6" i="50"/>
  <c r="B4" i="50"/>
  <c r="H4" i="50"/>
  <c r="E3" i="50"/>
  <c r="E7" i="50"/>
  <c r="G2" i="50"/>
  <c r="G5" i="50"/>
  <c r="B2" i="50"/>
  <c r="B6" i="50"/>
  <c r="H5" i="50"/>
  <c r="E2" i="50"/>
  <c r="E6" i="50"/>
  <c r="G3" i="50"/>
  <c r="B5" i="50"/>
  <c r="B12" i="50"/>
  <c r="B9" i="50"/>
  <c r="B15" i="50"/>
  <c r="B13" i="50"/>
  <c r="H15" i="50"/>
  <c r="H8" i="50"/>
  <c r="H10" i="50"/>
  <c r="H9" i="50"/>
  <c r="H13" i="50"/>
  <c r="B8" i="50"/>
  <c r="B11" i="50"/>
  <c r="B10" i="50"/>
  <c r="H12" i="50"/>
  <c r="D16" i="49"/>
  <c r="G8" i="47"/>
  <c r="M29" i="49"/>
  <c r="E10" i="49"/>
  <c r="E15" i="49"/>
  <c r="K46" i="49"/>
  <c r="D32" i="49"/>
  <c r="K16" i="49"/>
  <c r="I25" i="49"/>
  <c r="F64" i="49"/>
  <c r="F51" i="49"/>
  <c r="E31" i="49"/>
  <c r="L21" i="49"/>
  <c r="C53" i="49"/>
  <c r="F66" i="49"/>
  <c r="M31" i="49"/>
  <c r="F55" i="49"/>
  <c r="E24" i="49"/>
  <c r="M16" i="49"/>
  <c r="J44" i="49"/>
  <c r="L66" i="49"/>
  <c r="C6" i="49"/>
  <c r="F19" i="49"/>
  <c r="F27" i="49"/>
  <c r="C45" i="49"/>
  <c r="K9" i="49"/>
  <c r="L19" i="49"/>
  <c r="K50" i="49"/>
  <c r="H49" i="49"/>
  <c r="F8" i="49"/>
  <c r="N8" i="49" s="1"/>
  <c r="C17" i="49"/>
  <c r="C25" i="49"/>
  <c r="C55" i="49"/>
  <c r="I7" i="49"/>
  <c r="I17" i="49"/>
  <c r="J26" i="49"/>
  <c r="H45" i="49"/>
  <c r="L64" i="49"/>
  <c r="E46" i="49"/>
  <c r="E60" i="49"/>
  <c r="H7" i="49"/>
  <c r="J15" i="49"/>
  <c r="L20" i="49"/>
  <c r="H26" i="49"/>
  <c r="J31" i="49"/>
  <c r="L44" i="49"/>
  <c r="H52" i="49"/>
  <c r="J64" i="49"/>
  <c r="M22" i="49"/>
  <c r="I28" i="49"/>
  <c r="K36" i="49"/>
  <c r="M46" i="49"/>
  <c r="I55" i="49"/>
  <c r="K66" i="49"/>
  <c r="M65" i="49"/>
  <c r="I60" i="49"/>
  <c r="K53" i="49"/>
  <c r="M50" i="49"/>
  <c r="I46" i="49"/>
  <c r="M32" i="49"/>
  <c r="I30" i="49"/>
  <c r="K27" i="49"/>
  <c r="M24" i="49"/>
  <c r="I22" i="49"/>
  <c r="J66" i="49"/>
  <c r="L60" i="49"/>
  <c r="H55" i="49"/>
  <c r="J51" i="49"/>
  <c r="L46" i="49"/>
  <c r="H44" i="49"/>
  <c r="J36" i="49"/>
  <c r="L30" i="49"/>
  <c r="H28" i="49"/>
  <c r="J25" i="49"/>
  <c r="L22" i="49"/>
  <c r="H20" i="49"/>
  <c r="J17" i="49"/>
  <c r="L14" i="49"/>
  <c r="H9" i="49"/>
  <c r="J6" i="49"/>
  <c r="E66" i="49"/>
  <c r="E56" i="49"/>
  <c r="E51" i="49"/>
  <c r="E45" i="49"/>
  <c r="J60" i="49"/>
  <c r="H51" i="49"/>
  <c r="J30" i="49"/>
  <c r="H25" i="49"/>
  <c r="M19" i="49"/>
  <c r="J16" i="49"/>
  <c r="M9" i="49"/>
  <c r="I6" i="49"/>
  <c r="C65" i="49"/>
  <c r="F52" i="49"/>
  <c r="D45" i="49"/>
  <c r="C32" i="49"/>
  <c r="C28" i="49"/>
  <c r="C24" i="49"/>
  <c r="C20" i="49"/>
  <c r="C16" i="49"/>
  <c r="F5" i="49"/>
  <c r="N5" i="49" s="1"/>
  <c r="F9" i="49"/>
  <c r="N9" i="49" s="1"/>
  <c r="J65" i="49"/>
  <c r="M66" i="49"/>
  <c r="K55" i="49"/>
  <c r="I49" i="49"/>
  <c r="M36" i="49"/>
  <c r="K28" i="49"/>
  <c r="I23" i="49"/>
  <c r="M18" i="49"/>
  <c r="I15" i="49"/>
  <c r="L8" i="49"/>
  <c r="I5" i="49"/>
  <c r="D60" i="49"/>
  <c r="C51" i="49"/>
  <c r="F30" i="49"/>
  <c r="F26" i="49"/>
  <c r="F22" i="49"/>
  <c r="F18" i="49"/>
  <c r="F14" i="49"/>
  <c r="O14" i="49" s="1"/>
  <c r="C7" i="49"/>
  <c r="L3" i="49"/>
  <c r="H64" i="49"/>
  <c r="L45" i="49"/>
  <c r="L36" i="49"/>
  <c r="H23" i="49"/>
  <c r="H15" i="49"/>
  <c r="M4" i="49"/>
  <c r="F50" i="49"/>
  <c r="E30" i="49"/>
  <c r="E22" i="49"/>
  <c r="E14" i="49"/>
  <c r="K3" i="49"/>
  <c r="I14" i="49"/>
  <c r="D49" i="49"/>
  <c r="K64" i="49"/>
  <c r="M55" i="49"/>
  <c r="I52" i="49"/>
  <c r="K49" i="49"/>
  <c r="M44" i="49"/>
  <c r="K31" i="49"/>
  <c r="M28" i="49"/>
  <c r="I26" i="49"/>
  <c r="K23" i="49"/>
  <c r="M20" i="49"/>
  <c r="H65" i="49"/>
  <c r="O65" i="49" s="1"/>
  <c r="J56" i="49"/>
  <c r="L52" i="49"/>
  <c r="H50" i="49"/>
  <c r="J45" i="49"/>
  <c r="H32" i="49"/>
  <c r="J29" i="49"/>
  <c r="L26" i="49"/>
  <c r="H24" i="49"/>
  <c r="J21" i="49"/>
  <c r="L18" i="49"/>
  <c r="H16" i="49"/>
  <c r="J10" i="49"/>
  <c r="L7" i="49"/>
  <c r="H5" i="49"/>
  <c r="E64" i="49"/>
  <c r="E53" i="49"/>
  <c r="E49" i="49"/>
  <c r="H66" i="49"/>
  <c r="O66" i="49" s="1"/>
  <c r="L53" i="49"/>
  <c r="J46" i="49"/>
  <c r="H36" i="49"/>
  <c r="L27" i="49"/>
  <c r="J22" i="49"/>
  <c r="I18" i="49"/>
  <c r="K14" i="49"/>
  <c r="H8" i="49"/>
  <c r="K4" i="49"/>
  <c r="D56" i="49"/>
  <c r="C50" i="49"/>
  <c r="C30" i="49"/>
  <c r="C26" i="49"/>
  <c r="C22" i="49"/>
  <c r="C18" i="49"/>
  <c r="C14" i="49"/>
  <c r="F7" i="49"/>
  <c r="N7" i="49" s="1"/>
  <c r="I3" i="49"/>
  <c r="L51" i="49"/>
  <c r="I64" i="49"/>
  <c r="M51" i="49"/>
  <c r="K44" i="49"/>
  <c r="I31" i="49"/>
  <c r="M25" i="49"/>
  <c r="K20" i="49"/>
  <c r="H17" i="49"/>
  <c r="K10" i="49"/>
  <c r="M6" i="49"/>
  <c r="C66" i="49"/>
  <c r="F53" i="49"/>
  <c r="D46" i="49"/>
  <c r="F28" i="49"/>
  <c r="F24" i="49"/>
  <c r="F20" i="49"/>
  <c r="F16" i="49"/>
  <c r="C5" i="49"/>
  <c r="C9" i="49"/>
  <c r="C3" i="49"/>
  <c r="H53" i="49"/>
  <c r="I51" i="49"/>
  <c r="J28" i="49"/>
  <c r="K18" i="49"/>
  <c r="K8" i="49"/>
  <c r="C60" i="49"/>
  <c r="E26" i="49"/>
  <c r="E18" i="49"/>
  <c r="D7" i="49"/>
  <c r="J24" i="49"/>
  <c r="H4" i="49"/>
  <c r="E29" i="49"/>
  <c r="E6" i="49"/>
  <c r="C64" i="49"/>
  <c r="F44" i="49"/>
  <c r="H27" i="49"/>
  <c r="E7" i="49"/>
  <c r="D18" i="49"/>
  <c r="I8" i="49"/>
  <c r="M49" i="49"/>
  <c r="I21" i="49"/>
  <c r="E21" i="49"/>
  <c r="D5" i="49"/>
  <c r="F65" i="49"/>
  <c r="J20" i="49"/>
  <c r="H3" i="49"/>
  <c r="F21" i="49"/>
  <c r="I4" i="49"/>
  <c r="J14" i="49"/>
  <c r="I53" i="49"/>
  <c r="F6" i="49"/>
  <c r="N6" i="49" s="1"/>
  <c r="C19" i="49"/>
  <c r="F60" i="49"/>
  <c r="H19" i="49"/>
  <c r="L49" i="49"/>
  <c r="E65" i="49"/>
  <c r="L16" i="49"/>
  <c r="J27" i="49"/>
  <c r="H46" i="49"/>
  <c r="L65" i="49"/>
  <c r="K56" i="49"/>
  <c r="D15" i="49"/>
  <c r="D31" i="49"/>
  <c r="K5" i="49"/>
  <c r="D10" i="49"/>
  <c r="E23" i="49"/>
  <c r="C52" i="49"/>
  <c r="M15" i="49"/>
  <c r="L29" i="49"/>
  <c r="I66" i="49"/>
  <c r="E5" i="49"/>
  <c r="D20" i="49"/>
  <c r="D28" i="49"/>
  <c r="F45" i="49"/>
  <c r="D65" i="49"/>
  <c r="H10" i="49"/>
  <c r="I20" i="49"/>
  <c r="K30" i="49"/>
  <c r="I56" i="49"/>
  <c r="D21" i="49"/>
  <c r="C49" i="49"/>
  <c r="I9" i="49"/>
  <c r="M23" i="49"/>
  <c r="I45" i="49"/>
  <c r="D8" i="49"/>
  <c r="E25" i="49"/>
  <c r="L17" i="49"/>
  <c r="E16" i="49"/>
  <c r="F32" i="49"/>
  <c r="L6" i="49"/>
  <c r="L25" i="49"/>
  <c r="J50" i="49"/>
  <c r="C10" i="49"/>
  <c r="F15" i="49"/>
  <c r="O15" i="49" s="1"/>
  <c r="F23" i="49"/>
  <c r="F31" i="49"/>
  <c r="D52" i="49"/>
  <c r="H6" i="49"/>
  <c r="I16" i="49"/>
  <c r="K24" i="49"/>
  <c r="M56" i="49"/>
  <c r="D3" i="49"/>
  <c r="F4" i="49"/>
  <c r="N4" i="49" s="1"/>
  <c r="C21" i="49"/>
  <c r="C29" i="49"/>
  <c r="F46" i="49"/>
  <c r="D66" i="49"/>
  <c r="L10" i="49"/>
  <c r="H21" i="49"/>
  <c r="F106" i="49" s="1"/>
  <c r="L31" i="49"/>
  <c r="J52" i="49"/>
  <c r="E52" i="49"/>
  <c r="J4" i="49"/>
  <c r="L9" i="49"/>
  <c r="H18" i="49"/>
  <c r="J23" i="49"/>
  <c r="L28" i="49"/>
  <c r="J49" i="49"/>
  <c r="L55" i="49"/>
  <c r="M3" i="49"/>
  <c r="K25" i="49"/>
  <c r="M30" i="49"/>
  <c r="I44" i="49"/>
  <c r="K51" i="49"/>
  <c r="M60" i="49"/>
  <c r="D23" i="49"/>
  <c r="K17" i="49"/>
  <c r="M5" i="49"/>
  <c r="E9" i="49"/>
  <c r="D24" i="49"/>
  <c r="K6" i="49"/>
  <c r="E4" i="49"/>
  <c r="D29" i="49"/>
  <c r="I19" i="49"/>
  <c r="M64" i="49"/>
  <c r="E17" i="49"/>
  <c r="D9" i="49"/>
  <c r="D53" i="49"/>
  <c r="D27" i="49"/>
  <c r="K26" i="49"/>
  <c r="E19" i="49"/>
  <c r="J9" i="49"/>
  <c r="M53" i="49"/>
  <c r="D26" i="49"/>
  <c r="F56" i="49"/>
  <c r="J18" i="49"/>
  <c r="M27" i="49"/>
  <c r="D17" i="49"/>
  <c r="J7" i="49"/>
  <c r="F3" i="49"/>
  <c r="N3" i="49" s="1"/>
  <c r="K7" i="49"/>
  <c r="E28" i="49"/>
  <c r="K60" i="49"/>
  <c r="C4" i="49"/>
  <c r="F29" i="49"/>
  <c r="F49" i="49"/>
  <c r="M21" i="49"/>
  <c r="K32" i="49"/>
  <c r="J55" i="49"/>
  <c r="C27" i="49"/>
  <c r="C44" i="49"/>
  <c r="M8" i="49"/>
  <c r="H29" i="49"/>
  <c r="E32" i="49"/>
  <c r="E50" i="49"/>
  <c r="J8" i="49"/>
  <c r="H22" i="49"/>
  <c r="F107" i="49" s="1"/>
  <c r="L32" i="49"/>
  <c r="J53" i="49"/>
  <c r="I24" i="49"/>
  <c r="K29" i="49"/>
  <c r="I50" i="49"/>
  <c r="G6" i="47"/>
  <c r="E3" i="49"/>
  <c r="D19" i="49"/>
  <c r="D44" i="49"/>
  <c r="M10" i="49"/>
  <c r="D6" i="49"/>
  <c r="E27" i="49"/>
  <c r="D64" i="49"/>
  <c r="K19" i="49"/>
  <c r="J32" i="49"/>
  <c r="J3" i="49"/>
  <c r="D14" i="49"/>
  <c r="D22" i="49"/>
  <c r="D30" i="49"/>
  <c r="D50" i="49"/>
  <c r="L4" i="49"/>
  <c r="M14" i="49"/>
  <c r="K22" i="49"/>
  <c r="I36" i="49"/>
  <c r="E8" i="49"/>
  <c r="D25" i="49"/>
  <c r="D55" i="49"/>
  <c r="L15" i="49"/>
  <c r="I29" i="49"/>
  <c r="K52" i="49"/>
  <c r="D4" i="49"/>
  <c r="E20" i="49"/>
  <c r="C46" i="49"/>
  <c r="I10" i="49"/>
  <c r="H31" i="49"/>
  <c r="L56" i="49"/>
  <c r="C8" i="49"/>
  <c r="F17" i="49"/>
  <c r="F25" i="49"/>
  <c r="C56" i="49"/>
  <c r="M7" i="49"/>
  <c r="M17" i="49"/>
  <c r="I27" i="49"/>
  <c r="M45" i="49"/>
  <c r="K65" i="49"/>
  <c r="F10" i="49"/>
  <c r="N10" i="49" s="1"/>
  <c r="C15" i="49"/>
  <c r="C23" i="49"/>
  <c r="C31" i="49"/>
  <c r="D51" i="49"/>
  <c r="J5" i="49"/>
  <c r="K15" i="49"/>
  <c r="L23" i="49"/>
  <c r="H56" i="49"/>
  <c r="E44" i="49"/>
  <c r="E55" i="49"/>
  <c r="L5" i="49"/>
  <c r="H14" i="49"/>
  <c r="J19" i="49"/>
  <c r="L24" i="49"/>
  <c r="H30" i="49"/>
  <c r="L50" i="49"/>
  <c r="H60" i="49"/>
  <c r="K21" i="49"/>
  <c r="M26" i="49"/>
  <c r="I32" i="49"/>
  <c r="K45" i="49"/>
  <c r="M52" i="49"/>
  <c r="I65" i="49"/>
  <c r="G7" i="45"/>
  <c r="G9" i="47"/>
  <c r="G6" i="45"/>
  <c r="D7" i="45"/>
  <c r="F6" i="45"/>
  <c r="F9" i="47"/>
  <c r="D6" i="47"/>
  <c r="E6" i="45"/>
  <c r="F7" i="45"/>
  <c r="E9" i="47"/>
  <c r="D8" i="47"/>
  <c r="F7" i="47"/>
  <c r="E7" i="45"/>
  <c r="E7" i="47"/>
  <c r="F6" i="47"/>
  <c r="E8" i="47"/>
  <c r="D9" i="47"/>
  <c r="D6" i="45"/>
  <c r="D7" i="47"/>
  <c r="F8" i="47"/>
  <c r="E6" i="47"/>
  <c r="I33" i="50" l="1"/>
  <c r="C182" i="48"/>
  <c r="C181" i="48"/>
  <c r="C180" i="48"/>
  <c r="C165" i="48"/>
  <c r="C178" i="48"/>
  <c r="C191" i="48"/>
  <c r="C154" i="48"/>
  <c r="C150" i="48"/>
  <c r="C148" i="48"/>
  <c r="C153" i="48"/>
  <c r="C152" i="48"/>
  <c r="C157" i="48"/>
  <c r="C146" i="48"/>
  <c r="C163" i="48"/>
  <c r="C188" i="48"/>
  <c r="C193" i="48"/>
  <c r="C195" i="48"/>
  <c r="C176" i="48"/>
  <c r="C166" i="48"/>
  <c r="C139" i="48"/>
  <c r="C164" i="48"/>
  <c r="C169" i="48"/>
  <c r="C186" i="48"/>
  <c r="C143" i="48"/>
  <c r="C168" i="48"/>
  <c r="C173" i="48"/>
  <c r="C194" i="48"/>
  <c r="C140" i="48"/>
  <c r="C145" i="48"/>
  <c r="C174" i="48"/>
  <c r="C151" i="48"/>
  <c r="C167" i="48"/>
  <c r="C192" i="48"/>
  <c r="C197" i="48"/>
  <c r="C138" i="48"/>
  <c r="C155" i="48"/>
  <c r="C185" i="48"/>
  <c r="C179" i="48"/>
  <c r="C159" i="48"/>
  <c r="C184" i="48"/>
  <c r="C189" i="48"/>
  <c r="C187" i="48"/>
  <c r="C156" i="48"/>
  <c r="C161" i="48"/>
  <c r="C162" i="48"/>
  <c r="C144" i="48"/>
  <c r="C149" i="48"/>
  <c r="C183" i="48"/>
  <c r="C190" i="48"/>
  <c r="C171" i="48"/>
  <c r="C196" i="48"/>
  <c r="C142" i="48"/>
  <c r="C175" i="48"/>
  <c r="C141" i="48"/>
  <c r="C158" i="48"/>
  <c r="C170" i="48"/>
  <c r="C147" i="48"/>
  <c r="C172" i="48"/>
  <c r="C177" i="48"/>
  <c r="T272" i="40"/>
  <c r="T273" i="40" s="1"/>
  <c r="T274" i="40" s="1"/>
  <c r="T275" i="40" s="1"/>
  <c r="T276" i="40" s="1"/>
  <c r="T277" i="40" s="1"/>
  <c r="T278" i="40" s="1"/>
  <c r="T279" i="40" s="1"/>
  <c r="T280" i="40" s="1"/>
  <c r="T281" i="40" s="1"/>
  <c r="T282" i="40" s="1"/>
  <c r="T283" i="40" s="1"/>
  <c r="T284" i="40" s="1"/>
  <c r="T285" i="40" s="1"/>
  <c r="T286" i="40" s="1"/>
  <c r="T287" i="40" s="1"/>
  <c r="T288" i="40" s="1"/>
  <c r="T289" i="40" s="1"/>
  <c r="T290" i="40" s="1"/>
  <c r="T291" i="40" s="1"/>
  <c r="T292" i="40" s="1"/>
  <c r="O29" i="49"/>
  <c r="N29" i="49"/>
  <c r="O28" i="49"/>
  <c r="N28" i="49"/>
  <c r="N26" i="49"/>
  <c r="O59" i="49"/>
  <c r="N39" i="49"/>
  <c r="N32" i="49"/>
  <c r="O32" i="49"/>
  <c r="N16" i="49"/>
  <c r="O16" i="49"/>
  <c r="N18" i="49"/>
  <c r="O18" i="49"/>
  <c r="N19" i="49"/>
  <c r="O19" i="49"/>
  <c r="N25" i="49"/>
  <c r="O25" i="49"/>
  <c r="N31" i="49"/>
  <c r="O31" i="49"/>
  <c r="N20" i="49"/>
  <c r="O20" i="49"/>
  <c r="N22" i="49"/>
  <c r="O22" i="49"/>
  <c r="N17" i="49"/>
  <c r="O17" i="49"/>
  <c r="N23" i="49"/>
  <c r="O23" i="49"/>
  <c r="N21" i="49"/>
  <c r="O21" i="49"/>
  <c r="N24" i="49"/>
  <c r="O24" i="49"/>
  <c r="O26" i="49"/>
  <c r="N30" i="49"/>
  <c r="O30" i="49"/>
  <c r="O27" i="49"/>
  <c r="H41" i="49"/>
  <c r="N14" i="49"/>
  <c r="I61" i="49"/>
  <c r="J61" i="49"/>
  <c r="O54" i="49"/>
  <c r="N54" i="49"/>
  <c r="O47" i="49"/>
  <c r="N47" i="49"/>
  <c r="N37" i="49"/>
  <c r="O37" i="49"/>
  <c r="O38" i="49"/>
  <c r="N38" i="49"/>
  <c r="N40" i="49"/>
  <c r="O40" i="49"/>
  <c r="O48" i="49"/>
  <c r="N48" i="49"/>
  <c r="F108" i="49"/>
  <c r="G19" i="47"/>
  <c r="G19" i="45"/>
  <c r="N60" i="49"/>
  <c r="O60" i="49"/>
  <c r="N55" i="49"/>
  <c r="O55" i="49"/>
  <c r="O51" i="49"/>
  <c r="N51" i="49"/>
  <c r="O56" i="49"/>
  <c r="N56" i="49"/>
  <c r="N44" i="49"/>
  <c r="O44" i="49"/>
  <c r="G19" i="46"/>
  <c r="N49" i="49"/>
  <c r="O49" i="49"/>
  <c r="N46" i="49"/>
  <c r="O46" i="49"/>
  <c r="O36" i="49"/>
  <c r="N36" i="49"/>
  <c r="N53" i="49"/>
  <c r="O53" i="49"/>
  <c r="O45" i="49"/>
  <c r="N45" i="49"/>
  <c r="N50" i="49"/>
  <c r="O50" i="49"/>
  <c r="N52" i="49"/>
  <c r="O52" i="49"/>
  <c r="O3" i="49"/>
  <c r="O4" i="49"/>
  <c r="M11" i="49"/>
  <c r="J33" i="49"/>
  <c r="I33" i="49"/>
  <c r="O10" i="49"/>
  <c r="O5" i="49"/>
  <c r="H61" i="49"/>
  <c r="L33" i="49"/>
  <c r="O7" i="49"/>
  <c r="I11" i="49"/>
  <c r="O6" i="49"/>
  <c r="L11" i="49"/>
  <c r="K11" i="49"/>
  <c r="O64" i="49"/>
  <c r="O67" i="49" s="1"/>
  <c r="H67" i="49"/>
  <c r="M33" i="49"/>
  <c r="H11" i="49"/>
  <c r="O8" i="49"/>
  <c r="H33" i="49"/>
  <c r="K33" i="49"/>
  <c r="O9" i="49"/>
  <c r="J11" i="49"/>
  <c r="I22" i="43"/>
  <c r="B16" i="44" s="1"/>
  <c r="T293" i="40" l="1"/>
  <c r="T294" i="40" s="1"/>
  <c r="T295" i="40" s="1"/>
  <c r="T296" i="40" s="1"/>
  <c r="T297" i="40" s="1"/>
  <c r="T298" i="40" s="1"/>
  <c r="T299" i="40" s="1"/>
  <c r="T300" i="40" s="1"/>
  <c r="T301" i="40" s="1"/>
  <c r="T302" i="40" s="1"/>
  <c r="T303" i="40" s="1"/>
  <c r="T304" i="40" s="1"/>
  <c r="T305" i="40" s="1"/>
  <c r="T306" i="40" s="1"/>
  <c r="T307" i="40" s="1"/>
  <c r="T308" i="40" s="1"/>
  <c r="T310" i="40" s="1"/>
  <c r="T311" i="40" s="1"/>
  <c r="T312" i="40" s="1"/>
  <c r="T314" i="40" s="1"/>
  <c r="T315" i="40" s="1"/>
  <c r="T316" i="40" s="1"/>
  <c r="T317" i="40" s="1"/>
  <c r="T318" i="40" s="1"/>
  <c r="T319" i="40" s="1"/>
  <c r="T320" i="40" s="1"/>
  <c r="T321" i="40" s="1"/>
  <c r="T322" i="40" s="1"/>
  <c r="T323" i="40" s="1"/>
  <c r="T324" i="40" s="1"/>
  <c r="T325" i="40" s="1"/>
  <c r="T326" i="40" s="1"/>
  <c r="T327" i="40" s="1"/>
  <c r="T328" i="40" s="1"/>
  <c r="T329" i="40" s="1"/>
  <c r="T330" i="40" s="1"/>
  <c r="T331" i="40" s="1"/>
  <c r="T332" i="40" s="1"/>
  <c r="T333" i="40" s="1"/>
  <c r="T334" i="40" s="1"/>
  <c r="T335" i="40" s="1"/>
  <c r="T336" i="40" s="1"/>
  <c r="T337" i="40" s="1"/>
  <c r="T338" i="40" s="1"/>
  <c r="T339" i="40" s="1"/>
  <c r="T340" i="40" s="1"/>
  <c r="T341" i="40" s="1"/>
  <c r="T342" i="40" s="1"/>
  <c r="T343" i="40" s="1"/>
  <c r="T344" i="40" s="1"/>
  <c r="T345" i="40" s="1"/>
  <c r="T346" i="40" s="1"/>
  <c r="T347" i="40" s="1"/>
  <c r="T348" i="40" s="1"/>
  <c r="T349" i="40" s="1"/>
  <c r="T350" i="40" s="1"/>
  <c r="T351" i="40" s="1"/>
  <c r="T352" i="40" s="1"/>
  <c r="T353" i="40" s="1"/>
  <c r="T354" i="40" s="1"/>
  <c r="T355" i="40" s="1"/>
  <c r="T356" i="40" s="1"/>
  <c r="T357" i="40" s="1"/>
  <c r="T358" i="40" s="1"/>
  <c r="T359" i="40" s="1"/>
  <c r="T360" i="40" s="1"/>
  <c r="T361" i="40" s="1"/>
  <c r="T362" i="40" s="1"/>
  <c r="T363" i="40" s="1"/>
  <c r="T364" i="40" s="1"/>
  <c r="T365" i="40" s="1"/>
  <c r="T366" i="40" s="1"/>
  <c r="T367" i="40" s="1"/>
  <c r="T368" i="40" s="1"/>
  <c r="T369" i="40" s="1"/>
  <c r="T370" i="40" s="1"/>
  <c r="T371" i="40" s="1"/>
  <c r="T372" i="40" s="1"/>
  <c r="T373" i="40" s="1"/>
  <c r="T374" i="40" s="1"/>
  <c r="T375" i="40" s="1"/>
  <c r="T376" i="40" s="1"/>
  <c r="T377" i="40" s="1"/>
  <c r="T378" i="40" s="1"/>
  <c r="T379" i="40" s="1"/>
  <c r="T380" i="40" s="1"/>
  <c r="T381" i="40" s="1"/>
  <c r="T382" i="40" s="1"/>
  <c r="T383" i="40" s="1"/>
  <c r="T384" i="40" s="1"/>
  <c r="T385" i="40" s="1"/>
  <c r="T386" i="40" s="1"/>
  <c r="T387" i="40" s="1"/>
  <c r="T388" i="40" s="1"/>
  <c r="T389" i="40" s="1"/>
  <c r="T390" i="40" s="1"/>
  <c r="T391" i="40" s="1"/>
  <c r="T392" i="40" s="1"/>
  <c r="T393" i="40" s="1"/>
  <c r="T394" i="40" s="1"/>
  <c r="T395" i="40" s="1"/>
  <c r="T396" i="40" s="1"/>
  <c r="T397" i="40" s="1"/>
  <c r="T398" i="40" s="1"/>
  <c r="T399" i="40" s="1"/>
  <c r="I70" i="49"/>
  <c r="N72" i="49" s="1"/>
  <c r="O33" i="49"/>
  <c r="B99" i="49"/>
  <c r="B100" i="49" s="1"/>
  <c r="F71" i="49"/>
  <c r="E71" i="49" s="1"/>
  <c r="F70" i="49"/>
  <c r="F140" i="49" s="1"/>
  <c r="O41" i="49"/>
  <c r="F73" i="49"/>
  <c r="F143" i="49" s="1"/>
  <c r="O61" i="49"/>
  <c r="N61" i="49"/>
  <c r="N41" i="49"/>
  <c r="F75" i="49"/>
  <c r="F145" i="49" s="1"/>
  <c r="N33" i="49"/>
  <c r="O11" i="49"/>
  <c r="F74" i="49"/>
  <c r="F144" i="49" s="1"/>
  <c r="N11" i="49"/>
  <c r="N70" i="49" l="1"/>
  <c r="O70" i="49"/>
  <c r="F131" i="48"/>
  <c r="F132" i="48" s="1"/>
  <c r="F133" i="48" s="1"/>
  <c r="F134" i="48" s="1"/>
  <c r="F135" i="48" s="1"/>
  <c r="F136" i="48" s="1"/>
  <c r="F141" i="49"/>
  <c r="F146" i="49" s="1"/>
  <c r="F76" i="49"/>
  <c r="C99" i="49" s="1"/>
  <c r="D99" i="49" s="1"/>
  <c r="D100" i="49" s="1"/>
  <c r="F105" i="49" l="1"/>
  <c r="F110" i="49" s="1"/>
  <c r="F138" i="48"/>
  <c r="F139" i="48" s="1"/>
  <c r="B106" i="49" l="1"/>
  <c r="F140" i="48"/>
  <c r="F141" i="48" s="1"/>
  <c r="G50" i="53"/>
  <c r="G51" i="53" s="1"/>
  <c r="G52" i="53" s="1"/>
  <c r="G53" i="53" s="1"/>
  <c r="G54" i="53" s="1"/>
  <c r="G55" i="53" s="1"/>
  <c r="G56" i="53" s="1"/>
  <c r="G57" i="53" s="1"/>
  <c r="G58" i="53" s="1"/>
  <c r="G59" i="53" s="1"/>
  <c r="G60" i="53" s="1"/>
  <c r="G61" i="53" s="1"/>
  <c r="G62" i="53" s="1"/>
  <c r="G63" i="53" s="1"/>
  <c r="G64" i="53" s="1"/>
  <c r="G65" i="53" s="1"/>
  <c r="G66" i="53" s="1"/>
  <c r="G67" i="53" s="1"/>
  <c r="G68" i="53" s="1"/>
  <c r="G69" i="53" s="1"/>
  <c r="G70" i="53" s="1"/>
  <c r="G71" i="53" s="1"/>
  <c r="G72" i="53" s="1"/>
  <c r="G73" i="53" s="1"/>
  <c r="I141" i="48" l="1"/>
  <c r="F142" i="48"/>
  <c r="F143" i="48" s="1"/>
  <c r="F144" i="48" s="1"/>
  <c r="F145" i="48" s="1"/>
  <c r="F146" i="48" s="1"/>
  <c r="F147" i="48" s="1"/>
  <c r="F148" i="48" s="1"/>
  <c r="F149" i="48" s="1"/>
  <c r="F150" i="48" s="1"/>
  <c r="F151" i="48" s="1"/>
  <c r="F152" i="48" s="1"/>
  <c r="F153" i="48" s="1"/>
  <c r="F154" i="48" s="1"/>
  <c r="F155" i="48" s="1"/>
  <c r="F156" i="48" s="1"/>
  <c r="F157" i="48" s="1"/>
  <c r="F158" i="48" s="1"/>
  <c r="F159" i="48" s="1"/>
  <c r="G74" i="53"/>
  <c r="G75" i="53" s="1"/>
  <c r="G76" i="53" s="1"/>
  <c r="G77" i="53" s="1"/>
  <c r="G78" i="53" s="1"/>
  <c r="G79" i="53" s="1"/>
  <c r="I159" i="48" l="1"/>
  <c r="F160" i="48"/>
  <c r="F161" i="48" s="1"/>
  <c r="G80" i="53"/>
  <c r="G81" i="53" s="1"/>
  <c r="G82" i="53" s="1"/>
  <c r="G83" i="53" s="1"/>
  <c r="G84" i="53" s="1"/>
  <c r="G85" i="53" s="1"/>
  <c r="G86" i="53" s="1"/>
  <c r="G87" i="53" s="1"/>
  <c r="G88" i="53" s="1"/>
  <c r="G89" i="53" s="1"/>
  <c r="G90" i="53" s="1"/>
  <c r="G91" i="53" s="1"/>
  <c r="G92" i="53" s="1"/>
  <c r="G93" i="53" s="1"/>
  <c r="G94" i="53" s="1"/>
  <c r="G95" i="53" s="1"/>
  <c r="G96" i="53" s="1"/>
  <c r="G97" i="53" s="1"/>
  <c r="G98" i="53" s="1"/>
  <c r="G99" i="53" s="1"/>
  <c r="G100" i="53" s="1"/>
  <c r="G101" i="53" s="1"/>
  <c r="G102" i="53" s="1"/>
  <c r="G103" i="53" s="1"/>
  <c r="G104" i="53" s="1"/>
  <c r="G105" i="53" s="1"/>
  <c r="G106" i="53" s="1"/>
  <c r="G107" i="53" s="1"/>
  <c r="G108" i="53" s="1"/>
  <c r="G109" i="53" s="1"/>
  <c r="G110" i="53" s="1"/>
  <c r="G111" i="53" s="1"/>
  <c r="G112" i="53" s="1"/>
  <c r="G113" i="53" s="1"/>
  <c r="G114" i="53" s="1"/>
  <c r="G115" i="53" s="1"/>
  <c r="G116" i="53" s="1"/>
  <c r="G117" i="53" s="1"/>
  <c r="G118" i="53" s="1"/>
  <c r="G119" i="53" s="1"/>
  <c r="G120" i="53" s="1"/>
  <c r="G121" i="53" s="1"/>
  <c r="G122" i="53" s="1"/>
  <c r="G123" i="53" s="1"/>
  <c r="G124" i="53" s="1"/>
  <c r="G125" i="53" s="1"/>
  <c r="G126" i="53" s="1"/>
  <c r="G127" i="53" s="1"/>
  <c r="G128" i="53" s="1"/>
  <c r="G129" i="53" s="1"/>
  <c r="G130" i="53" s="1"/>
  <c r="G131" i="53" s="1"/>
  <c r="G132" i="53" s="1"/>
  <c r="G133" i="53" s="1"/>
  <c r="G134" i="53" s="1"/>
  <c r="G135" i="53" s="1"/>
  <c r="G136" i="53" s="1"/>
  <c r="G137" i="53" s="1"/>
  <c r="G138" i="53" s="1"/>
  <c r="G139" i="53" s="1"/>
  <c r="G140" i="53" s="1"/>
  <c r="G141" i="53" s="1"/>
  <c r="G142" i="53" s="1"/>
  <c r="F162" i="48" l="1"/>
  <c r="F163" i="48" s="1"/>
  <c r="F164" i="48" s="1"/>
  <c r="F168" i="48" s="1"/>
  <c r="F169" i="48" s="1"/>
  <c r="F170" i="48" s="1"/>
  <c r="F171" i="48" s="1"/>
  <c r="F172" i="48" s="1"/>
  <c r="O161" i="48" s="1"/>
  <c r="O162" i="48" s="1"/>
  <c r="G149" i="53"/>
  <c r="G150" i="53"/>
  <c r="G151" i="53"/>
  <c r="G152" i="53"/>
  <c r="G153" i="53"/>
  <c r="G154" i="53"/>
  <c r="G155" i="53"/>
  <c r="G156" i="53"/>
  <c r="G157" i="53"/>
  <c r="G158" i="53"/>
  <c r="G159" i="53"/>
  <c r="G160" i="53" s="1"/>
  <c r="F173" i="48" l="1"/>
  <c r="F174" i="48" s="1"/>
  <c r="F175" i="48" s="1"/>
  <c r="F176" i="48" s="1"/>
  <c r="F177" i="48" s="1"/>
  <c r="F178" i="48" s="1"/>
  <c r="F179" i="48" s="1"/>
  <c r="F180" i="48" s="1"/>
  <c r="F181" i="48" s="1"/>
  <c r="F182" i="48" s="1"/>
  <c r="F183" i="48" s="1"/>
  <c r="F184" i="48" s="1"/>
  <c r="F185" i="48" s="1"/>
  <c r="F186" i="48" s="1"/>
  <c r="F187" i="48" s="1"/>
  <c r="I172" i="48"/>
  <c r="G161" i="53"/>
  <c r="G162" i="53" s="1"/>
  <c r="G163" i="53" s="1"/>
  <c r="G164" i="53" s="1"/>
  <c r="G165" i="53" s="1"/>
  <c r="G166" i="53" s="1"/>
  <c r="G167" i="53" s="1"/>
  <c r="G168" i="53" s="1"/>
  <c r="G169" i="53" s="1"/>
  <c r="G170" i="53" s="1"/>
  <c r="G171" i="53" s="1"/>
  <c r="G172" i="53" s="1"/>
  <c r="G173" i="53" s="1"/>
  <c r="G174" i="53" s="1"/>
  <c r="G175" i="53" s="1"/>
  <c r="G176" i="53" s="1"/>
  <c r="G177" i="53" s="1"/>
  <c r="G178" i="53" s="1"/>
  <c r="G179" i="53" s="1"/>
  <c r="G180" i="53" s="1"/>
  <c r="G181" i="53" s="1"/>
  <c r="G182" i="53" s="1"/>
  <c r="G183" i="53" s="1"/>
  <c r="G184" i="53" s="1"/>
  <c r="G185" i="53" s="1"/>
  <c r="G186" i="53" s="1"/>
  <c r="G187" i="53" s="1"/>
  <c r="G188" i="53" s="1"/>
  <c r="G189" i="53" s="1"/>
  <c r="G190" i="53" s="1"/>
  <c r="G191" i="53" s="1"/>
  <c r="G192" i="53" s="1"/>
  <c r="G193" i="53" s="1"/>
  <c r="G194" i="53" s="1"/>
  <c r="G195" i="53" s="1"/>
  <c r="G196" i="53" s="1"/>
  <c r="G197" i="53" s="1"/>
  <c r="G198" i="53" s="1"/>
  <c r="G199" i="53" s="1"/>
  <c r="G200" i="53" s="1"/>
  <c r="G201" i="53" s="1"/>
  <c r="G202" i="53" s="1"/>
  <c r="G203" i="53" s="1"/>
  <c r="G204" i="53" s="1"/>
  <c r="G205" i="53" s="1"/>
  <c r="G206" i="53" s="1"/>
  <c r="G207" i="53" s="1"/>
  <c r="G208" i="53" s="1"/>
  <c r="G209" i="53" s="1"/>
  <c r="G210" i="53" s="1"/>
  <c r="G211" i="53" s="1"/>
  <c r="G212" i="53" s="1"/>
  <c r="G213" i="53" s="1"/>
  <c r="G214" i="53" s="1"/>
  <c r="G215" i="53" s="1"/>
  <c r="G216" i="53" s="1"/>
  <c r="G217" i="53" s="1"/>
  <c r="G218" i="53" s="1"/>
  <c r="G219" i="53" s="1"/>
  <c r="G220" i="53" s="1"/>
  <c r="G221" i="53" s="1"/>
  <c r="G222" i="53" s="1"/>
  <c r="G223" i="53" s="1"/>
  <c r="G224" i="53" s="1"/>
  <c r="G225" i="53" s="1"/>
  <c r="G226" i="53" s="1"/>
  <c r="G227" i="53" s="1"/>
  <c r="G228" i="53" s="1"/>
  <c r="G229" i="53" s="1"/>
  <c r="G230" i="53" s="1"/>
  <c r="G231" i="53" s="1"/>
  <c r="G232" i="53" s="1"/>
  <c r="G233" i="53" s="1"/>
  <c r="G234" i="53" s="1"/>
  <c r="G235" i="53" s="1"/>
  <c r="G236" i="53" s="1"/>
  <c r="G237" i="53" s="1"/>
  <c r="G238" i="53" s="1"/>
  <c r="G239" i="53" s="1"/>
  <c r="G240" i="53" s="1"/>
  <c r="G241" i="53" s="1"/>
  <c r="G242" i="53" s="1"/>
  <c r="G243" i="53" s="1"/>
  <c r="G244" i="53" s="1"/>
  <c r="G245" i="53" s="1"/>
  <c r="G246" i="53" s="1"/>
  <c r="G247" i="53" s="1"/>
  <c r="G248" i="53" s="1"/>
  <c r="G249" i="53" s="1"/>
  <c r="G250" i="53" s="1"/>
  <c r="G251" i="53" s="1"/>
  <c r="G252" i="53" s="1"/>
  <c r="G253" i="53" s="1"/>
  <c r="G254" i="53" s="1"/>
  <c r="G255" i="53" s="1"/>
  <c r="G256" i="53" s="1"/>
  <c r="G257" i="53" s="1"/>
  <c r="G258" i="53" s="1"/>
  <c r="G259" i="53" s="1"/>
  <c r="G260" i="53" s="1"/>
  <c r="G261" i="53" s="1"/>
  <c r="G262" i="53" s="1"/>
  <c r="G263" i="53" s="1"/>
  <c r="G264" i="53" s="1"/>
  <c r="G265" i="53" s="1"/>
  <c r="G266" i="53" s="1"/>
  <c r="G267" i="53" s="1"/>
  <c r="G268" i="53" s="1"/>
  <c r="G269" i="53" s="1"/>
  <c r="G270" i="53" s="1"/>
  <c r="G271" i="53" s="1"/>
  <c r="G272" i="53" s="1"/>
  <c r="G273" i="53" s="1"/>
  <c r="G274" i="53" s="1"/>
  <c r="G275" i="53" s="1"/>
  <c r="G276" i="53" s="1"/>
  <c r="G277" i="53" s="1"/>
  <c r="G278" i="53" s="1"/>
  <c r="G279" i="53" s="1"/>
  <c r="G280" i="53" s="1"/>
  <c r="G281" i="53" s="1"/>
  <c r="G282" i="53" s="1"/>
  <c r="G283" i="53" s="1"/>
  <c r="G284" i="53" s="1"/>
  <c r="G285" i="53" s="1"/>
  <c r="G286" i="53" s="1"/>
  <c r="G287" i="53" s="1"/>
  <c r="G288" i="53" s="1"/>
  <c r="G289" i="53" s="1"/>
  <c r="G290" i="53" s="1"/>
  <c r="G291" i="53" s="1"/>
  <c r="G292" i="53" s="1"/>
  <c r="G293" i="53" s="1"/>
  <c r="G294" i="53" s="1"/>
  <c r="G295" i="53" s="1"/>
  <c r="G296" i="53" s="1"/>
  <c r="G297" i="53" s="1"/>
  <c r="G298" i="53" s="1"/>
  <c r="G299" i="53" s="1"/>
  <c r="G300" i="53" s="1"/>
  <c r="G301" i="53" s="1"/>
  <c r="G302" i="53" s="1"/>
  <c r="G303" i="53" s="1"/>
  <c r="G304" i="53" s="1"/>
  <c r="G305" i="53" s="1"/>
  <c r="G306" i="53" s="1"/>
  <c r="G307" i="53" s="1"/>
  <c r="G308" i="53" s="1"/>
  <c r="G309" i="53" s="1"/>
  <c r="G310" i="53" s="1"/>
  <c r="G311" i="53" s="1"/>
  <c r="G312" i="53" s="1"/>
  <c r="G313" i="53" s="1"/>
  <c r="G314" i="53" s="1"/>
  <c r="G315" i="53" s="1"/>
  <c r="G316" i="53" s="1"/>
  <c r="G317" i="53" s="1"/>
  <c r="G318" i="53" s="1"/>
  <c r="G319" i="53" s="1"/>
  <c r="G320" i="53" s="1"/>
  <c r="G321" i="53" s="1"/>
  <c r="G322" i="53" s="1"/>
  <c r="G323" i="53" s="1"/>
  <c r="G324" i="53" s="1"/>
  <c r="G325" i="53" s="1"/>
  <c r="G326" i="53" s="1"/>
  <c r="G327" i="53" s="1"/>
  <c r="G328" i="53" s="1"/>
  <c r="G329" i="53" s="1"/>
  <c r="G330" i="53" s="1"/>
  <c r="G331" i="53" s="1"/>
  <c r="G332" i="53" s="1"/>
  <c r="G333" i="53" s="1"/>
  <c r="G334" i="53" s="1"/>
  <c r="G335" i="53" s="1"/>
  <c r="G336" i="53" s="1"/>
  <c r="G337" i="53" s="1"/>
  <c r="G338" i="53" s="1"/>
  <c r="G339" i="53" s="1"/>
  <c r="G340" i="53" s="1"/>
  <c r="G341" i="53" s="1"/>
  <c r="G342" i="53" s="1"/>
  <c r="G343" i="53" s="1"/>
  <c r="G344" i="53" s="1"/>
  <c r="G345" i="53" s="1"/>
  <c r="G346" i="53" s="1"/>
  <c r="G347" i="53" s="1"/>
  <c r="G348" i="53" s="1"/>
  <c r="G349" i="53" s="1"/>
  <c r="G350" i="53" s="1"/>
  <c r="G351" i="53" s="1"/>
  <c r="G352" i="53" s="1"/>
  <c r="G353" i="53" s="1"/>
  <c r="G354" i="53" s="1"/>
  <c r="G355" i="53" s="1"/>
  <c r="G356" i="53" s="1"/>
  <c r="G357" i="53" s="1"/>
  <c r="G358" i="53" s="1"/>
  <c r="G359" i="53" s="1"/>
  <c r="G360" i="53" s="1"/>
  <c r="G361" i="53" s="1"/>
  <c r="G362" i="53" s="1"/>
  <c r="G363" i="53" s="1"/>
  <c r="G364" i="53" s="1"/>
  <c r="G365" i="53" s="1"/>
  <c r="G366" i="53" s="1"/>
  <c r="G367" i="53" s="1"/>
  <c r="G368" i="53" s="1"/>
  <c r="G369" i="53" s="1"/>
  <c r="G370" i="53" s="1"/>
  <c r="G371" i="53" s="1"/>
  <c r="G372" i="53" s="1"/>
  <c r="G373" i="53" s="1"/>
  <c r="G374" i="53" s="1"/>
  <c r="G375" i="53" s="1"/>
  <c r="G376" i="53" s="1"/>
  <c r="G377" i="53" s="1"/>
  <c r="G378" i="53" s="1"/>
  <c r="G379" i="53" s="1"/>
  <c r="G380" i="53" s="1"/>
  <c r="G381" i="53" s="1"/>
  <c r="G382" i="53" s="1"/>
  <c r="G383" i="53" s="1"/>
  <c r="G384" i="53" s="1"/>
  <c r="G385" i="53" s="1"/>
  <c r="G386" i="53" s="1"/>
  <c r="G387" i="53" s="1"/>
  <c r="G388" i="53" s="1"/>
  <c r="G389" i="53" s="1"/>
  <c r="G390" i="53" s="1"/>
  <c r="G391" i="53" s="1"/>
  <c r="G392" i="53" s="1"/>
  <c r="G393" i="53" s="1"/>
  <c r="G394" i="53" s="1"/>
  <c r="G395" i="53" s="1"/>
  <c r="G396" i="53" s="1"/>
  <c r="G397" i="53" s="1"/>
  <c r="G398" i="53" s="1"/>
  <c r="G399" i="53" s="1"/>
  <c r="G400" i="53" s="1"/>
  <c r="G401" i="53" s="1"/>
  <c r="G402" i="53" s="1"/>
  <c r="G403" i="53" s="1"/>
  <c r="G404" i="53" s="1"/>
  <c r="G405" i="53" s="1"/>
  <c r="G406" i="53" s="1"/>
  <c r="G407" i="53" s="1"/>
  <c r="G408" i="53" s="1"/>
  <c r="G409" i="53" s="1"/>
  <c r="G410" i="53" s="1"/>
  <c r="G411" i="53" s="1"/>
  <c r="G412" i="53" s="1"/>
  <c r="G413" i="53" s="1"/>
  <c r="G414" i="53" s="1"/>
  <c r="G415" i="53" s="1"/>
  <c r="G416" i="53" s="1"/>
  <c r="G417" i="53" s="1"/>
  <c r="G418" i="53" s="1"/>
  <c r="G419" i="53" s="1"/>
  <c r="G420" i="53" s="1"/>
  <c r="G421" i="53" s="1"/>
  <c r="G422" i="53" s="1"/>
  <c r="G423" i="53" s="1"/>
  <c r="G424" i="53" s="1"/>
  <c r="G425" i="53" s="1"/>
  <c r="G426" i="53" s="1"/>
  <c r="G427" i="53" s="1"/>
  <c r="G428" i="53" s="1"/>
  <c r="G429" i="53" s="1"/>
  <c r="G430" i="53" s="1"/>
  <c r="G431" i="53" s="1"/>
  <c r="G432" i="53" s="1"/>
  <c r="G433" i="53" s="1"/>
  <c r="G434" i="53" s="1"/>
  <c r="G435" i="53" s="1"/>
  <c r="G436" i="53" s="1"/>
  <c r="G437" i="53" s="1"/>
  <c r="G438" i="53" s="1"/>
  <c r="G439" i="53" s="1"/>
  <c r="G440" i="53" s="1"/>
  <c r="G441" i="53" s="1"/>
  <c r="G442" i="53" s="1"/>
  <c r="G443" i="53" s="1"/>
  <c r="G444" i="53" s="1"/>
  <c r="G445" i="53" s="1"/>
  <c r="G446" i="53" s="1"/>
  <c r="G447" i="53" s="1"/>
  <c r="G448" i="53" s="1"/>
  <c r="G449" i="53" s="1"/>
  <c r="G450" i="53" s="1"/>
  <c r="G451" i="53" s="1"/>
  <c r="G452" i="53" s="1"/>
  <c r="G453" i="53" s="1"/>
  <c r="G454" i="53" s="1"/>
  <c r="G455" i="53" s="1"/>
  <c r="G456" i="53" s="1"/>
  <c r="G457" i="53" s="1"/>
  <c r="G458" i="53" s="1"/>
  <c r="G459" i="53" s="1"/>
  <c r="L5" i="52"/>
  <c r="L17" i="52"/>
  <c r="L6" i="52"/>
  <c r="A6" i="52" s="1"/>
  <c r="D6" i="52" s="1"/>
  <c r="L18" i="52"/>
  <c r="L15" i="52"/>
  <c r="L7" i="52"/>
  <c r="L8" i="52"/>
  <c r="A8" i="52" s="1"/>
  <c r="B8" i="52" s="1"/>
  <c r="L9" i="52"/>
  <c r="A9" i="52" s="1"/>
  <c r="B9" i="52" s="1"/>
  <c r="L19" i="52"/>
  <c r="L20" i="52"/>
  <c r="L10" i="52"/>
  <c r="L21" i="52"/>
  <c r="L11" i="52"/>
  <c r="L2" i="52"/>
  <c r="L3" i="52"/>
  <c r="L16" i="52"/>
  <c r="A16" i="52" s="1"/>
  <c r="B16" i="52" s="1"/>
  <c r="L22" i="52"/>
  <c r="L23" i="52"/>
  <c r="L24" i="52"/>
  <c r="L25" i="52"/>
  <c r="L26" i="52"/>
  <c r="L27" i="52"/>
  <c r="L12" i="52"/>
  <c r="L28" i="52"/>
  <c r="L13" i="52"/>
  <c r="L4" i="52"/>
  <c r="L14" i="52"/>
  <c r="A31" i="52"/>
  <c r="B31" i="52" s="1"/>
  <c r="A39" i="52"/>
  <c r="B39" i="52" s="1"/>
  <c r="F188" i="48" l="1"/>
  <c r="F189" i="48" s="1"/>
  <c r="F190" i="48" s="1"/>
  <c r="F191" i="48" s="1"/>
  <c r="F192" i="48" s="1"/>
  <c r="F193" i="48" s="1"/>
  <c r="F194" i="48" s="1"/>
  <c r="F195" i="48" s="1"/>
  <c r="F196" i="48" s="1"/>
  <c r="F197" i="48" s="1"/>
  <c r="F198" i="48" s="1"/>
  <c r="A5" i="52"/>
  <c r="A45" i="52"/>
  <c r="B45" i="52" s="1"/>
  <c r="A37" i="52"/>
  <c r="B37" i="52" s="1"/>
  <c r="A29" i="52"/>
  <c r="B29" i="52" s="1"/>
  <c r="A4" i="52"/>
  <c r="B4" i="52" s="1"/>
  <c r="A12" i="52"/>
  <c r="B12" i="52" s="1"/>
  <c r="A25" i="52"/>
  <c r="A20" i="52"/>
  <c r="H20" i="52" s="1"/>
  <c r="A15" i="52"/>
  <c r="B15" i="52" s="1"/>
  <c r="A28" i="52"/>
  <c r="A10" i="52"/>
  <c r="B10" i="52" s="1"/>
  <c r="A43" i="52"/>
  <c r="B43" i="52" s="1"/>
  <c r="A35" i="52"/>
  <c r="B35" i="52" s="1"/>
  <c r="A27" i="52"/>
  <c r="A30" i="52"/>
  <c r="B30" i="52" s="1"/>
  <c r="A41" i="52"/>
  <c r="B41" i="52" s="1"/>
  <c r="A33" i="52"/>
  <c r="B33" i="52" s="1"/>
  <c r="A14" i="52"/>
  <c r="B14" i="52" s="1"/>
  <c r="A13" i="52"/>
  <c r="B13" i="52" s="1"/>
  <c r="A7" i="52"/>
  <c r="B7" i="52" s="1"/>
  <c r="A18" i="52"/>
  <c r="B28" i="52"/>
  <c r="H28" i="52"/>
  <c r="F28" i="52"/>
  <c r="D28" i="52"/>
  <c r="B5" i="52"/>
  <c r="H5" i="52"/>
  <c r="D5" i="52"/>
  <c r="F5" i="52"/>
  <c r="H25" i="52"/>
  <c r="B25" i="52"/>
  <c r="B20" i="52"/>
  <c r="F27" i="52"/>
  <c r="D27" i="52"/>
  <c r="B27" i="52"/>
  <c r="H27" i="52"/>
  <c r="F18" i="52"/>
  <c r="B18" i="52"/>
  <c r="H18" i="52"/>
  <c r="D18" i="52"/>
  <c r="H6" i="52"/>
  <c r="B6" i="52"/>
  <c r="A22" i="52"/>
  <c r="B22" i="52" s="1"/>
  <c r="F16" i="52"/>
  <c r="A3" i="52"/>
  <c r="A11" i="52"/>
  <c r="B11" i="52" s="1"/>
  <c r="A17" i="52"/>
  <c r="B17" i="52" s="1"/>
  <c r="A26" i="52"/>
  <c r="A23" i="52"/>
  <c r="A21" i="52"/>
  <c r="B21" i="52" s="1"/>
  <c r="F10" i="52"/>
  <c r="D16" i="52"/>
  <c r="D10" i="52"/>
  <c r="A19" i="52"/>
  <c r="F6" i="52"/>
  <c r="A24" i="52"/>
  <c r="A2" i="52"/>
  <c r="B2" i="52" s="1"/>
  <c r="A44" i="52"/>
  <c r="B44" i="52" s="1"/>
  <c r="A42" i="52"/>
  <c r="B42" i="52" s="1"/>
  <c r="A40" i="52"/>
  <c r="B40" i="52" s="1"/>
  <c r="A38" i="52"/>
  <c r="B38" i="52" s="1"/>
  <c r="A36" i="52"/>
  <c r="B36" i="52" s="1"/>
  <c r="A34" i="52"/>
  <c r="B34" i="52" s="1"/>
  <c r="A32" i="52"/>
  <c r="B32" i="52" s="1"/>
  <c r="H16" i="52"/>
  <c r="H10" i="52"/>
  <c r="F20" i="52" l="1"/>
  <c r="H7" i="52"/>
  <c r="D20" i="52"/>
  <c r="D26" i="52"/>
  <c r="F26" i="52"/>
  <c r="B26" i="52"/>
  <c r="H26" i="52"/>
  <c r="H3" i="52"/>
  <c r="B3" i="52"/>
  <c r="F19" i="52"/>
  <c r="B19" i="52"/>
  <c r="H19" i="52"/>
  <c r="D19" i="52"/>
  <c r="D24" i="52"/>
  <c r="F24" i="52"/>
  <c r="B24" i="52"/>
  <c r="H24" i="52"/>
  <c r="H23" i="52"/>
  <c r="B23" i="52"/>
  <c r="G56" i="52"/>
  <c r="O59" i="52"/>
  <c r="H54" i="5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MATIAS MURO</author>
  </authors>
  <commentList>
    <comment ref="G301" authorId="0" shapeId="0" xr:uid="{83BDAEA1-A44A-4371-9E8A-D3AE8DF25B25}">
      <text>
        <r>
          <rPr>
            <b/>
            <sz val="9"/>
            <color indexed="81"/>
            <rFont val="Tahoma"/>
            <charset val="1"/>
          </rPr>
          <t>MATIAS MURO:</t>
        </r>
        <r>
          <rPr>
            <sz val="9"/>
            <color indexed="81"/>
            <rFont val="Tahoma"/>
            <charset val="1"/>
          </rPr>
          <t xml:space="preserve">
se paga el 50% el 11/08 y el 50% el 18/08, $33.947,60, en cada caso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MATIAS MURO</author>
  </authors>
  <commentList>
    <comment ref="F137" authorId="0" shapeId="0" xr:uid="{E746F23B-B593-48CD-8181-01AF6A67AE99}">
      <text>
        <r>
          <rPr>
            <b/>
            <sz val="9"/>
            <color indexed="81"/>
            <rFont val="Tahoma"/>
            <family val="2"/>
          </rPr>
          <t>MATIAS MURO:</t>
        </r>
        <r>
          <rPr>
            <sz val="9"/>
            <color indexed="81"/>
            <rFont val="Tahoma"/>
            <family val="2"/>
          </rPr>
          <t xml:space="preserve">
se pone a mano con dif ya que se presenta resolucion por 136572,91
</t>
        </r>
      </text>
    </comment>
    <comment ref="F165" authorId="0" shapeId="0" xr:uid="{C28BC10E-6B07-41B9-9E2E-D266DDCE83BF}">
      <text>
        <r>
          <rPr>
            <b/>
            <sz val="9"/>
            <color indexed="81"/>
            <rFont val="Tahoma"/>
            <charset val="1"/>
          </rPr>
          <t>MATIAS MURO:</t>
        </r>
        <r>
          <rPr>
            <sz val="9"/>
            <color indexed="81"/>
            <rFont val="Tahoma"/>
            <charset val="1"/>
          </rPr>
          <t xml:space="preserve">
33958,54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MesadeEntrada</author>
  </authors>
  <commentList>
    <comment ref="A16" authorId="0" shapeId="0" xr:uid="{A678E90F-6039-41AB-8C0F-19E0595CF1AA}">
      <text>
        <r>
          <rPr>
            <sz val="9"/>
            <color indexed="81"/>
            <rFont val="Tahoma"/>
            <family val="2"/>
          </rPr>
          <t xml:space="preserve">Las DDJJ son </t>
        </r>
        <r>
          <rPr>
            <b/>
            <sz val="9"/>
            <color indexed="81"/>
            <rFont val="Tahoma"/>
            <family val="2"/>
          </rPr>
          <t>acumulativas</t>
        </r>
        <r>
          <rPr>
            <sz val="9"/>
            <color indexed="81"/>
            <rFont val="Tahoma"/>
            <family val="2"/>
          </rPr>
          <t xml:space="preserve">….por eso se ponen todas las del mes y por diferencia se descuenta en la Boleta la que ya se pago en su momento.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MATIAS MURO</author>
  </authors>
  <commentList>
    <comment ref="L2" authorId="0" shapeId="0" xr:uid="{A2A75EFC-9D58-42D5-8E65-F5BA4AA1B519}">
      <text>
        <r>
          <rPr>
            <b/>
            <sz val="9"/>
            <color indexed="81"/>
            <rFont val="Tahoma"/>
            <family val="2"/>
          </rPr>
          <t>MATIAS MURO:</t>
        </r>
        <r>
          <rPr>
            <sz val="9"/>
            <color indexed="81"/>
            <rFont val="Tahoma"/>
            <family val="2"/>
          </rPr>
          <t xml:space="preserve">
minimo 67170
</t>
        </r>
      </text>
    </comment>
    <comment ref="L13" authorId="0" shapeId="0" xr:uid="{80F2C1D5-E476-4D22-835E-6304A07672B6}">
      <text>
        <r>
          <rPr>
            <b/>
            <sz val="9"/>
            <color indexed="81"/>
            <rFont val="Tahoma"/>
            <family val="2"/>
          </rPr>
          <t>MATIAS MURO:</t>
        </r>
        <r>
          <rPr>
            <sz val="9"/>
            <color indexed="81"/>
            <rFont val="Tahoma"/>
            <family val="2"/>
          </rPr>
          <t xml:space="preserve">
minimo 67170
</t>
        </r>
      </text>
    </comment>
    <comment ref="L35" authorId="0" shapeId="0" xr:uid="{12F074F7-FE25-43E9-8E77-FAAC8ED21443}">
      <text>
        <r>
          <rPr>
            <b/>
            <sz val="9"/>
            <color indexed="81"/>
            <rFont val="Tahoma"/>
            <family val="2"/>
          </rPr>
          <t>MATIAS MURO:</t>
        </r>
        <r>
          <rPr>
            <sz val="9"/>
            <color indexed="81"/>
            <rFont val="Tahoma"/>
            <family val="2"/>
          </rPr>
          <t xml:space="preserve">
minimo 67170
</t>
        </r>
      </text>
    </comment>
    <comment ref="L43" authorId="0" shapeId="0" xr:uid="{75A03B1E-65D6-4A0F-86C9-C3E97458ECE0}">
      <text>
        <r>
          <rPr>
            <b/>
            <sz val="9"/>
            <color indexed="81"/>
            <rFont val="Tahoma"/>
            <family val="2"/>
          </rPr>
          <t>MATIAS MURO:</t>
        </r>
        <r>
          <rPr>
            <sz val="9"/>
            <color indexed="81"/>
            <rFont val="Tahoma"/>
            <family val="2"/>
          </rPr>
          <t xml:space="preserve">
minimo 67170
</t>
        </r>
      </text>
    </comment>
    <comment ref="L63" authorId="0" shapeId="0" xr:uid="{2A38F2A9-8C1F-425A-9C9A-BFBF43C0E9FD}">
      <text>
        <r>
          <rPr>
            <b/>
            <sz val="9"/>
            <color indexed="81"/>
            <rFont val="Tahoma"/>
            <family val="2"/>
          </rPr>
          <t>MATIAS MURO:</t>
        </r>
        <r>
          <rPr>
            <sz val="9"/>
            <color indexed="81"/>
            <rFont val="Tahoma"/>
            <family val="2"/>
          </rPr>
          <t xml:space="preserve">
minimo 67170
</t>
        </r>
      </text>
    </comment>
  </commentList>
</comments>
</file>

<file path=xl/sharedStrings.xml><?xml version="1.0" encoding="utf-8"?>
<sst xmlns="http://schemas.openxmlformats.org/spreadsheetml/2006/main" count="3237" uniqueCount="893">
  <si>
    <t>FECHA</t>
  </si>
  <si>
    <t>N° COMPROBANTE</t>
  </si>
  <si>
    <t>PROVEEDOR</t>
  </si>
  <si>
    <t>IMPORTE</t>
  </si>
  <si>
    <t>TEM</t>
  </si>
  <si>
    <t>IIBB</t>
  </si>
  <si>
    <t>CHEQUE</t>
  </si>
  <si>
    <t>INGRESOS</t>
  </si>
  <si>
    <t>EGRESOS</t>
  </si>
  <si>
    <t>EFECTIVO</t>
  </si>
  <si>
    <t>LIBRERÍA SAN PABLO SRL</t>
  </si>
  <si>
    <t>LA PROVIDENCIA DEL NOA SRL</t>
  </si>
  <si>
    <t xml:space="preserve"> EFECTIVO </t>
  </si>
  <si>
    <t>GASNOR</t>
  </si>
  <si>
    <t>RUBRO: SERVICIOS PUBLICOS</t>
  </si>
  <si>
    <t>TOTAL</t>
  </si>
  <si>
    <t>INGRESOS BRUTOS</t>
  </si>
  <si>
    <t>INGRESOS MUNICIPALES</t>
  </si>
  <si>
    <t>CLARO (AMX ARGENTINA)</t>
  </si>
  <si>
    <t>DETALLE</t>
  </si>
  <si>
    <t>WATERLIFE (VARONA CARLOS JOSE)</t>
  </si>
  <si>
    <t>Original</t>
  </si>
  <si>
    <t>x</t>
  </si>
  <si>
    <t>Rectif /Nro</t>
  </si>
  <si>
    <t>CUIT</t>
  </si>
  <si>
    <t>Agente Nº</t>
  </si>
  <si>
    <t>Direccion de Ingresos Municipales</t>
  </si>
  <si>
    <t>Municipalidad de San Miguel de Tucuman</t>
  </si>
  <si>
    <t>Razon Social</t>
  </si>
  <si>
    <t>SI.PRO.SA.</t>
  </si>
  <si>
    <t>Declaracion Jurada Mensual</t>
  </si>
  <si>
    <t>Domicilio Comercial</t>
  </si>
  <si>
    <t>Virgen La Merced 189</t>
  </si>
  <si>
    <t>Agente de Retencion/Percepcion</t>
  </si>
  <si>
    <t>F.A.R.</t>
  </si>
  <si>
    <t xml:space="preserve">Periodo </t>
  </si>
  <si>
    <t>Fecha de Presentaciòn</t>
  </si>
  <si>
    <t>Cantidad de Registros</t>
  </si>
  <si>
    <t>Monto T.E.M</t>
  </si>
  <si>
    <t>Monto P y P</t>
  </si>
  <si>
    <t>Observaciones</t>
  </si>
  <si>
    <t>RAZON SOCIAL</t>
  </si>
  <si>
    <t>DOMICILIO</t>
  </si>
  <si>
    <t>NUM. DE COMPROBANTE</t>
  </si>
  <si>
    <t>NUM. DE CONSTANCIA</t>
  </si>
  <si>
    <t>FECHA COMPROBANTE</t>
  </si>
  <si>
    <t>MONTO TEM</t>
  </si>
  <si>
    <t>MONTO P Y P</t>
  </si>
  <si>
    <t>CORDOBA 119</t>
  </si>
  <si>
    <t>0.00</t>
  </si>
  <si>
    <t>CEGE SRL</t>
  </si>
  <si>
    <t>24 DE SEPTIEMBRE 1090</t>
  </si>
  <si>
    <t>N° CHEQUE</t>
  </si>
  <si>
    <t>30-58351679-0</t>
  </si>
  <si>
    <t>30-68568395-0</t>
  </si>
  <si>
    <t>20-22414023-2</t>
  </si>
  <si>
    <t>30-65710669-7</t>
  </si>
  <si>
    <t>30-66328849-7</t>
  </si>
  <si>
    <t>20-22167463-5</t>
  </si>
  <si>
    <t>JORGE ROLANDO FRIAS (JF SERV. INF.)</t>
  </si>
  <si>
    <t>CUENTA</t>
  </si>
  <si>
    <t>F COMPROBANTE</t>
  </si>
  <si>
    <t>DIRECCION GENERAL DE RECURSOS HUMANOS EN SALUD</t>
  </si>
  <si>
    <t xml:space="preserve">El que suscribe DG de RRHH en Salud- SI.PRO.SA.en su carácter de Titular, ha confeccionado la presente DDJJ sin omitir o falsear dato alguno que deba contener, siendo fiel expresion de la verdad.                                                                                                                                                           </t>
  </si>
  <si>
    <t>___________________________________ Firma y Sello</t>
  </si>
  <si>
    <t>FIRMA JEFE DE DEPARTAMENTO</t>
  </si>
  <si>
    <t>FIRMA DIRECTOR</t>
  </si>
  <si>
    <t>30-70895858-8</t>
  </si>
  <si>
    <t>MONTO</t>
  </si>
  <si>
    <t>RUBRO: MATENIMIENTO EDILICIO/VARIOS</t>
  </si>
  <si>
    <t>RUBRO: VIVERES</t>
  </si>
  <si>
    <t>RUBRO: SERVICIOS A 3°</t>
  </si>
  <si>
    <t>RUBRO: ARTICULOS LIBRERÍA</t>
  </si>
  <si>
    <t>RUBRO: RETENCIONES</t>
  </si>
  <si>
    <t>FIRMA JEFE DE SECCION</t>
  </si>
  <si>
    <t xml:space="preserve">INGRESOS MUNICIPALES </t>
  </si>
  <si>
    <t>F. DE PAGO</t>
  </si>
  <si>
    <t>IMPORTE CHEQUE</t>
  </si>
  <si>
    <t>FALTA GASTAR</t>
  </si>
  <si>
    <t>TOTAL A PROV.</t>
  </si>
  <si>
    <t>SAN MARTIN 628</t>
  </si>
  <si>
    <t>30-70861788-8</t>
  </si>
  <si>
    <t>MAIMARA MAXIKIOSCO</t>
  </si>
  <si>
    <t>20-30068293-2</t>
  </si>
  <si>
    <t>IVA</t>
  </si>
  <si>
    <t>SUSS</t>
  </si>
  <si>
    <t>GANANCIAS</t>
  </si>
  <si>
    <t xml:space="preserve">GANANCIAS </t>
  </si>
  <si>
    <t>SUS</t>
  </si>
  <si>
    <t>SAT</t>
  </si>
  <si>
    <t>LIBERIA SAN PABLO</t>
  </si>
  <si>
    <t>SAWELEC S.A.S.</t>
  </si>
  <si>
    <t xml:space="preserve">COOP. DE TRAB. SAN LORENZO M </t>
  </si>
  <si>
    <t>30-71678975-2</t>
  </si>
  <si>
    <t>GOMEZ PARDO RAUL DANIEL(LIMPLUS)</t>
  </si>
  <si>
    <t>20-34285327-8</t>
  </si>
  <si>
    <t>DEBITO</t>
  </si>
  <si>
    <t>20-16216700-7</t>
  </si>
  <si>
    <t>FULL TRACK S.R.L.</t>
  </si>
  <si>
    <t>30-71648081-6</t>
  </si>
  <si>
    <t>VICINI CESAR LUIS</t>
  </si>
  <si>
    <t>FONDO</t>
  </si>
  <si>
    <t>SEGURIDAD</t>
  </si>
  <si>
    <t>20-31729103-6</t>
  </si>
  <si>
    <t>ESCOBEDO LUCAS NICOLAS (PAPERTUC)</t>
  </si>
  <si>
    <t>NAGLE JORGE ELIAS</t>
  </si>
  <si>
    <t>20-39477352-3</t>
  </si>
  <si>
    <t>PUERTAS RUBEN ALBERTO(PLASTINORT)</t>
  </si>
  <si>
    <t>20-12576284-1</t>
  </si>
  <si>
    <t>LEON LUIS CESAR</t>
  </si>
  <si>
    <t>20-13278210-6</t>
  </si>
  <si>
    <t>CHEQUE/DEBITO</t>
  </si>
  <si>
    <t>TOTAL GASTOS EN CHEQUE/DEBITO</t>
  </si>
  <si>
    <t>N° CHEQUE/OPERACIÓN</t>
  </si>
  <si>
    <t>GOMEZ PARDO RAUL(LIMPLUS)</t>
  </si>
  <si>
    <t>TORRES JULIETA(FARMARKET)</t>
  </si>
  <si>
    <t>COOPERATIVA DE TRABAJO PARAJE JULIO</t>
  </si>
  <si>
    <t>CARREFOUR</t>
  </si>
  <si>
    <t>30-68731043-4</t>
  </si>
  <si>
    <t>CANIVARES ANTONIO OTILIO</t>
  </si>
  <si>
    <t>20-07067141-8</t>
  </si>
  <si>
    <t>REFRIGERACION NORTE SRL</t>
  </si>
  <si>
    <t>30-51831471-4</t>
  </si>
  <si>
    <t>IMPORTE FACTURADO</t>
  </si>
  <si>
    <t>COMIDA</t>
  </si>
  <si>
    <t>DIF COMIDA</t>
  </si>
  <si>
    <t>AGROQUIMICA</t>
  </si>
  <si>
    <t>20-22263284-7</t>
  </si>
  <si>
    <t>1305-29275822</t>
  </si>
  <si>
    <t>0049-00022613</t>
  </si>
  <si>
    <t>0008-00004114</t>
  </si>
  <si>
    <t>0002-00005271</t>
  </si>
  <si>
    <t>0002-00005272</t>
  </si>
  <si>
    <t>00003-00004595</t>
  </si>
  <si>
    <t>00003-00004599</t>
  </si>
  <si>
    <t>00004-00000026</t>
  </si>
  <si>
    <t>LOFT COMPUTACION SAS</t>
  </si>
  <si>
    <t>30-71753417-0</t>
  </si>
  <si>
    <t>00001-00000181</t>
  </si>
  <si>
    <t>0005-00000911</t>
  </si>
  <si>
    <t>NFACTURA</t>
  </si>
  <si>
    <t>FF_FECHA</t>
  </si>
  <si>
    <t>FF</t>
  </si>
  <si>
    <t>FEBRERO 23</t>
  </si>
  <si>
    <t>ABRIL 23</t>
  </si>
  <si>
    <t>MARZO 23</t>
  </si>
  <si>
    <t>MAYO 23</t>
  </si>
  <si>
    <t>JUNIO 23</t>
  </si>
  <si>
    <t>JULIO 23</t>
  </si>
  <si>
    <t>AGOSTO 23</t>
  </si>
  <si>
    <t>CUIL</t>
  </si>
  <si>
    <t>DIRECCION</t>
  </si>
  <si>
    <t>PERU 2929</t>
  </si>
  <si>
    <t>CORDOBA 809</t>
  </si>
  <si>
    <t>JUNIN 273</t>
  </si>
  <si>
    <t>BOULEVARD 9 DE JULIO 1249</t>
  </si>
  <si>
    <t>ISLA SOLDEDAD 2420</t>
  </si>
  <si>
    <t>URUGUAY 1013</t>
  </si>
  <si>
    <t>B250 VIV LOTE 23 B VISTA</t>
  </si>
  <si>
    <t>AV D MAYO 878</t>
  </si>
  <si>
    <t>IMP_LIQ</t>
  </si>
  <si>
    <t>FFMES</t>
  </si>
  <si>
    <t>SEPTIEMBRE 23</t>
  </si>
  <si>
    <t>ACREDITACION</t>
  </si>
  <si>
    <t>COOPERATIVA</t>
  </si>
  <si>
    <t>OTROS</t>
  </si>
  <si>
    <t>ENERO 23</t>
  </si>
  <si>
    <t>69-68628</t>
  </si>
  <si>
    <t>69-68125</t>
  </si>
  <si>
    <t>69-68384</t>
  </si>
  <si>
    <t>2-5166</t>
  </si>
  <si>
    <t>2-5167</t>
  </si>
  <si>
    <t>4-11765</t>
  </si>
  <si>
    <t>8-4015</t>
  </si>
  <si>
    <t>5-892</t>
  </si>
  <si>
    <t>3-147</t>
  </si>
  <si>
    <t>9-8595</t>
  </si>
  <si>
    <t>4-23</t>
  </si>
  <si>
    <t>4-24</t>
  </si>
  <si>
    <t>3-4543</t>
  </si>
  <si>
    <t>3-4547</t>
  </si>
  <si>
    <t>MES TEM</t>
  </si>
  <si>
    <t>RUEDA JORGE AGUSTIN(CARATULAS)</t>
  </si>
  <si>
    <t>30-52556278-2</t>
  </si>
  <si>
    <t>SAN JUAN 938</t>
  </si>
  <si>
    <t>AV SIRIA 1691</t>
  </si>
  <si>
    <t>5-559</t>
  </si>
  <si>
    <t>2-581</t>
  </si>
  <si>
    <t>ROTTA FRANCISCO(COMPUMAQ)</t>
  </si>
  <si>
    <t>ESPECIAL SRL(ZONE MULTIRUBRO)</t>
  </si>
  <si>
    <t>30-71738700-9</t>
  </si>
  <si>
    <t>GASTO FF MES</t>
  </si>
  <si>
    <t>DIF_COM</t>
  </si>
  <si>
    <t>OCTUBRE 23</t>
  </si>
  <si>
    <t>NOVIEMBRE 23</t>
  </si>
  <si>
    <t>DICIEMBRE 23</t>
  </si>
  <si>
    <t>FF_MES</t>
  </si>
  <si>
    <t>GANANCIA</t>
  </si>
  <si>
    <t>TRANSF</t>
  </si>
  <si>
    <t>OBS</t>
  </si>
  <si>
    <t>0069-00068874</t>
  </si>
  <si>
    <t>TIPO ACREDITACION</t>
  </si>
  <si>
    <t>RF</t>
  </si>
  <si>
    <t>GASTO FF COMIDA</t>
  </si>
  <si>
    <t>GASTOS FF OTROS</t>
  </si>
  <si>
    <t>DIF FF SALDO</t>
  </si>
  <si>
    <t>DEVUELTO</t>
  </si>
  <si>
    <t>SG IMPRESIONES</t>
  </si>
  <si>
    <t>30-71784900-7</t>
  </si>
  <si>
    <t>MARTIN LUIS EDUARDO(MARCOS)</t>
  </si>
  <si>
    <t>20-11708743-4</t>
  </si>
  <si>
    <t>00002-00000006</t>
  </si>
  <si>
    <t>00003-00000246</t>
  </si>
  <si>
    <t>VERIFICADO</t>
  </si>
  <si>
    <t>DEV RF</t>
  </si>
  <si>
    <t>RETENCIONES/ PAGO</t>
  </si>
  <si>
    <t>N</t>
  </si>
  <si>
    <t>FF MES</t>
  </si>
  <si>
    <t>CLAVE</t>
  </si>
  <si>
    <t>SUMA TEM</t>
  </si>
  <si>
    <t>SANTIAGO 1203</t>
  </si>
  <si>
    <t>SAN MARTIN 139</t>
  </si>
  <si>
    <t>1198-00000725</t>
  </si>
  <si>
    <t>1198-00000726</t>
  </si>
  <si>
    <t>1198-00000727</t>
  </si>
  <si>
    <t>1198-00000728</t>
  </si>
  <si>
    <t>1198-00000729</t>
  </si>
  <si>
    <t>1198-00000730</t>
  </si>
  <si>
    <t>00003-00004695</t>
  </si>
  <si>
    <t>00003-00004699</t>
  </si>
  <si>
    <t>clave</t>
  </si>
  <si>
    <t>Planilla de Rendicion</t>
  </si>
  <si>
    <t>Nombre del Servicio:</t>
  </si>
  <si>
    <t>Direccion Gral de RRHHS en Salud</t>
  </si>
  <si>
    <t>Retenciones IVA</t>
  </si>
  <si>
    <t>Quincena:</t>
  </si>
  <si>
    <t>Mes y Año:</t>
  </si>
  <si>
    <t>CUIT N°</t>
  </si>
  <si>
    <t>RECIBO O FACT</t>
  </si>
  <si>
    <t>RECIBO O FACTURA N°</t>
  </si>
  <si>
    <t>FECH REC. O FACTURA</t>
  </si>
  <si>
    <t>IMPORTE DE FACTURA</t>
  </si>
  <si>
    <t>IMPORTE RETENIDO</t>
  </si>
  <si>
    <t>FACTURA</t>
  </si>
  <si>
    <t xml:space="preserve">TOTAL </t>
  </si>
  <si>
    <t>FIRMA Y SELLO DE RESPONSABLE</t>
  </si>
  <si>
    <t>…....................................</t>
  </si>
  <si>
    <t>el porcentaje de calculo es 8,68%</t>
  </si>
  <si>
    <t>Retenciones GANANCIA</t>
  </si>
  <si>
    <t>Retenciones SUSS</t>
  </si>
  <si>
    <t>PARA EL CALCULO SE DIVIDE EN 1,21 Y SE MULTIPLICA POR 1%</t>
  </si>
  <si>
    <t>IMPORTE MINIMO A RETENER 400</t>
  </si>
  <si>
    <t>MES</t>
  </si>
  <si>
    <t>SAWELEC SAS</t>
  </si>
  <si>
    <t>OLEGAARIO ANDRADE 2056</t>
  </si>
  <si>
    <t>CBU</t>
  </si>
  <si>
    <t>017022332000000200991</t>
  </si>
  <si>
    <t>BANCO</t>
  </si>
  <si>
    <t>BBVA</t>
  </si>
  <si>
    <t>FORMAS DE PAGOS</t>
  </si>
  <si>
    <t>TRANSFERENCIA</t>
  </si>
  <si>
    <t>OPERACION CHEQUE EFECTIVO</t>
  </si>
  <si>
    <t>0006-00000036</t>
  </si>
  <si>
    <t xml:space="preserve">CAJA  CHICA SEPTIEMBRE 2022 </t>
  </si>
  <si>
    <t>CEGE</t>
  </si>
  <si>
    <t>LOFT</t>
  </si>
  <si>
    <t>OSYM</t>
  </si>
  <si>
    <t>SAWELEC S.A.S</t>
  </si>
  <si>
    <t>TODO AUDIO</t>
  </si>
  <si>
    <t>EL CLUB DE LA LIMPIEZA</t>
  </si>
  <si>
    <t>IMPRENTA CANIVARE</t>
  </si>
  <si>
    <t>COMPUMAQ</t>
  </si>
  <si>
    <t xml:space="preserve">CAJA  CHICA SEPTIEMBRE OCTUBRE 2022 </t>
  </si>
  <si>
    <t>MAXI KIOSCO</t>
  </si>
  <si>
    <t>DAVALOS</t>
  </si>
  <si>
    <t>TEM(RAPI PAGO)</t>
  </si>
  <si>
    <t xml:space="preserve">CAJA  CHICA  OCTUBRE 2022 </t>
  </si>
  <si>
    <t>PARRA PEDRO BENITO(CERRAJERIA)</t>
  </si>
  <si>
    <t>FERRETERIA MARTIN(MARTIN PEDRO)</t>
  </si>
  <si>
    <t>SABRA RICARDO JOSE</t>
  </si>
  <si>
    <t>ALUNORT</t>
  </si>
  <si>
    <t>TEM(RETENCIONES)</t>
  </si>
  <si>
    <t>IMPRENTA CANIVARES</t>
  </si>
  <si>
    <t>CAJA POPULAR DE AHORRO</t>
  </si>
  <si>
    <t xml:space="preserve">CAJA  CHICA OCTUBRE NOVIEMBRE 2022 </t>
  </si>
  <si>
    <t xml:space="preserve">CAJA  CHICA   DICIEMBRE 2022 </t>
  </si>
  <si>
    <t xml:space="preserve">CAJA  CHICA   ENERO 2022 </t>
  </si>
  <si>
    <t>DIM(RECARGO)</t>
  </si>
  <si>
    <t>DIM(MENSUAL)</t>
  </si>
  <si>
    <t>CC</t>
  </si>
  <si>
    <t>CAJA  CHICA   DICIEMBRE2022/ENERO2023</t>
  </si>
  <si>
    <t>IIBB(MENSUALDIFERENCIA)</t>
  </si>
  <si>
    <t>11372,64</t>
  </si>
  <si>
    <t>3838,17</t>
  </si>
  <si>
    <t>32525,82</t>
  </si>
  <si>
    <t>FF ENERO 2023</t>
  </si>
  <si>
    <t>DIM(RETENCIONES)</t>
  </si>
  <si>
    <t>FF FEBRERO 2023</t>
  </si>
  <si>
    <t>0008-00004216</t>
  </si>
  <si>
    <t>N° CHEQUE/ OPERACIÓN</t>
  </si>
  <si>
    <t>N° COMPRO/ FACTURA</t>
  </si>
  <si>
    <t>0002-00005376</t>
  </si>
  <si>
    <t>0002-00005377</t>
  </si>
  <si>
    <t>00004-00000027</t>
  </si>
  <si>
    <t>0006-00000458</t>
  </si>
  <si>
    <t>00011-00000592</t>
  </si>
  <si>
    <t>0005-00000915</t>
  </si>
  <si>
    <t>CAJA  CHICA AGOSTO 2022</t>
  </si>
  <si>
    <t>MAXIKIOSCO</t>
  </si>
  <si>
    <t>PLASTINORT</t>
  </si>
  <si>
    <t>GOLOSI</t>
  </si>
  <si>
    <t>FERRETERIA NAGLE</t>
  </si>
  <si>
    <t>cc</t>
  </si>
  <si>
    <t>28600</t>
  </si>
  <si>
    <t>ANULACION SAWELEC SAS</t>
  </si>
  <si>
    <t>LAMAS MONICA GABRIELA</t>
  </si>
  <si>
    <t>0018-00009114</t>
  </si>
  <si>
    <t>0006-00038214</t>
  </si>
  <si>
    <t>BATALLA DE JUNIN 216</t>
  </si>
  <si>
    <t>00002-00000019</t>
  </si>
  <si>
    <t>0006-00000039</t>
  </si>
  <si>
    <t>0069-00069294</t>
  </si>
  <si>
    <t>campo</t>
  </si>
  <si>
    <t>clave1</t>
  </si>
  <si>
    <t>TOTAL EFECTIVO</t>
  </si>
  <si>
    <t>libramiento</t>
  </si>
  <si>
    <t>acre</t>
  </si>
  <si>
    <t>gasto</t>
  </si>
  <si>
    <t>dif</t>
  </si>
  <si>
    <t>gasto+retenciones</t>
  </si>
  <si>
    <t>COMIDA 2</t>
  </si>
  <si>
    <t>COMIDA2</t>
  </si>
  <si>
    <t>DEVRF</t>
  </si>
  <si>
    <t>RF1</t>
  </si>
  <si>
    <t>RF2</t>
  </si>
  <si>
    <t>RETENCIONES TOTAL</t>
  </si>
  <si>
    <t>00004-00005475</t>
  </si>
  <si>
    <t>27-27493596-6</t>
  </si>
  <si>
    <t>Periodo</t>
  </si>
  <si>
    <t>SAN MARTIN 205</t>
  </si>
  <si>
    <t>NAGLE JORGE ELIAS(FERRETERIA)</t>
  </si>
  <si>
    <t>00005-00001425</t>
  </si>
  <si>
    <t>0003-00000148</t>
  </si>
  <si>
    <t>claveff</t>
  </si>
  <si>
    <t>clavetem</t>
  </si>
  <si>
    <t>1305-36034191</t>
  </si>
  <si>
    <t>0009-00009238</t>
  </si>
  <si>
    <t>EFECTIVO/ CHEQUE/ TRANSFERENCIA</t>
  </si>
  <si>
    <t>IMPORTE CHEQUE/ EFECT./  TRANSF.</t>
  </si>
  <si>
    <t>RAPIPAGO-EFECTIVO</t>
  </si>
  <si>
    <t>0069-00069382</t>
  </si>
  <si>
    <t>0018-000009539</t>
  </si>
  <si>
    <t>MILER SRL</t>
  </si>
  <si>
    <t>30-71414895-4</t>
  </si>
  <si>
    <t>JUNIN 290</t>
  </si>
  <si>
    <t>00001-00000001</t>
  </si>
  <si>
    <t>0010-0000730</t>
  </si>
  <si>
    <t>0004-00012114</t>
  </si>
  <si>
    <t>DEVOLUCION RF</t>
  </si>
  <si>
    <t>B</t>
  </si>
  <si>
    <t>MONTO IIBB</t>
  </si>
  <si>
    <t>SUMA IIBB</t>
  </si>
  <si>
    <t>0.01</t>
  </si>
  <si>
    <t>0.04</t>
  </si>
  <si>
    <t>0.05</t>
  </si>
  <si>
    <t>01-LIBRERÍA</t>
  </si>
  <si>
    <t>02-SERVICIOS</t>
  </si>
  <si>
    <t>03-VIVERES</t>
  </si>
  <si>
    <t>04-MANTENIMIENTO</t>
  </si>
  <si>
    <t>PARTIDA</t>
  </si>
  <si>
    <t>211 (ALIMENTOS PARA PERSONAS)</t>
  </si>
  <si>
    <t>279 (PRODUCTOS PARA FERRETERIA)</t>
  </si>
  <si>
    <t>291 (ELEMENTOS DE LIMPIEZA)</t>
  </si>
  <si>
    <t>292 (UTILES DE ESCRITORIO Y OFICINA)</t>
  </si>
  <si>
    <t>293 (UTILES Y MATERIALES ELECTRONICOS</t>
  </si>
  <si>
    <t>296 (REPUESTOS Y ACCESORIOS)</t>
  </si>
  <si>
    <t>379 (SERVICIOS - OTROS NO ESPECIFICADOS)</t>
  </si>
  <si>
    <t>N° FACTURA TIKET</t>
  </si>
  <si>
    <t>SUBTOTAL</t>
  </si>
  <si>
    <t>00004-00005613</t>
  </si>
  <si>
    <t>00001-00000208</t>
  </si>
  <si>
    <t>0010-00000730</t>
  </si>
  <si>
    <t>12-1157</t>
  </si>
  <si>
    <t>12-1158</t>
  </si>
  <si>
    <t>11-564</t>
  </si>
  <si>
    <t>4-4991</t>
  </si>
  <si>
    <t>16789-64426</t>
  </si>
  <si>
    <t>6-37555</t>
  </si>
  <si>
    <t>5-5006</t>
  </si>
  <si>
    <t>8-2957</t>
  </si>
  <si>
    <t>9-8961</t>
  </si>
  <si>
    <t>97335640-98462318</t>
  </si>
  <si>
    <t>DEPOSITO</t>
  </si>
  <si>
    <t>RETIROS</t>
  </si>
  <si>
    <t>SALDO DEUDOR</t>
  </si>
  <si>
    <t>SALDO ACREDORS</t>
  </si>
  <si>
    <t>DEVOLUCION FF SIPROSA</t>
  </si>
  <si>
    <t>DEVOLUCION RF SIPROSA</t>
  </si>
  <si>
    <t>ACREDITACION SIPROSA</t>
  </si>
  <si>
    <t>A LA ORDEN DE</t>
  </si>
  <si>
    <t>N CHEQUE/ REFERENCIA</t>
  </si>
  <si>
    <t>CLAVE1</t>
  </si>
  <si>
    <t>DIR GRAL RRHH EN SALUD</t>
  </si>
  <si>
    <t>BANCO MACRO (IIBB)</t>
  </si>
  <si>
    <t>TIPO</t>
  </si>
  <si>
    <t>T</t>
  </si>
  <si>
    <t>C</t>
  </si>
  <si>
    <t>RET SIPROSA IVA</t>
  </si>
  <si>
    <t>RET SIPROSA SUSS</t>
  </si>
  <si>
    <t>RET SIPROSA GANANCIAS</t>
  </si>
  <si>
    <t>DIC 22</t>
  </si>
  <si>
    <t>ACREDITACION SIPROSA RF</t>
  </si>
  <si>
    <t>CHEQUE ANULADO</t>
  </si>
  <si>
    <t>DIR GRAL RRHH EN SALUD (TEM)</t>
  </si>
  <si>
    <t>00003-00000149</t>
  </si>
  <si>
    <t>00004-00000033</t>
  </si>
  <si>
    <t>dev aire 19870 Y DEVOLUCION 3041,96 FF</t>
  </si>
  <si>
    <t>IMPORTE TRANSFERIR</t>
  </si>
  <si>
    <t>NUMERO DE REF.</t>
  </si>
  <si>
    <t>claveper_tem</t>
  </si>
  <si>
    <t>DIF FONDO</t>
  </si>
  <si>
    <t>DIFFONDOREAL</t>
  </si>
  <si>
    <t>20-22058794-1</t>
  </si>
  <si>
    <t>SAN LORENZO 408 PB</t>
  </si>
  <si>
    <t>AV. GOBERNADOR DEL CAMPO 816</t>
  </si>
  <si>
    <t>0001-00000196</t>
  </si>
  <si>
    <t>0005-00000933</t>
  </si>
  <si>
    <t>0001-00001508</t>
  </si>
  <si>
    <t>0004-00011909</t>
  </si>
  <si>
    <t>0069-00069888</t>
  </si>
  <si>
    <t>0006-00000044</t>
  </si>
  <si>
    <t>00002-00000566</t>
  </si>
  <si>
    <t>00002-00000616</t>
  </si>
  <si>
    <t>00004-00000034</t>
  </si>
  <si>
    <t>0008-00004478</t>
  </si>
  <si>
    <t>00003-00004745</t>
  </si>
  <si>
    <t>00003-00004749</t>
  </si>
  <si>
    <t>1305-42453653</t>
  </si>
  <si>
    <t>0002-00005691</t>
  </si>
  <si>
    <t>0002-00005692</t>
  </si>
  <si>
    <t>00005-00001501</t>
  </si>
  <si>
    <t>00003-00000150</t>
  </si>
  <si>
    <t>TUMBURUS PEDRO RUBEN</t>
  </si>
  <si>
    <t>20-13628911-0</t>
  </si>
  <si>
    <t>CONGRESO 86</t>
  </si>
  <si>
    <t>00003-00001672</t>
  </si>
  <si>
    <t>0005-00000960</t>
  </si>
  <si>
    <t>0069-00070116</t>
  </si>
  <si>
    <t>16781-00136575</t>
  </si>
  <si>
    <t>0009-00009976</t>
  </si>
  <si>
    <t>00005-00001503</t>
  </si>
  <si>
    <t>0009-000009550</t>
  </si>
  <si>
    <t>ENTE CULTURAL DE TUCUMAN</t>
  </si>
  <si>
    <t>0004-00012368</t>
  </si>
  <si>
    <t>20-70008406-4</t>
  </si>
  <si>
    <t>SAN MARTIN</t>
  </si>
  <si>
    <t>0006-00000047</t>
  </si>
  <si>
    <t>CHEQUE/ TRANSFERENCIA</t>
  </si>
  <si>
    <t>GOLDMAN RUBEN EDUARDO</t>
  </si>
  <si>
    <t>20-11707198-8</t>
  </si>
  <si>
    <t>MAIPU 181</t>
  </si>
  <si>
    <t>00005-00014769</t>
  </si>
  <si>
    <t>MEGAVENTAS SRL</t>
  </si>
  <si>
    <t>33-71779590-9</t>
  </si>
  <si>
    <t>JUNIN 275</t>
  </si>
  <si>
    <t>00004-00000035</t>
  </si>
  <si>
    <t>00011-00000658</t>
  </si>
  <si>
    <t>00011-00000659</t>
  </si>
  <si>
    <t>24 SEPTIEMBRE 1352</t>
  </si>
  <si>
    <t>30-70744264-2</t>
  </si>
  <si>
    <t>00005-00001519</t>
  </si>
  <si>
    <t>00002-00012585</t>
  </si>
  <si>
    <t>IMPORTE A TRANSFERIR</t>
  </si>
  <si>
    <t>00001-00000258</t>
  </si>
  <si>
    <t>00001-00000259</t>
  </si>
  <si>
    <t>00006-00000048</t>
  </si>
  <si>
    <t>CHEQUERA BM DEBITO FISCAL IVA BASICO</t>
  </si>
  <si>
    <t>CHEQUERA BM COMISION ADMINISTRACION</t>
  </si>
  <si>
    <t>0069-00070274</t>
  </si>
  <si>
    <t>00012-00001362</t>
  </si>
  <si>
    <t>00035-00006354</t>
  </si>
  <si>
    <t>0004-00006451</t>
  </si>
  <si>
    <t>1305-45728012</t>
  </si>
  <si>
    <t>00002-00000005</t>
  </si>
  <si>
    <t>AVDA J D PERON 49 - YB</t>
  </si>
  <si>
    <t>27-23238405-6</t>
  </si>
  <si>
    <t>CARMENA MARCELA ALEJANDRA</t>
  </si>
  <si>
    <t>0004-00000389</t>
  </si>
  <si>
    <t>0720365588000035825568</t>
  </si>
  <si>
    <t>SANTANDER</t>
  </si>
  <si>
    <t>30-50001008-4</t>
  </si>
  <si>
    <t>GRANEROS HORACIO EDUARDO</t>
  </si>
  <si>
    <t>30-52925546-9</t>
  </si>
  <si>
    <t>20-11476093-6</t>
  </si>
  <si>
    <t>AV PRESIDENTE PERON 1 DELFIN GALLO</t>
  </si>
  <si>
    <t>CONFEDERACION MEDICA DE LA REPUBLICA</t>
  </si>
  <si>
    <t>AV BELGRANO 1235 CIUDAD DE BS AS</t>
  </si>
  <si>
    <t>0003-00002005</t>
  </si>
  <si>
    <t>0003-00000614</t>
  </si>
  <si>
    <t>P/ DEVOLUCION</t>
  </si>
  <si>
    <t>00011-00000670</t>
  </si>
  <si>
    <t>0069-00070445</t>
  </si>
  <si>
    <t>00003-00004795</t>
  </si>
  <si>
    <t>00003-00004799</t>
  </si>
  <si>
    <t>00003-00004845</t>
  </si>
  <si>
    <t>00003-00004849</t>
  </si>
  <si>
    <t>0006-00039736</t>
  </si>
  <si>
    <t>00004-00006557</t>
  </si>
  <si>
    <t>0002-00005796</t>
  </si>
  <si>
    <t>0002-00005797</t>
  </si>
  <si>
    <t>SUMA</t>
  </si>
  <si>
    <t>00004-00000036</t>
  </si>
  <si>
    <t>00001-00000275</t>
  </si>
  <si>
    <t>00005-00001540</t>
  </si>
  <si>
    <t>DISCO LUCAS</t>
  </si>
  <si>
    <t>PALANCAS, BAÑO</t>
  </si>
  <si>
    <t>RF MINISTERIO</t>
  </si>
  <si>
    <t>SUSANA</t>
  </si>
  <si>
    <t>PAGO DE VIVERES REUNIONES</t>
  </si>
  <si>
    <t>PAGO SEGURO, SUSANA</t>
  </si>
  <si>
    <t>POWER, MOUSE</t>
  </si>
  <si>
    <t>LUZ DE EMERGENCIA</t>
  </si>
  <si>
    <t>VIVERES</t>
  </si>
  <si>
    <t>COMPRA CHEQUERA</t>
  </si>
  <si>
    <t>CARATULAS</t>
  </si>
  <si>
    <t>RF AIRES</t>
  </si>
  <si>
    <t>FORMULARIOS C PERMANENCIA, LUIS CHALIN</t>
  </si>
  <si>
    <t>SALDO</t>
  </si>
  <si>
    <t>CABLE RED, FICHAS, MANEFF</t>
  </si>
  <si>
    <t>BOLSA Y VASOS, LIMPIEZA Y DIR</t>
  </si>
  <si>
    <t>TECLADOS</t>
  </si>
  <si>
    <t>MAUSE Y TECLADO</t>
  </si>
  <si>
    <t>TOMA DOBLE, DIR</t>
  </si>
  <si>
    <t>TORNILLOS SILLAS, MANT</t>
  </si>
  <si>
    <t>MACETAS, DIR</t>
  </si>
  <si>
    <t>AURICULARES, CAPACITACION</t>
  </si>
  <si>
    <t>MARTILLO, TORNILLOS, VARIOS, MANT</t>
  </si>
  <si>
    <t>CANDADO, MANT</t>
  </si>
  <si>
    <t>IMPRESIONES VARIAS, DIR</t>
  </si>
  <si>
    <t>PAGO VIVERES</t>
  </si>
  <si>
    <t>LA GACETA</t>
  </si>
  <si>
    <t>30-50009071-1</t>
  </si>
  <si>
    <t>MENDOZA 654</t>
  </si>
  <si>
    <t>0091-00021599</t>
  </si>
  <si>
    <t>AVISOS</t>
  </si>
  <si>
    <t>0008-00004594</t>
  </si>
  <si>
    <t>BARRIONUEVO CEBALLOS MARIA ENRIQUETA</t>
  </si>
  <si>
    <t>27-36121142-7</t>
  </si>
  <si>
    <t>LAVALLE 845</t>
  </si>
  <si>
    <t>00001-00001566</t>
  </si>
  <si>
    <t>TIERRA, MANTENIMIENTO</t>
  </si>
  <si>
    <t>NUMERO DE REF/CHEQ</t>
  </si>
  <si>
    <t>00011-00000680</t>
  </si>
  <si>
    <t>0004-00012642</t>
  </si>
  <si>
    <t>0012-00001395</t>
  </si>
  <si>
    <t>0069-00070710</t>
  </si>
  <si>
    <t>0009-00010709</t>
  </si>
  <si>
    <t>LIMPIEZA, PRIMER PISO</t>
  </si>
  <si>
    <t>0008-00017979</t>
  </si>
  <si>
    <t>00011-00000683</t>
  </si>
  <si>
    <t>SUCESION DE NUÑEZ CAMPERO MARIO ROBERTO</t>
  </si>
  <si>
    <t>LAMADRID 333</t>
  </si>
  <si>
    <t>20-16933019-1</t>
  </si>
  <si>
    <t>30-71210577-8</t>
  </si>
  <si>
    <t>CYGNUS COMUNICACIONES</t>
  </si>
  <si>
    <t>24 SEPTIEMBRE 582 PB</t>
  </si>
  <si>
    <t>0003-00001328</t>
  </si>
  <si>
    <t>0003-00002511</t>
  </si>
  <si>
    <t>MONTEAGUDO BERNARDO 50</t>
  </si>
  <si>
    <t>0004-00000041</t>
  </si>
  <si>
    <t>0004-00000042</t>
  </si>
  <si>
    <t>DOLSA SA</t>
  </si>
  <si>
    <t>30-71162078-4</t>
  </si>
  <si>
    <t>AV ALEM 333</t>
  </si>
  <si>
    <t>0006-00006518</t>
  </si>
  <si>
    <t>0005-00000978</t>
  </si>
  <si>
    <t>0003-00000151</t>
  </si>
  <si>
    <t>TODOLANDIA SRL</t>
  </si>
  <si>
    <t>33-71510909-9</t>
  </si>
  <si>
    <t>SAN MARTIN 757</t>
  </si>
  <si>
    <t>0011-00028577</t>
  </si>
  <si>
    <t>30-71518319-2</t>
  </si>
  <si>
    <t>JUNIN 171</t>
  </si>
  <si>
    <t>AFS GROUP SRL</t>
  </si>
  <si>
    <t xml:space="preserve">PLOMERO, CAÑO, </t>
  </si>
  <si>
    <t>0005-00020487</t>
  </si>
  <si>
    <t>0001-00000303</t>
  </si>
  <si>
    <t>SAFARSI MARCO MATIAS</t>
  </si>
  <si>
    <t>20-17860726-0</t>
  </si>
  <si>
    <t>CONGRESO 274 P 9 DPTO B</t>
  </si>
  <si>
    <t>00002-00000148</t>
  </si>
  <si>
    <t>0002-00005481</t>
  </si>
  <si>
    <t>0002-00005482</t>
  </si>
  <si>
    <t>0002-00005586</t>
  </si>
  <si>
    <t>0002-00005587</t>
  </si>
  <si>
    <t>1305-55127475</t>
  </si>
  <si>
    <t>NUMERO CHEQUE</t>
  </si>
  <si>
    <t>0005-00001615</t>
  </si>
  <si>
    <t>0008-00004655</t>
  </si>
  <si>
    <t>0002-00005901</t>
  </si>
  <si>
    <t>0002-00005902</t>
  </si>
  <si>
    <t>0004-00000044</t>
  </si>
  <si>
    <t>0009-00011145</t>
  </si>
  <si>
    <t>0003-00004897</t>
  </si>
  <si>
    <t>0003-00004900</t>
  </si>
  <si>
    <t>00011-00000713</t>
  </si>
  <si>
    <t>00011-00000714</t>
  </si>
  <si>
    <t>DESTORNILLADOR, CINTA</t>
  </si>
  <si>
    <t>0004-00000045</t>
  </si>
  <si>
    <t>0069-00071315</t>
  </si>
  <si>
    <t>0009-00011385</t>
  </si>
  <si>
    <t>0005-00000995</t>
  </si>
  <si>
    <t>0004-00012810</t>
  </si>
  <si>
    <t>0013-00006402</t>
  </si>
  <si>
    <t>0005-00001778</t>
  </si>
  <si>
    <t>16787-00124952</t>
  </si>
  <si>
    <t>COOPPERATIVA LA CAÑADA SOLUCIONES LIMITADA</t>
  </si>
  <si>
    <t>30-71787724-8</t>
  </si>
  <si>
    <t>MAIPU 2600 TAFI VIEJO</t>
  </si>
  <si>
    <t>0003-00000152</t>
  </si>
  <si>
    <t>0004-00000051</t>
  </si>
  <si>
    <t>00015-00050148</t>
  </si>
  <si>
    <t>1305-61651830</t>
  </si>
  <si>
    <t>0008-00018297</t>
  </si>
  <si>
    <t>CYCOMAT SRL</t>
  </si>
  <si>
    <t>33-60125460-9</t>
  </si>
  <si>
    <t>0084-00017948</t>
  </si>
  <si>
    <t>YOIZEN SA</t>
  </si>
  <si>
    <t>30-71127725-7</t>
  </si>
  <si>
    <t>AV CORRIENTES 3360 P4 D403, CIUDAD AUT. BS AS</t>
  </si>
  <si>
    <t>0046-000006461</t>
  </si>
  <si>
    <t>0006-000041912</t>
  </si>
  <si>
    <t>VASOS DESCARTABLES, EXAMEN NACIONAL DE RESIDENCIA</t>
  </si>
  <si>
    <t>0005-00001642</t>
  </si>
  <si>
    <t>0005-00001700</t>
  </si>
  <si>
    <t>DEV</t>
  </si>
  <si>
    <t>ART LIMPIEZA</t>
  </si>
  <si>
    <t>0003-00002434</t>
  </si>
  <si>
    <t>ALMACEN, DIFUSOR , EXAMEN NACIONAL DE RESIDENCIA</t>
  </si>
  <si>
    <t>ANDRADA NICOLAS MATIAS</t>
  </si>
  <si>
    <t>20-36867900-4</t>
  </si>
  <si>
    <t>CALLE 24 DE SEPTIEMBRE 99</t>
  </si>
  <si>
    <t>COMPRA, REPARACION, CALOVENTOR</t>
  </si>
  <si>
    <t>MOLINA GONZALO RAUL</t>
  </si>
  <si>
    <t>24-31254109-9</t>
  </si>
  <si>
    <t>0003-00000201</t>
  </si>
  <si>
    <t>0010-00007338</t>
  </si>
  <si>
    <t>0004-00000052</t>
  </si>
  <si>
    <t>0001-00000001</t>
  </si>
  <si>
    <t>0001-00000002</t>
  </si>
  <si>
    <t>0003-00000204</t>
  </si>
  <si>
    <t>0002-000006007</t>
  </si>
  <si>
    <t>0002-000006008</t>
  </si>
  <si>
    <t>0003-000004947</t>
  </si>
  <si>
    <t>0003-000004950</t>
  </si>
  <si>
    <t>0069-00071789</t>
  </si>
  <si>
    <t>0069-00071788</t>
  </si>
  <si>
    <t>0004-00000053</t>
  </si>
  <si>
    <t>0003-00001730</t>
  </si>
  <si>
    <t>0002-00000119</t>
  </si>
  <si>
    <t>36919029-37095820</t>
  </si>
  <si>
    <t>0011-00000741</t>
  </si>
  <si>
    <t>0004-00013003</t>
  </si>
  <si>
    <t>0011-00000742</t>
  </si>
  <si>
    <t>FONDO DE FUNCIONAMIENTO-JUNIO 2023</t>
  </si>
  <si>
    <t xml:space="preserve">PER JUN 23  </t>
  </si>
  <si>
    <t>PER JUL 23</t>
  </si>
  <si>
    <t>0008-00004903</t>
  </si>
  <si>
    <t>LAVALLE 650</t>
  </si>
  <si>
    <t>0069-00071876</t>
  </si>
  <si>
    <t>0009-00012372</t>
  </si>
  <si>
    <t>0006-00042664</t>
  </si>
  <si>
    <t>0003-00002673</t>
  </si>
  <si>
    <t>MULTISHOP SAS</t>
  </si>
  <si>
    <t>JUNIN 234</t>
  </si>
  <si>
    <t>33-71635571-9</t>
  </si>
  <si>
    <t>0003-00018769</t>
  </si>
  <si>
    <t>0005-00001012</t>
  </si>
  <si>
    <t>0003-00002675</t>
  </si>
  <si>
    <t>0005-00001013</t>
  </si>
  <si>
    <t>0006-00006702</t>
  </si>
  <si>
    <t>0011-00000750</t>
  </si>
  <si>
    <t>0002-00000648</t>
  </si>
  <si>
    <t>0013-00008315</t>
  </si>
  <si>
    <t>1198-00000776</t>
  </si>
  <si>
    <t>1198-00000777</t>
  </si>
  <si>
    <t>1198-00000778</t>
  </si>
  <si>
    <t>1198-00000779</t>
  </si>
  <si>
    <t>1198-00000780</t>
  </si>
  <si>
    <t>1198-00000781</t>
  </si>
  <si>
    <t>1198-00000782</t>
  </si>
  <si>
    <t>1198-00000783</t>
  </si>
  <si>
    <t>1198-00000784</t>
  </si>
  <si>
    <t>LIBRERÍA SAN PABLO SRL73</t>
  </si>
  <si>
    <t>1198-00000785</t>
  </si>
  <si>
    <t>LIBRERÍA SAN PABLO SRLJULIO 233</t>
  </si>
  <si>
    <t>0011-00000749</t>
  </si>
  <si>
    <t>0004-00000054</t>
  </si>
  <si>
    <t>CANIVARE ROQUE JAVIER</t>
  </si>
  <si>
    <t>20-16933464-2</t>
  </si>
  <si>
    <t>JUNIN 961</t>
  </si>
  <si>
    <t>0002-00000609</t>
  </si>
  <si>
    <t>REINA ELECTRONICA SAS</t>
  </si>
  <si>
    <t>30-71779827-5</t>
  </si>
  <si>
    <t>24 SEPTIEMBRE 230</t>
  </si>
  <si>
    <t>0001-00000021</t>
  </si>
  <si>
    <t>0001-00000022</t>
  </si>
  <si>
    <t>reparacion horno</t>
  </si>
  <si>
    <t>reparacion caloventor</t>
  </si>
  <si>
    <t>art de almacen</t>
  </si>
  <si>
    <t>bolsas y basos</t>
  </si>
  <si>
    <t>caloventor</t>
  </si>
  <si>
    <t>urgencia temperatura</t>
  </si>
  <si>
    <t>tipo gasto</t>
  </si>
  <si>
    <t>294 (BAZAR)</t>
  </si>
  <si>
    <t>PILA AA</t>
  </si>
  <si>
    <t>TECLADO, MAUSE, HDMI</t>
  </si>
  <si>
    <t>TECLADO</t>
  </si>
  <si>
    <t>ALMACEN</t>
  </si>
  <si>
    <t>TAZA, PLATOS CHICOS, BAZAR</t>
  </si>
  <si>
    <t>RODRIGUEZ ZELADA ROMULO FACUNDO(JOSULO)</t>
  </si>
  <si>
    <t>20-29532277-3</t>
  </si>
  <si>
    <t>LAS PIEDRAS 375</t>
  </si>
  <si>
    <t>CINTA</t>
  </si>
  <si>
    <t>CODIGO</t>
  </si>
  <si>
    <t>20-26782059-8</t>
  </si>
  <si>
    <t>BERNIS ERNESTO FEDERICO(ALL TECH)</t>
  </si>
  <si>
    <t>AV JUAN B JUSTO 1039</t>
  </si>
  <si>
    <t>PANTHER DISRIBUCIONES SRL</t>
  </si>
  <si>
    <t>30-71639844-3</t>
  </si>
  <si>
    <t>LAPRIDA 137</t>
  </si>
  <si>
    <t>0004-00000378</t>
  </si>
  <si>
    <t>0001-00009940</t>
  </si>
  <si>
    <t>0003-00000190</t>
  </si>
  <si>
    <t>1305-68077060</t>
  </si>
  <si>
    <t>art, aromatizador</t>
  </si>
  <si>
    <t>clave para codigo</t>
  </si>
  <si>
    <t>16785-0179161</t>
  </si>
  <si>
    <t>0011-00000766</t>
  </si>
  <si>
    <t>0005-00001796</t>
  </si>
  <si>
    <t>0006-00043432</t>
  </si>
  <si>
    <t>0011-00000765</t>
  </si>
  <si>
    <t>30-70945940-2</t>
  </si>
  <si>
    <t>SOCIEDAD DE OFTALMOLOGIA DE TUCUMAN</t>
  </si>
  <si>
    <t>LAS PIEDRAS 496</t>
  </si>
  <si>
    <t>30-71481139-4</t>
  </si>
  <si>
    <t xml:space="preserve">ASOCIACION CIVIL SOC. TUC. DE RADIOLOGIA SOTURAD </t>
  </si>
  <si>
    <t>SANTA FE 1561</t>
  </si>
  <si>
    <t>0003-00000130</t>
  </si>
  <si>
    <t>0002-00000026</t>
  </si>
  <si>
    <t>0004-00000056</t>
  </si>
  <si>
    <t>0004-00000055</t>
  </si>
  <si>
    <t>0008-00004962</t>
  </si>
  <si>
    <t>ALUNORT SRL</t>
  </si>
  <si>
    <t>30-71342090-1</t>
  </si>
  <si>
    <t>AMADOR LUCERO 253</t>
  </si>
  <si>
    <t>0003-00007997</t>
  </si>
  <si>
    <t>0003-00007998</t>
  </si>
  <si>
    <t>POTENTE SUSANA BEATRIZ</t>
  </si>
  <si>
    <t>27-05906888-7</t>
  </si>
  <si>
    <t>MENDOZA 301</t>
  </si>
  <si>
    <t>0006-00010320</t>
  </si>
  <si>
    <t>BOLAS</t>
  </si>
  <si>
    <t>pinza, tronillos, tacos</t>
  </si>
  <si>
    <t>café, azucar</t>
  </si>
  <si>
    <t>picaporte</t>
  </si>
  <si>
    <t>almacen, reunion ministerio</t>
  </si>
  <si>
    <t>0004-00000387</t>
  </si>
  <si>
    <t>0003-00019664</t>
  </si>
  <si>
    <t>0006-00006792</t>
  </si>
  <si>
    <t>0003-00002736</t>
  </si>
  <si>
    <t>00011-0012344</t>
  </si>
  <si>
    <t>HOTEL DEL SOL SRL</t>
  </si>
  <si>
    <t>LAPRIDA 35</t>
  </si>
  <si>
    <t>0003-00019860</t>
  </si>
  <si>
    <t>0005-00000157</t>
  </si>
  <si>
    <t>0003-00004997</t>
  </si>
  <si>
    <t>0003-00005000</t>
  </si>
  <si>
    <t>bazar, plato, cubiertos</t>
  </si>
  <si>
    <t>clavecc</t>
  </si>
  <si>
    <t>calvemediacc</t>
  </si>
  <si>
    <t>BARRERA MIGUEL ANGEL</t>
  </si>
  <si>
    <t>BRIGIDO TERAN 481</t>
  </si>
  <si>
    <t>20-14226914-8</t>
  </si>
  <si>
    <t>30-59723600-6</t>
  </si>
  <si>
    <t>0003-00003339</t>
  </si>
  <si>
    <t>0003-00003338</t>
  </si>
  <si>
    <t>0001-00009989</t>
  </si>
  <si>
    <t>cable auxiliar</t>
  </si>
  <si>
    <t>1198-00000786</t>
  </si>
  <si>
    <t>0013-00017309</t>
  </si>
  <si>
    <t>0069-00072356</t>
  </si>
  <si>
    <t>0009-00013360</t>
  </si>
  <si>
    <t>0003-00002750</t>
  </si>
  <si>
    <t>0013-00009724</t>
  </si>
  <si>
    <t>0005-00001026</t>
  </si>
  <si>
    <t>1198-00000787</t>
  </si>
  <si>
    <t>1198-00000788</t>
  </si>
  <si>
    <t>Año 2023</t>
  </si>
  <si>
    <t>0.02</t>
  </si>
  <si>
    <t>0.03</t>
  </si>
  <si>
    <t>0.06</t>
  </si>
  <si>
    <t>0.07</t>
  </si>
  <si>
    <t>MULTISHOP SASJULIO 232</t>
  </si>
  <si>
    <t>0003-00000154</t>
  </si>
  <si>
    <t>PANTHER DISTRIBUCIONES SRL</t>
  </si>
  <si>
    <t>0003-00005042</t>
  </si>
  <si>
    <t>0003-00005043</t>
  </si>
  <si>
    <t>0002-00006642</t>
  </si>
  <si>
    <t>0002-00006643</t>
  </si>
  <si>
    <t>AGOSTO 24</t>
  </si>
  <si>
    <t>AGOSTO 25</t>
  </si>
  <si>
    <t>AGOSTO 26</t>
  </si>
  <si>
    <t>AGOSTO 27</t>
  </si>
  <si>
    <t>AGOSTO 28</t>
  </si>
  <si>
    <t>AGOSTO 29</t>
  </si>
  <si>
    <t>AGOSTO 30</t>
  </si>
  <si>
    <t>AGOSTO 31</t>
  </si>
  <si>
    <t>AGOSTO 32</t>
  </si>
  <si>
    <t>AGOSTO 33</t>
  </si>
  <si>
    <t>AGOSTO 34</t>
  </si>
  <si>
    <t>AGOSTO 35</t>
  </si>
  <si>
    <t>AGOSTO 36</t>
  </si>
  <si>
    <t>AGOSTO 37</t>
  </si>
  <si>
    <t>AGOSTO 38</t>
  </si>
  <si>
    <t>AGOSTO 39</t>
  </si>
  <si>
    <t>AGOSTO 40</t>
  </si>
  <si>
    <t>AGOSTO 41</t>
  </si>
  <si>
    <t>AGOSTO 42</t>
  </si>
  <si>
    <t>AGOSTO 43</t>
  </si>
  <si>
    <t>AGOSTO 44</t>
  </si>
  <si>
    <t>AGOSTO 45</t>
  </si>
  <si>
    <t>AGOSTO 46</t>
  </si>
  <si>
    <t>AGOSTO 47</t>
  </si>
  <si>
    <t>AGOSTO 48</t>
  </si>
  <si>
    <t>AGOSTO 49</t>
  </si>
  <si>
    <t>AGOSTO 50</t>
  </si>
  <si>
    <t>AGOSTO 51</t>
  </si>
  <si>
    <t>AGOSTO 52</t>
  </si>
  <si>
    <t>AGOSTO 53</t>
  </si>
  <si>
    <t>AGOSTO 54</t>
  </si>
  <si>
    <t>AGOSTO 55</t>
  </si>
  <si>
    <t>AGOSTO 56</t>
  </si>
  <si>
    <t>AGOSTO 57</t>
  </si>
  <si>
    <t>AGOSTO 58</t>
  </si>
  <si>
    <t>AGOSTO 59</t>
  </si>
  <si>
    <t>AGOSTO 60</t>
  </si>
  <si>
    <t>AGOSTO 61</t>
  </si>
  <si>
    <t>AGOSTO 62</t>
  </si>
  <si>
    <t>AGOSTO 63</t>
  </si>
  <si>
    <t>AGOSTO 64</t>
  </si>
  <si>
    <t>AGOSTO 65</t>
  </si>
  <si>
    <t>AGOSTO 66</t>
  </si>
  <si>
    <t>AGOSTO 67</t>
  </si>
  <si>
    <t>AGOSTO 68</t>
  </si>
  <si>
    <t>AGOSTO 69</t>
  </si>
  <si>
    <t>AGOSTO 70</t>
  </si>
  <si>
    <t>AGOSTO 71</t>
  </si>
  <si>
    <t>AGOSTO 72</t>
  </si>
  <si>
    <t>AGOSTO 73</t>
  </si>
  <si>
    <t>AGOSTO 74</t>
  </si>
  <si>
    <t>AGOSTO 75</t>
  </si>
  <si>
    <t>AGOSTO 76</t>
  </si>
  <si>
    <t>AGOSTO 77</t>
  </si>
  <si>
    <t>AGOSTO 78</t>
  </si>
  <si>
    <t>AGOSTO 79</t>
  </si>
  <si>
    <t>AGOSTO 80</t>
  </si>
  <si>
    <t>AGOSTO 81</t>
  </si>
  <si>
    <t>AGOSTO 82</t>
  </si>
  <si>
    <t>AGOSTO 83</t>
  </si>
  <si>
    <t>AGOSTO 84</t>
  </si>
  <si>
    <t>AGOSTO 85</t>
  </si>
  <si>
    <t>AGOSTO 86</t>
  </si>
  <si>
    <t>AGOSTO 87</t>
  </si>
  <si>
    <t>AGOSTO 88</t>
  </si>
  <si>
    <t>AGOSTO 89</t>
  </si>
  <si>
    <t>AGOSTO 90</t>
  </si>
  <si>
    <t>AGOSTO 91</t>
  </si>
  <si>
    <t>AGOSTO 92</t>
  </si>
  <si>
    <t>AGOSTO 93</t>
  </si>
  <si>
    <t>AGOSTO 94</t>
  </si>
  <si>
    <t>hojas</t>
  </si>
  <si>
    <t>ferreteria</t>
  </si>
  <si>
    <t>caratulas</t>
  </si>
  <si>
    <t>0003-00020774</t>
  </si>
  <si>
    <t>20-08093265-1</t>
  </si>
  <si>
    <t>24 DE SEPTIEMBRE 140</t>
  </si>
  <si>
    <t>MARTIN PEDRO</t>
  </si>
  <si>
    <t>0007-00010772</t>
  </si>
  <si>
    <t>0006-00044125</t>
  </si>
  <si>
    <t>cerradura, 3 piso baño</t>
  </si>
  <si>
    <t>basos plasticos reun., cinta papel varios</t>
  </si>
  <si>
    <t>0004-00000057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</si>
</sst>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&quot;$&quot;\ #,##0.00;[Red]&quot;$&quot;\ \-#,##0.00"/>
    <numFmt numFmtId="165" formatCode="_ &quot;$&quot;\ * #,##0.00_ ;_ &quot;$&quot;\ * \-#,##0.00_ ;_ &quot;$&quot;\ * &quot;-&quot;??_ ;_ @_ "/>
    <numFmt numFmtId="166" formatCode="&quot;$&quot;\ #,##0.00"/>
    <numFmt numFmtId="167" formatCode="dd/mm/yyyy;@"/>
  </numFmts>
  <fonts count="3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Bookman Old Style"/>
      <family val="1"/>
    </font>
    <font>
      <sz val="14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b/>
      <sz val="12"/>
      <name val="Calibri"/>
      <family val="2"/>
    </font>
    <font>
      <sz val="12"/>
      <color indexed="8"/>
      <name val="Calibri"/>
      <family val="2"/>
    </font>
    <font>
      <sz val="12"/>
      <name val="Calibri"/>
      <family val="2"/>
    </font>
    <font>
      <b/>
      <sz val="14"/>
      <color indexed="8"/>
      <name val="Calibri"/>
      <family val="2"/>
    </font>
    <font>
      <b/>
      <sz val="14"/>
      <name val="Calibri"/>
      <family val="2"/>
    </font>
    <font>
      <b/>
      <sz val="16"/>
      <color theme="1"/>
      <name val="Calibri"/>
      <family val="2"/>
      <scheme val="minor"/>
    </font>
    <font>
      <sz val="10"/>
      <color rgb="FFFF0000"/>
      <name val="Calibri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97">
    <xf numFmtId="0" fontId="0" fillId="0" borderId="0" xfId="0"/>
    <xf numFmtId="165" fontId="0" fillId="0" borderId="0" xfId="0" applyNumberFormat="1"/>
    <xf numFmtId="165" fontId="3" fillId="2" borderId="2" xfId="1" applyFont="1" applyFill="1" applyBorder="1" applyAlignment="1">
      <alignment horizontal="center"/>
    </xf>
    <xf numFmtId="165" fontId="4" fillId="0" borderId="0" xfId="0" applyNumberFormat="1" applyFont="1"/>
    <xf numFmtId="165" fontId="3" fillId="3" borderId="2" xfId="1" applyFont="1" applyFill="1" applyBorder="1" applyAlignment="1">
      <alignment horizontal="center"/>
    </xf>
    <xf numFmtId="49" fontId="4" fillId="0" borderId="2" xfId="1" applyNumberFormat="1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165" fontId="6" fillId="0" borderId="0" xfId="0" applyNumberFormat="1" applyFont="1"/>
    <xf numFmtId="14" fontId="4" fillId="0" borderId="2" xfId="1" applyNumberFormat="1" applyFont="1" applyFill="1" applyBorder="1" applyAlignment="1">
      <alignment horizontal="right"/>
    </xf>
    <xf numFmtId="14" fontId="0" fillId="0" borderId="0" xfId="0" applyNumberFormat="1"/>
    <xf numFmtId="0" fontId="0" fillId="0" borderId="2" xfId="0" applyBorder="1"/>
    <xf numFmtId="165" fontId="3" fillId="0" borderId="0" xfId="1" applyFont="1" applyBorder="1" applyAlignment="1"/>
    <xf numFmtId="0" fontId="5" fillId="0" borderId="0" xfId="0" applyFont="1"/>
    <xf numFmtId="165" fontId="5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9" fillId="0" borderId="13" xfId="0" applyFont="1" applyBorder="1"/>
    <xf numFmtId="0" fontId="0" fillId="0" borderId="20" xfId="0" applyBorder="1"/>
    <xf numFmtId="0" fontId="0" fillId="0" borderId="4" xfId="0" applyBorder="1"/>
    <xf numFmtId="0" fontId="0" fillId="0" borderId="21" xfId="0" applyBorder="1"/>
    <xf numFmtId="0" fontId="11" fillId="0" borderId="19" xfId="0" applyFont="1" applyBorder="1"/>
    <xf numFmtId="0" fontId="12" fillId="0" borderId="23" xfId="0" applyFont="1" applyBorder="1" applyAlignment="1">
      <alignment horizontal="justify"/>
    </xf>
    <xf numFmtId="0" fontId="11" fillId="0" borderId="4" xfId="0" applyFont="1" applyBorder="1"/>
    <xf numFmtId="0" fontId="11" fillId="0" borderId="21" xfId="0" applyFont="1" applyBorder="1"/>
    <xf numFmtId="0" fontId="0" fillId="0" borderId="2" xfId="0" applyBorder="1" applyAlignment="1">
      <alignment horizontal="center" vertical="top"/>
    </xf>
    <xf numFmtId="0" fontId="0" fillId="0" borderId="13" xfId="0" applyBorder="1"/>
    <xf numFmtId="0" fontId="0" fillId="0" borderId="19" xfId="0" applyBorder="1"/>
    <xf numFmtId="0" fontId="0" fillId="0" borderId="2" xfId="0" applyBorder="1" applyAlignment="1">
      <alignment horizontal="center" vertical="distributed"/>
    </xf>
    <xf numFmtId="0" fontId="0" fillId="0" borderId="17" xfId="0" applyBorder="1" applyAlignment="1">
      <alignment horizontal="center" vertical="distributed"/>
    </xf>
    <xf numFmtId="164" fontId="0" fillId="0" borderId="17" xfId="0" applyNumberFormat="1" applyBorder="1"/>
    <xf numFmtId="44" fontId="6" fillId="0" borderId="0" xfId="0" applyNumberFormat="1" applyFont="1"/>
    <xf numFmtId="0" fontId="6" fillId="0" borderId="0" xfId="0" applyFont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165" fontId="3" fillId="0" borderId="0" xfId="0" applyNumberFormat="1" applyFont="1"/>
    <xf numFmtId="165" fontId="19" fillId="0" borderId="37" xfId="0" applyNumberFormat="1" applyFont="1" applyBorder="1"/>
    <xf numFmtId="165" fontId="19" fillId="0" borderId="37" xfId="1" applyFont="1" applyFill="1" applyBorder="1" applyAlignment="1">
      <alignment horizontal="center"/>
    </xf>
    <xf numFmtId="165" fontId="19" fillId="0" borderId="0" xfId="0" applyNumberFormat="1" applyFont="1"/>
    <xf numFmtId="165" fontId="19" fillId="0" borderId="0" xfId="1" applyFont="1" applyFill="1" applyBorder="1" applyAlignment="1">
      <alignment horizontal="center"/>
    </xf>
    <xf numFmtId="0" fontId="19" fillId="0" borderId="43" xfId="0" applyFont="1" applyBorder="1" applyAlignment="1">
      <alignment horizontal="center"/>
    </xf>
    <xf numFmtId="0" fontId="22" fillId="0" borderId="2" xfId="0" applyFont="1" applyBorder="1"/>
    <xf numFmtId="165" fontId="19" fillId="0" borderId="41" xfId="1" applyFont="1" applyFill="1" applyBorder="1" applyAlignment="1">
      <alignment horizontal="center"/>
    </xf>
    <xf numFmtId="165" fontId="19" fillId="5" borderId="8" xfId="1" applyFont="1" applyFill="1" applyBorder="1" applyAlignment="1"/>
    <xf numFmtId="0" fontId="22" fillId="0" borderId="42" xfId="0" applyFont="1" applyBorder="1"/>
    <xf numFmtId="14" fontId="19" fillId="0" borderId="0" xfId="1" applyNumberFormat="1" applyFont="1" applyFill="1" applyBorder="1" applyAlignment="1">
      <alignment horizontal="right"/>
    </xf>
    <xf numFmtId="165" fontId="19" fillId="0" borderId="0" xfId="1" applyFont="1" applyFill="1" applyBorder="1" applyAlignment="1"/>
    <xf numFmtId="0" fontId="22" fillId="0" borderId="0" xfId="0" applyFont="1"/>
    <xf numFmtId="14" fontId="20" fillId="0" borderId="2" xfId="0" applyNumberFormat="1" applyFont="1" applyBorder="1"/>
    <xf numFmtId="165" fontId="21" fillId="0" borderId="10" xfId="0" applyNumberFormat="1" applyFont="1" applyBorder="1"/>
    <xf numFmtId="165" fontId="19" fillId="0" borderId="10" xfId="0" applyNumberFormat="1" applyFont="1" applyBorder="1"/>
    <xf numFmtId="165" fontId="19" fillId="0" borderId="2" xfId="0" applyNumberFormat="1" applyFont="1" applyBorder="1"/>
    <xf numFmtId="0" fontId="21" fillId="0" borderId="10" xfId="0" applyFont="1" applyBorder="1"/>
    <xf numFmtId="0" fontId="19" fillId="0" borderId="16" xfId="0" applyFont="1" applyBorder="1"/>
    <xf numFmtId="44" fontId="19" fillId="5" borderId="8" xfId="0" applyNumberFormat="1" applyFont="1" applyFill="1" applyBorder="1"/>
    <xf numFmtId="0" fontId="19" fillId="0" borderId="0" xfId="0" applyFont="1" applyAlignment="1">
      <alignment horizontal="right"/>
    </xf>
    <xf numFmtId="44" fontId="19" fillId="0" borderId="0" xfId="0" applyNumberFormat="1" applyFont="1"/>
    <xf numFmtId="0" fontId="19" fillId="0" borderId="0" xfId="0" applyFont="1"/>
    <xf numFmtId="165" fontId="19" fillId="0" borderId="2" xfId="1" applyFont="1" applyFill="1" applyBorder="1" applyAlignment="1">
      <alignment horizontal="center"/>
    </xf>
    <xf numFmtId="165" fontId="19" fillId="5" borderId="8" xfId="0" applyNumberFormat="1" applyFont="1" applyFill="1" applyBorder="1"/>
    <xf numFmtId="0" fontId="22" fillId="0" borderId="38" xfId="0" applyFont="1" applyBorder="1"/>
    <xf numFmtId="44" fontId="21" fillId="0" borderId="37" xfId="0" applyNumberFormat="1" applyFont="1" applyBorder="1"/>
    <xf numFmtId="44" fontId="21" fillId="0" borderId="0" xfId="0" applyNumberFormat="1" applyFont="1"/>
    <xf numFmtId="165" fontId="20" fillId="0" borderId="2" xfId="0" applyNumberFormat="1" applyFont="1" applyBorder="1"/>
    <xf numFmtId="165" fontId="21" fillId="0" borderId="41" xfId="0" applyNumberFormat="1" applyFont="1" applyBorder="1"/>
    <xf numFmtId="165" fontId="22" fillId="0" borderId="42" xfId="0" applyNumberFormat="1" applyFont="1" applyBorder="1"/>
    <xf numFmtId="165" fontId="22" fillId="0" borderId="0" xfId="0" applyNumberFormat="1" applyFont="1"/>
    <xf numFmtId="165" fontId="19" fillId="0" borderId="0" xfId="0" applyNumberFormat="1" applyFont="1" applyAlignment="1">
      <alignment horizontal="center"/>
    </xf>
    <xf numFmtId="0" fontId="19" fillId="6" borderId="27" xfId="0" applyFont="1" applyFill="1" applyBorder="1" applyAlignment="1">
      <alignment horizontal="center"/>
    </xf>
    <xf numFmtId="165" fontId="19" fillId="6" borderId="24" xfId="1" applyFont="1" applyFill="1" applyBorder="1"/>
    <xf numFmtId="0" fontId="19" fillId="5" borderId="5" xfId="0" applyFont="1" applyFill="1" applyBorder="1"/>
    <xf numFmtId="0" fontId="19" fillId="5" borderId="6" xfId="0" applyFont="1" applyFill="1" applyBorder="1"/>
    <xf numFmtId="165" fontId="19" fillId="5" borderId="7" xfId="0" applyNumberFormat="1" applyFont="1" applyFill="1" applyBorder="1"/>
    <xf numFmtId="165" fontId="19" fillId="6" borderId="46" xfId="1" applyFont="1" applyFill="1" applyBorder="1" applyAlignment="1">
      <alignment horizontal="center"/>
    </xf>
    <xf numFmtId="165" fontId="19" fillId="6" borderId="24" xfId="1" applyFont="1" applyFill="1" applyBorder="1" applyAlignment="1">
      <alignment horizontal="center"/>
    </xf>
    <xf numFmtId="0" fontId="19" fillId="6" borderId="46" xfId="0" applyFont="1" applyFill="1" applyBorder="1" applyAlignment="1">
      <alignment horizontal="center"/>
    </xf>
    <xf numFmtId="0" fontId="20" fillId="6" borderId="24" xfId="0" applyFont="1" applyFill="1" applyBorder="1"/>
    <xf numFmtId="165" fontId="19" fillId="6" borderId="25" xfId="1" applyFont="1" applyFill="1" applyBorder="1" applyAlignment="1">
      <alignment horizontal="center"/>
    </xf>
    <xf numFmtId="165" fontId="19" fillId="6" borderId="39" xfId="1" applyFont="1" applyFill="1" applyBorder="1" applyAlignment="1">
      <alignment horizontal="center"/>
    </xf>
    <xf numFmtId="165" fontId="19" fillId="0" borderId="6" xfId="1" applyFont="1" applyFill="1" applyBorder="1" applyAlignment="1"/>
    <xf numFmtId="14" fontId="19" fillId="5" borderId="8" xfId="1" applyNumberFormat="1" applyFont="1" applyFill="1" applyBorder="1" applyAlignment="1"/>
    <xf numFmtId="0" fontId="19" fillId="0" borderId="6" xfId="0" applyFont="1" applyBorder="1"/>
    <xf numFmtId="0" fontId="19" fillId="0" borderId="48" xfId="0" applyFont="1" applyBorder="1"/>
    <xf numFmtId="0" fontId="19" fillId="5" borderId="8" xfId="0" applyFont="1" applyFill="1" applyBorder="1"/>
    <xf numFmtId="44" fontId="4" fillId="0" borderId="0" xfId="0" applyNumberFormat="1" applyFont="1"/>
    <xf numFmtId="14" fontId="20" fillId="0" borderId="17" xfId="0" applyNumberFormat="1" applyFont="1" applyBorder="1"/>
    <xf numFmtId="0" fontId="20" fillId="0" borderId="17" xfId="0" applyFont="1" applyBorder="1"/>
    <xf numFmtId="165" fontId="19" fillId="0" borderId="56" xfId="0" applyNumberFormat="1" applyFont="1" applyBorder="1"/>
    <xf numFmtId="0" fontId="0" fillId="0" borderId="12" xfId="0" applyBorder="1"/>
    <xf numFmtId="1" fontId="19" fillId="0" borderId="28" xfId="0" applyNumberFormat="1" applyFont="1" applyBorder="1" applyAlignment="1">
      <alignment horizontal="center"/>
    </xf>
    <xf numFmtId="1" fontId="19" fillId="0" borderId="29" xfId="0" applyNumberFormat="1" applyFont="1" applyBorder="1" applyAlignment="1">
      <alignment horizontal="center"/>
    </xf>
    <xf numFmtId="0" fontId="19" fillId="0" borderId="2" xfId="0" applyFont="1" applyBorder="1"/>
    <xf numFmtId="165" fontId="19" fillId="0" borderId="10" xfId="0" applyNumberFormat="1" applyFont="1" applyBorder="1" applyAlignment="1">
      <alignment horizontal="center"/>
    </xf>
    <xf numFmtId="0" fontId="19" fillId="0" borderId="26" xfId="0" applyFont="1" applyBorder="1"/>
    <xf numFmtId="165" fontId="19" fillId="0" borderId="26" xfId="0" applyNumberFormat="1" applyFont="1" applyBorder="1" applyAlignment="1">
      <alignment horizontal="center"/>
    </xf>
    <xf numFmtId="165" fontId="19" fillId="0" borderId="2" xfId="0" applyNumberFormat="1" applyFont="1" applyBorder="1" applyAlignment="1">
      <alignment horizontal="center"/>
    </xf>
    <xf numFmtId="166" fontId="3" fillId="0" borderId="11" xfId="1" applyNumberFormat="1" applyFont="1" applyFill="1" applyBorder="1" applyAlignment="1">
      <alignment horizontal="right"/>
    </xf>
    <xf numFmtId="0" fontId="15" fillId="10" borderId="2" xfId="0" applyFont="1" applyFill="1" applyBorder="1" applyAlignment="1">
      <alignment horizontal="center" vertical="center"/>
    </xf>
    <xf numFmtId="0" fontId="0" fillId="10" borderId="2" xfId="0" applyFill="1" applyBorder="1"/>
    <xf numFmtId="165" fontId="3" fillId="0" borderId="0" xfId="1" applyFont="1" applyFill="1" applyBorder="1" applyAlignment="1">
      <alignment horizontal="center"/>
    </xf>
    <xf numFmtId="0" fontId="4" fillId="0" borderId="2" xfId="0" applyFont="1" applyBorder="1"/>
    <xf numFmtId="165" fontId="4" fillId="0" borderId="2" xfId="1" applyFont="1" applyFill="1" applyBorder="1" applyAlignment="1">
      <alignment horizontal="center"/>
    </xf>
    <xf numFmtId="14" fontId="4" fillId="11" borderId="2" xfId="1" applyNumberFormat="1" applyFont="1" applyFill="1" applyBorder="1" applyAlignment="1">
      <alignment horizontal="right"/>
    </xf>
    <xf numFmtId="165" fontId="4" fillId="0" borderId="2" xfId="1" applyFont="1" applyFill="1" applyBorder="1"/>
    <xf numFmtId="165" fontId="4" fillId="0" borderId="2" xfId="0" applyNumberFormat="1" applyFont="1" applyBorder="1" applyAlignment="1">
      <alignment horizontal="right"/>
    </xf>
    <xf numFmtId="165" fontId="4" fillId="0" borderId="2" xfId="0" applyNumberFormat="1" applyFont="1" applyBorder="1"/>
    <xf numFmtId="1" fontId="21" fillId="10" borderId="2" xfId="0" applyNumberFormat="1" applyFont="1" applyFill="1" applyBorder="1" applyAlignment="1">
      <alignment horizontal="center"/>
    </xf>
    <xf numFmtId="165" fontId="19" fillId="10" borderId="2" xfId="0" applyNumberFormat="1" applyFont="1" applyFill="1" applyBorder="1" applyAlignment="1">
      <alignment horizontal="center"/>
    </xf>
    <xf numFmtId="17" fontId="6" fillId="0" borderId="0" xfId="0" applyNumberFormat="1" applyFont="1"/>
    <xf numFmtId="165" fontId="23" fillId="0" borderId="57" xfId="0" applyNumberFormat="1" applyFont="1" applyBorder="1" applyAlignment="1">
      <alignment horizontal="center" vertical="center"/>
    </xf>
    <xf numFmtId="165" fontId="23" fillId="0" borderId="22" xfId="0" applyNumberFormat="1" applyFont="1" applyBorder="1" applyAlignment="1">
      <alignment horizontal="center" vertical="center"/>
    </xf>
    <xf numFmtId="165" fontId="19" fillId="0" borderId="54" xfId="0" applyNumberFormat="1" applyFont="1" applyBorder="1" applyAlignment="1">
      <alignment horizontal="right"/>
    </xf>
    <xf numFmtId="165" fontId="0" fillId="0" borderId="2" xfId="1" applyFont="1" applyBorder="1" applyAlignment="1">
      <alignment horizontal="center" vertical="center"/>
    </xf>
    <xf numFmtId="165" fontId="19" fillId="5" borderId="6" xfId="0" applyNumberFormat="1" applyFont="1" applyFill="1" applyBorder="1"/>
    <xf numFmtId="165" fontId="6" fillId="0" borderId="0" xfId="0" applyNumberFormat="1" applyFont="1" applyAlignment="1">
      <alignment horizontal="center"/>
    </xf>
    <xf numFmtId="165" fontId="19" fillId="5" borderId="7" xfId="1" applyFont="1" applyFill="1" applyBorder="1" applyAlignment="1"/>
    <xf numFmtId="165" fontId="5" fillId="0" borderId="2" xfId="0" applyNumberFormat="1" applyFont="1" applyBorder="1"/>
    <xf numFmtId="165" fontId="19" fillId="5" borderId="30" xfId="0" applyNumberFormat="1" applyFont="1" applyFill="1" applyBorder="1"/>
    <xf numFmtId="165" fontId="19" fillId="5" borderId="32" xfId="0" applyNumberFormat="1" applyFont="1" applyFill="1" applyBorder="1"/>
    <xf numFmtId="165" fontId="4" fillId="0" borderId="2" xfId="0" applyNumberFormat="1" applyFont="1" applyBorder="1" applyAlignment="1">
      <alignment horizontal="center"/>
    </xf>
    <xf numFmtId="44" fontId="4" fillId="0" borderId="2" xfId="0" applyNumberFormat="1" applyFont="1" applyBorder="1" applyAlignment="1">
      <alignment horizontal="center"/>
    </xf>
    <xf numFmtId="44" fontId="6" fillId="0" borderId="26" xfId="0" applyNumberFormat="1" applyFont="1" applyBorder="1"/>
    <xf numFmtId="0" fontId="1" fillId="0" borderId="0" xfId="0" applyFont="1"/>
    <xf numFmtId="44" fontId="1" fillId="0" borderId="0" xfId="0" applyNumberFormat="1" applyFont="1"/>
    <xf numFmtId="165" fontId="6" fillId="0" borderId="0" xfId="1" applyFont="1" applyFill="1" applyBorder="1"/>
    <xf numFmtId="165" fontId="0" fillId="0" borderId="2" xfId="0" applyNumberFormat="1" applyBorder="1"/>
    <xf numFmtId="0" fontId="0" fillId="0" borderId="5" xfId="0" applyBorder="1"/>
    <xf numFmtId="165" fontId="0" fillId="0" borderId="16" xfId="1" applyFont="1" applyBorder="1" applyAlignment="1">
      <alignment horizontal="center" vertical="center"/>
    </xf>
    <xf numFmtId="0" fontId="19" fillId="6" borderId="27" xfId="0" applyFont="1" applyFill="1" applyBorder="1" applyAlignment="1">
      <alignment horizontal="center" vertical="center"/>
    </xf>
    <xf numFmtId="165" fontId="19" fillId="6" borderId="24" xfId="1" applyFont="1" applyFill="1" applyBorder="1" applyAlignment="1">
      <alignment vertical="center"/>
    </xf>
    <xf numFmtId="165" fontId="19" fillId="6" borderId="39" xfId="1" applyFont="1" applyFill="1" applyBorder="1" applyAlignment="1">
      <alignment vertical="center"/>
    </xf>
    <xf numFmtId="165" fontId="19" fillId="0" borderId="0" xfId="1" applyFont="1" applyFill="1" applyBorder="1" applyAlignment="1">
      <alignment vertical="center"/>
    </xf>
    <xf numFmtId="165" fontId="19" fillId="0" borderId="31" xfId="1" applyFont="1" applyFill="1" applyBorder="1" applyAlignment="1">
      <alignment horizontal="center" vertical="center"/>
    </xf>
    <xf numFmtId="165" fontId="0" fillId="0" borderId="2" xfId="1" applyFont="1" applyBorder="1"/>
    <xf numFmtId="165" fontId="19" fillId="0" borderId="16" xfId="1" applyFont="1" applyFill="1" applyBorder="1"/>
    <xf numFmtId="165" fontId="22" fillId="0" borderId="14" xfId="0" applyNumberFormat="1" applyFont="1" applyBorder="1"/>
    <xf numFmtId="0" fontId="21" fillId="0" borderId="41" xfId="0" applyFont="1" applyBorder="1"/>
    <xf numFmtId="0" fontId="5" fillId="0" borderId="2" xfId="0" applyFont="1" applyBorder="1"/>
    <xf numFmtId="0" fontId="0" fillId="0" borderId="0" xfId="0" applyAlignment="1">
      <alignment horizontal="center" vertical="center" wrapText="1"/>
    </xf>
    <xf numFmtId="49" fontId="0" fillId="0" borderId="0" xfId="0" applyNumberFormat="1"/>
    <xf numFmtId="165" fontId="0" fillId="0" borderId="0" xfId="1" applyFont="1"/>
    <xf numFmtId="0" fontId="0" fillId="0" borderId="15" xfId="0" applyBorder="1"/>
    <xf numFmtId="49" fontId="0" fillId="0" borderId="44" xfId="0" applyNumberFormat="1" applyBorder="1"/>
    <xf numFmtId="0" fontId="0" fillId="0" borderId="44" xfId="0" applyBorder="1"/>
    <xf numFmtId="49" fontId="0" fillId="0" borderId="33" xfId="0" applyNumberFormat="1" applyBorder="1"/>
    <xf numFmtId="165" fontId="0" fillId="0" borderId="0" xfId="1" applyFont="1" applyBorder="1"/>
    <xf numFmtId="165" fontId="0" fillId="0" borderId="34" xfId="1" applyFont="1" applyBorder="1"/>
    <xf numFmtId="49" fontId="0" fillId="0" borderId="58" xfId="0" applyNumberFormat="1" applyBorder="1"/>
    <xf numFmtId="165" fontId="0" fillId="0" borderId="35" xfId="1" applyFont="1" applyBorder="1"/>
    <xf numFmtId="165" fontId="0" fillId="0" borderId="59" xfId="1" applyFont="1" applyBorder="1"/>
    <xf numFmtId="165" fontId="0" fillId="10" borderId="0" xfId="1" applyFont="1" applyFill="1" applyBorder="1"/>
    <xf numFmtId="0" fontId="0" fillId="0" borderId="34" xfId="0" applyBorder="1"/>
    <xf numFmtId="0" fontId="0" fillId="0" borderId="35" xfId="0" applyBorder="1"/>
    <xf numFmtId="165" fontId="0" fillId="10" borderId="35" xfId="1" applyFont="1" applyFill="1" applyBorder="1"/>
    <xf numFmtId="0" fontId="0" fillId="0" borderId="59" xfId="0" applyBorder="1"/>
    <xf numFmtId="165" fontId="0" fillId="0" borderId="33" xfId="1" applyFont="1" applyBorder="1"/>
    <xf numFmtId="0" fontId="0" fillId="0" borderId="33" xfId="0" applyBorder="1"/>
    <xf numFmtId="0" fontId="0" fillId="0" borderId="58" xfId="0" applyBorder="1"/>
    <xf numFmtId="0" fontId="0" fillId="0" borderId="6" xfId="0" applyBorder="1"/>
    <xf numFmtId="0" fontId="0" fillId="0" borderId="7" xfId="0" applyBorder="1"/>
    <xf numFmtId="0" fontId="0" fillId="0" borderId="16" xfId="0" applyBorder="1" applyAlignment="1">
      <alignment horizontal="center" vertical="center" wrapText="1"/>
    </xf>
    <xf numFmtId="165" fontId="0" fillId="0" borderId="0" xfId="1" applyFont="1" applyFill="1" applyBorder="1"/>
    <xf numFmtId="165" fontId="0" fillId="0" borderId="35" xfId="1" applyFont="1" applyFill="1" applyBorder="1"/>
    <xf numFmtId="165" fontId="0" fillId="0" borderId="58" xfId="1" applyFont="1" applyBorder="1"/>
    <xf numFmtId="44" fontId="0" fillId="0" borderId="44" xfId="0" applyNumberFormat="1" applyBorder="1"/>
    <xf numFmtId="49" fontId="0" fillId="0" borderId="49" xfId="0" applyNumberFormat="1" applyBorder="1"/>
    <xf numFmtId="165" fontId="0" fillId="0" borderId="57" xfId="1" applyFont="1" applyBorder="1"/>
    <xf numFmtId="165" fontId="0" fillId="0" borderId="52" xfId="1" applyFont="1" applyBorder="1"/>
    <xf numFmtId="165" fontId="0" fillId="0" borderId="44" xfId="1" applyFont="1" applyBorder="1"/>
    <xf numFmtId="165" fontId="0" fillId="0" borderId="12" xfId="1" applyFont="1" applyBorder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167" fontId="0" fillId="0" borderId="0" xfId="0" applyNumberFormat="1"/>
    <xf numFmtId="0" fontId="0" fillId="0" borderId="27" xfId="0" applyBorder="1"/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167" fontId="0" fillId="0" borderId="35" xfId="0" applyNumberFormat="1" applyBorder="1"/>
    <xf numFmtId="165" fontId="0" fillId="0" borderId="7" xfId="0" applyNumberFormat="1" applyBorder="1"/>
    <xf numFmtId="0" fontId="8" fillId="0" borderId="0" xfId="0" applyFont="1"/>
    <xf numFmtId="0" fontId="25" fillId="0" borderId="0" xfId="0" applyFont="1"/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65" fontId="0" fillId="0" borderId="3" xfId="1" applyFont="1" applyBorder="1" applyAlignment="1">
      <alignment horizontal="center" vertical="center"/>
    </xf>
    <xf numFmtId="0" fontId="8" fillId="0" borderId="8" xfId="0" applyFont="1" applyBorder="1"/>
    <xf numFmtId="165" fontId="8" fillId="0" borderId="8" xfId="1" applyFont="1" applyBorder="1"/>
    <xf numFmtId="0" fontId="8" fillId="0" borderId="0" xfId="0" applyFont="1" applyAlignment="1">
      <alignment wrapText="1"/>
    </xf>
    <xf numFmtId="165" fontId="4" fillId="11" borderId="2" xfId="1" applyFont="1" applyFill="1" applyBorder="1" applyAlignment="1">
      <alignment horizontal="center"/>
    </xf>
    <xf numFmtId="165" fontId="4" fillId="9" borderId="2" xfId="1" applyFont="1" applyFill="1" applyBorder="1"/>
    <xf numFmtId="165" fontId="4" fillId="9" borderId="2" xfId="1" applyFont="1" applyFill="1" applyBorder="1" applyAlignment="1">
      <alignment horizontal="center"/>
    </xf>
    <xf numFmtId="0" fontId="4" fillId="9" borderId="2" xfId="0" applyFont="1" applyFill="1" applyBorder="1"/>
    <xf numFmtId="165" fontId="26" fillId="9" borderId="2" xfId="0" applyNumberFormat="1" applyFont="1" applyFill="1" applyBorder="1"/>
    <xf numFmtId="165" fontId="4" fillId="9" borderId="2" xfId="0" applyNumberFormat="1" applyFont="1" applyFill="1" applyBorder="1"/>
    <xf numFmtId="165" fontId="5" fillId="9" borderId="2" xfId="0" applyNumberFormat="1" applyFont="1" applyFill="1" applyBorder="1"/>
    <xf numFmtId="0" fontId="5" fillId="9" borderId="2" xfId="0" applyFont="1" applyFill="1" applyBorder="1"/>
    <xf numFmtId="165" fontId="0" fillId="0" borderId="2" xfId="1" applyFont="1" applyFill="1" applyBorder="1"/>
    <xf numFmtId="165" fontId="4" fillId="12" borderId="2" xfId="1" applyFont="1" applyFill="1" applyBorder="1" applyAlignment="1">
      <alignment horizontal="center"/>
    </xf>
    <xf numFmtId="14" fontId="4" fillId="12" borderId="2" xfId="1" applyNumberFormat="1" applyFont="1" applyFill="1" applyBorder="1" applyAlignment="1">
      <alignment horizontal="right"/>
    </xf>
    <xf numFmtId="14" fontId="0" fillId="0" borderId="2" xfId="0" applyNumberFormat="1" applyBorder="1"/>
    <xf numFmtId="0" fontId="19" fillId="6" borderId="45" xfId="0" applyFont="1" applyFill="1" applyBorder="1" applyAlignment="1">
      <alignment horizontal="center" vertical="center" wrapText="1"/>
    </xf>
    <xf numFmtId="165" fontId="19" fillId="6" borderId="46" xfId="1" applyFont="1" applyFill="1" applyBorder="1" applyAlignment="1">
      <alignment horizontal="center" vertical="center" wrapText="1"/>
    </xf>
    <xf numFmtId="165" fontId="19" fillId="6" borderId="24" xfId="1" applyFont="1" applyFill="1" applyBorder="1" applyAlignment="1">
      <alignment horizontal="center" vertical="center" wrapText="1"/>
    </xf>
    <xf numFmtId="0" fontId="19" fillId="6" borderId="46" xfId="0" applyFont="1" applyFill="1" applyBorder="1" applyAlignment="1">
      <alignment horizontal="center" vertical="center" wrapText="1"/>
    </xf>
    <xf numFmtId="165" fontId="19" fillId="6" borderId="47" xfId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vertical="center" wrapText="1"/>
    </xf>
    <xf numFmtId="165" fontId="19" fillId="6" borderId="25" xfId="1" applyFont="1" applyFill="1" applyBorder="1" applyAlignment="1">
      <alignment horizontal="center" vertical="center" wrapText="1"/>
    </xf>
    <xf numFmtId="165" fontId="3" fillId="0" borderId="2" xfId="1" applyFont="1" applyFill="1" applyBorder="1" applyAlignment="1">
      <alignment horizontal="center"/>
    </xf>
    <xf numFmtId="49" fontId="5" fillId="0" borderId="2" xfId="1" applyNumberFormat="1" applyFont="1" applyFill="1" applyBorder="1" applyAlignment="1">
      <alignment horizontal="center"/>
    </xf>
    <xf numFmtId="165" fontId="5" fillId="0" borderId="2" xfId="1" applyFont="1" applyFill="1" applyBorder="1" applyAlignment="1">
      <alignment horizontal="center"/>
    </xf>
    <xf numFmtId="165" fontId="5" fillId="0" borderId="17" xfId="0" applyNumberFormat="1" applyFont="1" applyBorder="1"/>
    <xf numFmtId="165" fontId="4" fillId="9" borderId="2" xfId="0" applyNumberFormat="1" applyFont="1" applyFill="1" applyBorder="1" applyAlignment="1">
      <alignment horizontal="right"/>
    </xf>
    <xf numFmtId="44" fontId="0" fillId="0" borderId="0" xfId="0" applyNumberFormat="1"/>
    <xf numFmtId="165" fontId="19" fillId="6" borderId="4" xfId="1" applyFont="1" applyFill="1" applyBorder="1" applyAlignment="1">
      <alignment horizontal="center" vertical="center" wrapText="1"/>
    </xf>
    <xf numFmtId="165" fontId="19" fillId="6" borderId="0" xfId="1" applyFont="1" applyFill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65" fontId="19" fillId="0" borderId="43" xfId="1" applyFont="1" applyBorder="1" applyAlignment="1">
      <alignment horizontal="center"/>
    </xf>
    <xf numFmtId="165" fontId="19" fillId="0" borderId="8" xfId="0" applyNumberFormat="1" applyFont="1" applyBorder="1" applyAlignment="1">
      <alignment horizontal="center"/>
    </xf>
    <xf numFmtId="165" fontId="19" fillId="5" borderId="5" xfId="0" applyNumberFormat="1" applyFont="1" applyFill="1" applyBorder="1"/>
    <xf numFmtId="165" fontId="19" fillId="0" borderId="13" xfId="1" applyFont="1" applyFill="1" applyBorder="1"/>
    <xf numFmtId="165" fontId="19" fillId="5" borderId="59" xfId="1" applyFont="1" applyFill="1" applyBorder="1" applyAlignment="1"/>
    <xf numFmtId="165" fontId="19" fillId="5" borderId="59" xfId="0" applyNumberFormat="1" applyFont="1" applyFill="1" applyBorder="1"/>
    <xf numFmtId="165" fontId="19" fillId="0" borderId="2" xfId="1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165" fontId="19" fillId="5" borderId="12" xfId="0" applyNumberFormat="1" applyFont="1" applyFill="1" applyBorder="1"/>
    <xf numFmtId="0" fontId="0" fillId="0" borderId="49" xfId="0" applyBorder="1"/>
    <xf numFmtId="0" fontId="0" fillId="0" borderId="57" xfId="0" applyBorder="1"/>
    <xf numFmtId="0" fontId="0" fillId="0" borderId="52" xfId="0" applyBorder="1"/>
    <xf numFmtId="165" fontId="0" fillId="0" borderId="10" xfId="1" applyFont="1" applyBorder="1"/>
    <xf numFmtId="0" fontId="2" fillId="4" borderId="0" xfId="0" applyFont="1" applyFill="1" applyAlignment="1">
      <alignment horizontal="center"/>
    </xf>
    <xf numFmtId="0" fontId="19" fillId="0" borderId="16" xfId="0" applyFont="1" applyBorder="1" applyAlignment="1">
      <alignment horizontal="left" vertical="center"/>
    </xf>
    <xf numFmtId="0" fontId="19" fillId="6" borderId="27" xfId="0" applyFont="1" applyFill="1" applyBorder="1" applyAlignment="1">
      <alignment horizontal="center" vertical="center" wrapText="1"/>
    </xf>
    <xf numFmtId="165" fontId="19" fillId="6" borderId="39" xfId="1" applyFont="1" applyFill="1" applyBorder="1" applyAlignment="1">
      <alignment horizontal="center" vertical="center" wrapText="1"/>
    </xf>
    <xf numFmtId="165" fontId="19" fillId="6" borderId="40" xfId="1" applyFont="1" applyFill="1" applyBorder="1" applyAlignment="1">
      <alignment horizontal="center" vertical="center" wrapText="1"/>
    </xf>
    <xf numFmtId="165" fontId="19" fillId="6" borderId="24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65" fontId="0" fillId="9" borderId="0" xfId="1" applyFont="1" applyFill="1"/>
    <xf numFmtId="165" fontId="19" fillId="6" borderId="36" xfId="1" applyFont="1" applyFill="1" applyBorder="1" applyAlignment="1">
      <alignment vertical="center" wrapText="1"/>
    </xf>
    <xf numFmtId="165" fontId="0" fillId="0" borderId="0" xfId="1" applyFont="1" applyFill="1"/>
    <xf numFmtId="165" fontId="0" fillId="0" borderId="8" xfId="0" applyNumberFormat="1" applyBorder="1"/>
    <xf numFmtId="167" fontId="0" fillId="0" borderId="2" xfId="0" applyNumberFormat="1" applyBorder="1"/>
    <xf numFmtId="49" fontId="0" fillId="0" borderId="2" xfId="0" applyNumberFormat="1" applyBorder="1"/>
    <xf numFmtId="165" fontId="0" fillId="9" borderId="2" xfId="1" applyFont="1" applyFill="1" applyBorder="1"/>
    <xf numFmtId="14" fontId="0" fillId="10" borderId="0" xfId="0" applyNumberFormat="1" applyFill="1"/>
    <xf numFmtId="165" fontId="27" fillId="0" borderId="2" xfId="1" applyFont="1" applyBorder="1"/>
    <xf numFmtId="165" fontId="4" fillId="10" borderId="2" xfId="0" applyNumberFormat="1" applyFont="1" applyFill="1" applyBorder="1" applyAlignment="1">
      <alignment horizontal="right"/>
    </xf>
    <xf numFmtId="165" fontId="0" fillId="0" borderId="2" xfId="1" applyFont="1" applyBorder="1" applyAlignment="1">
      <alignment horizontal="center" vertical="center" wrapText="1"/>
    </xf>
    <xf numFmtId="0" fontId="0" fillId="13" borderId="2" xfId="0" applyFill="1" applyBorder="1"/>
    <xf numFmtId="0" fontId="28" fillId="0" borderId="2" xfId="0" applyFont="1" applyBorder="1"/>
    <xf numFmtId="0" fontId="28" fillId="0" borderId="2" xfId="0" applyFont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 wrapText="1"/>
    </xf>
    <xf numFmtId="165" fontId="19" fillId="0" borderId="16" xfId="0" applyNumberFormat="1" applyFont="1" applyBorder="1"/>
    <xf numFmtId="44" fontId="0" fillId="0" borderId="2" xfId="0" applyNumberFormat="1" applyBorder="1"/>
    <xf numFmtId="0" fontId="29" fillId="0" borderId="0" xfId="0" applyFont="1"/>
    <xf numFmtId="165" fontId="29" fillId="0" borderId="0" xfId="1" applyFont="1"/>
    <xf numFmtId="165" fontId="28" fillId="0" borderId="0" xfId="1" applyFont="1"/>
    <xf numFmtId="0" fontId="0" fillId="14" borderId="0" xfId="0" applyFill="1"/>
    <xf numFmtId="165" fontId="0" fillId="15" borderId="0" xfId="1" applyFont="1" applyFill="1"/>
    <xf numFmtId="0" fontId="0" fillId="0" borderId="45" xfId="0" applyBorder="1"/>
    <xf numFmtId="0" fontId="2" fillId="4" borderId="46" xfId="0" applyFont="1" applyFill="1" applyBorder="1" applyAlignment="1">
      <alignment horizontal="center"/>
    </xf>
    <xf numFmtId="0" fontId="2" fillId="4" borderId="60" xfId="0" applyFont="1" applyFill="1" applyBorder="1" applyAlignment="1">
      <alignment horizontal="center"/>
    </xf>
    <xf numFmtId="0" fontId="0" fillId="0" borderId="24" xfId="0" applyBorder="1"/>
    <xf numFmtId="167" fontId="0" fillId="0" borderId="24" xfId="0" applyNumberFormat="1" applyBorder="1"/>
    <xf numFmtId="165" fontId="0" fillId="0" borderId="24" xfId="1" applyFont="1" applyBorder="1"/>
    <xf numFmtId="0" fontId="0" fillId="0" borderId="25" xfId="0" applyBorder="1"/>
    <xf numFmtId="0" fontId="0" fillId="0" borderId="28" xfId="0" applyBorder="1"/>
    <xf numFmtId="0" fontId="0" fillId="0" borderId="10" xfId="0" applyBorder="1"/>
    <xf numFmtId="165" fontId="8" fillId="0" borderId="0" xfId="1" applyFont="1" applyFill="1"/>
    <xf numFmtId="165" fontId="30" fillId="0" borderId="0" xfId="1" applyFont="1"/>
    <xf numFmtId="165" fontId="19" fillId="8" borderId="31" xfId="0" applyNumberFormat="1" applyFont="1" applyFill="1" applyBorder="1" applyAlignment="1">
      <alignment vertical="center" wrapText="1"/>
    </xf>
    <xf numFmtId="0" fontId="19" fillId="8" borderId="46" xfId="0" applyFont="1" applyFill="1" applyBorder="1" applyAlignment="1">
      <alignment vertical="center" wrapText="1"/>
    </xf>
    <xf numFmtId="44" fontId="19" fillId="5" borderId="42" xfId="0" applyNumberFormat="1" applyFont="1" applyFill="1" applyBorder="1" applyAlignment="1">
      <alignment vertical="center"/>
    </xf>
    <xf numFmtId="44" fontId="19" fillId="5" borderId="55" xfId="0" applyNumberFormat="1" applyFont="1" applyFill="1" applyBorder="1" applyAlignment="1">
      <alignment vertical="center"/>
    </xf>
    <xf numFmtId="165" fontId="0" fillId="0" borderId="15" xfId="1" applyFont="1" applyBorder="1"/>
    <xf numFmtId="165" fontId="19" fillId="9" borderId="43" xfId="1" applyFont="1" applyFill="1" applyBorder="1" applyAlignment="1">
      <alignment horizontal="center"/>
    </xf>
    <xf numFmtId="165" fontId="19" fillId="9" borderId="2" xfId="1" applyFont="1" applyFill="1" applyBorder="1" applyAlignment="1">
      <alignment horizontal="center"/>
    </xf>
    <xf numFmtId="1" fontId="21" fillId="0" borderId="2" xfId="0" applyNumberFormat="1" applyFont="1" applyBorder="1" applyAlignment="1">
      <alignment horizontal="center"/>
    </xf>
    <xf numFmtId="165" fontId="19" fillId="9" borderId="2" xfId="0" applyNumberFormat="1" applyFont="1" applyFill="1" applyBorder="1" applyAlignment="1">
      <alignment horizontal="center"/>
    </xf>
    <xf numFmtId="165" fontId="19" fillId="10" borderId="2" xfId="1" applyFont="1" applyFill="1" applyBorder="1" applyAlignment="1">
      <alignment horizontal="center"/>
    </xf>
    <xf numFmtId="165" fontId="19" fillId="0" borderId="43" xfId="1" applyFont="1" applyFill="1" applyBorder="1" applyAlignment="1">
      <alignment horizontal="center"/>
    </xf>
    <xf numFmtId="165" fontId="19" fillId="9" borderId="26" xfId="0" applyNumberFormat="1" applyFont="1" applyFill="1" applyBorder="1" applyAlignment="1">
      <alignment horizontal="center"/>
    </xf>
    <xf numFmtId="165" fontId="0" fillId="0" borderId="24" xfId="1" applyFont="1" applyFill="1" applyBorder="1"/>
    <xf numFmtId="0" fontId="0" fillId="10" borderId="33" xfId="0" applyFill="1" applyBorder="1"/>
    <xf numFmtId="0" fontId="0" fillId="10" borderId="28" xfId="0" applyFill="1" applyBorder="1"/>
    <xf numFmtId="0" fontId="31" fillId="10" borderId="2" xfId="0" applyFont="1" applyFill="1" applyBorder="1"/>
    <xf numFmtId="0" fontId="4" fillId="0" borderId="2" xfId="1" applyNumberFormat="1" applyFont="1" applyFill="1" applyBorder="1" applyAlignment="1">
      <alignment horizontal="left"/>
    </xf>
    <xf numFmtId="0" fontId="0" fillId="0" borderId="18" xfId="0" applyBorder="1"/>
    <xf numFmtId="165" fontId="0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distributed"/>
    </xf>
    <xf numFmtId="0" fontId="0" fillId="0" borderId="2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1" fillId="0" borderId="4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4" fontId="14" fillId="10" borderId="2" xfId="0" applyNumberFormat="1" applyFont="1" applyFill="1" applyBorder="1" applyAlignment="1">
      <alignment horizontal="center" vertical="distributed"/>
    </xf>
    <xf numFmtId="0" fontId="14" fillId="10" borderId="2" xfId="0" applyFont="1" applyFill="1" applyBorder="1" applyAlignment="1">
      <alignment horizontal="center" vertical="distributed"/>
    </xf>
    <xf numFmtId="0" fontId="13" fillId="0" borderId="19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0" fillId="0" borderId="4" xfId="0" applyBorder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0" fillId="0" borderId="21" xfId="0" applyBorder="1" applyAlignment="1">
      <alignment horizontal="center" vertical="distributed"/>
    </xf>
    <xf numFmtId="0" fontId="0" fillId="0" borderId="19" xfId="0" applyBorder="1" applyAlignment="1">
      <alignment horizontal="center" vertical="distributed"/>
    </xf>
    <xf numFmtId="0" fontId="0" fillId="0" borderId="22" xfId="0" applyBorder="1" applyAlignment="1">
      <alignment horizontal="center" vertical="distributed"/>
    </xf>
    <xf numFmtId="0" fontId="0" fillId="0" borderId="23" xfId="0" applyBorder="1" applyAlignment="1">
      <alignment horizontal="center" vertical="distributed"/>
    </xf>
    <xf numFmtId="0" fontId="0" fillId="0" borderId="16" xfId="0" applyBorder="1" applyAlignment="1">
      <alignment horizontal="center" vertical="distributed"/>
    </xf>
    <xf numFmtId="0" fontId="0" fillId="0" borderId="1" xfId="0" applyBorder="1" applyAlignment="1">
      <alignment horizontal="center" vertical="distributed"/>
    </xf>
    <xf numFmtId="0" fontId="0" fillId="0" borderId="3" xfId="0" applyBorder="1" applyAlignment="1">
      <alignment horizontal="center" vertical="distributed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7" fillId="0" borderId="13" xfId="0" applyFont="1" applyBorder="1" applyAlignment="1">
      <alignment horizontal="center" vertical="top" wrapText="1"/>
    </xf>
    <xf numFmtId="0" fontId="17" fillId="0" borderId="14" xfId="0" applyFont="1" applyBorder="1" applyAlignment="1">
      <alignment horizontal="center" vertical="top" wrapText="1"/>
    </xf>
    <xf numFmtId="0" fontId="17" fillId="0" borderId="20" xfId="0" applyFont="1" applyBorder="1" applyAlignment="1">
      <alignment horizontal="center" vertical="top" wrapText="1"/>
    </xf>
    <xf numFmtId="0" fontId="17" fillId="0" borderId="4" xfId="0" applyFont="1" applyBorder="1" applyAlignment="1">
      <alignment horizontal="center" vertical="top" wrapText="1"/>
    </xf>
    <xf numFmtId="0" fontId="17" fillId="0" borderId="0" xfId="0" applyFont="1" applyAlignment="1">
      <alignment horizontal="center" vertical="top" wrapText="1"/>
    </xf>
    <xf numFmtId="0" fontId="17" fillId="0" borderId="21" xfId="0" applyFont="1" applyBorder="1" applyAlignment="1">
      <alignment horizontal="center" vertical="top" wrapText="1"/>
    </xf>
    <xf numFmtId="0" fontId="14" fillId="0" borderId="19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14" fillId="0" borderId="23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9" borderId="52" xfId="0" applyFont="1" applyFill="1" applyBorder="1" applyAlignment="1">
      <alignment horizontal="center" vertical="center" wrapText="1"/>
    </xf>
    <xf numFmtId="0" fontId="3" fillId="9" borderId="34" xfId="0" applyFont="1" applyFill="1" applyBorder="1" applyAlignment="1">
      <alignment horizontal="center" vertical="center" wrapText="1"/>
    </xf>
    <xf numFmtId="0" fontId="3" fillId="9" borderId="59" xfId="0" applyFont="1" applyFill="1" applyBorder="1" applyAlignment="1">
      <alignment horizontal="center" vertical="center" wrapText="1"/>
    </xf>
    <xf numFmtId="1" fontId="21" fillId="10" borderId="16" xfId="0" applyNumberFormat="1" applyFont="1" applyFill="1" applyBorder="1" applyAlignment="1">
      <alignment horizontal="center"/>
    </xf>
    <xf numFmtId="1" fontId="21" fillId="10" borderId="3" xfId="0" applyNumberFormat="1" applyFont="1" applyFill="1" applyBorder="1" applyAlignment="1">
      <alignment horizontal="center"/>
    </xf>
    <xf numFmtId="165" fontId="19" fillId="10" borderId="16" xfId="0" applyNumberFormat="1" applyFont="1" applyFill="1" applyBorder="1" applyAlignment="1">
      <alignment horizontal="center" vertical="center"/>
    </xf>
    <xf numFmtId="165" fontId="19" fillId="10" borderId="3" xfId="0" applyNumberFormat="1" applyFont="1" applyFill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 textRotation="255" wrapText="1"/>
    </xf>
    <xf numFmtId="0" fontId="19" fillId="7" borderId="44" xfId="0" applyFont="1" applyFill="1" applyBorder="1" applyAlignment="1">
      <alignment horizontal="center" vertical="center" textRotation="255" wrapText="1"/>
    </xf>
    <xf numFmtId="0" fontId="19" fillId="7" borderId="12" xfId="0" applyFont="1" applyFill="1" applyBorder="1" applyAlignment="1">
      <alignment horizontal="center" vertical="center" textRotation="255" wrapText="1"/>
    </xf>
    <xf numFmtId="14" fontId="19" fillId="0" borderId="5" xfId="1" applyNumberFormat="1" applyFont="1" applyFill="1" applyBorder="1" applyAlignment="1">
      <alignment horizontal="center"/>
    </xf>
    <xf numFmtId="14" fontId="19" fillId="0" borderId="6" xfId="1" applyNumberFormat="1" applyFont="1" applyFill="1" applyBorder="1" applyAlignment="1">
      <alignment horizontal="center"/>
    </xf>
    <xf numFmtId="0" fontId="3" fillId="9" borderId="0" xfId="0" applyFont="1" applyFill="1" applyAlignment="1">
      <alignment horizontal="center" vertical="center" wrapText="1"/>
    </xf>
    <xf numFmtId="165" fontId="20" fillId="10" borderId="2" xfId="1" applyFont="1" applyFill="1" applyBorder="1" applyAlignment="1">
      <alignment horizontal="center" vertical="center"/>
    </xf>
    <xf numFmtId="165" fontId="19" fillId="10" borderId="1" xfId="0" applyNumberFormat="1" applyFont="1" applyFill="1" applyBorder="1" applyAlignment="1">
      <alignment horizontal="center" vertical="center"/>
    </xf>
    <xf numFmtId="165" fontId="19" fillId="8" borderId="61" xfId="0" applyNumberFormat="1" applyFont="1" applyFill="1" applyBorder="1" applyAlignment="1">
      <alignment horizontal="center" vertical="center" wrapText="1"/>
    </xf>
    <xf numFmtId="165" fontId="19" fillId="8" borderId="7" xfId="0" applyNumberFormat="1" applyFont="1" applyFill="1" applyBorder="1" applyAlignment="1">
      <alignment horizontal="center" vertical="center" wrapText="1"/>
    </xf>
    <xf numFmtId="165" fontId="24" fillId="5" borderId="47" xfId="0" applyNumberFormat="1" applyFont="1" applyFill="1" applyBorder="1" applyAlignment="1">
      <alignment horizontal="center" vertical="center"/>
    </xf>
    <xf numFmtId="165" fontId="24" fillId="5" borderId="52" xfId="0" applyNumberFormat="1" applyFont="1" applyFill="1" applyBorder="1" applyAlignment="1">
      <alignment horizontal="center" vertical="center"/>
    </xf>
    <xf numFmtId="165" fontId="24" fillId="5" borderId="19" xfId="0" applyNumberFormat="1" applyFont="1" applyFill="1" applyBorder="1" applyAlignment="1">
      <alignment horizontal="center" vertical="center"/>
    </xf>
    <xf numFmtId="165" fontId="24" fillId="5" borderId="5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165" fontId="19" fillId="0" borderId="30" xfId="1" applyFont="1" applyFill="1" applyBorder="1" applyAlignment="1">
      <alignment horizontal="center" vertical="center"/>
    </xf>
    <xf numFmtId="165" fontId="19" fillId="0" borderId="31" xfId="1" applyFont="1" applyFill="1" applyBorder="1" applyAlignment="1">
      <alignment horizontal="center" vertical="center"/>
    </xf>
    <xf numFmtId="165" fontId="23" fillId="0" borderId="49" xfId="0" applyNumberFormat="1" applyFont="1" applyBorder="1" applyAlignment="1">
      <alignment horizontal="center" vertical="center"/>
    </xf>
    <xf numFmtId="165" fontId="23" fillId="0" borderId="50" xfId="0" applyNumberFormat="1" applyFont="1" applyBorder="1" applyAlignment="1">
      <alignment horizontal="center" vertical="center"/>
    </xf>
    <xf numFmtId="165" fontId="23" fillId="0" borderId="51" xfId="0" applyNumberFormat="1" applyFont="1" applyBorder="1" applyAlignment="1">
      <alignment horizontal="center" vertical="center"/>
    </xf>
    <xf numFmtId="165" fontId="23" fillId="0" borderId="23" xfId="0" applyNumberFormat="1" applyFont="1" applyBorder="1" applyAlignment="1">
      <alignment horizontal="center" vertical="center"/>
    </xf>
    <xf numFmtId="165" fontId="19" fillId="0" borderId="16" xfId="0" applyNumberFormat="1" applyFont="1" applyBorder="1" applyAlignment="1">
      <alignment horizontal="center" vertical="center"/>
    </xf>
    <xf numFmtId="165" fontId="19" fillId="0" borderId="3" xfId="0" applyNumberFormat="1" applyFont="1" applyBorder="1" applyAlignment="1">
      <alignment horizontal="center" vertical="center"/>
    </xf>
    <xf numFmtId="165" fontId="19" fillId="0" borderId="29" xfId="0" applyNumberFormat="1" applyFont="1" applyBorder="1" applyAlignment="1">
      <alignment horizontal="right"/>
    </xf>
    <xf numFmtId="165" fontId="19" fillId="0" borderId="26" xfId="0" applyNumberFormat="1" applyFont="1" applyBorder="1" applyAlignment="1">
      <alignment horizontal="right"/>
    </xf>
    <xf numFmtId="165" fontId="19" fillId="0" borderId="41" xfId="0" applyNumberFormat="1" applyFont="1" applyBorder="1" applyAlignment="1">
      <alignment horizontal="center" vertical="center"/>
    </xf>
    <xf numFmtId="165" fontId="19" fillId="0" borderId="9" xfId="0" applyNumberFormat="1" applyFont="1" applyBorder="1" applyAlignment="1">
      <alignment horizontal="center" vertical="center"/>
    </xf>
    <xf numFmtId="165" fontId="24" fillId="5" borderId="2" xfId="0" applyNumberFormat="1" applyFont="1" applyFill="1" applyBorder="1" applyAlignment="1">
      <alignment horizontal="center" vertical="center"/>
    </xf>
    <xf numFmtId="165" fontId="23" fillId="5" borderId="46" xfId="1" applyFont="1" applyFill="1" applyBorder="1" applyAlignment="1">
      <alignment horizontal="center" vertical="center"/>
    </xf>
    <xf numFmtId="165" fontId="23" fillId="5" borderId="3" xfId="1" applyFont="1" applyFill="1" applyBorder="1" applyAlignment="1">
      <alignment horizontal="center" vertical="center"/>
    </xf>
    <xf numFmtId="44" fontId="19" fillId="5" borderId="54" xfId="0" applyNumberFormat="1" applyFont="1" applyFill="1" applyBorder="1" applyAlignment="1">
      <alignment horizontal="center" vertical="center"/>
    </xf>
    <xf numFmtId="44" fontId="19" fillId="5" borderId="42" xfId="0" applyNumberFormat="1" applyFont="1" applyFill="1" applyBorder="1" applyAlignment="1">
      <alignment horizontal="center" vertical="center"/>
    </xf>
    <xf numFmtId="165" fontId="0" fillId="10" borderId="0" xfId="1" applyFont="1" applyFill="1"/>
  </cellXfs>
  <cellStyles count="3">
    <cellStyle name="Moneda" xfId="1" builtinId="4"/>
    <cellStyle name="Moneda 2" xfId="2" xr:uid="{27D1514C-05F5-4A20-821D-4EB7863DD5AE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0</xdr:row>
      <xdr:rowOff>47625</xdr:rowOff>
    </xdr:from>
    <xdr:to>
      <xdr:col>1</xdr:col>
      <xdr:colOff>514350</xdr:colOff>
      <xdr:row>5</xdr:row>
      <xdr:rowOff>76200</xdr:rowOff>
    </xdr:to>
    <xdr:pic>
      <xdr:nvPicPr>
        <xdr:cNvPr id="3" name="Picture 2" descr="logomuni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7725" y="47625"/>
          <a:ext cx="628650" cy="981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6938-750C-4ACF-A5D8-F392A1D61833}">
  <sheetPr>
    <pageSetUpPr fitToPage="1"/>
  </sheetPr>
  <dimension ref="A1:W399"/>
  <sheetViews>
    <sheetView tabSelected="1" workbookViewId="0">
      <pane ySplit="1" topLeftCell="A306" activePane="bottomLeft" state="frozen"/>
      <selection pane="bottomLeft" activeCell="D321" sqref="D321"/>
    </sheetView>
  </sheetViews>
  <sheetFormatPr baseColWidth="10" defaultRowHeight="15" x14ac:dyDescent="0.25"/>
  <cols>
    <col min="1" max="1" width="2.5703125" customWidth="1"/>
    <col min="2" max="2" width="9.140625" customWidth="1"/>
    <col min="3" max="3" width="32" customWidth="1"/>
    <col min="4" max="4" width="14.140625" customWidth="1"/>
    <col min="5" max="5" width="11.140625" customWidth="1"/>
    <col min="6" max="6" width="15.28515625" customWidth="1"/>
    <col min="7" max="7" width="14.5703125" customWidth="1"/>
    <col min="11" max="12" width="12.42578125" bestFit="1" customWidth="1"/>
    <col min="13" max="13" width="14" customWidth="1"/>
    <col min="15" max="15" width="4.85546875" customWidth="1"/>
    <col min="16" max="16" width="8.5703125" customWidth="1"/>
    <col min="17" max="18" width="3.42578125" customWidth="1"/>
    <col min="19" max="19" width="1.85546875" customWidth="1"/>
    <col min="20" max="20" width="15.42578125" customWidth="1"/>
    <col min="22" max="22" width="1.85546875" customWidth="1"/>
    <col min="23" max="23" width="2.28515625" customWidth="1"/>
  </cols>
  <sheetData>
    <row r="1" spans="1:23" ht="35.25" customHeight="1" x14ac:dyDescent="0.25">
      <c r="A1" t="s">
        <v>218</v>
      </c>
      <c r="B1" s="139" t="s">
        <v>141</v>
      </c>
      <c r="C1" s="139" t="s">
        <v>41</v>
      </c>
      <c r="D1" s="139" t="s">
        <v>140</v>
      </c>
      <c r="E1" s="139" t="s">
        <v>0</v>
      </c>
      <c r="F1" s="139" t="s">
        <v>150</v>
      </c>
      <c r="G1" s="139" t="s">
        <v>123</v>
      </c>
      <c r="H1" s="139" t="s">
        <v>4</v>
      </c>
      <c r="I1" s="139" t="s">
        <v>5</v>
      </c>
      <c r="J1" s="139" t="s">
        <v>84</v>
      </c>
      <c r="K1" s="139" t="s">
        <v>86</v>
      </c>
      <c r="L1" s="139" t="s">
        <v>88</v>
      </c>
      <c r="M1" s="139" t="s">
        <v>160</v>
      </c>
      <c r="N1" s="139" t="s">
        <v>261</v>
      </c>
      <c r="O1" s="139" t="s">
        <v>181</v>
      </c>
      <c r="P1" s="139" t="s">
        <v>201</v>
      </c>
      <c r="Q1" s="139" t="s">
        <v>343</v>
      </c>
      <c r="R1" s="139" t="s">
        <v>419</v>
      </c>
      <c r="S1" s="139" t="s">
        <v>344</v>
      </c>
      <c r="T1" s="139" t="s">
        <v>101</v>
      </c>
      <c r="V1" s="139" t="s">
        <v>780</v>
      </c>
      <c r="W1" s="139" t="s">
        <v>779</v>
      </c>
    </row>
    <row r="2" spans="1:23" x14ac:dyDescent="0.25">
      <c r="A2" t="str">
        <f>Q2&amp;COUNTIF($Q2:Q$2,Q2)</f>
        <v>LIBRERÍA SAN PABLO SRLENERO 231</v>
      </c>
      <c r="B2" t="s">
        <v>166</v>
      </c>
      <c r="C2" t="s">
        <v>10</v>
      </c>
      <c r="D2" t="s">
        <v>167</v>
      </c>
      <c r="E2" s="10">
        <v>44935</v>
      </c>
      <c r="F2" t="str">
        <f>+IFERROR(INDEX('AUX23'!$C$2:$D$12,MATCH(CARGAFACTURAS!C2,'AUX23'!$D$2:$D$19,0),1),"")</f>
        <v/>
      </c>
      <c r="G2" s="141">
        <v>60000</v>
      </c>
      <c r="H2" s="141">
        <f>+IF(G2&lt;9999,0,IFERROR(VLOOKUP(C2,'AUX23'!$D$2:$K$50,3,0)*G2/100,0))</f>
        <v>750</v>
      </c>
      <c r="I2" s="141">
        <f>IF(G2&lt;9999,0,IFERROR(VLOOKUP(C2,'AUX23'!$D$2:$L$50,4,0)*G2/100,0))</f>
        <v>3000</v>
      </c>
      <c r="J2" s="141">
        <f>IF(G2&lt;9999,0,IFERROR(VLOOKUP(C2,'AUX23'!$D$2:$L$50,5,0)*G2/100,0))</f>
        <v>0</v>
      </c>
      <c r="K2" s="141">
        <f>IF(G2&lt;9999,0,IFERROR((G2-67170)*VLOOKUP(C2,'AUX23'!$D$2:$L$50,6,0)/100,0))</f>
        <v>0</v>
      </c>
      <c r="L2" s="141">
        <f>IF(G2&lt;9999,0,IFERROR((G2/1.21)*VLOOKUP(C2,'AUX23'!$D$2:$L$50,7,0)/100,0))</f>
        <v>0</v>
      </c>
      <c r="M2" s="141">
        <f>G2-H2-I2-J2-K2-L2</f>
        <v>56250</v>
      </c>
      <c r="N2">
        <v>96339043</v>
      </c>
      <c r="O2">
        <f>+MONTH(E2)</f>
        <v>1</v>
      </c>
      <c r="P2" t="s">
        <v>101</v>
      </c>
      <c r="Q2" t="str">
        <f t="shared" ref="Q2:Q29" si="0">+C2&amp;B2</f>
        <v>LIBRERÍA SAN PABLO SRLENERO 23</v>
      </c>
      <c r="R2" t="str">
        <f>+CLEAN(C2)&amp;CLEAN(O2)</f>
        <v>LIBRERÍA SAN PABLO SRL1</v>
      </c>
      <c r="S2" t="str">
        <f>+R2&amp;COUNTIF($R$2:R2,R2)</f>
        <v>LIBRERÍA SAN PABLO SRL11</v>
      </c>
      <c r="U2" t="str">
        <f>+RIGHT(D2,4)</f>
        <v>8628</v>
      </c>
      <c r="V2" t="str">
        <f>+R2&amp;N2</f>
        <v>LIBRERÍA SAN PABLO SRL196339043</v>
      </c>
      <c r="W2" t="str">
        <f>+V2&amp;COUNTIF($V$2:V2,V2)</f>
        <v>LIBRERÍA SAN PABLO SRL1963390431</v>
      </c>
    </row>
    <row r="3" spans="1:23" x14ac:dyDescent="0.25">
      <c r="A3" t="str">
        <f>Q3&amp;COUNTIF($Q$2:Q3,Q3)</f>
        <v>LIBRERÍA SAN PABLO SRLENERO 232</v>
      </c>
      <c r="B3" t="s">
        <v>166</v>
      </c>
      <c r="C3" t="s">
        <v>10</v>
      </c>
      <c r="D3" t="s">
        <v>168</v>
      </c>
      <c r="E3" s="10">
        <v>44942</v>
      </c>
      <c r="F3" t="str">
        <f>+IFERROR(INDEX('AUX23'!$C$2:$D$12,MATCH(CARGAFACTURAS!C3,'AUX23'!$D$2:$D$19,0),1),"")</f>
        <v/>
      </c>
      <c r="G3" s="141">
        <v>30000</v>
      </c>
      <c r="H3" s="141">
        <f>+IF(G3&lt;9999,0,IFERROR(VLOOKUP(C3,'AUX23'!$D$2:$K$50,3,0)*G3/100,0))</f>
        <v>375</v>
      </c>
      <c r="I3" s="141">
        <f>IF(G3&lt;9999,0,IFERROR(VLOOKUP(C3,'AUX23'!$D$2:$L$50,4,0)*G3/100,0))</f>
        <v>1500</v>
      </c>
      <c r="J3" s="141">
        <f>IF(G3&lt;9999,0,IFERROR(VLOOKUP(C3,'AUX23'!$D$2:$L$50,5,0)*G3/100,0))</f>
        <v>0</v>
      </c>
      <c r="K3" s="141">
        <f>IF(G3&lt;9999,0,IFERROR((G3-67170)*VLOOKUP(C3,'AUX23'!$D$2:$L$50,6,0)/100,0))</f>
        <v>0</v>
      </c>
      <c r="L3" s="141">
        <f>IF(G3&lt;9999,0,IFERROR((G3/1.21)*VLOOKUP(C3,'AUX23'!$D$2:$L$50,7,0)/100,0))</f>
        <v>0</v>
      </c>
      <c r="M3" s="141">
        <f t="shared" ref="M3:M57" si="1">G3-H3-I3-J3-K3-L3</f>
        <v>28125</v>
      </c>
      <c r="N3">
        <v>98470537</v>
      </c>
      <c r="O3">
        <f t="shared" ref="O3:O57" si="2">+MONTH(E3)</f>
        <v>1</v>
      </c>
      <c r="P3" t="s">
        <v>101</v>
      </c>
      <c r="Q3" t="str">
        <f t="shared" si="0"/>
        <v>LIBRERÍA SAN PABLO SRLENERO 23</v>
      </c>
      <c r="R3" t="str">
        <f t="shared" ref="R3:R66" si="3">+CLEAN(C3)&amp;CLEAN(O3)</f>
        <v>LIBRERÍA SAN PABLO SRL1</v>
      </c>
      <c r="S3" t="str">
        <f>+R3&amp;COUNTIF($R$2:R3,R3)</f>
        <v>LIBRERÍA SAN PABLO SRL12</v>
      </c>
      <c r="U3" t="str">
        <f t="shared" ref="U3:U66" si="4">+RIGHT(D3,4)</f>
        <v>8125</v>
      </c>
      <c r="V3" t="str">
        <f t="shared" ref="V3:V66" si="5">+R3&amp;N3</f>
        <v>LIBRERÍA SAN PABLO SRL198470537</v>
      </c>
      <c r="W3" t="str">
        <f>+V3&amp;COUNTIF($V$2:V3,V3)</f>
        <v>LIBRERÍA SAN PABLO SRL1984705371</v>
      </c>
    </row>
    <row r="4" spans="1:23" x14ac:dyDescent="0.25">
      <c r="A4" t="str">
        <f>Q4&amp;COUNTIF($Q$2:Q4,Q4)</f>
        <v>LIBRERÍA SAN PABLO SRLENERO 233</v>
      </c>
      <c r="B4" t="s">
        <v>166</v>
      </c>
      <c r="C4" t="s">
        <v>10</v>
      </c>
      <c r="D4" t="s">
        <v>169</v>
      </c>
      <c r="E4" s="10">
        <v>44959</v>
      </c>
      <c r="F4" t="str">
        <f>+IFERROR(INDEX('AUX23'!$C$2:$D$12,MATCH(CARGAFACTURAS!C4,'AUX23'!$D$2:$D$19,0),1),"")</f>
        <v/>
      </c>
      <c r="G4" s="141">
        <v>1000</v>
      </c>
      <c r="H4" s="141">
        <f>+IF(G4&lt;9999,0,IFERROR(VLOOKUP(C4,'AUX23'!$D$2:$K$50,3,0)*G4/100,0))</f>
        <v>0</v>
      </c>
      <c r="I4" s="141">
        <f>IF(G4&lt;9999,0,IFERROR(VLOOKUP(C4,'AUX23'!$D$2:$L$50,4,0)*G4/100,0))</f>
        <v>0</v>
      </c>
      <c r="J4" s="141">
        <f>IF(G4&lt;9999,0,IFERROR(VLOOKUP(C4,'AUX23'!$D$2:$L$50,5,0)*G4/100,0))</f>
        <v>0</v>
      </c>
      <c r="K4" s="141">
        <f>IF(G4&lt;9999,0,IFERROR((G4-67170)*VLOOKUP(C4,'AUX23'!$D$2:$L$50,6,0)/100,0))</f>
        <v>0</v>
      </c>
      <c r="L4" s="141">
        <f>IF(G4&lt;9999,0,IFERROR((G4/1.21)*VLOOKUP(C4,'AUX23'!$D$2:$L$50,7,0)/100,0))</f>
        <v>0</v>
      </c>
      <c r="M4" s="141">
        <f t="shared" si="1"/>
        <v>1000</v>
      </c>
      <c r="N4" t="str">
        <f t="shared" ref="N4:N28" si="6">+IF(G4&lt;9999,"CC","INGR. NUMERO")</f>
        <v>CC</v>
      </c>
      <c r="O4">
        <f t="shared" si="2"/>
        <v>2</v>
      </c>
      <c r="P4" t="s">
        <v>101</v>
      </c>
      <c r="Q4" t="str">
        <f t="shared" si="0"/>
        <v>LIBRERÍA SAN PABLO SRLENERO 23</v>
      </c>
      <c r="R4" t="str">
        <f t="shared" si="3"/>
        <v>LIBRERÍA SAN PABLO SRL2</v>
      </c>
      <c r="S4" t="str">
        <f>+R4&amp;COUNTIF($R$2:R4,R4)</f>
        <v>LIBRERÍA SAN PABLO SRL21</v>
      </c>
      <c r="U4" t="str">
        <f t="shared" si="4"/>
        <v>8384</v>
      </c>
      <c r="V4" t="str">
        <f t="shared" si="5"/>
        <v>LIBRERÍA SAN PABLO SRL2CC</v>
      </c>
      <c r="W4" t="str">
        <f>+V4&amp;COUNTIF($V$2:V4,V4)</f>
        <v>LIBRERÍA SAN PABLO SRL2CC1</v>
      </c>
    </row>
    <row r="5" spans="1:23" x14ac:dyDescent="0.25">
      <c r="A5" t="str">
        <f>Q5&amp;COUNTIF($Q$2:Q5,Q5)</f>
        <v>LA PROVIDENCIA DEL NOA SRLENERO 231</v>
      </c>
      <c r="B5" t="s">
        <v>166</v>
      </c>
      <c r="C5" t="s">
        <v>11</v>
      </c>
      <c r="D5" s="140" t="s">
        <v>170</v>
      </c>
      <c r="E5" s="10">
        <v>44929</v>
      </c>
      <c r="F5" t="str">
        <f>+IFERROR(INDEX('AUX23'!$C$2:$D$12,MATCH(CARGAFACTURAS!C5,'AUX23'!$D$2:$D$19,0),1),"")</f>
        <v/>
      </c>
      <c r="G5" s="141">
        <v>463180.08</v>
      </c>
      <c r="H5" s="141">
        <f>+IF(G5&lt;9999,0,IFERROR(VLOOKUP(C5,'AUX23'!$D$2:$K$50,3,0)*G5/100,0))</f>
        <v>5789.7510000000002</v>
      </c>
      <c r="I5" s="141">
        <f>IF(G5&lt;9999,0,IFERROR(VLOOKUP(C5,'AUX23'!$D$2:$L$50,4,0)*G5/100,0))</f>
        <v>23159.004000000001</v>
      </c>
      <c r="J5" s="141">
        <f>IF(G5&lt;9999,0,IFERROR(VLOOKUP(C5,'AUX23'!$D$2:$L$50,5,0)*G5/100,0))</f>
        <v>40204.030943999998</v>
      </c>
      <c r="K5" s="141">
        <f>IF(G5&lt;9999,0,IFERROR((G5-67170)*VLOOKUP(C5,'AUX23'!$D$2:$L$50,6,0)/100,0))</f>
        <v>7920.2016000000003</v>
      </c>
      <c r="L5" s="141">
        <f>IF(G5&lt;9999,0,IFERROR((G5/1.21)*VLOOKUP(C5,'AUX23'!$D$2:$L$50,7,0)/100,0))</f>
        <v>3827.934545454546</v>
      </c>
      <c r="M5" s="141">
        <f t="shared" si="1"/>
        <v>382279.15791054547</v>
      </c>
      <c r="N5">
        <v>36068180</v>
      </c>
      <c r="O5">
        <f t="shared" si="2"/>
        <v>1</v>
      </c>
      <c r="P5" t="s">
        <v>102</v>
      </c>
      <c r="Q5" t="str">
        <f t="shared" si="0"/>
        <v>LA PROVIDENCIA DEL NOA SRLENERO 23</v>
      </c>
      <c r="R5" t="str">
        <f t="shared" si="3"/>
        <v>LA PROVIDENCIA DEL NOA SRL1</v>
      </c>
      <c r="S5" t="str">
        <f>+R5&amp;COUNTIF($R$2:R5,R5)</f>
        <v>LA PROVIDENCIA DEL NOA SRL11</v>
      </c>
      <c r="U5" t="str">
        <f t="shared" si="4"/>
        <v>5166</v>
      </c>
      <c r="V5" t="str">
        <f t="shared" si="5"/>
        <v>LA PROVIDENCIA DEL NOA SRL136068180</v>
      </c>
      <c r="W5" t="str">
        <f>+V5&amp;COUNTIF($V$2:V5,V5)</f>
        <v>LA PROVIDENCIA DEL NOA SRL1360681801</v>
      </c>
    </row>
    <row r="6" spans="1:23" x14ac:dyDescent="0.25">
      <c r="A6" t="str">
        <f>Q6&amp;COUNTIF($Q$2:Q6,Q6)</f>
        <v>LA PROVIDENCIA DEL NOA SRLENERO 232</v>
      </c>
      <c r="B6" t="s">
        <v>166</v>
      </c>
      <c r="C6" t="s">
        <v>11</v>
      </c>
      <c r="D6" s="140" t="s">
        <v>171</v>
      </c>
      <c r="E6" s="10">
        <v>44929</v>
      </c>
      <c r="F6" t="str">
        <f>+IFERROR(INDEX('AUX23'!$C$2:$D$12,MATCH(CARGAFACTURAS!C6,'AUX23'!$D$2:$D$19,0),1),"")</f>
        <v/>
      </c>
      <c r="G6" s="141">
        <v>189482.76</v>
      </c>
      <c r="H6" s="141">
        <f>+IF(G6&lt;9999,0,IFERROR(VLOOKUP(C6,'AUX23'!$D$2:$K$50,3,0)*G6/100,0))</f>
        <v>2368.5345000000002</v>
      </c>
      <c r="I6" s="141">
        <f>IF(G6&lt;9999,0,IFERROR(VLOOKUP(C6,'AUX23'!$D$2:$L$50,4,0)*G6/100,0))</f>
        <v>9474.1380000000008</v>
      </c>
      <c r="J6" s="141">
        <f>IF(G6&lt;9999,0,IFERROR(VLOOKUP(C6,'AUX23'!$D$2:$L$50,5,0)*G6/100,0))</f>
        <v>16447.103567999999</v>
      </c>
      <c r="K6" s="141">
        <f>IF(G6&lt;9999,0,IFERROR((G6-67170)*VLOOKUP(C6,'AUX23'!$D$2:$L$50,6,0)/100,0))</f>
        <v>2446.2552000000001</v>
      </c>
      <c r="L6" s="141">
        <f>IF(G6&lt;9999,0,IFERROR((G6/1.21)*VLOOKUP(C6,'AUX23'!$D$2:$L$50,7,0)/100,0))</f>
        <v>1565.9732231404962</v>
      </c>
      <c r="M6" s="141">
        <f t="shared" si="1"/>
        <v>157180.7555088595</v>
      </c>
      <c r="N6">
        <v>36068180</v>
      </c>
      <c r="O6">
        <f t="shared" si="2"/>
        <v>1</v>
      </c>
      <c r="P6" t="s">
        <v>102</v>
      </c>
      <c r="Q6" t="str">
        <f t="shared" si="0"/>
        <v>LA PROVIDENCIA DEL NOA SRLENERO 23</v>
      </c>
      <c r="R6" t="str">
        <f t="shared" si="3"/>
        <v>LA PROVIDENCIA DEL NOA SRL1</v>
      </c>
      <c r="S6" t="str">
        <f>+R6&amp;COUNTIF($R$2:R6,R6)</f>
        <v>LA PROVIDENCIA DEL NOA SRL12</v>
      </c>
      <c r="U6" t="str">
        <f t="shared" si="4"/>
        <v>5167</v>
      </c>
      <c r="V6" t="str">
        <f t="shared" si="5"/>
        <v>LA PROVIDENCIA DEL NOA SRL136068180</v>
      </c>
      <c r="W6" t="str">
        <f>+V6&amp;COUNTIF($V$2:V6,V6)</f>
        <v>LA PROVIDENCIA DEL NOA SRL1360681802</v>
      </c>
    </row>
    <row r="7" spans="1:23" x14ac:dyDescent="0.25">
      <c r="A7" t="str">
        <f>Q7&amp;COUNTIF($Q$2:Q7,Q7)</f>
        <v>CEGE SRLENERO 231</v>
      </c>
      <c r="B7" t="s">
        <v>166</v>
      </c>
      <c r="C7" t="s">
        <v>50</v>
      </c>
      <c r="D7" s="140" t="s">
        <v>172</v>
      </c>
      <c r="E7" s="10">
        <v>44937</v>
      </c>
      <c r="F7" t="str">
        <f>+IFERROR(INDEX('AUX23'!$C$2:$D$12,MATCH(CARGAFACTURAS!C7,'AUX23'!$D$2:$D$19,0),1),"")</f>
        <v>30-65710669-7</v>
      </c>
      <c r="G7" s="141">
        <v>94500</v>
      </c>
      <c r="H7" s="141">
        <f>+IF(G7&lt;9999,0,IFERROR(VLOOKUP(C7,'AUX23'!$D$2:$K$50,3,0)*G7/100,0))</f>
        <v>2362.5</v>
      </c>
      <c r="I7" s="141">
        <f>IF(G7&lt;9999,0,IFERROR(VLOOKUP(C7,'AUX23'!$D$2:$L$50,4,0)*G7/100,0))</f>
        <v>4725</v>
      </c>
      <c r="J7" s="141">
        <f>IF(G7&lt;9999,0,IFERROR(VLOOKUP(C7,'AUX23'!$D$2:$L$50,5,0)*G7/100,0))</f>
        <v>0</v>
      </c>
      <c r="K7" s="141">
        <f>IF(G7&lt;9999,0,IFERROR((G7-67170)*VLOOKUP(C7,'AUX23'!$D$2:$L$50,6,0)/100,0))</f>
        <v>0</v>
      </c>
      <c r="L7" s="141">
        <f>IF(G7&lt;9999,0,IFERROR((G7/1.21)*VLOOKUP(C7,'AUX23'!$D$2:$L$50,7,0)/100,0))</f>
        <v>0</v>
      </c>
      <c r="M7" s="141">
        <f t="shared" si="1"/>
        <v>87412.5</v>
      </c>
      <c r="N7">
        <v>96339417</v>
      </c>
      <c r="O7">
        <f t="shared" si="2"/>
        <v>1</v>
      </c>
      <c r="P7" t="s">
        <v>101</v>
      </c>
      <c r="Q7" t="str">
        <f t="shared" si="0"/>
        <v>CEGE SRLENERO 23</v>
      </c>
      <c r="R7" t="str">
        <f t="shared" si="3"/>
        <v>CEGE SRL1</v>
      </c>
      <c r="S7" t="str">
        <f>+R7&amp;COUNTIF($R$2:R7,R7)</f>
        <v>CEGE SRL11</v>
      </c>
      <c r="U7" t="str">
        <f t="shared" si="4"/>
        <v>1765</v>
      </c>
      <c r="V7" t="str">
        <f t="shared" si="5"/>
        <v>CEGE SRL196339417</v>
      </c>
      <c r="W7" t="str">
        <f>+V7&amp;COUNTIF($V$2:V7,V7)</f>
        <v>CEGE SRL1963394171</v>
      </c>
    </row>
    <row r="8" spans="1:23" x14ac:dyDescent="0.25">
      <c r="A8" t="str">
        <f>Q8&amp;COUNTIF($Q$2:Q8,Q8)</f>
        <v>WATERLIFE (VARONA CARLOS JOSE)ENERO 231</v>
      </c>
      <c r="B8" t="s">
        <v>166</v>
      </c>
      <c r="C8" t="s">
        <v>20</v>
      </c>
      <c r="D8" s="140" t="s">
        <v>173</v>
      </c>
      <c r="E8" s="10">
        <v>44928</v>
      </c>
      <c r="F8" t="str">
        <f>+IFERROR(INDEX('AUX23'!$C$2:$D$12,MATCH(CARGAFACTURAS!C8,'AUX23'!$D$2:$D$19,0),1),"")</f>
        <v/>
      </c>
      <c r="G8" s="141">
        <v>48300</v>
      </c>
      <c r="H8" s="141">
        <f>+IF(G8&lt;9999,0,IFERROR(VLOOKUP(C8,'AUX23'!$D$2:$K$50,3,0)*G8/100,0))</f>
        <v>0</v>
      </c>
      <c r="I8" s="141">
        <f>IF(G8&lt;9999,0,IFERROR(VLOOKUP(C8,'AUX23'!$D$2:$L$50,4,0)*G8/100,0))</f>
        <v>1207.5</v>
      </c>
      <c r="J8" s="141">
        <f>IF(G8&lt;9999,0,IFERROR(VLOOKUP(C8,'AUX23'!$D$2:$L$50,5,0)*G8/100,0))</f>
        <v>0</v>
      </c>
      <c r="K8" s="141">
        <f>IF(G8&lt;9999,0,IFERROR((G8-67170)*VLOOKUP(C8,'AUX23'!$D$2:$L$50,6,0)/100,0))</f>
        <v>0</v>
      </c>
      <c r="L8" s="141">
        <f>IF(G8&lt;9999,0,IFERROR((G8/1.21)*VLOOKUP(C8,'AUX23'!$D$2:$L$50,7,0)/100,0))</f>
        <v>0</v>
      </c>
      <c r="M8" s="141">
        <f t="shared" si="1"/>
        <v>47092.5</v>
      </c>
      <c r="N8">
        <v>96339636</v>
      </c>
      <c r="O8">
        <f t="shared" si="2"/>
        <v>1</v>
      </c>
      <c r="P8" t="s">
        <v>101</v>
      </c>
      <c r="Q8" t="str">
        <f t="shared" si="0"/>
        <v>WATERLIFE (VARONA CARLOS JOSE)ENERO 23</v>
      </c>
      <c r="R8" t="str">
        <f t="shared" si="3"/>
        <v>WATERLIFE (VARONA CARLOS JOSE)1</v>
      </c>
      <c r="S8" t="str">
        <f>+R8&amp;COUNTIF($R$2:R8,R8)</f>
        <v>WATERLIFE (VARONA CARLOS JOSE)11</v>
      </c>
      <c r="U8" t="str">
        <f t="shared" si="4"/>
        <v>4015</v>
      </c>
      <c r="V8" t="str">
        <f t="shared" si="5"/>
        <v>WATERLIFE (VARONA CARLOS JOSE)196339636</v>
      </c>
      <c r="W8" t="str">
        <f>+V8&amp;COUNTIF($V$2:V8,V8)</f>
        <v>WATERLIFE (VARONA CARLOS JOSE)1963396361</v>
      </c>
    </row>
    <row r="9" spans="1:23" x14ac:dyDescent="0.25">
      <c r="A9" t="str">
        <f>Q9&amp;COUNTIF($Q$2:Q9,Q9)</f>
        <v>ESCOBEDO LUCAS NICOLAS (PAPERTUC)ENERO 231</v>
      </c>
      <c r="B9" t="s">
        <v>166</v>
      </c>
      <c r="C9" t="s">
        <v>104</v>
      </c>
      <c r="D9" s="140" t="s">
        <v>174</v>
      </c>
      <c r="E9" s="10">
        <v>44958</v>
      </c>
      <c r="F9" t="str">
        <f>+IFERROR(INDEX('AUX23'!$C$2:$D$12,MATCH(CARGAFACTURAS!C9,'AUX23'!$D$2:$D$19,0),1),"")</f>
        <v/>
      </c>
      <c r="G9" s="141">
        <v>32637.040000000001</v>
      </c>
      <c r="H9" s="141">
        <f>+IF(G9&lt;9999,0,IFERROR(VLOOKUP(C9,'AUX23'!$D$2:$K$50,3,0)*G9/100,0))</f>
        <v>407.96300000000002</v>
      </c>
      <c r="I9" s="141">
        <f>IF(G9&lt;9999,0,IFERROR(VLOOKUP(C9,'AUX23'!$D$2:$L$50,4,0)*G9/100,0))</f>
        <v>1631.8520000000001</v>
      </c>
      <c r="J9" s="141">
        <f>IF(G9&lt;9999,0,IFERROR(VLOOKUP(C9,'AUX23'!$D$2:$L$50,5,0)*G9/100,0))</f>
        <v>0</v>
      </c>
      <c r="K9" s="141">
        <f>IF(G9&lt;9999,0,IFERROR((G9-67170)*VLOOKUP(C9,'AUX23'!$D$2:$L$50,6,0)/100,0))</f>
        <v>0</v>
      </c>
      <c r="L9" s="141">
        <f>IF(G9&lt;9999,0,IFERROR((G9/1.21)*VLOOKUP(C9,'AUX23'!$D$2:$L$50,7,0)/100,0))</f>
        <v>0</v>
      </c>
      <c r="M9" s="141">
        <f t="shared" si="1"/>
        <v>30597.225000000002</v>
      </c>
      <c r="N9">
        <v>98478448</v>
      </c>
      <c r="O9">
        <f t="shared" si="2"/>
        <v>2</v>
      </c>
      <c r="P9" t="s">
        <v>101</v>
      </c>
      <c r="Q9" t="str">
        <f t="shared" si="0"/>
        <v>ESCOBEDO LUCAS NICOLAS (PAPERTUC)ENERO 23</v>
      </c>
      <c r="R9" t="str">
        <f t="shared" si="3"/>
        <v>ESCOBEDO LUCAS NICOLAS (PAPERTUC)2</v>
      </c>
      <c r="S9" t="str">
        <f>+R9&amp;COUNTIF($R$2:R9,R9)</f>
        <v>ESCOBEDO LUCAS NICOLAS (PAPERTUC)21</v>
      </c>
      <c r="U9" t="str">
        <f t="shared" si="4"/>
        <v>-892</v>
      </c>
      <c r="V9" t="str">
        <f t="shared" si="5"/>
        <v>ESCOBEDO LUCAS NICOLAS (PAPERTUC)298478448</v>
      </c>
      <c r="W9" t="str">
        <f>+V9&amp;COUNTIF($V$2:V9,V9)</f>
        <v>ESCOBEDO LUCAS NICOLAS (PAPERTUC)2984784481</v>
      </c>
    </row>
    <row r="10" spans="1:23" x14ac:dyDescent="0.25">
      <c r="A10" t="str">
        <f>Q10&amp;COUNTIF($Q$2:Q10,Q10)</f>
        <v>JORGE ROLANDO FRIAS (JF SERV. INF.)ENERO 231</v>
      </c>
      <c r="B10" t="s">
        <v>166</v>
      </c>
      <c r="C10" t="s">
        <v>59</v>
      </c>
      <c r="D10" s="140" t="s">
        <v>175</v>
      </c>
      <c r="E10" s="10">
        <v>44956</v>
      </c>
      <c r="F10" t="str">
        <f>+IFERROR(INDEX('AUX23'!$C$2:$D$12,MATCH(CARGAFACTURAS!C10,'AUX23'!$D$2:$D$19,0),1),"")</f>
        <v/>
      </c>
      <c r="G10" s="141">
        <v>48200</v>
      </c>
      <c r="H10" s="141">
        <f>+IF(G10&lt;9999,0,IFERROR(VLOOKUP(C10,'AUX23'!$D$2:$K$50,3,0)*G10/100,0))</f>
        <v>0</v>
      </c>
      <c r="I10" s="141">
        <f>IF(G10&lt;9999,0,IFERROR(VLOOKUP(C10,'AUX23'!$D$2:$L$50,4,0)*G10/100,0))</f>
        <v>1205</v>
      </c>
      <c r="J10" s="141">
        <f>IF(G10&lt;9999,0,IFERROR(VLOOKUP(C10,'AUX23'!$D$2:$L$50,5,0)*G10/100,0))</f>
        <v>0</v>
      </c>
      <c r="K10" s="141">
        <f>IF(G10&lt;9999,0,IFERROR((G10-67170)*VLOOKUP(C10,'AUX23'!$D$2:$L$50,6,0)/100,0))</f>
        <v>0</v>
      </c>
      <c r="L10" s="141">
        <f>IF(G10&lt;9999,0,IFERROR((G10/1.21)*VLOOKUP(C10,'AUX23'!$D$2:$L$50,7,0)/100,0))</f>
        <v>0</v>
      </c>
      <c r="M10" s="141">
        <f t="shared" si="1"/>
        <v>46995</v>
      </c>
      <c r="N10">
        <v>36068185</v>
      </c>
      <c r="O10">
        <f t="shared" si="2"/>
        <v>1</v>
      </c>
      <c r="P10" t="s">
        <v>101</v>
      </c>
      <c r="Q10" t="str">
        <f t="shared" si="0"/>
        <v>JORGE ROLANDO FRIAS (JF SERV. INF.)ENERO 23</v>
      </c>
      <c r="R10" t="str">
        <f t="shared" si="3"/>
        <v>JORGE ROLANDO FRIAS (JF SERV. INF.)1</v>
      </c>
      <c r="S10" t="str">
        <f>+R10&amp;COUNTIF($R$2:R10,R10)</f>
        <v>JORGE ROLANDO FRIAS (JF SERV. INF.)11</v>
      </c>
      <c r="U10" t="str">
        <f t="shared" si="4"/>
        <v>-147</v>
      </c>
      <c r="V10" t="str">
        <f t="shared" si="5"/>
        <v>JORGE ROLANDO FRIAS (JF SERV. INF.)136068185</v>
      </c>
      <c r="W10" t="str">
        <f>+V10&amp;COUNTIF($V$2:V10,V10)</f>
        <v>JORGE ROLANDO FRIAS (JF SERV. INF.)1360681851</v>
      </c>
    </row>
    <row r="11" spans="1:23" x14ac:dyDescent="0.25">
      <c r="A11" t="str">
        <f>Q11&amp;COUNTIF($Q$2:Q11,Q11)</f>
        <v>GOMEZ PARDO RAUL(LIMPLUS)ENERO 231</v>
      </c>
      <c r="B11" t="s">
        <v>166</v>
      </c>
      <c r="C11" t="s">
        <v>114</v>
      </c>
      <c r="D11" s="140" t="s">
        <v>176</v>
      </c>
      <c r="E11" s="10">
        <v>44959</v>
      </c>
      <c r="F11" t="str">
        <f>+IFERROR(INDEX('AUX23'!$C$2:$D$12,MATCH(CARGAFACTURAS!C11,'AUX23'!$D$2:$D$19,0),1),"")</f>
        <v/>
      </c>
      <c r="G11" s="141">
        <v>20741.05</v>
      </c>
      <c r="H11" s="141">
        <f>+IF(G11&lt;9999,0,IFERROR(VLOOKUP(C11,'AUX23'!$D$2:$K$50,3,0)*G11/100,0))</f>
        <v>259.263125</v>
      </c>
      <c r="I11" s="141">
        <f>IF(G11&lt;9999,0,IFERROR(VLOOKUP(C11,'AUX23'!$D$2:$L$50,4,0)*G11/100,0))</f>
        <v>1037.0525</v>
      </c>
      <c r="J11" s="141">
        <f>IF(G11&lt;9999,0,IFERROR(VLOOKUP(C11,'AUX23'!$D$2:$L$50,5,0)*G11/100,0))</f>
        <v>0</v>
      </c>
      <c r="K11" s="141">
        <f>IF(G11&lt;9999,0,IFERROR((G11-67170)*VLOOKUP(C11,'AUX23'!$D$2:$L$50,6,0)/100,0))</f>
        <v>0</v>
      </c>
      <c r="L11" s="141">
        <f>IF(G11&lt;9999,0,IFERROR((G11/1.21)*VLOOKUP(C11,'AUX23'!$D$2:$L$50,7,0)/100,0))</f>
        <v>0</v>
      </c>
      <c r="M11" s="141">
        <f t="shared" si="1"/>
        <v>19444.734374999996</v>
      </c>
      <c r="N11">
        <v>98467736</v>
      </c>
      <c r="O11">
        <f t="shared" si="2"/>
        <v>2</v>
      </c>
      <c r="P11" t="s">
        <v>101</v>
      </c>
      <c r="Q11" t="str">
        <f t="shared" si="0"/>
        <v>GOMEZ PARDO RAUL(LIMPLUS)ENERO 23</v>
      </c>
      <c r="R11" t="str">
        <f t="shared" si="3"/>
        <v>GOMEZ PARDO RAUL(LIMPLUS)2</v>
      </c>
      <c r="S11" t="str">
        <f>+R11&amp;COUNTIF($R$2:R11,R11)</f>
        <v>GOMEZ PARDO RAUL(LIMPLUS)21</v>
      </c>
      <c r="U11" t="str">
        <f t="shared" si="4"/>
        <v>8595</v>
      </c>
      <c r="V11" t="str">
        <f t="shared" si="5"/>
        <v>GOMEZ PARDO RAUL(LIMPLUS)298467736</v>
      </c>
      <c r="W11" t="str">
        <f>+V11&amp;COUNTIF($V$2:V11,V11)</f>
        <v>GOMEZ PARDO RAUL(LIMPLUS)2984677361</v>
      </c>
    </row>
    <row r="12" spans="1:23" x14ac:dyDescent="0.25">
      <c r="A12" t="str">
        <f>Q12&amp;COUNTIF($Q$2:Q12,Q12)</f>
        <v>FULL TRACK S.R.L.ENERO 231</v>
      </c>
      <c r="B12" t="s">
        <v>166</v>
      </c>
      <c r="C12" t="s">
        <v>98</v>
      </c>
      <c r="D12" s="140" t="s">
        <v>177</v>
      </c>
      <c r="E12" s="10">
        <v>44939</v>
      </c>
      <c r="F12" t="str">
        <f>+IFERROR(INDEX('AUX23'!$C$2:$D$12,MATCH(CARGAFACTURAS!C12,'AUX23'!$D$2:$D$19,0),1),"")</f>
        <v/>
      </c>
      <c r="G12" s="141">
        <v>373350</v>
      </c>
      <c r="H12" s="141">
        <f>+IF(G12&lt;9999,0,IFERROR(VLOOKUP(C12,'AUX23'!$D$2:$K$50,3,0)*G12/100,0))</f>
        <v>0</v>
      </c>
      <c r="I12" s="141">
        <f>IF(G12&lt;9999,0,IFERROR(VLOOKUP(C12,'AUX23'!$D$2:$L$50,4,0)*G12/100,0))</f>
        <v>5600.25</v>
      </c>
      <c r="J12" s="141">
        <f>IF(G12&lt;9999,0,IFERROR(VLOOKUP(C12,'AUX23'!$D$2:$L$50,5,0)*G12/100,0))</f>
        <v>0</v>
      </c>
      <c r="K12" s="141">
        <f>IF(G12&lt;9999,0,IFERROR((G12-67170)*VLOOKUP(C12,'AUX23'!$D$2:$L$50,6,0)/100,0))</f>
        <v>6123.6</v>
      </c>
      <c r="L12" s="141">
        <f>IF(G12&lt;9999,0,IFERROR((G12/1.21)*VLOOKUP(C12,'AUX23'!$D$2:$L$50,7,0)/100,0))</f>
        <v>3085.5371900826449</v>
      </c>
      <c r="M12" s="141">
        <f t="shared" si="1"/>
        <v>358540.61280991737</v>
      </c>
      <c r="N12" t="s">
        <v>391</v>
      </c>
      <c r="O12">
        <f t="shared" si="2"/>
        <v>1</v>
      </c>
      <c r="P12" t="s">
        <v>124</v>
      </c>
      <c r="Q12" t="str">
        <f t="shared" si="0"/>
        <v>FULL TRACK S.R.L.ENERO 23</v>
      </c>
      <c r="R12" t="str">
        <f t="shared" si="3"/>
        <v>FULL TRACK S.R.L.1</v>
      </c>
      <c r="S12" t="str">
        <f>+R12&amp;COUNTIF($R$2:R12,R12)</f>
        <v>FULL TRACK S.R.L.11</v>
      </c>
      <c r="U12" t="str">
        <f t="shared" si="4"/>
        <v>4-23</v>
      </c>
      <c r="V12" t="str">
        <f t="shared" si="5"/>
        <v>FULL TRACK S.R.L.197335640-98462318</v>
      </c>
      <c r="W12" t="str">
        <f>+V12&amp;COUNTIF($V$2:V12,V12)</f>
        <v>FULL TRACK S.R.L.197335640-984623181</v>
      </c>
    </row>
    <row r="13" spans="1:23" x14ac:dyDescent="0.25">
      <c r="A13" t="str">
        <f>Q13&amp;COUNTIF($Q$2:Q13,Q13)</f>
        <v>FULL TRACK S.R.L.ENERO 232</v>
      </c>
      <c r="B13" t="s">
        <v>166</v>
      </c>
      <c r="C13" t="s">
        <v>98</v>
      </c>
      <c r="D13" s="140" t="s">
        <v>178</v>
      </c>
      <c r="E13" s="10">
        <v>44957</v>
      </c>
      <c r="F13" t="str">
        <f>+IFERROR(INDEX('AUX23'!$C$2:$D$12,MATCH(CARGAFACTURAS!C13,'AUX23'!$D$2:$D$19,0),1),"")</f>
        <v/>
      </c>
      <c r="G13" s="141">
        <v>405650</v>
      </c>
      <c r="H13" s="141">
        <f>+IF(G13&lt;9999,0,IFERROR(VLOOKUP(C13,'AUX23'!$D$2:$K$50,3,0)*G13/100,0))</f>
        <v>0</v>
      </c>
      <c r="I13" s="141">
        <f>IF(G13&lt;9999,0,IFERROR(VLOOKUP(C13,'AUX23'!$D$2:$L$50,4,0)*G13/100,0))</f>
        <v>6084.75</v>
      </c>
      <c r="J13" s="141">
        <f>IF(G13&lt;9999,0,IFERROR(VLOOKUP(C13,'AUX23'!$D$2:$L$50,5,0)*G13/100,0))</f>
        <v>0</v>
      </c>
      <c r="K13" s="141">
        <f>IF(G13&lt;9999,0,IFERROR((G13-67170)*VLOOKUP(C13,'AUX23'!$D$2:$L$50,6,0)/100,0))</f>
        <v>6769.6</v>
      </c>
      <c r="L13" s="141">
        <f>IF(G13&lt;9999,0,IFERROR((G13/1.21)*VLOOKUP(C13,'AUX23'!$D$2:$L$50,7,0)/100,0))</f>
        <v>3352.4793388429757</v>
      </c>
      <c r="M13" s="141">
        <f t="shared" si="1"/>
        <v>389443.17066115706</v>
      </c>
      <c r="N13">
        <v>98464142</v>
      </c>
      <c r="O13">
        <f t="shared" si="2"/>
        <v>1</v>
      </c>
      <c r="P13" t="s">
        <v>124</v>
      </c>
      <c r="Q13" t="str">
        <f t="shared" si="0"/>
        <v>FULL TRACK S.R.L.ENERO 23</v>
      </c>
      <c r="R13" t="str">
        <f t="shared" si="3"/>
        <v>FULL TRACK S.R.L.1</v>
      </c>
      <c r="S13" t="str">
        <f>+R13&amp;COUNTIF($R$2:R13,R13)</f>
        <v>FULL TRACK S.R.L.12</v>
      </c>
      <c r="U13" t="str">
        <f t="shared" si="4"/>
        <v>4-24</v>
      </c>
      <c r="V13" t="str">
        <f t="shared" si="5"/>
        <v>FULL TRACK S.R.L.198464142</v>
      </c>
      <c r="W13" t="str">
        <f>+V13&amp;COUNTIF($V$2:V13,V13)</f>
        <v>FULL TRACK S.R.L.1984641421</v>
      </c>
    </row>
    <row r="14" spans="1:23" x14ac:dyDescent="0.25">
      <c r="A14" t="str">
        <f>Q14&amp;COUNTIF($Q$2:Q14,Q14)</f>
        <v>COOP. DE TRAB. SAN LORENZO M ENERO 231</v>
      </c>
      <c r="B14" t="s">
        <v>166</v>
      </c>
      <c r="C14" t="s">
        <v>92</v>
      </c>
      <c r="D14" s="140" t="s">
        <v>179</v>
      </c>
      <c r="E14" s="10">
        <v>44926</v>
      </c>
      <c r="F14" t="str">
        <f>+IFERROR(INDEX('AUX23'!$C$2:$D$12,MATCH(CARGAFACTURAS!C14,'AUX23'!$D$2:$D$19,0),1),"")</f>
        <v/>
      </c>
      <c r="G14" s="141">
        <v>134585.14000000001</v>
      </c>
      <c r="H14" s="141">
        <f>+IF(G14&lt;9999,0,IFERROR(VLOOKUP(C14,'AUX23'!$D$2:$K$50,3,0)*G14/100,0))</f>
        <v>0</v>
      </c>
      <c r="I14" s="141">
        <f>IF(G14&lt;9999,0,IFERROR(VLOOKUP(C14,'AUX23'!$D$2:$L$50,4,0)*G14/100,0))</f>
        <v>0</v>
      </c>
      <c r="J14" s="141">
        <f>IF(G14&lt;9999,0,IFERROR(VLOOKUP(C14,'AUX23'!$D$2:$L$50,5,0)*G14/100,0))</f>
        <v>0</v>
      </c>
      <c r="K14" s="141">
        <f>IF(G14&lt;9999,0,IFERROR((G14-67170)*VLOOKUP(C14,'AUX23'!$D$2:$L$50,6,0)/100,0))</f>
        <v>0</v>
      </c>
      <c r="L14" s="141">
        <f>IF(G14&lt;9999,0,IFERROR((G14/1.21)*VLOOKUP(C14,'AUX23'!$D$2:$L$50,7,0)/100,0))</f>
        <v>0</v>
      </c>
      <c r="M14" s="141">
        <f t="shared" si="1"/>
        <v>134585.14000000001</v>
      </c>
      <c r="N14">
        <v>96340233</v>
      </c>
      <c r="O14">
        <f t="shared" si="2"/>
        <v>12</v>
      </c>
      <c r="P14" t="s">
        <v>164</v>
      </c>
      <c r="Q14" t="str">
        <f t="shared" si="0"/>
        <v>COOP. DE TRAB. SAN LORENZO M ENERO 23</v>
      </c>
      <c r="R14" t="str">
        <f t="shared" si="3"/>
        <v>COOP. DE TRAB. SAN LORENZO M 12</v>
      </c>
      <c r="S14" t="str">
        <f>+R14&amp;COUNTIF($R$2:R14,R14)</f>
        <v>COOP. DE TRAB. SAN LORENZO M 121</v>
      </c>
      <c r="U14" t="str">
        <f t="shared" si="4"/>
        <v>4543</v>
      </c>
      <c r="V14" t="str">
        <f t="shared" si="5"/>
        <v>COOP. DE TRAB. SAN LORENZO M 1296340233</v>
      </c>
      <c r="W14" t="str">
        <f>+V14&amp;COUNTIF($V$2:V14,V14)</f>
        <v>COOP. DE TRAB. SAN LORENZO M 12963402331</v>
      </c>
    </row>
    <row r="15" spans="1:23" x14ac:dyDescent="0.25">
      <c r="A15" t="str">
        <f>Q15&amp;COUNTIF($Q$2:Q15,Q15)</f>
        <v>COOP. DE TRAB. SAN LORENZO M ENERO 232</v>
      </c>
      <c r="B15" t="s">
        <v>166</v>
      </c>
      <c r="C15" t="s">
        <v>92</v>
      </c>
      <c r="D15" s="140" t="s">
        <v>180</v>
      </c>
      <c r="E15" s="10">
        <v>44926</v>
      </c>
      <c r="F15" t="str">
        <f>+IFERROR(INDEX('AUX23'!$C$2:$D$12,MATCH(CARGAFACTURAS!C15,'AUX23'!$D$2:$D$19,0),1),"")</f>
        <v/>
      </c>
      <c r="G15" s="141">
        <v>67292.570000000007</v>
      </c>
      <c r="H15" s="141">
        <f>+IF(G15&lt;9999,0,IFERROR(VLOOKUP(C15,'AUX23'!$D$2:$K$50,3,0)*G15/100,0))</f>
        <v>0</v>
      </c>
      <c r="I15" s="141">
        <f>IF(G15&lt;9999,0,IFERROR(VLOOKUP(C15,'AUX23'!$D$2:$L$50,4,0)*G15/100,0))</f>
        <v>0</v>
      </c>
      <c r="J15" s="141">
        <f>IF(G15&lt;9999,0,IFERROR(VLOOKUP(C15,'AUX23'!$D$2:$L$50,5,0)*G15/100,0))</f>
        <v>0</v>
      </c>
      <c r="K15" s="141">
        <f>IF(G15&lt;9999,0,IFERROR((G15-67170)*VLOOKUP(C15,'AUX23'!$D$2:$L$50,6,0)/100,0))</f>
        <v>0</v>
      </c>
      <c r="L15" s="141">
        <f>IF(G15&lt;9999,0,IFERROR((G15/1.21)*VLOOKUP(C15,'AUX23'!$D$2:$L$50,7,0)/100,0))</f>
        <v>0</v>
      </c>
      <c r="M15" s="141">
        <f t="shared" si="1"/>
        <v>67292.570000000007</v>
      </c>
      <c r="N15">
        <v>96340233</v>
      </c>
      <c r="O15">
        <f t="shared" si="2"/>
        <v>12</v>
      </c>
      <c r="P15" t="s">
        <v>164</v>
      </c>
      <c r="Q15" t="str">
        <f t="shared" si="0"/>
        <v>COOP. DE TRAB. SAN LORENZO M ENERO 23</v>
      </c>
      <c r="R15" t="str">
        <f t="shared" si="3"/>
        <v>COOP. DE TRAB. SAN LORENZO M 12</v>
      </c>
      <c r="S15" t="str">
        <f>+R15&amp;COUNTIF($R$2:R15,R15)</f>
        <v>COOP. DE TRAB. SAN LORENZO M 122</v>
      </c>
      <c r="U15" t="str">
        <f t="shared" si="4"/>
        <v>4547</v>
      </c>
      <c r="V15" t="str">
        <f t="shared" si="5"/>
        <v>COOP. DE TRAB. SAN LORENZO M 1296340233</v>
      </c>
      <c r="W15" t="str">
        <f>+V15&amp;COUNTIF($V$2:V15,V15)</f>
        <v>COOP. DE TRAB. SAN LORENZO M 12963402332</v>
      </c>
    </row>
    <row r="16" spans="1:23" x14ac:dyDescent="0.25">
      <c r="A16" t="str">
        <f>Q16&amp;COUNTIF($Q$2:Q16,Q16)</f>
        <v>RUEDA JORGE AGUSTIN(CARATULAS)ENERO 231</v>
      </c>
      <c r="B16" t="s">
        <v>166</v>
      </c>
      <c r="C16" t="s">
        <v>182</v>
      </c>
      <c r="D16" s="140" t="s">
        <v>186</v>
      </c>
      <c r="E16" s="10">
        <v>44577</v>
      </c>
      <c r="F16" t="str">
        <f>+IFERROR(INDEX('AUX23'!$C$2:$D$44,MATCH(CARGAFACTURAS!C16,'AUX23'!$D$2:$D$19,0),1),"")</f>
        <v/>
      </c>
      <c r="G16" s="141">
        <v>15500</v>
      </c>
      <c r="H16" s="141">
        <f>+IF(G16&lt;9999,0,IFERROR(VLOOKUP(C16,'AUX23'!$D$2:$K$50,3,0)*G16/100,0))</f>
        <v>387.5</v>
      </c>
      <c r="I16" s="141">
        <f>IF(G16&lt;9999,0,IFERROR(VLOOKUP(C16,'AUX23'!$D$2:$L$50,4,0)*G16/100,0))</f>
        <v>542.5</v>
      </c>
      <c r="J16" s="141">
        <f>IF(G16&lt;9999,0,IFERROR(VLOOKUP(C16,'AUX23'!$D$2:$L$50,5,0)*G16/100,0))</f>
        <v>0</v>
      </c>
      <c r="K16" s="141">
        <f>IF(G16&lt;9999,0,IFERROR((G16-67170)*VLOOKUP(C16,'AUX23'!$D$2:$L$50,6,0)/100,0))</f>
        <v>0</v>
      </c>
      <c r="L16" s="141">
        <f>IF(G16&lt;9999,0,IFERROR((G16/1.21)*VLOOKUP(C16,'AUX23'!$D$2:$L$50,7,0)/100,0))</f>
        <v>0</v>
      </c>
      <c r="M16" s="141">
        <f t="shared" si="1"/>
        <v>14570</v>
      </c>
      <c r="N16">
        <v>96940148</v>
      </c>
      <c r="O16">
        <f t="shared" si="2"/>
        <v>1</v>
      </c>
      <c r="P16" t="s">
        <v>101</v>
      </c>
      <c r="Q16" t="str">
        <f t="shared" si="0"/>
        <v>RUEDA JORGE AGUSTIN(CARATULAS)ENERO 23</v>
      </c>
      <c r="R16" t="str">
        <f t="shared" si="3"/>
        <v>RUEDA JORGE AGUSTIN(CARATULAS)1</v>
      </c>
      <c r="S16" t="str">
        <f>+R16&amp;COUNTIF($R$2:R16,R16)</f>
        <v>RUEDA JORGE AGUSTIN(CARATULAS)11</v>
      </c>
      <c r="U16" t="str">
        <f t="shared" si="4"/>
        <v>-559</v>
      </c>
      <c r="V16" t="str">
        <f t="shared" si="5"/>
        <v>RUEDA JORGE AGUSTIN(CARATULAS)196940148</v>
      </c>
      <c r="W16" t="str">
        <f>+V16&amp;COUNTIF($V$2:V16,V16)</f>
        <v>RUEDA JORGE AGUSTIN(CARATULAS)1969401481</v>
      </c>
    </row>
    <row r="17" spans="1:23" x14ac:dyDescent="0.25">
      <c r="A17" t="str">
        <f>Q17&amp;COUNTIF($Q$2:Q17,Q17)</f>
        <v>CANIVARES ANTONIO OTILIOENERO 231</v>
      </c>
      <c r="B17" t="s">
        <v>166</v>
      </c>
      <c r="C17" t="s">
        <v>119</v>
      </c>
      <c r="D17" s="140" t="s">
        <v>187</v>
      </c>
      <c r="E17" s="10">
        <v>44601</v>
      </c>
      <c r="F17" t="str">
        <f>+IFERROR(INDEX('AUX23'!$C$2:$D$44,MATCH(CARGAFACTURAS!C17,'AUX23'!$D$2:$D$19,0),1),"")</f>
        <v>20-07067141-8</v>
      </c>
      <c r="G17" s="141">
        <v>34800</v>
      </c>
      <c r="H17" s="141">
        <f>+IF(G17&lt;9999,0,IFERROR(VLOOKUP(C17,'AUX23'!$D$2:$K$50,3,0)*G17/100,0))</f>
        <v>870</v>
      </c>
      <c r="I17" s="141">
        <f>IF(G17&lt;9999,0,IFERROR(VLOOKUP(C17,'AUX23'!$D$2:$L$50,4,0)*G17/100,0))</f>
        <v>522</v>
      </c>
      <c r="J17" s="141">
        <f>IF(G17&lt;9999,0,IFERROR(VLOOKUP(C17,'AUX23'!$D$2:$L$50,5,0)*G17/100,0))</f>
        <v>0</v>
      </c>
      <c r="K17" s="141">
        <f>IF(G17&lt;9999,0,IFERROR((G17-67170)*VLOOKUP(C17,'AUX23'!$D$2:$L$50,6,0)/100,0))</f>
        <v>0</v>
      </c>
      <c r="L17" s="141">
        <f>IF(G17&lt;9999,0,IFERROR((G17/1.21)*VLOOKUP(C17,'AUX23'!$D$2:$L$50,7,0)/100,0))</f>
        <v>0</v>
      </c>
      <c r="M17" s="141">
        <f t="shared" si="1"/>
        <v>33408</v>
      </c>
      <c r="N17">
        <v>36068194</v>
      </c>
      <c r="O17">
        <f t="shared" si="2"/>
        <v>2</v>
      </c>
      <c r="P17" t="s">
        <v>101</v>
      </c>
      <c r="Q17" t="str">
        <f t="shared" si="0"/>
        <v>CANIVARES ANTONIO OTILIOENERO 23</v>
      </c>
      <c r="R17" t="str">
        <f t="shared" si="3"/>
        <v>CANIVARES ANTONIO OTILIO2</v>
      </c>
      <c r="S17" t="str">
        <f>+R17&amp;COUNTIF($R$2:R17,R17)</f>
        <v>CANIVARES ANTONIO OTILIO21</v>
      </c>
      <c r="U17" t="str">
        <f t="shared" si="4"/>
        <v>-581</v>
      </c>
      <c r="V17" t="str">
        <f t="shared" si="5"/>
        <v>CANIVARES ANTONIO OTILIO236068194</v>
      </c>
      <c r="W17" t="str">
        <f>+V17&amp;COUNTIF($V$2:V17,V17)</f>
        <v>CANIVARES ANTONIO OTILIO2360681941</v>
      </c>
    </row>
    <row r="18" spans="1:23" x14ac:dyDescent="0.25">
      <c r="A18" t="str">
        <f>Q18&amp;COUNTIF($Q$2:Q18,Q18)</f>
        <v>LEON LUIS CESARENERO 231</v>
      </c>
      <c r="B18" t="s">
        <v>166</v>
      </c>
      <c r="C18" t="s">
        <v>109</v>
      </c>
      <c r="D18" s="140" t="s">
        <v>382</v>
      </c>
      <c r="E18" s="10">
        <v>44956</v>
      </c>
      <c r="F18" t="str">
        <f>+IFERROR(INDEX('AUX23'!$C$2:$D$44,MATCH(CARGAFACTURAS!C18,'AUX23'!$D$2:$D$19,0),1),"")</f>
        <v/>
      </c>
      <c r="G18" s="141">
        <v>9310.93</v>
      </c>
      <c r="H18" s="141">
        <f>+IF(G18&lt;9999,0,IFERROR(VLOOKUP(C18,'AUX23'!$D$2:$K$50,3,0)*G18/100,0))</f>
        <v>0</v>
      </c>
      <c r="I18" s="141">
        <f>IF(G18&lt;9999,0,IFERROR(VLOOKUP(C18,'AUX23'!$D$2:$L$50,4,0)*G18/100,0))</f>
        <v>0</v>
      </c>
      <c r="J18" s="141">
        <f>IF(G18&lt;9999,0,IFERROR(VLOOKUP(C18,'AUX23'!$D$2:$L$50,5,0)*G18/100,0))</f>
        <v>0</v>
      </c>
      <c r="K18" s="141">
        <f>IF(G18&lt;9999,0,IFERROR((G18-67170)*VLOOKUP(C18,'AUX23'!$D$2:$L$50,6,0)/100,0))</f>
        <v>0</v>
      </c>
      <c r="L18" s="141">
        <f>IF(G18&lt;9999,0,IFERROR((G18/1.21)*VLOOKUP(C18,'AUX23'!$D$2:$L$50,7,0)/100,0))</f>
        <v>0</v>
      </c>
      <c r="M18" s="141">
        <f t="shared" si="1"/>
        <v>9310.93</v>
      </c>
      <c r="N18" t="str">
        <f t="shared" si="6"/>
        <v>CC</v>
      </c>
      <c r="O18">
        <f t="shared" si="2"/>
        <v>1</v>
      </c>
      <c r="P18" t="s">
        <v>101</v>
      </c>
      <c r="Q18" t="str">
        <f t="shared" si="0"/>
        <v>LEON LUIS CESARENERO 23</v>
      </c>
      <c r="R18" t="str">
        <f t="shared" si="3"/>
        <v>LEON LUIS CESAR1</v>
      </c>
      <c r="S18" t="str">
        <f>+R18&amp;COUNTIF($R$2:R18,R18)</f>
        <v>LEON LUIS CESAR11</v>
      </c>
      <c r="U18" t="str">
        <f t="shared" si="4"/>
        <v>1157</v>
      </c>
      <c r="V18" t="str">
        <f t="shared" si="5"/>
        <v>LEON LUIS CESAR1CC</v>
      </c>
      <c r="W18" t="str">
        <f>+V18&amp;COUNTIF($V$2:V18,V18)</f>
        <v>LEON LUIS CESAR1CC1</v>
      </c>
    </row>
    <row r="19" spans="1:23" x14ac:dyDescent="0.25">
      <c r="A19" t="str">
        <f>Q19&amp;COUNTIF($Q$2:Q19,Q19)</f>
        <v>LEON LUIS CESARENERO 232</v>
      </c>
      <c r="B19" t="s">
        <v>166</v>
      </c>
      <c r="C19" t="s">
        <v>109</v>
      </c>
      <c r="D19" s="140" t="s">
        <v>383</v>
      </c>
      <c r="E19" s="10">
        <v>44956</v>
      </c>
      <c r="F19" t="str">
        <f>+IFERROR(INDEX('AUX23'!$C$2:$D$44,MATCH(CARGAFACTURAS!C19,'AUX23'!$D$2:$D$19,0),1),"")</f>
        <v/>
      </c>
      <c r="G19" s="141">
        <v>6593.8</v>
      </c>
      <c r="H19" s="141">
        <f>+IF(G19&lt;9999,0,IFERROR(VLOOKUP(C19,'AUX23'!$D$2:$K$50,3,0)*G19/100,0))</f>
        <v>0</v>
      </c>
      <c r="I19" s="141">
        <f>IF(G19&lt;9999,0,IFERROR(VLOOKUP(C19,'AUX23'!$D$2:$L$50,4,0)*G19/100,0))</f>
        <v>0</v>
      </c>
      <c r="J19" s="141">
        <f>IF(G19&lt;9999,0,IFERROR(VLOOKUP(C19,'AUX23'!$D$2:$L$50,5,0)*G19/100,0))</f>
        <v>0</v>
      </c>
      <c r="K19" s="141">
        <f>IF(G19&lt;9999,0,IFERROR((G19-67170)*VLOOKUP(C19,'AUX23'!$D$2:$L$50,6,0)/100,0))</f>
        <v>0</v>
      </c>
      <c r="L19" s="141">
        <f>IF(G19&lt;9999,0,IFERROR((G19/1.21)*VLOOKUP(C19,'AUX23'!$D$2:$L$50,7,0)/100,0))</f>
        <v>0</v>
      </c>
      <c r="M19" s="141">
        <f t="shared" si="1"/>
        <v>6593.8</v>
      </c>
      <c r="N19" t="str">
        <f t="shared" si="6"/>
        <v>CC</v>
      </c>
      <c r="O19">
        <f t="shared" si="2"/>
        <v>1</v>
      </c>
      <c r="P19" t="s">
        <v>101</v>
      </c>
      <c r="Q19" t="str">
        <f t="shared" si="0"/>
        <v>LEON LUIS CESARENERO 23</v>
      </c>
      <c r="R19" t="str">
        <f t="shared" si="3"/>
        <v>LEON LUIS CESAR1</v>
      </c>
      <c r="S19" t="str">
        <f>+R19&amp;COUNTIF($R$2:R19,R19)</f>
        <v>LEON LUIS CESAR12</v>
      </c>
      <c r="U19" t="str">
        <f t="shared" si="4"/>
        <v>1158</v>
      </c>
      <c r="V19" t="str">
        <f t="shared" si="5"/>
        <v>LEON LUIS CESAR1CC</v>
      </c>
      <c r="W19" t="str">
        <f>+V19&amp;COUNTIF($V$2:V19,V19)</f>
        <v>LEON LUIS CESAR1CC2</v>
      </c>
    </row>
    <row r="20" spans="1:23" x14ac:dyDescent="0.25">
      <c r="A20" t="str">
        <f>Q20&amp;COUNTIF($Q$2:Q20,Q20)</f>
        <v>MAIMARA MAXIKIOSCOENERO 231</v>
      </c>
      <c r="B20" t="s">
        <v>166</v>
      </c>
      <c r="C20" t="s">
        <v>82</v>
      </c>
      <c r="D20" s="140" t="s">
        <v>384</v>
      </c>
      <c r="E20" s="10">
        <v>44956</v>
      </c>
      <c r="F20" t="str">
        <f>+IFERROR(INDEX('AUX23'!$C$2:$D$44,MATCH(CARGAFACTURAS!C20,'AUX23'!$D$2:$D$19,0),1),"")</f>
        <v/>
      </c>
      <c r="G20" s="141">
        <v>2500</v>
      </c>
      <c r="H20" s="141">
        <f>+IF(G20&lt;9999,0,IFERROR(VLOOKUP(C20,'AUX23'!$D$2:$K$50,3,0)*G20/100,0))</f>
        <v>0</v>
      </c>
      <c r="I20" s="141">
        <f>IF(G20&lt;9999,0,IFERROR(VLOOKUP(C20,'AUX23'!$D$2:$L$50,4,0)*G20/100,0))</f>
        <v>0</v>
      </c>
      <c r="J20" s="141">
        <f>IF(G20&lt;9999,0,IFERROR(VLOOKUP(C20,'AUX23'!$D$2:$L$50,5,0)*G20/100,0))</f>
        <v>0</v>
      </c>
      <c r="K20" s="141">
        <f>IF(G20&lt;9999,0,IFERROR((G20-67170)*VLOOKUP(C20,'AUX23'!$D$2:$L$50,6,0)/100,0))</f>
        <v>0</v>
      </c>
      <c r="L20" s="141">
        <f>IF(G20&lt;9999,0,IFERROR((G20/1.21)*VLOOKUP(C20,'AUX23'!$D$2:$L$50,7,0)/100,0))</f>
        <v>0</v>
      </c>
      <c r="M20" s="141">
        <f t="shared" si="1"/>
        <v>2500</v>
      </c>
      <c r="N20" t="str">
        <f t="shared" si="6"/>
        <v>CC</v>
      </c>
      <c r="O20">
        <f t="shared" si="2"/>
        <v>1</v>
      </c>
      <c r="P20" t="s">
        <v>101</v>
      </c>
      <c r="Q20" t="str">
        <f t="shared" si="0"/>
        <v>MAIMARA MAXIKIOSCOENERO 23</v>
      </c>
      <c r="R20" t="str">
        <f t="shared" si="3"/>
        <v>MAIMARA MAXIKIOSCO1</v>
      </c>
      <c r="S20" t="str">
        <f>+R20&amp;COUNTIF($R$2:R20,R20)</f>
        <v>MAIMARA MAXIKIOSCO11</v>
      </c>
      <c r="U20" t="str">
        <f t="shared" si="4"/>
        <v>-564</v>
      </c>
      <c r="V20" t="str">
        <f t="shared" si="5"/>
        <v>MAIMARA MAXIKIOSCO1CC</v>
      </c>
      <c r="W20" t="str">
        <f>+V20&amp;COUNTIF($V$2:V20,V20)</f>
        <v>MAIMARA MAXIKIOSCO1CC1</v>
      </c>
    </row>
    <row r="21" spans="1:23" x14ac:dyDescent="0.25">
      <c r="A21" t="str">
        <f>Q21&amp;COUNTIF($Q$2:Q21,Q21)</f>
        <v>ROTTA FRANCISCO(COMPUMAQ)ENERO 231</v>
      </c>
      <c r="B21" t="s">
        <v>166</v>
      </c>
      <c r="C21" t="s">
        <v>188</v>
      </c>
      <c r="D21" s="140" t="s">
        <v>385</v>
      </c>
      <c r="E21" s="10">
        <v>44970</v>
      </c>
      <c r="F21" t="str">
        <f>+IFERROR(INDEX('AUX23'!$C$2:$D$44,MATCH(CARGAFACTURAS!C21,'AUX23'!$D$2:$D$19,0),1),"")</f>
        <v/>
      </c>
      <c r="G21" s="141">
        <v>4750</v>
      </c>
      <c r="H21" s="141">
        <f>+IF(G21&lt;9999,0,IFERROR(VLOOKUP(C21,'AUX23'!$D$2:$K$50,3,0)*G21/100,0))</f>
        <v>0</v>
      </c>
      <c r="I21" s="141">
        <f>IF(G21&lt;9999,0,IFERROR(VLOOKUP(C21,'AUX23'!$D$2:$L$50,4,0)*G21/100,0))</f>
        <v>0</v>
      </c>
      <c r="J21" s="141">
        <f>IF(G21&lt;9999,0,IFERROR(VLOOKUP(C21,'AUX23'!$D$2:$L$50,5,0)*G21/100,0))</f>
        <v>0</v>
      </c>
      <c r="K21" s="141">
        <f>IF(G21&lt;9999,0,IFERROR((G21-67170)*VLOOKUP(C21,'AUX23'!$D$2:$L$50,6,0)/100,0))</f>
        <v>0</v>
      </c>
      <c r="L21" s="141">
        <f>IF(G21&lt;9999,0,IFERROR((G21/1.21)*VLOOKUP(C21,'AUX23'!$D$2:$L$50,7,0)/100,0))</f>
        <v>0</v>
      </c>
      <c r="M21" s="141">
        <f t="shared" si="1"/>
        <v>4750</v>
      </c>
      <c r="N21" t="str">
        <f t="shared" si="6"/>
        <v>CC</v>
      </c>
      <c r="O21">
        <f t="shared" si="2"/>
        <v>2</v>
      </c>
      <c r="P21" t="s">
        <v>101</v>
      </c>
      <c r="Q21" t="str">
        <f t="shared" si="0"/>
        <v>ROTTA FRANCISCO(COMPUMAQ)ENERO 23</v>
      </c>
      <c r="R21" t="str">
        <f t="shared" si="3"/>
        <v>ROTTA FRANCISCO(COMPUMAQ)2</v>
      </c>
      <c r="S21" t="str">
        <f>+R21&amp;COUNTIF($R$2:R21,R21)</f>
        <v>ROTTA FRANCISCO(COMPUMAQ)21</v>
      </c>
      <c r="U21" t="str">
        <f t="shared" si="4"/>
        <v>4991</v>
      </c>
      <c r="V21" t="str">
        <f t="shared" si="5"/>
        <v>ROTTA FRANCISCO(COMPUMAQ)2CC</v>
      </c>
      <c r="W21" t="str">
        <f>+V21&amp;COUNTIF($V$2:V21,V21)</f>
        <v>ROTTA FRANCISCO(COMPUMAQ)2CC1</v>
      </c>
    </row>
    <row r="22" spans="1:23" x14ac:dyDescent="0.25">
      <c r="A22" t="str">
        <f>Q22&amp;COUNTIF($Q$2:Q22,Q22)</f>
        <v>CARREFOURENERO 231</v>
      </c>
      <c r="B22" t="s">
        <v>166</v>
      </c>
      <c r="C22" t="s">
        <v>117</v>
      </c>
      <c r="D22" s="140" t="s">
        <v>386</v>
      </c>
      <c r="E22" s="10">
        <v>44966</v>
      </c>
      <c r="F22" t="str">
        <f>+IFERROR(INDEX('AUX23'!$C$2:$D$44,MATCH(CARGAFACTURAS!C22,'AUX23'!$D$2:$D$19,0),1),"")</f>
        <v>30-68731043-4</v>
      </c>
      <c r="G22" s="141">
        <v>1658</v>
      </c>
      <c r="H22" s="141">
        <f>+IF(G22&lt;9999,0,IFERROR(VLOOKUP(C22,'AUX23'!$D$2:$K$50,3,0)*G22/100,0))</f>
        <v>0</v>
      </c>
      <c r="I22" s="141">
        <f>IF(G22&lt;9999,0,IFERROR(VLOOKUP(C22,'AUX23'!$D$2:$L$50,4,0)*G22/100,0))</f>
        <v>0</v>
      </c>
      <c r="J22" s="141">
        <f>IF(G22&lt;9999,0,IFERROR(VLOOKUP(C22,'AUX23'!$D$2:$L$50,5,0)*G22/100,0))</f>
        <v>0</v>
      </c>
      <c r="K22" s="141">
        <f>IF(G22&lt;9999,0,IFERROR((G22-67170)*VLOOKUP(C22,'AUX23'!$D$2:$L$50,6,0)/100,0))</f>
        <v>0</v>
      </c>
      <c r="L22" s="141">
        <f>IF(G22&lt;9999,0,IFERROR((G22/1.21)*VLOOKUP(C22,'AUX23'!$D$2:$L$50,7,0)/100,0))</f>
        <v>0</v>
      </c>
      <c r="M22" s="141">
        <f t="shared" si="1"/>
        <v>1658</v>
      </c>
      <c r="N22" t="str">
        <f t="shared" si="6"/>
        <v>CC</v>
      </c>
      <c r="O22">
        <f t="shared" si="2"/>
        <v>2</v>
      </c>
      <c r="P22" t="s">
        <v>101</v>
      </c>
      <c r="Q22" t="str">
        <f t="shared" si="0"/>
        <v>CARREFOURENERO 23</v>
      </c>
      <c r="R22" t="str">
        <f t="shared" si="3"/>
        <v>CARREFOUR2</v>
      </c>
      <c r="S22" t="str">
        <f>+R22&amp;COUNTIF($R$2:R22,R22)</f>
        <v>CARREFOUR21</v>
      </c>
      <c r="U22" t="str">
        <f t="shared" si="4"/>
        <v>4426</v>
      </c>
      <c r="V22" t="str">
        <f t="shared" si="5"/>
        <v>CARREFOUR2CC</v>
      </c>
      <c r="W22" t="str">
        <f>+V22&amp;COUNTIF($V$2:V22,V22)</f>
        <v>CARREFOUR2CC1</v>
      </c>
    </row>
    <row r="23" spans="1:23" x14ac:dyDescent="0.25">
      <c r="A23" t="str">
        <f>Q23&amp;COUNTIF($Q$2:Q23,Q23)</f>
        <v>PUERTAS RUBEN ALBERTO(PLASTINORT)ENERO 231</v>
      </c>
      <c r="B23" t="s">
        <v>166</v>
      </c>
      <c r="C23" t="s">
        <v>107</v>
      </c>
      <c r="D23" s="140" t="s">
        <v>387</v>
      </c>
      <c r="E23" s="10">
        <v>44964</v>
      </c>
      <c r="F23" t="str">
        <f>+IFERROR(INDEX('AUX23'!$C$2:$D$44,MATCH(CARGAFACTURAS!C23,'AUX23'!$D$2:$D$19,0),1),"")</f>
        <v/>
      </c>
      <c r="G23" s="141">
        <v>6800</v>
      </c>
      <c r="H23" s="141">
        <f>+IF(G23&lt;9999,0,IFERROR(VLOOKUP(C23,'AUX23'!$D$2:$K$50,3,0)*G23/100,0))</f>
        <v>0</v>
      </c>
      <c r="I23" s="141">
        <f>IF(G23&lt;9999,0,IFERROR(VLOOKUP(C23,'AUX23'!$D$2:$L$50,4,0)*G23/100,0))</f>
        <v>0</v>
      </c>
      <c r="J23" s="141">
        <f>IF(G23&lt;9999,0,IFERROR(VLOOKUP(C23,'AUX23'!$D$2:$L$50,5,0)*G23/100,0))</f>
        <v>0</v>
      </c>
      <c r="K23" s="141">
        <f>IF(G23&lt;9999,0,IFERROR((G23-67170)*VLOOKUP(C23,'AUX23'!$D$2:$L$50,6,0)/100,0))</f>
        <v>0</v>
      </c>
      <c r="L23" s="141">
        <f>IF(G23&lt;9999,0,IFERROR((G23/1.21)*VLOOKUP(C23,'AUX23'!$D$2:$L$50,7,0)/100,0))</f>
        <v>0</v>
      </c>
      <c r="M23" s="141">
        <f t="shared" si="1"/>
        <v>6800</v>
      </c>
      <c r="N23" t="str">
        <f t="shared" si="6"/>
        <v>CC</v>
      </c>
      <c r="O23">
        <f t="shared" si="2"/>
        <v>2</v>
      </c>
      <c r="P23" t="s">
        <v>101</v>
      </c>
      <c r="Q23" t="str">
        <f t="shared" si="0"/>
        <v>PUERTAS RUBEN ALBERTO(PLASTINORT)ENERO 23</v>
      </c>
      <c r="R23" t="str">
        <f t="shared" si="3"/>
        <v>PUERTAS RUBEN ALBERTO(PLASTINORT)2</v>
      </c>
      <c r="S23" t="str">
        <f>+R23&amp;COUNTIF($R$2:R23,R23)</f>
        <v>PUERTAS RUBEN ALBERTO(PLASTINORT)21</v>
      </c>
      <c r="U23" t="str">
        <f t="shared" si="4"/>
        <v>7555</v>
      </c>
      <c r="V23" t="str">
        <f t="shared" si="5"/>
        <v>PUERTAS RUBEN ALBERTO(PLASTINORT)2CC</v>
      </c>
      <c r="W23" t="str">
        <f>+V23&amp;COUNTIF($V$2:V23,V23)</f>
        <v>PUERTAS RUBEN ALBERTO(PLASTINORT)2CC1</v>
      </c>
    </row>
    <row r="24" spans="1:23" x14ac:dyDescent="0.25">
      <c r="A24" t="str">
        <f>Q24&amp;COUNTIF($Q$2:Q24,Q24)</f>
        <v>AGROQUIMICAENERO 231</v>
      </c>
      <c r="B24" t="s">
        <v>166</v>
      </c>
      <c r="C24" t="s">
        <v>126</v>
      </c>
      <c r="D24" s="140" t="s">
        <v>388</v>
      </c>
      <c r="E24" s="10">
        <v>44967</v>
      </c>
      <c r="F24" t="str">
        <f>+IFERROR(INDEX('AUX23'!$C$2:$D$44,MATCH(CARGAFACTURAS!C24,'AUX23'!$D$2:$D$19,0),1),"")</f>
        <v>20-22263284-7</v>
      </c>
      <c r="G24" s="141">
        <v>9600</v>
      </c>
      <c r="H24" s="141">
        <f>+IF(G24&lt;9999,0,IFERROR(VLOOKUP(C24,'AUX23'!$D$2:$K$50,3,0)*G24/100,0))</f>
        <v>0</v>
      </c>
      <c r="I24" s="141">
        <f>IF(G24&lt;9999,0,IFERROR(VLOOKUP(C24,'AUX23'!$D$2:$L$50,4,0)*G24/100,0))</f>
        <v>0</v>
      </c>
      <c r="J24" s="141">
        <f>IF(G24&lt;9999,0,IFERROR(VLOOKUP(C24,'AUX23'!$D$2:$L$50,5,0)*G24/100,0))</f>
        <v>0</v>
      </c>
      <c r="K24" s="141">
        <f>IF(G24&lt;9999,0,IFERROR((G24-67170)*VLOOKUP(C24,'AUX23'!$D$2:$L$50,6,0)/100,0))</f>
        <v>0</v>
      </c>
      <c r="L24" s="141">
        <f>IF(G24&lt;9999,0,IFERROR((G24/1.21)*VLOOKUP(C24,'AUX23'!$D$2:$L$50,7,0)/100,0))</f>
        <v>0</v>
      </c>
      <c r="M24" s="141">
        <f t="shared" si="1"/>
        <v>9600</v>
      </c>
      <c r="N24" t="str">
        <f t="shared" si="6"/>
        <v>CC</v>
      </c>
      <c r="O24">
        <f t="shared" si="2"/>
        <v>2</v>
      </c>
      <c r="P24" t="s">
        <v>101</v>
      </c>
      <c r="Q24" t="str">
        <f t="shared" si="0"/>
        <v>AGROQUIMICAENERO 23</v>
      </c>
      <c r="R24" t="str">
        <f t="shared" si="3"/>
        <v>AGROQUIMICA2</v>
      </c>
      <c r="S24" t="str">
        <f>+R24&amp;COUNTIF($R$2:R24,R24)</f>
        <v>AGROQUIMICA21</v>
      </c>
      <c r="U24" t="str">
        <f t="shared" si="4"/>
        <v>5006</v>
      </c>
      <c r="V24" t="str">
        <f t="shared" si="5"/>
        <v>AGROQUIMICA2CC</v>
      </c>
      <c r="W24" t="str">
        <f>+V24&amp;COUNTIF($V$2:V24,V24)</f>
        <v>AGROQUIMICA2CC1</v>
      </c>
    </row>
    <row r="25" spans="1:23" x14ac:dyDescent="0.25">
      <c r="A25" t="str">
        <f>Q25&amp;COUNTIF($Q$2:Q25,Q25)</f>
        <v>ESPECIAL SRL(ZONE MULTIRUBRO)ENERO 231</v>
      </c>
      <c r="B25" t="s">
        <v>166</v>
      </c>
      <c r="C25" t="s">
        <v>189</v>
      </c>
      <c r="D25" s="140" t="s">
        <v>389</v>
      </c>
      <c r="E25" s="10">
        <v>44971</v>
      </c>
      <c r="F25" t="str">
        <f>+IFERROR(INDEX('AUX23'!$C$2:$D$44,MATCH(CARGAFACTURAS!C25,'AUX23'!$D$2:$D$50,0),1),"")</f>
        <v>30-71738700-9</v>
      </c>
      <c r="G25" s="141">
        <v>9920</v>
      </c>
      <c r="H25" s="141">
        <f>+IF(G25&lt;9999,0,IFERROR(VLOOKUP(C25,'AUX23'!$D$2:$K$50,3,0)*G25/100,0))</f>
        <v>0</v>
      </c>
      <c r="I25" s="141">
        <f>IF(G25&lt;9999,0,IFERROR(VLOOKUP(C25,'AUX23'!$D$2:$L$50,4,0)*G25/100,0))</f>
        <v>0</v>
      </c>
      <c r="J25" s="141">
        <f>IF(G25&lt;9999,0,IFERROR(VLOOKUP(C25,'AUX23'!$D$2:$L$50,5,0)*G25/100,0))</f>
        <v>0</v>
      </c>
      <c r="K25" s="141">
        <f>IF(G25&lt;9999,0,IFERROR((G25-67170)*VLOOKUP(C25,'AUX23'!$D$2:$L$50,6,0)/100,0))</f>
        <v>0</v>
      </c>
      <c r="L25" s="141">
        <f>IF(G25&lt;9999,0,IFERROR((G25/1.21)*VLOOKUP(C25,'AUX23'!$D$2:$L$50,7,0)/100,0))</f>
        <v>0</v>
      </c>
      <c r="M25" s="141">
        <f t="shared" si="1"/>
        <v>9920</v>
      </c>
      <c r="N25" t="str">
        <f t="shared" si="6"/>
        <v>CC</v>
      </c>
      <c r="O25">
        <f t="shared" si="2"/>
        <v>2</v>
      </c>
      <c r="P25" t="s">
        <v>101</v>
      </c>
      <c r="Q25" t="str">
        <f t="shared" si="0"/>
        <v>ESPECIAL SRL(ZONE MULTIRUBRO)ENERO 23</v>
      </c>
      <c r="R25" t="str">
        <f t="shared" si="3"/>
        <v>ESPECIAL SRL(ZONE MULTIRUBRO)2</v>
      </c>
      <c r="S25" t="str">
        <f>+R25&amp;COUNTIF($R$2:R25,R25)</f>
        <v>ESPECIAL SRL(ZONE MULTIRUBRO)21</v>
      </c>
      <c r="U25" t="str">
        <f t="shared" si="4"/>
        <v>2957</v>
      </c>
      <c r="V25" t="str">
        <f t="shared" si="5"/>
        <v>ESPECIAL SRL(ZONE MULTIRUBRO)2CC</v>
      </c>
      <c r="W25" t="str">
        <f>+V25&amp;COUNTIF($V$2:V25,V25)</f>
        <v>ESPECIAL SRL(ZONE MULTIRUBRO)2CC1</v>
      </c>
    </row>
    <row r="26" spans="1:23" x14ac:dyDescent="0.25">
      <c r="A26" t="str">
        <f>Q26&amp;COUNTIF($Q$2:Q26,Q26)</f>
        <v>SG IMPRESIONESENERO 231</v>
      </c>
      <c r="B26" t="s">
        <v>166</v>
      </c>
      <c r="C26" t="s">
        <v>207</v>
      </c>
      <c r="D26" s="140" t="s">
        <v>211</v>
      </c>
      <c r="E26" s="10">
        <v>44984</v>
      </c>
      <c r="F26" t="str">
        <f>+IFERROR(INDEX('AUX23'!$C$2:$D$44,MATCH(CARGAFACTURAS!C26,'AUX23'!$D$2:$D$50,0),1),"")</f>
        <v>30-71784900-7</v>
      </c>
      <c r="G26" s="141">
        <v>726</v>
      </c>
      <c r="H26" s="141">
        <f>+IF(G26&lt;9999,0,IFERROR(VLOOKUP(C26,'AUX23'!$D$2:$K$50,3,0)*G26/100,0))</f>
        <v>0</v>
      </c>
      <c r="I26" s="141">
        <f>IF(G26&lt;9999,0,IFERROR(VLOOKUP(C26,'AUX23'!$D$2:$L$50,4,0)*G26/100,0))</f>
        <v>0</v>
      </c>
      <c r="J26" s="141">
        <f>IF(G26&lt;9999,0,IFERROR(VLOOKUP(C26,'AUX23'!$D$2:$L$50,5,0)*G26/100,0))</f>
        <v>0</v>
      </c>
      <c r="K26" s="141">
        <f>IF(G26&lt;9999,0,IFERROR((G26-67170)*VLOOKUP(C26,'AUX23'!$D$2:$L$50,6,0)/100,0))</f>
        <v>0</v>
      </c>
      <c r="L26" s="141">
        <f>IF(G26&lt;9999,0,IFERROR((G26/1.21)*VLOOKUP(C26,'AUX23'!$D$2:$L$50,7,0)/100,0))</f>
        <v>0</v>
      </c>
      <c r="M26" s="141">
        <f t="shared" si="1"/>
        <v>726</v>
      </c>
      <c r="N26" t="str">
        <f t="shared" si="6"/>
        <v>CC</v>
      </c>
      <c r="O26">
        <f t="shared" si="2"/>
        <v>2</v>
      </c>
      <c r="P26" t="s">
        <v>101</v>
      </c>
      <c r="Q26" t="str">
        <f t="shared" si="0"/>
        <v>SG IMPRESIONESENERO 23</v>
      </c>
      <c r="R26" t="str">
        <f t="shared" si="3"/>
        <v>SG IMPRESIONES2</v>
      </c>
      <c r="S26" t="str">
        <f>+R26&amp;COUNTIF($R$2:R26,R26)</f>
        <v>SG IMPRESIONES21</v>
      </c>
      <c r="U26" t="str">
        <f t="shared" si="4"/>
        <v>0006</v>
      </c>
      <c r="V26" t="str">
        <f t="shared" si="5"/>
        <v>SG IMPRESIONES2CC</v>
      </c>
      <c r="W26" t="str">
        <f>+V26&amp;COUNTIF($V$2:V26,V26)</f>
        <v>SG IMPRESIONES2CC1</v>
      </c>
    </row>
    <row r="27" spans="1:23" x14ac:dyDescent="0.25">
      <c r="A27" t="str">
        <f>Q27&amp;COUNTIF($Q$2:Q27,Q27)</f>
        <v>GOMEZ PARDO RAUL(LIMPLUS)ENERO 232</v>
      </c>
      <c r="B27" t="s">
        <v>166</v>
      </c>
      <c r="C27" t="s">
        <v>114</v>
      </c>
      <c r="D27" s="140" t="s">
        <v>390</v>
      </c>
      <c r="E27" s="10">
        <v>44974</v>
      </c>
      <c r="F27" t="str">
        <f>+IFERROR(INDEX('AUX23'!$C$2:$D$44,MATCH(CARGAFACTURAS!C27,'AUX23'!$D$2:$D$50,0),1),"")</f>
        <v>20-34285327-8</v>
      </c>
      <c r="G27" s="141">
        <v>3910</v>
      </c>
      <c r="H27" s="141">
        <f>+IF(G27&lt;9999,0,IFERROR(VLOOKUP(C27,'AUX23'!$D$2:$K$50,3,0)*G27/100,0))</f>
        <v>0</v>
      </c>
      <c r="I27" s="141">
        <f>IF(G27&lt;9999,0,IFERROR(VLOOKUP(C27,'AUX23'!$D$2:$L$50,4,0)*G27/100,0))</f>
        <v>0</v>
      </c>
      <c r="J27" s="141">
        <f>IF(G27&lt;9999,0,IFERROR(VLOOKUP(C27,'AUX23'!$D$2:$L$50,5,0)*G27/100,0))</f>
        <v>0</v>
      </c>
      <c r="K27" s="141">
        <f>IF(G27&lt;9999,0,IFERROR((G27-67170)*VLOOKUP(C27,'AUX23'!$D$2:$L$50,6,0)/100,0))</f>
        <v>0</v>
      </c>
      <c r="L27" s="141">
        <f>IF(G27&lt;9999,0,IFERROR((G27/1.21)*VLOOKUP(C27,'AUX23'!$D$2:$L$50,7,0)/100,0))</f>
        <v>0</v>
      </c>
      <c r="M27" s="141">
        <f t="shared" si="1"/>
        <v>3910</v>
      </c>
      <c r="N27">
        <v>99829794</v>
      </c>
      <c r="O27">
        <f t="shared" si="2"/>
        <v>2</v>
      </c>
      <c r="P27" t="s">
        <v>101</v>
      </c>
      <c r="Q27" t="str">
        <f t="shared" si="0"/>
        <v>GOMEZ PARDO RAUL(LIMPLUS)ENERO 23</v>
      </c>
      <c r="R27" t="str">
        <f t="shared" si="3"/>
        <v>GOMEZ PARDO RAUL(LIMPLUS)2</v>
      </c>
      <c r="S27" t="str">
        <f>+R27&amp;COUNTIF($R$2:R27,R27)</f>
        <v>GOMEZ PARDO RAUL(LIMPLUS)22</v>
      </c>
      <c r="U27" t="str">
        <f t="shared" si="4"/>
        <v>8961</v>
      </c>
      <c r="V27" t="str">
        <f t="shared" si="5"/>
        <v>GOMEZ PARDO RAUL(LIMPLUS)299829794</v>
      </c>
      <c r="W27" t="str">
        <f>+V27&amp;COUNTIF($V$2:V27,V27)</f>
        <v>GOMEZ PARDO RAUL(LIMPLUS)2998297941</v>
      </c>
    </row>
    <row r="28" spans="1:23" x14ac:dyDescent="0.25">
      <c r="A28" t="str">
        <f>Q28&amp;COUNTIF($Q$2:Q28,Q28)</f>
        <v>MARTIN LUIS EDUARDO(MARCOS)ENERO 231</v>
      </c>
      <c r="B28" t="s">
        <v>166</v>
      </c>
      <c r="C28" t="s">
        <v>209</v>
      </c>
      <c r="D28" s="140" t="s">
        <v>212</v>
      </c>
      <c r="E28" s="10">
        <v>44984</v>
      </c>
      <c r="F28" t="str">
        <f>+IFERROR(INDEX('AUX23'!$C$2:$D$44,MATCH(CARGAFACTURAS!C28,'AUX23'!$D$2:$D$50,0),1),"")</f>
        <v>20-11708743-4</v>
      </c>
      <c r="G28" s="141">
        <v>7000</v>
      </c>
      <c r="H28" s="141">
        <f>+IF(G28&lt;9999,0,IFERROR(VLOOKUP(C28,'AUX23'!$D$2:$K$50,3,0)*G28/100,0))</f>
        <v>0</v>
      </c>
      <c r="I28" s="141">
        <f>IF(G28&lt;9999,0,IFERROR(VLOOKUP(C28,'AUX23'!$D$2:$L$50,4,0)*G28/100,0))</f>
        <v>0</v>
      </c>
      <c r="J28" s="141">
        <f>IF(G28&lt;9999,0,IFERROR(VLOOKUP(C28,'AUX23'!$D$2:$L$50,5,0)*G28/100,0))</f>
        <v>0</v>
      </c>
      <c r="K28" s="141">
        <f>IF(G28&lt;9999,0,IFERROR((G28-67170)*VLOOKUP(C28,'AUX23'!$D$2:$L$50,6,0)/100,0))</f>
        <v>0</v>
      </c>
      <c r="L28" s="141">
        <f>IF(G28&lt;9999,0,IFERROR((G28/1.21)*VLOOKUP(C28,'AUX23'!$D$2:$L$50,7,0)/100,0))</f>
        <v>0</v>
      </c>
      <c r="M28" s="141">
        <f t="shared" si="1"/>
        <v>7000</v>
      </c>
      <c r="N28" t="str">
        <f t="shared" si="6"/>
        <v>CC</v>
      </c>
      <c r="O28">
        <f t="shared" si="2"/>
        <v>2</v>
      </c>
      <c r="P28" t="s">
        <v>101</v>
      </c>
      <c r="Q28" t="str">
        <f t="shared" si="0"/>
        <v>MARTIN LUIS EDUARDO(MARCOS)ENERO 23</v>
      </c>
      <c r="R28" t="str">
        <f t="shared" si="3"/>
        <v>MARTIN LUIS EDUARDO(MARCOS)2</v>
      </c>
      <c r="S28" t="str">
        <f>+R28&amp;COUNTIF($R$2:R28,R28)</f>
        <v>MARTIN LUIS EDUARDO(MARCOS)21</v>
      </c>
      <c r="U28" t="str">
        <f t="shared" si="4"/>
        <v>0246</v>
      </c>
      <c r="V28" t="str">
        <f t="shared" si="5"/>
        <v>MARTIN LUIS EDUARDO(MARCOS)2CC</v>
      </c>
      <c r="W28" t="str">
        <f>+V28&amp;COUNTIF($V$2:V28,V28)</f>
        <v>MARTIN LUIS EDUARDO(MARCOS)2CC1</v>
      </c>
    </row>
    <row r="29" spans="1:23" x14ac:dyDescent="0.25">
      <c r="A29" t="str">
        <f>Q29&amp;COUNTIF($Q$2:Q29,Q29)</f>
        <v>ACREDITACION1</v>
      </c>
      <c r="C29" t="s">
        <v>163</v>
      </c>
      <c r="D29" s="140"/>
      <c r="F29" t="str">
        <f>+IFERROR(INDEX('AUX23'!$C$2:$D$44,MATCH(CARGAFACTURAS!C29,'AUX23'!$D$2:$D$50,0),1),"")</f>
        <v/>
      </c>
      <c r="G29" s="141"/>
      <c r="H29" s="141">
        <f>+IF(G29&lt;9999,0,IFERROR(VLOOKUP(C29,'AUX23'!$D$2:$K$50,3,0)*G29/100,0))</f>
        <v>0</v>
      </c>
      <c r="I29" s="141">
        <f>IF(G29&lt;9999,0,IFERROR(VLOOKUP(C29,'AUX23'!$D$2:$L$50,4,0)*G29/100,0))</f>
        <v>0</v>
      </c>
      <c r="J29" s="141">
        <f>IF(G29&lt;9999,0,IFERROR(VLOOKUP(C29,'AUX23'!$D$2:$L$50,5,0)*G29/100,0))</f>
        <v>0</v>
      </c>
      <c r="K29" s="141">
        <f>IF(G29&lt;9999,0,IFERROR((G29-67170)*VLOOKUP(C29,'AUX23'!$D$2:$L$50,6,0)/100,0))</f>
        <v>0</v>
      </c>
      <c r="L29" s="141">
        <f>IF(G29&lt;9999,0,IFERROR((G29/1.21)*VLOOKUP(C29,'AUX23'!$D$2:$L$50,7,0)/100,0))</f>
        <v>0</v>
      </c>
      <c r="M29" s="141">
        <f t="shared" si="1"/>
        <v>0</v>
      </c>
      <c r="O29">
        <f t="shared" si="2"/>
        <v>1</v>
      </c>
      <c r="Q29" t="str">
        <f t="shared" si="0"/>
        <v>ACREDITACION</v>
      </c>
      <c r="R29" t="str">
        <f t="shared" si="3"/>
        <v>ACREDITACION1</v>
      </c>
      <c r="S29" t="str">
        <f>+R29&amp;COUNTIF($R$2:R29,R29)</f>
        <v>ACREDITACION11</v>
      </c>
      <c r="T29" s="141">
        <f>1303500+865857.45+134749</f>
        <v>2304106.4500000002</v>
      </c>
      <c r="U29" t="str">
        <f t="shared" si="4"/>
        <v/>
      </c>
      <c r="V29" t="str">
        <f t="shared" si="5"/>
        <v>ACREDITACION1</v>
      </c>
      <c r="W29" t="str">
        <f>+V29&amp;COUNTIF($V$2:V29,V29)</f>
        <v>ACREDITACION11</v>
      </c>
    </row>
    <row r="30" spans="1:23" x14ac:dyDescent="0.25">
      <c r="A30" t="str">
        <f>Q30&amp;COUNTIF($Q$30:Q30,Q30)</f>
        <v>LIBRERÍA SAN PABLO SRLFEBRERO 231</v>
      </c>
      <c r="B30" t="s">
        <v>143</v>
      </c>
      <c r="C30" t="s">
        <v>10</v>
      </c>
      <c r="D30" s="140" t="s">
        <v>200</v>
      </c>
      <c r="E30" s="10">
        <v>44981</v>
      </c>
      <c r="F30" t="str">
        <f>+IFERROR(INDEX('AUX23'!$C$2:$D$44,MATCH(CARGAFACTURAS!C30,'AUX23'!$D$2:$D$50,0),1),"")</f>
        <v>30-58351679-0</v>
      </c>
      <c r="G30" s="141">
        <v>50000</v>
      </c>
      <c r="H30" s="141">
        <f>+IF(G30&lt;9999,0,IFERROR(VLOOKUP(C30,'AUX23'!$D$2:$K$50,3,0)*G30/100,0))</f>
        <v>625</v>
      </c>
      <c r="I30" s="141">
        <f>IF(G30&lt;9999,0,IFERROR(VLOOKUP(C30,'AUX23'!$D$2:$L$50,4,0)*G30/100,0))</f>
        <v>2500</v>
      </c>
      <c r="J30" s="141">
        <f>IF(G30&lt;9999,0,IFERROR(VLOOKUP(C30,'AUX23'!$D$2:$L$50,5,0)*G30/100,0))</f>
        <v>0</v>
      </c>
      <c r="K30" s="141">
        <f>IF(G30&lt;9999,0,IFERROR((G30-67170)*VLOOKUP(C30,'AUX23'!$D$2:$L$50,6,0)/100,0))</f>
        <v>0</v>
      </c>
      <c r="L30" s="141">
        <f>IF(G30&lt;9999,0,IFERROR((G30/1.21)*VLOOKUP(C30,'AUX23'!$D$2:$L$50,7,0)/100,0))</f>
        <v>0</v>
      </c>
      <c r="M30" s="141">
        <f t="shared" si="1"/>
        <v>46875</v>
      </c>
      <c r="N30">
        <v>100263692</v>
      </c>
      <c r="O30">
        <f t="shared" si="2"/>
        <v>2</v>
      </c>
      <c r="P30" t="s">
        <v>101</v>
      </c>
      <c r="Q30" t="str">
        <f>+C30&amp;B30</f>
        <v>LIBRERÍA SAN PABLO SRLFEBRERO 23</v>
      </c>
      <c r="R30" t="str">
        <f t="shared" si="3"/>
        <v>LIBRERÍA SAN PABLO SRL2</v>
      </c>
      <c r="S30" t="str">
        <f>+R30&amp;COUNTIF($R$2:R30,R30)</f>
        <v>LIBRERÍA SAN PABLO SRL22</v>
      </c>
      <c r="T30" s="141">
        <f>+T29-G30</f>
        <v>2254106.4500000002</v>
      </c>
      <c r="U30" t="str">
        <f t="shared" si="4"/>
        <v>8874</v>
      </c>
      <c r="V30" t="str">
        <f t="shared" si="5"/>
        <v>LIBRERÍA SAN PABLO SRL2100263692</v>
      </c>
      <c r="W30" t="str">
        <f>+V30&amp;COUNTIF($V$2:V30,V30)</f>
        <v>LIBRERÍA SAN PABLO SRL21002636921</v>
      </c>
    </row>
    <row r="31" spans="1:23" x14ac:dyDescent="0.25">
      <c r="A31" t="str">
        <f>Q31&amp;COUNTIF($Q$30:Q31,Q31)</f>
        <v>LA PROVIDENCIA DEL NOA SRLFEBRERO 231</v>
      </c>
      <c r="B31" t="s">
        <v>143</v>
      </c>
      <c r="C31" t="s">
        <v>11</v>
      </c>
      <c r="D31" s="140" t="s">
        <v>131</v>
      </c>
      <c r="E31" s="10">
        <v>44958</v>
      </c>
      <c r="F31" t="str">
        <f>+IFERROR(INDEX('AUX23'!$C$2:$D$44,MATCH(CARGAFACTURAS!C31,'AUX23'!$D$2:$D$50,0),1),"")</f>
        <v>30-68568395-0</v>
      </c>
      <c r="G31" s="141">
        <v>463180.08</v>
      </c>
      <c r="H31" s="141">
        <f>+IF(G31&lt;9999,0,IFERROR(VLOOKUP(C31,'AUX23'!$D$2:$K$50,3,0)*G31/100,0))</f>
        <v>5789.7510000000002</v>
      </c>
      <c r="I31" s="141">
        <f>IF(G31&lt;9999,0,IFERROR(VLOOKUP(C31,'AUX23'!$D$2:$L$50,4,0)*G31/100,0))</f>
        <v>23159.004000000001</v>
      </c>
      <c r="J31" s="141">
        <f>IF(G31&lt;9999,0,IFERROR(VLOOKUP(C31,'AUX23'!$D$2:$L$50,5,0)*G31/100,0))</f>
        <v>40204.030943999998</v>
      </c>
      <c r="K31" s="141">
        <f>IF(G31&lt;9999,0,IFERROR((G31-67170)*VLOOKUP(C31,'AUX23'!$D$2:$L$50,6,0)/100,0))</f>
        <v>7920.2016000000003</v>
      </c>
      <c r="L31" s="141">
        <f>IF(G31&lt;9999,0,IFERROR((G31/1.21)*VLOOKUP(C31,'AUX23'!$D$2:$L$50,7,0)/100,0))</f>
        <v>3827.934545454546</v>
      </c>
      <c r="M31" s="141">
        <f t="shared" si="1"/>
        <v>382279.15791054547</v>
      </c>
      <c r="N31">
        <v>36068187</v>
      </c>
      <c r="O31">
        <f t="shared" si="2"/>
        <v>2</v>
      </c>
      <c r="P31" t="s">
        <v>102</v>
      </c>
      <c r="Q31" t="str">
        <f t="shared" ref="Q31:Q94" si="7">+C31&amp;B31</f>
        <v>LA PROVIDENCIA DEL NOA SRLFEBRERO 23</v>
      </c>
      <c r="R31" t="str">
        <f t="shared" si="3"/>
        <v>LA PROVIDENCIA DEL NOA SRL2</v>
      </c>
      <c r="S31" t="str">
        <f>+R31&amp;COUNTIF($R$2:R31,R31)</f>
        <v>LA PROVIDENCIA DEL NOA SRL21</v>
      </c>
      <c r="T31" s="141">
        <f t="shared" ref="T31:T65" si="8">+T30-G31</f>
        <v>1790926.37</v>
      </c>
      <c r="U31" t="str">
        <f t="shared" si="4"/>
        <v>5271</v>
      </c>
      <c r="V31" t="str">
        <f t="shared" si="5"/>
        <v>LA PROVIDENCIA DEL NOA SRL236068187</v>
      </c>
      <c r="W31" t="str">
        <f>+V31&amp;COUNTIF($V$2:V31,V31)</f>
        <v>LA PROVIDENCIA DEL NOA SRL2360681871</v>
      </c>
    </row>
    <row r="32" spans="1:23" x14ac:dyDescent="0.25">
      <c r="A32" t="str">
        <f>Q32&amp;COUNTIF($Q$30:Q32,Q32)</f>
        <v>LA PROVIDENCIA DEL NOA SRLFEBRERO 232</v>
      </c>
      <c r="B32" t="s">
        <v>143</v>
      </c>
      <c r="C32" t="s">
        <v>11</v>
      </c>
      <c r="D32" s="140" t="s">
        <v>132</v>
      </c>
      <c r="E32" s="10">
        <v>44958</v>
      </c>
      <c r="F32" t="str">
        <f>+IFERROR(INDEX('AUX23'!$C$2:$D$44,MATCH(CARGAFACTURAS!C32,'AUX23'!$D$2:$D$50,0),1),"")</f>
        <v>30-68568395-0</v>
      </c>
      <c r="G32" s="141">
        <v>189482.76</v>
      </c>
      <c r="H32" s="141">
        <f>+IF(G32&lt;9999,0,IFERROR(VLOOKUP(C32,'AUX23'!$D$2:$K$50,3,0)*G32/100,0))</f>
        <v>2368.5345000000002</v>
      </c>
      <c r="I32" s="141">
        <f>IF(G32&lt;9999,0,IFERROR(VLOOKUP(C32,'AUX23'!$D$2:$L$50,4,0)*G32/100,0))</f>
        <v>9474.1380000000008</v>
      </c>
      <c r="J32" s="141">
        <f>IF(G32&lt;9999,0,IFERROR(VLOOKUP(C32,'AUX23'!$D$2:$L$50,5,0)*G32/100,0))</f>
        <v>16447.103567999999</v>
      </c>
      <c r="K32" s="141">
        <f>IF(G32&lt;9999,0,IFERROR((G32-67170)*VLOOKUP(C32,'AUX23'!$D$2:$L$50,6,0)/100,0))</f>
        <v>2446.2552000000001</v>
      </c>
      <c r="L32" s="141">
        <f>IF(G32&lt;9999,0,IFERROR((G32/1.21)*VLOOKUP(C32,'AUX23'!$D$2:$L$50,7,0)/100,0))</f>
        <v>1565.9732231404962</v>
      </c>
      <c r="M32" s="141">
        <f t="shared" si="1"/>
        <v>157180.7555088595</v>
      </c>
      <c r="N32">
        <v>36068187</v>
      </c>
      <c r="O32">
        <f t="shared" si="2"/>
        <v>2</v>
      </c>
      <c r="P32" t="s">
        <v>102</v>
      </c>
      <c r="Q32" t="str">
        <f t="shared" si="7"/>
        <v>LA PROVIDENCIA DEL NOA SRLFEBRERO 23</v>
      </c>
      <c r="R32" t="str">
        <f t="shared" si="3"/>
        <v>LA PROVIDENCIA DEL NOA SRL2</v>
      </c>
      <c r="S32" t="str">
        <f>+R32&amp;COUNTIF($R$2:R32,R32)</f>
        <v>LA PROVIDENCIA DEL NOA SRL22</v>
      </c>
      <c r="T32" s="141">
        <f t="shared" si="8"/>
        <v>1601443.61</v>
      </c>
      <c r="U32" t="str">
        <f t="shared" si="4"/>
        <v>5272</v>
      </c>
      <c r="V32" t="str">
        <f t="shared" si="5"/>
        <v>LA PROVIDENCIA DEL NOA SRL236068187</v>
      </c>
      <c r="W32" t="str">
        <f>+V32&amp;COUNTIF($V$2:V32,V32)</f>
        <v>LA PROVIDENCIA DEL NOA SRL2360681872</v>
      </c>
    </row>
    <row r="33" spans="1:23" x14ac:dyDescent="0.25">
      <c r="A33" t="str">
        <f>Q33&amp;COUNTIF($Q$30:Q33,Q33)</f>
        <v>CEGE SRLFEBRERO 231</v>
      </c>
      <c r="B33" t="s">
        <v>143</v>
      </c>
      <c r="C33" t="s">
        <v>50</v>
      </c>
      <c r="D33" s="140" t="s">
        <v>357</v>
      </c>
      <c r="E33" s="10">
        <v>44995</v>
      </c>
      <c r="F33" t="str">
        <f>+IFERROR(INDEX('AUX23'!$C$2:$D$44,MATCH(CARGAFACTURAS!C33,'AUX23'!$D$2:$D$50,0),1),"")</f>
        <v>30-65710669-7</v>
      </c>
      <c r="G33" s="141">
        <v>94500</v>
      </c>
      <c r="H33" s="141">
        <f>+IF(G33&lt;9999,0,IFERROR(VLOOKUP(C33,'AUX23'!$D$2:$K$50,3,0)*G33/100,0))</f>
        <v>2362.5</v>
      </c>
      <c r="I33" s="141">
        <f>IF(G33&lt;9999,0,IFERROR(VLOOKUP(C33,'AUX23'!$D$2:$L$50,4,0)*G33/100,0))</f>
        <v>4725</v>
      </c>
      <c r="J33" s="141">
        <f>IF(G33&lt;9999,0,IFERROR(VLOOKUP(C33,'AUX23'!$D$2:$L$50,5,0)*G33/100,0))</f>
        <v>0</v>
      </c>
      <c r="K33" s="141">
        <f>IF(G33&lt;9999,0,IFERROR((G33-67170)*VLOOKUP(C33,'AUX23'!$D$2:$L$50,6,0)/100,0))</f>
        <v>0</v>
      </c>
      <c r="L33" s="141">
        <f>IF(G33&lt;9999,0,IFERROR((G33/1.21)*VLOOKUP(C33,'AUX23'!$D$2:$L$50,7,0)/100,0))</f>
        <v>0</v>
      </c>
      <c r="M33" s="141">
        <f t="shared" si="1"/>
        <v>87412.5</v>
      </c>
      <c r="N33">
        <v>33802409</v>
      </c>
      <c r="O33">
        <f t="shared" si="2"/>
        <v>3</v>
      </c>
      <c r="P33" t="s">
        <v>101</v>
      </c>
      <c r="Q33" t="str">
        <f t="shared" si="7"/>
        <v>CEGE SRLFEBRERO 23</v>
      </c>
      <c r="R33" t="str">
        <f t="shared" si="3"/>
        <v>CEGE SRL3</v>
      </c>
      <c r="S33" t="str">
        <f>+R33&amp;COUNTIF($R$2:R33,R33)</f>
        <v>CEGE SRL31</v>
      </c>
      <c r="T33" s="141">
        <f t="shared" si="8"/>
        <v>1506943.61</v>
      </c>
      <c r="U33" t="str">
        <f t="shared" si="4"/>
        <v>2114</v>
      </c>
      <c r="V33" t="str">
        <f t="shared" si="5"/>
        <v>CEGE SRL333802409</v>
      </c>
      <c r="W33" t="str">
        <f>+V33&amp;COUNTIF($V$2:V33,V33)</f>
        <v>CEGE SRL3338024091</v>
      </c>
    </row>
    <row r="34" spans="1:23" x14ac:dyDescent="0.25">
      <c r="A34" t="str">
        <f>Q34&amp;COUNTIF($Q$30:Q34,Q34)</f>
        <v>WATERLIFE (VARONA CARLOS JOSE)FEBRERO 231</v>
      </c>
      <c r="B34" t="s">
        <v>143</v>
      </c>
      <c r="C34" t="s">
        <v>20</v>
      </c>
      <c r="D34" s="140" t="s">
        <v>130</v>
      </c>
      <c r="E34" s="10">
        <v>44958</v>
      </c>
      <c r="F34" t="str">
        <f>+IFERROR(INDEX('AUX23'!$C$2:$D$44,MATCH(CARGAFACTURAS!C34,'AUX23'!$D$2:$D$50,0),1),"")</f>
        <v/>
      </c>
      <c r="G34" s="141">
        <v>60900</v>
      </c>
      <c r="H34" s="141">
        <f>+IF(G34&lt;9999,0,IFERROR(VLOOKUP(C34,'AUX23'!$D$2:$K$50,3,0)*G34/100,0))</f>
        <v>0</v>
      </c>
      <c r="I34" s="141">
        <f>IF(G34&lt;9999,0,IFERROR(VLOOKUP(C34,'AUX23'!$D$2:$L$50,4,0)*G34/100,0))</f>
        <v>1522.5</v>
      </c>
      <c r="J34" s="141">
        <f>IF(G34&lt;9999,0,IFERROR(VLOOKUP(C34,'AUX23'!$D$2:$L$50,5,0)*G34/100,0))</f>
        <v>0</v>
      </c>
      <c r="K34" s="141">
        <f>IF(G34&lt;9999,0,IFERROR((G34-67170)*VLOOKUP(C34,'AUX23'!$D$2:$L$50,6,0)/100,0))</f>
        <v>0</v>
      </c>
      <c r="L34" s="141">
        <f>IF(G34&lt;9999,0,IFERROR((G34/1.21)*VLOOKUP(C34,'AUX23'!$D$2:$L$50,7,0)/100,0))</f>
        <v>0</v>
      </c>
      <c r="M34" s="141">
        <f t="shared" si="1"/>
        <v>59377.5</v>
      </c>
      <c r="N34">
        <v>99742027</v>
      </c>
      <c r="O34">
        <f t="shared" si="2"/>
        <v>2</v>
      </c>
      <c r="P34" t="s">
        <v>101</v>
      </c>
      <c r="Q34" t="str">
        <f t="shared" si="7"/>
        <v>WATERLIFE (VARONA CARLOS JOSE)FEBRERO 23</v>
      </c>
      <c r="R34" t="str">
        <f t="shared" si="3"/>
        <v>WATERLIFE (VARONA CARLOS JOSE)2</v>
      </c>
      <c r="S34" t="str">
        <f>+R34&amp;COUNTIF($R$2:R34,R34)</f>
        <v>WATERLIFE (VARONA CARLOS JOSE)21</v>
      </c>
      <c r="T34" s="141">
        <f t="shared" si="8"/>
        <v>1446043.61</v>
      </c>
      <c r="U34" t="str">
        <f t="shared" si="4"/>
        <v>4114</v>
      </c>
      <c r="V34" t="str">
        <f t="shared" si="5"/>
        <v>WATERLIFE (VARONA CARLOS JOSE)299742027</v>
      </c>
      <c r="W34" t="str">
        <f>+V34&amp;COUNTIF($V$2:V34,V34)</f>
        <v>WATERLIFE (VARONA CARLOS JOSE)2997420271</v>
      </c>
    </row>
    <row r="35" spans="1:23" x14ac:dyDescent="0.25">
      <c r="A35" t="str">
        <f>Q35&amp;COUNTIF($Q$30:Q35,Q35)</f>
        <v>ESCOBEDO LUCAS NICOLAS (PAPERTUC)FEBRERO 231</v>
      </c>
      <c r="B35" t="s">
        <v>143</v>
      </c>
      <c r="C35" t="s">
        <v>104</v>
      </c>
      <c r="D35" s="140" t="s">
        <v>139</v>
      </c>
      <c r="E35" s="10">
        <v>44980</v>
      </c>
      <c r="F35" t="str">
        <f>+IFERROR(INDEX('AUX23'!$C$2:$D$44,MATCH(CARGAFACTURAS!C35,'AUX23'!$D$2:$D$50,0),1),"")</f>
        <v>20-31729103-6</v>
      </c>
      <c r="G35" s="141">
        <v>17456</v>
      </c>
      <c r="H35" s="141">
        <f>+IF(G35&lt;9999,0,IFERROR(VLOOKUP(C35,'AUX23'!$D$2:$K$50,3,0)*G35/100,0))</f>
        <v>218.2</v>
      </c>
      <c r="I35" s="141">
        <f>IF(G35&lt;9999,0,IFERROR(VLOOKUP(C35,'AUX23'!$D$2:$L$50,4,0)*G35/100,0))</f>
        <v>872.8</v>
      </c>
      <c r="J35" s="141">
        <f>IF(G35&lt;9999,0,IFERROR(VLOOKUP(C35,'AUX23'!$D$2:$L$50,5,0)*G35/100,0))</f>
        <v>0</v>
      </c>
      <c r="K35" s="141">
        <f>IF(G35&lt;9999,0,IFERROR((G35-67170)*VLOOKUP(C35,'AUX23'!$D$2:$L$50,6,0)/100,0))</f>
        <v>0</v>
      </c>
      <c r="L35" s="141">
        <f>IF(G35&lt;9999,0,IFERROR((G35/1.21)*VLOOKUP(C35,'AUX23'!$D$2:$L$50,7,0)/100,0))</f>
        <v>0</v>
      </c>
      <c r="M35" s="141">
        <f t="shared" si="1"/>
        <v>16365</v>
      </c>
      <c r="N35">
        <v>99834670</v>
      </c>
      <c r="O35">
        <f t="shared" si="2"/>
        <v>2</v>
      </c>
      <c r="P35" t="s">
        <v>101</v>
      </c>
      <c r="Q35" t="str">
        <f t="shared" si="7"/>
        <v>ESCOBEDO LUCAS NICOLAS (PAPERTUC)FEBRERO 23</v>
      </c>
      <c r="R35" t="str">
        <f t="shared" si="3"/>
        <v>ESCOBEDO LUCAS NICOLAS (PAPERTUC)2</v>
      </c>
      <c r="S35" t="str">
        <f>+R35&amp;COUNTIF($R$2:R35,R35)</f>
        <v>ESCOBEDO LUCAS NICOLAS (PAPERTUC)22</v>
      </c>
      <c r="T35" s="141">
        <f t="shared" si="8"/>
        <v>1428587.61</v>
      </c>
      <c r="U35" t="str">
        <f t="shared" si="4"/>
        <v>0911</v>
      </c>
      <c r="V35" t="str">
        <f t="shared" si="5"/>
        <v>ESCOBEDO LUCAS NICOLAS (PAPERTUC)299834670</v>
      </c>
      <c r="W35" t="str">
        <f>+V35&amp;COUNTIF($V$2:V35,V35)</f>
        <v>ESCOBEDO LUCAS NICOLAS (PAPERTUC)2998346701</v>
      </c>
    </row>
    <row r="36" spans="1:23" x14ac:dyDescent="0.25">
      <c r="A36" t="str">
        <f>Q36&amp;COUNTIF($Q$30:Q36,Q36)</f>
        <v>JORGE ROLANDO FRIAS (JF SERV. INF.)FEBRERO 231</v>
      </c>
      <c r="B36" t="s">
        <v>143</v>
      </c>
      <c r="C36" t="s">
        <v>59</v>
      </c>
      <c r="D36" s="140" t="s">
        <v>342</v>
      </c>
      <c r="E36" s="10">
        <v>44994</v>
      </c>
      <c r="F36" t="str">
        <f>+IFERROR(INDEX('AUX23'!$C$2:$D$44,MATCH(CARGAFACTURAS!C36,'AUX23'!$D$2:$D$50,0),1),"")</f>
        <v>20-22167463-5</v>
      </c>
      <c r="G36" s="141">
        <v>48200</v>
      </c>
      <c r="H36" s="141">
        <f>+IF(G36&lt;9999,0,IFERROR(VLOOKUP(C36,'AUX23'!$D$2:$K$50,3,0)*G36/100,0))</f>
        <v>0</v>
      </c>
      <c r="I36" s="141">
        <f>IF(G36&lt;9999,0,IFERROR(VLOOKUP(C36,'AUX23'!$D$2:$L$50,4,0)*G36/100,0))</f>
        <v>1205</v>
      </c>
      <c r="J36" s="141">
        <f>IF(G36&lt;9999,0,IFERROR(VLOOKUP(C36,'AUX23'!$D$2:$L$50,5,0)*G36/100,0))</f>
        <v>0</v>
      </c>
      <c r="K36" s="141">
        <f>IF(G36&lt;9999,0,IFERROR((G36-67170)*VLOOKUP(C36,'AUX23'!$D$2:$L$50,6,0)/100,0))</f>
        <v>0</v>
      </c>
      <c r="L36" s="141">
        <f>IF(G36&lt;9999,0,IFERROR((G36/1.21)*VLOOKUP(C36,'AUX23'!$D$2:$L$50,7,0)/100,0))</f>
        <v>0</v>
      </c>
      <c r="M36" s="141">
        <f t="shared" si="1"/>
        <v>46995</v>
      </c>
      <c r="N36">
        <v>36068200</v>
      </c>
      <c r="O36">
        <f t="shared" si="2"/>
        <v>3</v>
      </c>
      <c r="P36" t="s">
        <v>101</v>
      </c>
      <c r="Q36" t="str">
        <f t="shared" si="7"/>
        <v>JORGE ROLANDO FRIAS (JF SERV. INF.)FEBRERO 23</v>
      </c>
      <c r="R36" t="str">
        <f t="shared" si="3"/>
        <v>JORGE ROLANDO FRIAS (JF SERV. INF.)3</v>
      </c>
      <c r="S36" t="str">
        <f>+R36&amp;COUNTIF($R$2:R36,R36)</f>
        <v>JORGE ROLANDO FRIAS (JF SERV. INF.)31</v>
      </c>
      <c r="T36" s="141">
        <f t="shared" si="8"/>
        <v>1380387.61</v>
      </c>
      <c r="U36" t="str">
        <f t="shared" si="4"/>
        <v>0148</v>
      </c>
      <c r="V36" t="str">
        <f t="shared" si="5"/>
        <v>JORGE ROLANDO FRIAS (JF SERV. INF.)336068200</v>
      </c>
      <c r="W36" t="str">
        <f>+V36&amp;COUNTIF($V$2:V36,V36)</f>
        <v>JORGE ROLANDO FRIAS (JF SERV. INF.)3360682001</v>
      </c>
    </row>
    <row r="37" spans="1:23" x14ac:dyDescent="0.25">
      <c r="A37" t="str">
        <f>Q37&amp;COUNTIF($Q$30:Q37,Q37)</f>
        <v>CLARO (AMX ARGENTINA)FEBRERO 231</v>
      </c>
      <c r="B37" t="s">
        <v>143</v>
      </c>
      <c r="C37" t="s">
        <v>18</v>
      </c>
      <c r="D37" s="140" t="s">
        <v>128</v>
      </c>
      <c r="E37" s="10">
        <v>44941</v>
      </c>
      <c r="F37" t="str">
        <f>+IFERROR(INDEX('AUX23'!$C$2:$D$44,MATCH(CARGAFACTURAS!C37,'AUX23'!$D$2:$D$50,0),1),"")</f>
        <v>30-66328849-7</v>
      </c>
      <c r="G37" s="141">
        <v>23086.5</v>
      </c>
      <c r="H37" s="141">
        <f>+IF(G37&lt;9999,0,IFERROR(VLOOKUP(C37,'AUX23'!$D$2:$K$50,3,0)*G37/100,0))</f>
        <v>0</v>
      </c>
      <c r="I37" s="141">
        <f>IF(G37&lt;9999,0,IFERROR(VLOOKUP(C37,'AUX23'!$D$2:$L$50,4,0)*G37/100,0))</f>
        <v>0</v>
      </c>
      <c r="J37" s="141">
        <f>IF(G37&lt;9999,0,IFERROR(VLOOKUP(C37,'AUX23'!$D$2:$L$50,5,0)*G37/100,0))</f>
        <v>0</v>
      </c>
      <c r="K37" s="141">
        <f>IF(G37&lt;9999,0,IFERROR((G37-67170)*VLOOKUP(C37,'AUX23'!$D$2:$L$50,6,0)/100,0))</f>
        <v>0</v>
      </c>
      <c r="L37" s="141">
        <f>IF(G37&lt;9999,0,IFERROR((G37/1.21)*VLOOKUP(C37,'AUX23'!$D$2:$L$50,7,0)/100,0))</f>
        <v>0</v>
      </c>
      <c r="M37" s="141">
        <f t="shared" si="1"/>
        <v>23086.5</v>
      </c>
      <c r="N37">
        <v>99742913</v>
      </c>
      <c r="O37">
        <f t="shared" si="2"/>
        <v>1</v>
      </c>
      <c r="P37" t="s">
        <v>101</v>
      </c>
      <c r="Q37" t="str">
        <f t="shared" si="7"/>
        <v>CLARO (AMX ARGENTINA)FEBRERO 23</v>
      </c>
      <c r="R37" t="str">
        <f t="shared" si="3"/>
        <v>CLARO (AMX ARGENTINA)1</v>
      </c>
      <c r="S37" t="str">
        <f>+R37&amp;COUNTIF($R$2:R37,R37)</f>
        <v>CLARO (AMX ARGENTINA)11</v>
      </c>
      <c r="T37" s="141">
        <f t="shared" si="8"/>
        <v>1357301.11</v>
      </c>
      <c r="U37" t="str">
        <f t="shared" si="4"/>
        <v>5822</v>
      </c>
      <c r="V37" t="str">
        <f t="shared" si="5"/>
        <v>CLARO (AMX ARGENTINA)199742913</v>
      </c>
      <c r="W37" t="str">
        <f>+V37&amp;COUNTIF($V$2:V37,V37)</f>
        <v>CLARO (AMX ARGENTINA)1997429131</v>
      </c>
    </row>
    <row r="38" spans="1:23" x14ac:dyDescent="0.25">
      <c r="A38" t="str">
        <f>Q38&amp;COUNTIF($Q$30:Q38,Q38)</f>
        <v>FULL TRACK S.R.L.FEBRERO 231</v>
      </c>
      <c r="B38" t="s">
        <v>143</v>
      </c>
      <c r="C38" t="s">
        <v>98</v>
      </c>
      <c r="D38" s="140" t="s">
        <v>135</v>
      </c>
      <c r="E38" s="10">
        <v>44972</v>
      </c>
      <c r="F38" t="str">
        <f>+IFERROR(INDEX('AUX23'!$C$2:$D$44,MATCH(CARGAFACTURAS!C38,'AUX23'!$D$2:$D$50,0),1),"")</f>
        <v>30-71648081-6</v>
      </c>
      <c r="G38" s="141">
        <v>391400</v>
      </c>
      <c r="H38" s="141">
        <f>+IF(G38&lt;9999,0,IFERROR(VLOOKUP(C38,'AUX23'!$D$2:$K$50,3,0)*G38/100,0))</f>
        <v>0</v>
      </c>
      <c r="I38" s="141">
        <f>IF(G38&lt;9999,0,IFERROR(VLOOKUP(C38,'AUX23'!$D$2:$L$50,4,0)*G38/100,0))</f>
        <v>5871</v>
      </c>
      <c r="J38" s="141">
        <f>IF(G38&lt;9999,0,IFERROR(VLOOKUP(C38,'AUX23'!$D$2:$L$50,5,0)*G38/100,0))</f>
        <v>0</v>
      </c>
      <c r="K38" s="141">
        <f>IF(G38&lt;9999,0,IFERROR((G38-67170)*VLOOKUP(C38,'AUX23'!$D$2:$L$50,6,0)/100,0))</f>
        <v>6484.6</v>
      </c>
      <c r="L38" s="141">
        <f>IF(G38&lt;9999,0,IFERROR((G38/1.21)*VLOOKUP(C38,'AUX23'!$D$2:$L$50,7,0)/100,0))</f>
        <v>3234.7107438016533</v>
      </c>
      <c r="M38" s="141">
        <f t="shared" si="1"/>
        <v>375809.68925619835</v>
      </c>
      <c r="N38">
        <v>99742518</v>
      </c>
      <c r="O38">
        <f t="shared" si="2"/>
        <v>2</v>
      </c>
      <c r="P38" t="s">
        <v>124</v>
      </c>
      <c r="Q38" t="str">
        <f t="shared" si="7"/>
        <v>FULL TRACK S.R.L.FEBRERO 23</v>
      </c>
      <c r="R38" t="str">
        <f t="shared" si="3"/>
        <v>FULL TRACK S.R.L.2</v>
      </c>
      <c r="S38" t="str">
        <f>+R38&amp;COUNTIF($R$2:R38,R38)</f>
        <v>FULL TRACK S.R.L.21</v>
      </c>
      <c r="T38" s="141">
        <f t="shared" si="8"/>
        <v>965901.1100000001</v>
      </c>
      <c r="U38" t="str">
        <f t="shared" si="4"/>
        <v>0026</v>
      </c>
      <c r="V38" t="str">
        <f t="shared" si="5"/>
        <v>FULL TRACK S.R.L.299742518</v>
      </c>
      <c r="W38" t="str">
        <f>+V38&amp;COUNTIF($V$2:V38,V38)</f>
        <v>FULL TRACK S.R.L.2997425181</v>
      </c>
    </row>
    <row r="39" spans="1:23" x14ac:dyDescent="0.25">
      <c r="A39" t="str">
        <f>Q39&amp;COUNTIF($Q$30:Q39,Q39)</f>
        <v>FULL TRACK S.R.L.FEBRERO 232</v>
      </c>
      <c r="B39" t="s">
        <v>143</v>
      </c>
      <c r="C39" t="s">
        <v>98</v>
      </c>
      <c r="D39" s="140" t="s">
        <v>303</v>
      </c>
      <c r="E39" s="10">
        <v>44985</v>
      </c>
      <c r="F39" t="str">
        <f>+IFERROR(INDEX('AUX23'!$C$2:$D$44,MATCH(CARGAFACTURAS!C39,'AUX23'!$D$2:$D$50,0),1),"")</f>
        <v>30-71648081-6</v>
      </c>
      <c r="G39" s="141">
        <v>280250</v>
      </c>
      <c r="H39" s="141">
        <f>+IF(G39&lt;9999,0,IFERROR(VLOOKUP(C39,'AUX23'!$D$2:$K$50,3,0)*G39/100,0))</f>
        <v>0</v>
      </c>
      <c r="I39" s="141">
        <f>IF(G39&lt;9999,0,IFERROR(VLOOKUP(C39,'AUX23'!$D$2:$L$50,4,0)*G39/100,0))</f>
        <v>4203.75</v>
      </c>
      <c r="J39" s="141">
        <f>IF(G39&lt;9999,0,IFERROR(VLOOKUP(C39,'AUX23'!$D$2:$L$50,5,0)*G39/100,0))</f>
        <v>0</v>
      </c>
      <c r="K39" s="141">
        <f>IF(G39&lt;9999,0,IFERROR((G39-67170)*VLOOKUP(C39,'AUX23'!$D$2:$L$50,6,0)/100,0))</f>
        <v>4261.6000000000004</v>
      </c>
      <c r="L39" s="141">
        <f>IF(G39&lt;9999,0,IFERROR((G39/1.21)*VLOOKUP(C39,'AUX23'!$D$2:$L$50,7,0)/100,0))</f>
        <v>2316.1157024793388</v>
      </c>
      <c r="M39" s="141">
        <f t="shared" si="1"/>
        <v>269468.5342975207</v>
      </c>
      <c r="N39">
        <v>100967772</v>
      </c>
      <c r="O39">
        <f t="shared" si="2"/>
        <v>2</v>
      </c>
      <c r="P39" t="s">
        <v>124</v>
      </c>
      <c r="Q39" t="str">
        <f t="shared" si="7"/>
        <v>FULL TRACK S.R.L.FEBRERO 23</v>
      </c>
      <c r="R39" t="str">
        <f t="shared" si="3"/>
        <v>FULL TRACK S.R.L.2</v>
      </c>
      <c r="S39" t="str">
        <f>+R39&amp;COUNTIF($R$2:R39,R39)</f>
        <v>FULL TRACK S.R.L.22</v>
      </c>
      <c r="T39" s="141">
        <f t="shared" si="8"/>
        <v>685651.1100000001</v>
      </c>
      <c r="U39" t="str">
        <f t="shared" si="4"/>
        <v>0027</v>
      </c>
      <c r="V39" t="str">
        <f t="shared" si="5"/>
        <v>FULL TRACK S.R.L.2100967772</v>
      </c>
      <c r="W39" t="str">
        <f>+V39&amp;COUNTIF($V$2:V39,V39)</f>
        <v>FULL TRACK S.R.L.21009677721</v>
      </c>
    </row>
    <row r="40" spans="1:23" x14ac:dyDescent="0.25">
      <c r="A40" t="str">
        <f>Q40&amp;COUNTIF($Q$30:Q40,Q40)</f>
        <v>REFRIGERACION NORTE SRLFEBRERO 231</v>
      </c>
      <c r="B40" t="s">
        <v>143</v>
      </c>
      <c r="C40" t="s">
        <v>121</v>
      </c>
      <c r="D40" s="140" t="s">
        <v>129</v>
      </c>
      <c r="E40" s="10">
        <v>44973</v>
      </c>
      <c r="F40" t="str">
        <f>+IFERROR(INDEX('AUX23'!$C$2:$D$44,MATCH(CARGAFACTURAS!C40,'AUX23'!$D$2:$D$50,0),1),"")</f>
        <v>30-51831471-4</v>
      </c>
      <c r="G40" s="141">
        <v>114879</v>
      </c>
      <c r="H40" s="141">
        <f>+IF(G40&lt;9999,0,IFERROR(VLOOKUP(C40,'AUX23'!$D$2:$K$50,3,0)*G40/100,0))</f>
        <v>1435.9875</v>
      </c>
      <c r="I40" s="141">
        <f>IF(G40&lt;9999,0,IFERROR(VLOOKUP(C40,'AUX23'!$D$2:$L$50,4,0)*G40/100,0))</f>
        <v>5743.95</v>
      </c>
      <c r="J40" s="141">
        <f>IF(G40&lt;9999,0,IFERROR(VLOOKUP(C40,'AUX23'!$D$2:$L$50,5,0)*G40/100,0))</f>
        <v>0</v>
      </c>
      <c r="K40" s="141">
        <f>IF(G40&lt;9999,0,IFERROR((G40-67170)*VLOOKUP(C40,'AUX23'!$D$2:$L$50,6,0)/100,0))</f>
        <v>0</v>
      </c>
      <c r="L40" s="141">
        <f>IF(G40&lt;9999,0,IFERROR((G40/1.21)*VLOOKUP(C40,'AUX23'!$D$2:$L$50,7,0)/100,0))</f>
        <v>949.4132231404958</v>
      </c>
      <c r="M40" s="141">
        <f t="shared" si="1"/>
        <v>106749.64927685951</v>
      </c>
      <c r="N40">
        <v>99541577</v>
      </c>
      <c r="O40">
        <f t="shared" si="2"/>
        <v>2</v>
      </c>
      <c r="P40" t="s">
        <v>202</v>
      </c>
      <c r="Q40" t="str">
        <f t="shared" si="7"/>
        <v>REFRIGERACION NORTE SRLFEBRERO 23</v>
      </c>
      <c r="R40" t="str">
        <f t="shared" si="3"/>
        <v>REFRIGERACION NORTE SRL2</v>
      </c>
      <c r="S40" t="str">
        <f>+R40&amp;COUNTIF($R$2:R40,R40)</f>
        <v>REFRIGERACION NORTE SRL21</v>
      </c>
      <c r="T40" s="141">
        <f t="shared" si="8"/>
        <v>570772.1100000001</v>
      </c>
      <c r="U40" t="str">
        <f t="shared" si="4"/>
        <v>2613</v>
      </c>
      <c r="V40" t="str">
        <f t="shared" si="5"/>
        <v>REFRIGERACION NORTE SRL299541577</v>
      </c>
      <c r="W40" t="str">
        <f>+V40&amp;COUNTIF($V$2:V40,V40)</f>
        <v>REFRIGERACION NORTE SRL2995415771</v>
      </c>
    </row>
    <row r="41" spans="1:23" x14ac:dyDescent="0.25">
      <c r="A41" t="str">
        <f>Q41&amp;COUNTIF($Q$30:Q41,Q41)</f>
        <v>LOFT COMPUTACION SASFEBRERO 231</v>
      </c>
      <c r="B41" t="s">
        <v>143</v>
      </c>
      <c r="C41" t="s">
        <v>136</v>
      </c>
      <c r="D41" s="140" t="s">
        <v>138</v>
      </c>
      <c r="E41" s="10">
        <v>44979</v>
      </c>
      <c r="F41" t="str">
        <f>+IFERROR(INDEX('AUX23'!$C$2:$D$44,MATCH(CARGAFACTURAS!C41,'AUX23'!$D$2:$D$50,0),1),"")</f>
        <v>30-71753417-0</v>
      </c>
      <c r="G41" s="141">
        <v>30000</v>
      </c>
      <c r="H41" s="141">
        <f>+IF(G41&lt;9999,0,IFERROR(VLOOKUP(C41,'AUX23'!$D$2:$K$50,3,0)*G41/100,0))</f>
        <v>375</v>
      </c>
      <c r="I41" s="141">
        <f>IF(G41&lt;9999,0,IFERROR(VLOOKUP(C41,'AUX23'!$D$2:$L$50,4,0)*G41/100,0))</f>
        <v>1050</v>
      </c>
      <c r="J41" s="141">
        <f>IF(G41&lt;9999,0,IFERROR(VLOOKUP(C41,'AUX23'!$D$2:$L$50,5,0)*G41/100,0))</f>
        <v>0</v>
      </c>
      <c r="K41" s="141">
        <f>IF(G41&lt;9999,0,IFERROR((G41-67170)*VLOOKUP(C41,'AUX23'!$D$2:$L$50,6,0)/100,0))</f>
        <v>0</v>
      </c>
      <c r="L41" s="141">
        <f>IF(G41&lt;9999,0,IFERROR((G41/1.21)*VLOOKUP(C41,'AUX23'!$D$2:$L$50,7,0)/100,0))</f>
        <v>0</v>
      </c>
      <c r="M41" s="141">
        <f t="shared" si="1"/>
        <v>28575</v>
      </c>
      <c r="N41">
        <v>36068193</v>
      </c>
      <c r="O41">
        <f t="shared" si="2"/>
        <v>2</v>
      </c>
      <c r="P41" t="s">
        <v>101</v>
      </c>
      <c r="Q41" t="str">
        <f t="shared" si="7"/>
        <v>LOFT COMPUTACION SASFEBRERO 23</v>
      </c>
      <c r="R41" t="str">
        <f t="shared" si="3"/>
        <v>LOFT COMPUTACION SAS2</v>
      </c>
      <c r="S41" t="str">
        <f>+R41&amp;COUNTIF($R$2:R41,R41)</f>
        <v>LOFT COMPUTACION SAS21</v>
      </c>
      <c r="T41" s="141">
        <f t="shared" si="8"/>
        <v>540772.1100000001</v>
      </c>
      <c r="U41" t="str">
        <f t="shared" si="4"/>
        <v>0181</v>
      </c>
      <c r="V41" t="str">
        <f t="shared" si="5"/>
        <v>LOFT COMPUTACION SAS236068193</v>
      </c>
      <c r="W41" t="str">
        <f>+V41&amp;COUNTIF($V$2:V41,V41)</f>
        <v>LOFT COMPUTACION SAS2360681931</v>
      </c>
    </row>
    <row r="42" spans="1:23" x14ac:dyDescent="0.25">
      <c r="A42" t="str">
        <f>Q42&amp;COUNTIF($Q$30:Q42,Q42)</f>
        <v>COOP. DE TRAB. SAN LORENZO M FEBRERO 231</v>
      </c>
      <c r="B42" t="s">
        <v>143</v>
      </c>
      <c r="C42" t="s">
        <v>92</v>
      </c>
      <c r="D42" s="140" t="s">
        <v>133</v>
      </c>
      <c r="E42" s="10">
        <v>44957</v>
      </c>
      <c r="F42" t="str">
        <f>+IFERROR(INDEX('AUX23'!$C$2:$D$44,MATCH(CARGAFACTURAS!C42,'AUX23'!$D$2:$D$50,0),1),"")</f>
        <v>30-70895858-8</v>
      </c>
      <c r="G42" s="141">
        <v>142129.74</v>
      </c>
      <c r="H42" s="141">
        <f>+IF(G42&lt;9999,0,IFERROR(VLOOKUP(C42,'AUX23'!$D$2:$K$50,3,0)*G42/100,0))</f>
        <v>0</v>
      </c>
      <c r="I42" s="141">
        <f>IF(G42&lt;9999,0,IFERROR(VLOOKUP(C42,'AUX23'!$D$2:$L$50,4,0)*G42/100,0))</f>
        <v>0</v>
      </c>
      <c r="J42" s="141">
        <f>IF(G42&lt;9999,0,IFERROR(VLOOKUP(C42,'AUX23'!$D$2:$L$50,5,0)*G42/100,0))</f>
        <v>0</v>
      </c>
      <c r="K42" s="141">
        <f>IF(G42&lt;9999,0,IFERROR((G42-67170)*VLOOKUP(C42,'AUX23'!$D$2:$L$50,6,0)/100,0))</f>
        <v>0</v>
      </c>
      <c r="L42" s="141">
        <f>IF(G42&lt;9999,0,IFERROR((G42/1.21)*VLOOKUP(C42,'AUX23'!$D$2:$L$50,7,0)/100,0))</f>
        <v>0</v>
      </c>
      <c r="M42" s="141">
        <f t="shared" si="1"/>
        <v>142129.74</v>
      </c>
      <c r="N42">
        <v>98474331</v>
      </c>
      <c r="O42">
        <f t="shared" si="2"/>
        <v>1</v>
      </c>
      <c r="P42" t="s">
        <v>164</v>
      </c>
      <c r="Q42" t="str">
        <f t="shared" si="7"/>
        <v>COOP. DE TRAB. SAN LORENZO M FEBRERO 23</v>
      </c>
      <c r="R42" t="str">
        <f t="shared" si="3"/>
        <v>COOP. DE TRAB. SAN LORENZO M 1</v>
      </c>
      <c r="S42" t="str">
        <f>+R42&amp;COUNTIF($R$2:R42,R42)</f>
        <v>COOP. DE TRAB. SAN LORENZO M 11</v>
      </c>
      <c r="T42" s="141">
        <f t="shared" si="8"/>
        <v>398642.37000000011</v>
      </c>
      <c r="U42" t="str">
        <f t="shared" si="4"/>
        <v>4595</v>
      </c>
      <c r="V42" t="str">
        <f t="shared" si="5"/>
        <v>COOP. DE TRAB. SAN LORENZO M 198474331</v>
      </c>
      <c r="W42" t="str">
        <f>+V42&amp;COUNTIF($V$2:V42,V42)</f>
        <v>COOP. DE TRAB. SAN LORENZO M 1984743311</v>
      </c>
    </row>
    <row r="43" spans="1:23" x14ac:dyDescent="0.25">
      <c r="A43" t="str">
        <f>Q43&amp;COUNTIF($Q$30:Q43,Q43)</f>
        <v>COOP. DE TRAB. SAN LORENZO M FEBRERO 232</v>
      </c>
      <c r="B43" t="s">
        <v>143</v>
      </c>
      <c r="C43" t="s">
        <v>92</v>
      </c>
      <c r="D43" s="140" t="s">
        <v>134</v>
      </c>
      <c r="E43" s="10">
        <v>44957</v>
      </c>
      <c r="F43" t="str">
        <f>+IFERROR(INDEX('AUX23'!$C$2:$D$44,MATCH(CARGAFACTURAS!C43,'AUX23'!$D$2:$D$50,0),1),"")</f>
        <v>30-70895858-8</v>
      </c>
      <c r="G43" s="141">
        <v>71064.87</v>
      </c>
      <c r="H43" s="141">
        <f>+IF(G43&lt;9999,0,IFERROR(VLOOKUP(C43,'AUX23'!$D$2:$K$50,3,0)*G43/100,0))</f>
        <v>0</v>
      </c>
      <c r="I43" s="141">
        <f>IF(G43&lt;9999,0,IFERROR(VLOOKUP(C43,'AUX23'!$D$2:$L$50,4,0)*G43/100,0))</f>
        <v>0</v>
      </c>
      <c r="J43" s="141">
        <f>IF(G43&lt;9999,0,IFERROR(VLOOKUP(C43,'AUX23'!$D$2:$L$50,5,0)*G43/100,0))</f>
        <v>0</v>
      </c>
      <c r="K43" s="141">
        <f>IF(G43&lt;9999,0,IFERROR((G43-67170)*VLOOKUP(C43,'AUX23'!$D$2:$L$50,6,0)/100,0))</f>
        <v>0</v>
      </c>
      <c r="L43" s="141">
        <f>IF(G43&lt;9999,0,IFERROR((G43/1.21)*VLOOKUP(C43,'AUX23'!$D$2:$L$50,7,0)/100,0))</f>
        <v>0</v>
      </c>
      <c r="M43" s="141">
        <f t="shared" si="1"/>
        <v>71064.87</v>
      </c>
      <c r="N43">
        <v>98474331</v>
      </c>
      <c r="O43">
        <f t="shared" si="2"/>
        <v>1</v>
      </c>
      <c r="P43" t="s">
        <v>164</v>
      </c>
      <c r="Q43" t="str">
        <f t="shared" si="7"/>
        <v>COOP. DE TRAB. SAN LORENZO M FEBRERO 23</v>
      </c>
      <c r="R43" t="str">
        <f t="shared" si="3"/>
        <v>COOP. DE TRAB. SAN LORENZO M 1</v>
      </c>
      <c r="S43" t="str">
        <f>+R43&amp;COUNTIF($R$2:R43,R43)</f>
        <v>COOP. DE TRAB. SAN LORENZO M 12</v>
      </c>
      <c r="T43" s="141">
        <f t="shared" si="8"/>
        <v>327577.50000000012</v>
      </c>
      <c r="U43" t="str">
        <f t="shared" si="4"/>
        <v>4599</v>
      </c>
      <c r="V43" t="str">
        <f t="shared" si="5"/>
        <v>COOP. DE TRAB. SAN LORENZO M 198474331</v>
      </c>
      <c r="W43" t="str">
        <f>+V43&amp;COUNTIF($V$2:V43,V43)</f>
        <v>COOP. DE TRAB. SAN LORENZO M 1984743312</v>
      </c>
    </row>
    <row r="44" spans="1:23" x14ac:dyDescent="0.25">
      <c r="A44" t="str">
        <f>Q44&amp;COUNTIF($Q$30:Q44,Q44)</f>
        <v>ESPECIAL SRL(ZONE MULTIRUBRO)FEBRERO 231</v>
      </c>
      <c r="B44" t="s">
        <v>143</v>
      </c>
      <c r="C44" t="s">
        <v>189</v>
      </c>
      <c r="D44" s="140" t="s">
        <v>381</v>
      </c>
      <c r="E44" s="10">
        <v>44972</v>
      </c>
      <c r="F44" t="str">
        <f>+IFERROR(INDEX('AUX23'!$C$2:$D$44,MATCH(CARGAFACTURAS!C44,'AUX23'!$D$2:$D$50,0),1),"")</f>
        <v>30-71738700-9</v>
      </c>
      <c r="G44" s="243">
        <v>5250</v>
      </c>
      <c r="H44" s="141">
        <f>+IF(G44&lt;9999,0,IFERROR(VLOOKUP(C44,'AUX23'!$D$2:$K$50,3,0)*G44/100,0))</f>
        <v>0</v>
      </c>
      <c r="I44" s="141">
        <f>IF(G44&lt;9999,0,IFERROR(VLOOKUP(C44,'AUX23'!$D$2:$L$50,4,0)*G44/100,0))</f>
        <v>0</v>
      </c>
      <c r="J44" s="141">
        <f>IF(G44&lt;9999,0,IFERROR(VLOOKUP(C44,'AUX23'!$D$2:$L$50,5,0)*G44/100,0))</f>
        <v>0</v>
      </c>
      <c r="K44" s="141">
        <f>IF(G44&lt;9999,0,IFERROR((G44-67170)*VLOOKUP(C44,'AUX23'!$D$2:$L$50,6,0)/100,0))</f>
        <v>0</v>
      </c>
      <c r="L44" s="141">
        <f>IF(G44&lt;9999,0,IFERROR((G44/1.21)*VLOOKUP(C44,'AUX23'!$D$2:$L$50,7,0)/100,0))</f>
        <v>0</v>
      </c>
      <c r="M44" s="141">
        <f t="shared" si="1"/>
        <v>5250</v>
      </c>
      <c r="N44" t="str">
        <f t="shared" ref="N44:N94" si="9">+IF(G44&lt;9999,"CC","INGR. NUMERO")</f>
        <v>CC</v>
      </c>
      <c r="O44">
        <f t="shared" si="2"/>
        <v>2</v>
      </c>
      <c r="P44" t="s">
        <v>101</v>
      </c>
      <c r="Q44" t="str">
        <f t="shared" si="7"/>
        <v>ESPECIAL SRL(ZONE MULTIRUBRO)FEBRERO 23</v>
      </c>
      <c r="R44" t="str">
        <f t="shared" si="3"/>
        <v>ESPECIAL SRL(ZONE MULTIRUBRO)2</v>
      </c>
      <c r="S44" t="str">
        <f>+R44&amp;COUNTIF($R$2:R44,R44)</f>
        <v>ESPECIAL SRL(ZONE MULTIRUBRO)22</v>
      </c>
      <c r="T44" s="141">
        <f t="shared" si="8"/>
        <v>322327.50000000012</v>
      </c>
      <c r="U44" t="str">
        <f t="shared" si="4"/>
        <v>0730</v>
      </c>
      <c r="V44" t="str">
        <f t="shared" si="5"/>
        <v>ESPECIAL SRL(ZONE MULTIRUBRO)2CC</v>
      </c>
      <c r="W44" t="str">
        <f>+V44&amp;COUNTIF($V$2:V44,V44)</f>
        <v>ESPECIAL SRL(ZONE MULTIRUBRO)2CC2</v>
      </c>
    </row>
    <row r="45" spans="1:23" x14ac:dyDescent="0.25">
      <c r="A45" t="str">
        <f>Q45&amp;COUNTIF($Q$30:Q45,Q45)</f>
        <v>MILER SRLFEBRERO 231</v>
      </c>
      <c r="B45" t="s">
        <v>143</v>
      </c>
      <c r="C45" t="s">
        <v>352</v>
      </c>
      <c r="D45" s="140" t="s">
        <v>771</v>
      </c>
      <c r="E45" s="248">
        <v>44998</v>
      </c>
      <c r="F45" t="str">
        <f>+IFERROR(INDEX('AUX23'!$C$2:$D$44,MATCH(CARGAFACTURAS!C45,'AUX23'!$D$2:$D$50,0),1),"")</f>
        <v>30-71414895-4</v>
      </c>
      <c r="G45" s="243">
        <v>9296</v>
      </c>
      <c r="H45" s="141">
        <f>+IF(G45&lt;9999,0,IFERROR(VLOOKUP(C45,'AUX23'!$D$2:$K$50,3,0)*G45/100,0))</f>
        <v>0</v>
      </c>
      <c r="I45" s="141">
        <f>IF(G45&lt;9999,0,IFERROR(VLOOKUP(C45,'AUX23'!$D$2:$L$50,4,0)*G45/100,0))</f>
        <v>0</v>
      </c>
      <c r="J45" s="141">
        <f>IF(G45&lt;9999,0,IFERROR(VLOOKUP(C45,'AUX23'!$D$2:$L$50,5,0)*G45/100,0))</f>
        <v>0</v>
      </c>
      <c r="K45" s="141">
        <f>IF(G45&lt;9999,0,IFERROR((G45-67170)*VLOOKUP(C45,'AUX23'!$D$2:$L$50,6,0)/100,0))</f>
        <v>0</v>
      </c>
      <c r="L45" s="141">
        <f>IF(G45&lt;9999,0,IFERROR((G45/1.21)*VLOOKUP(C45,'AUX23'!$D$2:$L$50,7,0)/100,0))</f>
        <v>0</v>
      </c>
      <c r="M45" s="141">
        <f t="shared" si="1"/>
        <v>9296</v>
      </c>
      <c r="N45" t="str">
        <f t="shared" si="9"/>
        <v>CC</v>
      </c>
      <c r="O45">
        <f t="shared" si="2"/>
        <v>3</v>
      </c>
      <c r="P45" t="s">
        <v>101</v>
      </c>
      <c r="Q45" t="str">
        <f t="shared" si="7"/>
        <v>MILER SRLFEBRERO 23</v>
      </c>
      <c r="R45" t="str">
        <f t="shared" si="3"/>
        <v>MILER SRL3</v>
      </c>
      <c r="S45" t="str">
        <f>+R45&amp;COUNTIF($R$2:R45,R45)</f>
        <v>MILER SRL31</v>
      </c>
      <c r="T45" s="141">
        <f t="shared" si="8"/>
        <v>313031.50000000012</v>
      </c>
      <c r="U45" t="str">
        <f t="shared" si="4"/>
        <v>2344</v>
      </c>
      <c r="V45" t="str">
        <f t="shared" si="5"/>
        <v>MILER SRL3CC</v>
      </c>
      <c r="W45" t="str">
        <f>+V45&amp;COUNTIF($V$2:V45,V45)</f>
        <v>MILER SRL3CC1</v>
      </c>
    </row>
    <row r="46" spans="1:23" x14ac:dyDescent="0.25">
      <c r="A46" t="str">
        <f>Q46&amp;COUNTIF($Q$30:Q46,Q46)</f>
        <v>NAGLE JORGE ELIAS(FERRETERIA)FEBRERO 231</v>
      </c>
      <c r="B46" t="s">
        <v>143</v>
      </c>
      <c r="C46" t="s">
        <v>340</v>
      </c>
      <c r="D46" s="140" t="s">
        <v>341</v>
      </c>
      <c r="E46" s="10">
        <v>44994</v>
      </c>
      <c r="F46" t="str">
        <f>+IFERROR(INDEX('AUX23'!$C$2:$D$44,MATCH(CARGAFACTURAS!C46,'AUX23'!$D$2:$D$50,0),1),"")</f>
        <v>20-39477352-3</v>
      </c>
      <c r="G46" s="243">
        <v>740</v>
      </c>
      <c r="H46" s="141">
        <f>+IF(G46&lt;9999,0,IFERROR(VLOOKUP(C46,'AUX23'!$D$2:$K$50,3,0)*G46/100,0))</f>
        <v>0</v>
      </c>
      <c r="I46" s="141">
        <f>IF(G46&lt;9999,0,IFERROR(VLOOKUP(C46,'AUX23'!$D$2:$L$50,4,0)*G46/100,0))</f>
        <v>0</v>
      </c>
      <c r="J46" s="141">
        <f>IF(G46&lt;9999,0,IFERROR(VLOOKUP(C46,'AUX23'!$D$2:$L$50,5,0)*G46/100,0))</f>
        <v>0</v>
      </c>
      <c r="K46" s="141">
        <f>IF(G46&lt;9999,0,IFERROR((G46-67170)*VLOOKUP(C46,'AUX23'!$D$2:$L$50,6,0)/100,0))</f>
        <v>0</v>
      </c>
      <c r="L46" s="141">
        <f>IF(G46&lt;9999,0,IFERROR((G46/1.21)*VLOOKUP(C46,'AUX23'!$D$2:$L$50,7,0)/100,0))</f>
        <v>0</v>
      </c>
      <c r="M46" s="141">
        <f t="shared" si="1"/>
        <v>740</v>
      </c>
      <c r="N46" t="str">
        <f t="shared" si="9"/>
        <v>CC</v>
      </c>
      <c r="O46">
        <f t="shared" si="2"/>
        <v>3</v>
      </c>
      <c r="P46" t="s">
        <v>101</v>
      </c>
      <c r="Q46" t="str">
        <f t="shared" si="7"/>
        <v>NAGLE JORGE ELIAS(FERRETERIA)FEBRERO 23</v>
      </c>
      <c r="R46" t="str">
        <f t="shared" si="3"/>
        <v>NAGLE JORGE ELIAS(FERRETERIA)3</v>
      </c>
      <c r="S46" t="str">
        <f>+R46&amp;COUNTIF($R$2:R46,R46)</f>
        <v>NAGLE JORGE ELIAS(FERRETERIA)31</v>
      </c>
      <c r="T46" s="141">
        <f t="shared" si="8"/>
        <v>312291.50000000012</v>
      </c>
      <c r="U46" t="str">
        <f t="shared" si="4"/>
        <v>1425</v>
      </c>
      <c r="V46" t="str">
        <f t="shared" si="5"/>
        <v>NAGLE JORGE ELIAS(FERRETERIA)3CC</v>
      </c>
      <c r="W46" t="str">
        <f>+V46&amp;COUNTIF($V$2:V46,V46)</f>
        <v>NAGLE JORGE ELIAS(FERRETERIA)3CC1</v>
      </c>
    </row>
    <row r="47" spans="1:23" x14ac:dyDescent="0.25">
      <c r="A47" t="str">
        <f>Q47&amp;COUNTIF($Q$30:Q47,Q47)</f>
        <v>MAIMARA MAXIKIOSCOFEBRERO 231</v>
      </c>
      <c r="B47" t="s">
        <v>143</v>
      </c>
      <c r="C47" t="s">
        <v>82</v>
      </c>
      <c r="D47" s="140" t="s">
        <v>305</v>
      </c>
      <c r="E47" s="10">
        <v>44984</v>
      </c>
      <c r="F47" t="str">
        <f>+IFERROR(INDEX('AUX23'!$C$2:$D$44,MATCH(CARGAFACTURAS!C47,'AUX23'!$D$2:$D$50,0),1),"")</f>
        <v>20-30068293-2</v>
      </c>
      <c r="G47" s="243">
        <v>1300</v>
      </c>
      <c r="H47" s="141">
        <f>+IF(G47&lt;9999,0,IFERROR(VLOOKUP(C47,'AUX23'!$D$2:$K$50,3,0)*G47/100,0))</f>
        <v>0</v>
      </c>
      <c r="I47" s="141">
        <f>IF(G47&lt;9999,0,IFERROR(VLOOKUP(C47,'AUX23'!$D$2:$L$50,4,0)*G47/100,0))</f>
        <v>0</v>
      </c>
      <c r="J47" s="141">
        <f>IF(G47&lt;9999,0,IFERROR(VLOOKUP(C47,'AUX23'!$D$2:$L$50,5,0)*G47/100,0))</f>
        <v>0</v>
      </c>
      <c r="K47" s="141">
        <f>IF(G47&lt;9999,0,IFERROR((G47-67170)*VLOOKUP(C47,'AUX23'!$D$2:$L$50,6,0)/100,0))</f>
        <v>0</v>
      </c>
      <c r="L47" s="141">
        <f>IF(G47&lt;9999,0,IFERROR((G47/1.21)*VLOOKUP(C47,'AUX23'!$D$2:$L$50,7,0)/100,0))</f>
        <v>0</v>
      </c>
      <c r="M47" s="141">
        <f t="shared" si="1"/>
        <v>1300</v>
      </c>
      <c r="N47">
        <v>100329707</v>
      </c>
      <c r="O47">
        <f t="shared" si="2"/>
        <v>2</v>
      </c>
      <c r="P47" t="s">
        <v>101</v>
      </c>
      <c r="Q47" t="str">
        <f t="shared" si="7"/>
        <v>MAIMARA MAXIKIOSCOFEBRERO 23</v>
      </c>
      <c r="R47" t="str">
        <f t="shared" si="3"/>
        <v>MAIMARA MAXIKIOSCO2</v>
      </c>
      <c r="S47" t="str">
        <f>+R47&amp;COUNTIF($R$2:R47,R47)</f>
        <v>MAIMARA MAXIKIOSCO21</v>
      </c>
      <c r="T47" s="141">
        <f t="shared" si="8"/>
        <v>310991.50000000012</v>
      </c>
      <c r="U47" t="str">
        <f t="shared" si="4"/>
        <v>0592</v>
      </c>
      <c r="V47" t="str">
        <f t="shared" si="5"/>
        <v>MAIMARA MAXIKIOSCO2100329707</v>
      </c>
      <c r="W47" t="str">
        <f>+V47&amp;COUNTIF($V$2:V47,V47)</f>
        <v>MAIMARA MAXIKIOSCO21003297071</v>
      </c>
    </row>
    <row r="48" spans="1:23" x14ac:dyDescent="0.25">
      <c r="A48" t="str">
        <f>Q48&amp;COUNTIF($Q$30:Q48,Q48)</f>
        <v>SAWELEC SASFEBRERO 231</v>
      </c>
      <c r="B48" t="s">
        <v>143</v>
      </c>
      <c r="C48" t="s">
        <v>253</v>
      </c>
      <c r="D48" s="140" t="s">
        <v>304</v>
      </c>
      <c r="E48" s="10">
        <v>44987</v>
      </c>
      <c r="F48" t="str">
        <f>+IFERROR(INDEX('AUX23'!$C$2:$D$44,MATCH(CARGAFACTURAS!C48,'AUX23'!$D$2:$D$50,0),1),"")</f>
        <v>30-71678975-2</v>
      </c>
      <c r="G48" s="243">
        <v>10890.11</v>
      </c>
      <c r="H48" s="141">
        <f>+IF(G48&lt;9999,0,IFERROR(VLOOKUP(C48,'AUX23'!$D$2:$K$50,3,0)*G48/100,0))</f>
        <v>272.25274999999999</v>
      </c>
      <c r="I48" s="141">
        <f>IF(G48&lt;9999,0,IFERROR(VLOOKUP(C48,'AUX23'!$D$2:$L$50,4,0)*G48/100,0))</f>
        <v>381.15385000000003</v>
      </c>
      <c r="J48" s="141">
        <f>IF(G48&lt;9999,0,IFERROR(VLOOKUP(C48,'AUX23'!$D$2:$L$50,5,0)*G48/100,0))</f>
        <v>0</v>
      </c>
      <c r="K48" s="141">
        <f>IF(G48&lt;9999,0,IFERROR((G48-67170)*VLOOKUP(C48,'AUX23'!$D$2:$L$50,6,0)/100,0))</f>
        <v>0</v>
      </c>
      <c r="L48" s="141">
        <f>IF(G48&lt;9999,0,IFERROR((G48/1.21)*VLOOKUP(C48,'AUX23'!$D$2:$L$50,7,0)/100,0))</f>
        <v>0</v>
      </c>
      <c r="M48" s="141">
        <f t="shared" si="1"/>
        <v>10236.7034</v>
      </c>
      <c r="N48">
        <v>100965994</v>
      </c>
      <c r="O48">
        <f t="shared" si="2"/>
        <v>3</v>
      </c>
      <c r="P48" t="s">
        <v>101</v>
      </c>
      <c r="Q48" t="str">
        <f t="shared" si="7"/>
        <v>SAWELEC SASFEBRERO 23</v>
      </c>
      <c r="R48" t="str">
        <f t="shared" si="3"/>
        <v>SAWELEC SAS3</v>
      </c>
      <c r="S48" t="str">
        <f>+R48&amp;COUNTIF($R$2:R48,R48)</f>
        <v>SAWELEC SAS31</v>
      </c>
      <c r="T48" s="141">
        <f t="shared" si="8"/>
        <v>300101.39000000013</v>
      </c>
      <c r="U48" t="str">
        <f t="shared" si="4"/>
        <v>0458</v>
      </c>
      <c r="V48" t="str">
        <f t="shared" si="5"/>
        <v>SAWELEC SAS3100965994</v>
      </c>
      <c r="W48" t="str">
        <f>+V48&amp;COUNTIF($V$2:V48,V48)</f>
        <v>SAWELEC SAS31009659941</v>
      </c>
    </row>
    <row r="49" spans="1:23" x14ac:dyDescent="0.25">
      <c r="A49" t="str">
        <f>Q49&amp;COUNTIF($Q$30:Q49,Q49)</f>
        <v>ESCOBEDO LUCAS NICOLAS (PAPERTUC)FEBRERO 232</v>
      </c>
      <c r="B49" t="s">
        <v>143</v>
      </c>
      <c r="C49" t="s">
        <v>104</v>
      </c>
      <c r="D49" s="140" t="s">
        <v>306</v>
      </c>
      <c r="E49" s="10">
        <v>44986</v>
      </c>
      <c r="F49" t="str">
        <f>+IFERROR(INDEX('AUX23'!$C$2:$D$44,MATCH(CARGAFACTURAS!C49,'AUX23'!$D$2:$D$50,0),1),"")</f>
        <v>20-31729103-6</v>
      </c>
      <c r="G49" s="243">
        <v>30065.200000000001</v>
      </c>
      <c r="H49" s="141">
        <f>+IF(G49&lt;9999,0,IFERROR(VLOOKUP(C49,'AUX23'!$D$2:$K$50,3,0)*G49/100,0))</f>
        <v>375.815</v>
      </c>
      <c r="I49" s="141">
        <f>IF(G49&lt;9999,0,IFERROR(VLOOKUP(C49,'AUX23'!$D$2:$L$50,4,0)*G49/100,0))</f>
        <v>1503.26</v>
      </c>
      <c r="J49" s="141">
        <f>IF(G49&lt;9999,0,IFERROR(VLOOKUP(C49,'AUX23'!$D$2:$L$50,5,0)*G49/100,0))</f>
        <v>0</v>
      </c>
      <c r="K49" s="141">
        <f>IF(G49&lt;9999,0,IFERROR((G49-67170)*VLOOKUP(C49,'AUX23'!$D$2:$L$50,6,0)/100,0))</f>
        <v>0</v>
      </c>
      <c r="L49" s="141">
        <f>IF(G49&lt;9999,0,IFERROR((G49/1.21)*VLOOKUP(C49,'AUX23'!$D$2:$L$50,7,0)/100,0))</f>
        <v>0</v>
      </c>
      <c r="M49" s="141">
        <f t="shared" si="1"/>
        <v>28186.125000000004</v>
      </c>
      <c r="N49">
        <v>100965758</v>
      </c>
      <c r="O49">
        <f t="shared" si="2"/>
        <v>3</v>
      </c>
      <c r="P49" t="s">
        <v>101</v>
      </c>
      <c r="Q49" t="str">
        <f t="shared" si="7"/>
        <v>ESCOBEDO LUCAS NICOLAS (PAPERTUC)FEBRERO 23</v>
      </c>
      <c r="R49" t="str">
        <f t="shared" si="3"/>
        <v>ESCOBEDO LUCAS NICOLAS (PAPERTUC)3</v>
      </c>
      <c r="S49" t="str">
        <f>+R49&amp;COUNTIF($R$2:R49,R49)</f>
        <v>ESCOBEDO LUCAS NICOLAS (PAPERTUC)31</v>
      </c>
      <c r="T49" s="141">
        <f t="shared" si="8"/>
        <v>270036.19000000012</v>
      </c>
      <c r="U49" t="str">
        <f t="shared" si="4"/>
        <v>0915</v>
      </c>
      <c r="V49" t="str">
        <f t="shared" si="5"/>
        <v>ESCOBEDO LUCAS NICOLAS (PAPERTUC)3100965758</v>
      </c>
      <c r="W49" t="str">
        <f>+V49&amp;COUNTIF($V$2:V49,V49)</f>
        <v>ESCOBEDO LUCAS NICOLAS (PAPERTUC)31009657581</v>
      </c>
    </row>
    <row r="50" spans="1:23" x14ac:dyDescent="0.25">
      <c r="A50" t="str">
        <f>Q50&amp;COUNTIF($Q$30:Q50,Q50)</f>
        <v>LAMAS MONICA GABRIELAFEBRERO 231</v>
      </c>
      <c r="B50" t="s">
        <v>143</v>
      </c>
      <c r="C50" t="s">
        <v>315</v>
      </c>
      <c r="D50" s="140" t="s">
        <v>316</v>
      </c>
      <c r="E50" s="10">
        <v>44992</v>
      </c>
      <c r="F50" t="str">
        <f>+IFERROR(INDEX('AUX23'!$C$2:$D$44,MATCH(CARGAFACTURAS!C50,'AUX23'!$D$2:$D$50,0),1),"")</f>
        <v>27-27493596-6</v>
      </c>
      <c r="G50" s="243">
        <v>5363.3</v>
      </c>
      <c r="H50" s="141">
        <f>+IF(G50&lt;9999,0,IFERROR(VLOOKUP(C50,'AUX23'!$D$2:$K$50,3,0)*G50/100,0))</f>
        <v>0</v>
      </c>
      <c r="I50" s="141">
        <f>IF(G50&lt;9999,0,IFERROR(VLOOKUP(C50,'AUX23'!$D$2:$L$50,4,0)*G50/100,0))</f>
        <v>0</v>
      </c>
      <c r="J50" s="141">
        <f>IF(G50&lt;9999,0,IFERROR(VLOOKUP(C50,'AUX23'!$D$2:$L$50,5,0)*G50/100,0))</f>
        <v>0</v>
      </c>
      <c r="K50" s="141">
        <f>IF(G50&lt;9999,0,IFERROR((G50-67170)*VLOOKUP(C50,'AUX23'!$D$2:$L$50,6,0)/100,0))</f>
        <v>0</v>
      </c>
      <c r="L50" s="141">
        <f>IF(G50&lt;9999,0,IFERROR((G50/1.21)*VLOOKUP(C50,'AUX23'!$D$2:$L$50,7,0)/100,0))</f>
        <v>0</v>
      </c>
      <c r="M50" s="141">
        <f t="shared" si="1"/>
        <v>5363.3</v>
      </c>
      <c r="N50" t="str">
        <f t="shared" si="9"/>
        <v>CC</v>
      </c>
      <c r="O50">
        <f t="shared" si="2"/>
        <v>3</v>
      </c>
      <c r="P50" t="s">
        <v>101</v>
      </c>
      <c r="Q50" t="str">
        <f t="shared" si="7"/>
        <v>LAMAS MONICA GABRIELAFEBRERO 23</v>
      </c>
      <c r="R50" t="str">
        <f t="shared" si="3"/>
        <v>LAMAS MONICA GABRIELA3</v>
      </c>
      <c r="S50" t="str">
        <f>+R50&amp;COUNTIF($R$2:R50,R50)</f>
        <v>LAMAS MONICA GABRIELA31</v>
      </c>
      <c r="T50" s="141">
        <f t="shared" si="8"/>
        <v>264672.89000000013</v>
      </c>
      <c r="U50" t="str">
        <f t="shared" si="4"/>
        <v>9114</v>
      </c>
      <c r="V50" t="str">
        <f t="shared" si="5"/>
        <v>LAMAS MONICA GABRIELA3CC</v>
      </c>
      <c r="W50" t="str">
        <f>+V50&amp;COUNTIF($V$2:V50,V50)</f>
        <v>LAMAS MONICA GABRIELA3CC1</v>
      </c>
    </row>
    <row r="51" spans="1:23" x14ac:dyDescent="0.25">
      <c r="A51" t="str">
        <f>Q51&amp;COUNTIF($Q$30:Q51,Q51)</f>
        <v>PUERTAS RUBEN ALBERTO(PLASTINORT)FEBRERO 231</v>
      </c>
      <c r="B51" t="s">
        <v>143</v>
      </c>
      <c r="C51" t="s">
        <v>107</v>
      </c>
      <c r="D51" s="140" t="s">
        <v>317</v>
      </c>
      <c r="E51" s="10">
        <v>44992</v>
      </c>
      <c r="F51" t="str">
        <f>+IFERROR(INDEX('AUX23'!$C$2:$D$44,MATCH(CARGAFACTURAS!C51,'AUX23'!$D$2:$D$50,0),1),"")</f>
        <v>20-12576284-1</v>
      </c>
      <c r="G51" s="243">
        <v>3000</v>
      </c>
      <c r="H51" s="141">
        <f>+IF(G51&lt;9999,0,IFERROR(VLOOKUP(C51,'AUX23'!$D$2:$K$50,3,0)*G51/100,0))</f>
        <v>0</v>
      </c>
      <c r="I51" s="141">
        <f>IF(G51&lt;9999,0,IFERROR(VLOOKUP(C51,'AUX23'!$D$2:$L$50,4,0)*G51/100,0))</f>
        <v>0</v>
      </c>
      <c r="J51" s="141">
        <f>IF(G51&lt;9999,0,IFERROR(VLOOKUP(C51,'AUX23'!$D$2:$L$50,5,0)*G51/100,0))</f>
        <v>0</v>
      </c>
      <c r="K51" s="141">
        <f>IF(G51&lt;9999,0,IFERROR((G51-67170)*VLOOKUP(C51,'AUX23'!$D$2:$L$50,6,0)/100,0))</f>
        <v>0</v>
      </c>
      <c r="L51" s="141">
        <f>IF(G51&lt;9999,0,IFERROR((G51/1.21)*VLOOKUP(C51,'AUX23'!$D$2:$L$50,7,0)/100,0))</f>
        <v>0</v>
      </c>
      <c r="M51" s="141">
        <f t="shared" si="1"/>
        <v>3000</v>
      </c>
      <c r="N51" t="str">
        <f t="shared" si="9"/>
        <v>CC</v>
      </c>
      <c r="O51">
        <f t="shared" si="2"/>
        <v>3</v>
      </c>
      <c r="P51" t="s">
        <v>101</v>
      </c>
      <c r="Q51" t="str">
        <f t="shared" si="7"/>
        <v>PUERTAS RUBEN ALBERTO(PLASTINORT)FEBRERO 23</v>
      </c>
      <c r="R51" t="str">
        <f t="shared" si="3"/>
        <v>PUERTAS RUBEN ALBERTO(PLASTINORT)3</v>
      </c>
      <c r="S51" t="str">
        <f>+R51&amp;COUNTIF($R$2:R51,R51)</f>
        <v>PUERTAS RUBEN ALBERTO(PLASTINORT)31</v>
      </c>
      <c r="T51" s="141">
        <f t="shared" si="8"/>
        <v>261672.89000000013</v>
      </c>
      <c r="U51" t="str">
        <f t="shared" si="4"/>
        <v>8214</v>
      </c>
      <c r="V51" t="str">
        <f t="shared" si="5"/>
        <v>PUERTAS RUBEN ALBERTO(PLASTINORT)3CC</v>
      </c>
      <c r="W51" t="str">
        <f>+V51&amp;COUNTIF($V$2:V51,V51)</f>
        <v>PUERTAS RUBEN ALBERTO(PLASTINORT)3CC1</v>
      </c>
    </row>
    <row r="52" spans="1:23" x14ac:dyDescent="0.25">
      <c r="A52" t="str">
        <f>Q52&amp;COUNTIF($Q$30:Q52,Q52)</f>
        <v>ROTTA FRANCISCO(COMPUMAQ)FEBRERO 231</v>
      </c>
      <c r="B52" t="s">
        <v>143</v>
      </c>
      <c r="C52" t="s">
        <v>188</v>
      </c>
      <c r="D52" s="140" t="s">
        <v>336</v>
      </c>
      <c r="E52" s="10">
        <v>44994</v>
      </c>
      <c r="F52" t="str">
        <f>+IFERROR(INDEX('AUX23'!$C$2:$D$44,MATCH(CARGAFACTURAS!C52,'AUX23'!$D$2:$D$50,0),1),"")</f>
        <v>20-16216700-7</v>
      </c>
      <c r="G52" s="243">
        <v>9600</v>
      </c>
      <c r="H52" s="141">
        <f>+IF(G52&lt;9999,0,IFERROR(VLOOKUP(C52,'AUX23'!$D$2:$K$50,3,0)*G52/100,0))</f>
        <v>0</v>
      </c>
      <c r="I52" s="141">
        <f>IF(G52&lt;9999,0,IFERROR(VLOOKUP(C52,'AUX23'!$D$2:$L$50,4,0)*G52/100,0))</f>
        <v>0</v>
      </c>
      <c r="J52" s="141">
        <f>IF(G52&lt;9999,0,IFERROR(VLOOKUP(C52,'AUX23'!$D$2:$L$50,5,0)*G52/100,0))</f>
        <v>0</v>
      </c>
      <c r="K52" s="141">
        <f>IF(G52&lt;9999,0,IFERROR((G52-67170)*VLOOKUP(C52,'AUX23'!$D$2:$L$50,6,0)/100,0))</f>
        <v>0</v>
      </c>
      <c r="L52" s="141">
        <f>IF(G52&lt;9999,0,IFERROR((G52/1.21)*VLOOKUP(C52,'AUX23'!$D$2:$L$50,7,0)/100,0))</f>
        <v>0</v>
      </c>
      <c r="M52" s="141">
        <f t="shared" si="1"/>
        <v>9600</v>
      </c>
      <c r="N52" t="str">
        <f t="shared" si="9"/>
        <v>CC</v>
      </c>
      <c r="O52">
        <f t="shared" si="2"/>
        <v>3</v>
      </c>
      <c r="P52" t="s">
        <v>101</v>
      </c>
      <c r="Q52" t="str">
        <f t="shared" si="7"/>
        <v>ROTTA FRANCISCO(COMPUMAQ)FEBRERO 23</v>
      </c>
      <c r="R52" t="str">
        <f t="shared" si="3"/>
        <v>ROTTA FRANCISCO(COMPUMAQ)3</v>
      </c>
      <c r="S52" t="str">
        <f>+R52&amp;COUNTIF($R$2:R52,R52)</f>
        <v>ROTTA FRANCISCO(COMPUMAQ)31</v>
      </c>
      <c r="T52" s="141">
        <f t="shared" si="8"/>
        <v>252072.89000000013</v>
      </c>
      <c r="U52" t="str">
        <f t="shared" si="4"/>
        <v>5475</v>
      </c>
      <c r="V52" t="str">
        <f t="shared" si="5"/>
        <v>ROTTA FRANCISCO(COMPUMAQ)3CC</v>
      </c>
      <c r="W52" t="str">
        <f>+V52&amp;COUNTIF($V$2:V52,V52)</f>
        <v>ROTTA FRANCISCO(COMPUMAQ)3CC1</v>
      </c>
    </row>
    <row r="53" spans="1:23" x14ac:dyDescent="0.25">
      <c r="A53" t="str">
        <f>Q53&amp;COUNTIF($Q$30:Q53,Q53)</f>
        <v>LOFT COMPUTACION SASFEBRERO 232</v>
      </c>
      <c r="B53" t="s">
        <v>143</v>
      </c>
      <c r="C53" t="s">
        <v>136</v>
      </c>
      <c r="D53" s="140" t="s">
        <v>425</v>
      </c>
      <c r="E53" s="10">
        <v>44991</v>
      </c>
      <c r="F53" t="str">
        <f>+IFERROR(INDEX('AUX23'!$C$2:$D$44,MATCH(CARGAFACTURAS!C53,'AUX23'!$D$2:$D$50,0),1),"")</f>
        <v>30-71753417-0</v>
      </c>
      <c r="G53" s="243">
        <v>29850</v>
      </c>
      <c r="H53" s="141">
        <f>+IF(G53&lt;9999,0,IFERROR(VLOOKUP(C53,'AUX23'!$D$2:$K$50,3,0)*G53/100,0))</f>
        <v>373.125</v>
      </c>
      <c r="I53" s="141">
        <f>IF(G53&lt;9999,0,IFERROR(VLOOKUP(C53,'AUX23'!$D$2:$L$50,4,0)*G53/100,0))</f>
        <v>1044.75</v>
      </c>
      <c r="J53" s="141">
        <f>IF(G53&lt;9999,0,IFERROR(VLOOKUP(C53,'AUX23'!$D$2:$L$50,5,0)*G53/100,0))</f>
        <v>0</v>
      </c>
      <c r="K53" s="141">
        <f>IF(G53&lt;9999,0,IFERROR((G53-67170)*VLOOKUP(C53,'AUX23'!$D$2:$L$50,6,0)/100,0))</f>
        <v>0</v>
      </c>
      <c r="L53" s="141">
        <f>IF(G53&lt;9999,0,IFERROR((G53/1.21)*VLOOKUP(C53,'AUX23'!$D$2:$L$50,7,0)/100,0))</f>
        <v>0</v>
      </c>
      <c r="M53" s="141">
        <f t="shared" si="1"/>
        <v>28432.125</v>
      </c>
      <c r="N53">
        <v>36068195</v>
      </c>
      <c r="O53">
        <f t="shared" si="2"/>
        <v>3</v>
      </c>
      <c r="P53" t="s">
        <v>101</v>
      </c>
      <c r="Q53" t="str">
        <f t="shared" si="7"/>
        <v>LOFT COMPUTACION SASFEBRERO 23</v>
      </c>
      <c r="R53" t="str">
        <f t="shared" si="3"/>
        <v>LOFT COMPUTACION SAS3</v>
      </c>
      <c r="S53" t="str">
        <f>+R53&amp;COUNTIF($R$2:R53,R53)</f>
        <v>LOFT COMPUTACION SAS31</v>
      </c>
      <c r="T53" s="141">
        <f t="shared" si="8"/>
        <v>222222.89000000013</v>
      </c>
      <c r="U53" t="str">
        <f t="shared" si="4"/>
        <v>0196</v>
      </c>
      <c r="V53" t="str">
        <f t="shared" si="5"/>
        <v>LOFT COMPUTACION SAS336068195</v>
      </c>
      <c r="W53" t="str">
        <f>+V53&amp;COUNTIF($V$2:V53,V53)</f>
        <v>LOFT COMPUTACION SAS3360681951</v>
      </c>
    </row>
    <row r="54" spans="1:23" x14ac:dyDescent="0.25">
      <c r="A54" t="str">
        <f>Q54&amp;COUNTIF($Q$30:Q54,Q54)</f>
        <v>GOMEZ PARDO RAUL(LIMPLUS)FEBRERO 231</v>
      </c>
      <c r="B54" t="s">
        <v>143</v>
      </c>
      <c r="C54" t="s">
        <v>114</v>
      </c>
      <c r="D54" s="140" t="s">
        <v>346</v>
      </c>
      <c r="E54" s="10">
        <v>44995</v>
      </c>
      <c r="F54" t="str">
        <f>+IFERROR(INDEX('AUX23'!$C$2:$D$44,MATCH(CARGAFACTURAS!C54,'AUX23'!$D$2:$D$50,0),1),"")</f>
        <v>20-34285327-8</v>
      </c>
      <c r="G54" s="243">
        <v>16574.310000000001</v>
      </c>
      <c r="H54" s="141">
        <f>+IF(G54&lt;9999,0,IFERROR(VLOOKUP(C54,'AUX23'!$D$2:$K$50,3,0)*G54/100,0))</f>
        <v>207.17887500000001</v>
      </c>
      <c r="I54" s="141">
        <f>IF(G54&lt;9999,0,IFERROR(VLOOKUP(C54,'AUX23'!$D$2:$L$50,4,0)*G54/100,0))</f>
        <v>828.71550000000002</v>
      </c>
      <c r="J54" s="141">
        <f>IF(G54&lt;9999,0,IFERROR(VLOOKUP(C54,'AUX23'!$D$2:$L$50,5,0)*G54/100,0))</f>
        <v>0</v>
      </c>
      <c r="K54" s="141">
        <f>IF(G54&lt;9999,0,IFERROR((G54-67170)*VLOOKUP(C54,'AUX23'!$D$2:$L$50,6,0)/100,0))</f>
        <v>0</v>
      </c>
      <c r="L54" s="141">
        <f>IF(G54&lt;9999,0,IFERROR((G54/1.21)*VLOOKUP(C54,'AUX23'!$D$2:$L$50,7,0)/100,0))</f>
        <v>0</v>
      </c>
      <c r="M54" s="141">
        <f t="shared" si="1"/>
        <v>15538.415625000001</v>
      </c>
      <c r="N54">
        <v>101353523</v>
      </c>
      <c r="O54">
        <f t="shared" si="2"/>
        <v>3</v>
      </c>
      <c r="P54" t="s">
        <v>101</v>
      </c>
      <c r="Q54" t="str">
        <f t="shared" si="7"/>
        <v>GOMEZ PARDO RAUL(LIMPLUS)FEBRERO 23</v>
      </c>
      <c r="R54" t="str">
        <f t="shared" si="3"/>
        <v>GOMEZ PARDO RAUL(LIMPLUS)3</v>
      </c>
      <c r="S54" t="str">
        <f>+R54&amp;COUNTIF($R$2:R54,R54)</f>
        <v>GOMEZ PARDO RAUL(LIMPLUS)31</v>
      </c>
      <c r="T54" s="141">
        <f t="shared" si="8"/>
        <v>205648.58000000013</v>
      </c>
      <c r="U54" t="str">
        <f t="shared" si="4"/>
        <v>9238</v>
      </c>
      <c r="V54" t="str">
        <f t="shared" si="5"/>
        <v>GOMEZ PARDO RAUL(LIMPLUS)3101353523</v>
      </c>
      <c r="W54" t="str">
        <f>+V54&amp;COUNTIF($V$2:V54,V54)</f>
        <v>GOMEZ PARDO RAUL(LIMPLUS)31013535231</v>
      </c>
    </row>
    <row r="55" spans="1:23" x14ac:dyDescent="0.25">
      <c r="A55" t="str">
        <f>Q55&amp;COUNTIF($Q$30:Q55,Q55)</f>
        <v>WATERLIFE (VARONA CARLOS JOSE)FEBRERO 232</v>
      </c>
      <c r="B55" t="s">
        <v>143</v>
      </c>
      <c r="C55" t="s">
        <v>20</v>
      </c>
      <c r="D55" t="s">
        <v>298</v>
      </c>
      <c r="E55" s="10">
        <v>44986</v>
      </c>
      <c r="F55" t="str">
        <f>+IFERROR(INDEX('AUX23'!$C$2:$D$70,MATCH(CARGAFACTURAS!C55,'AUX23'!$D$2:$D$50,0),1),"")</f>
        <v>20-22414023-2</v>
      </c>
      <c r="G55" s="243">
        <v>51450</v>
      </c>
      <c r="H55" s="141">
        <f>+IF(G55&lt;9999,0,IFERROR(VLOOKUP(C55,'AUX23'!$D$2:$K$50,3,0)*G55/100,0))</f>
        <v>0</v>
      </c>
      <c r="I55" s="141">
        <f>IF(G55&lt;9999,0,IFERROR(VLOOKUP(C55,'AUX23'!$D$2:$L$50,4,0)*G55/100,0))</f>
        <v>1286.25</v>
      </c>
      <c r="J55" s="141">
        <f>IF(G55&lt;9999,0,IFERROR(VLOOKUP(C55,'AUX23'!$D$2:$L$50,5,0)*G55/100,0))</f>
        <v>0</v>
      </c>
      <c r="K55" s="141">
        <f>IF(G55&lt;9999,0,IFERROR((G55-67170)*VLOOKUP(C55,'AUX23'!$D$2:$L$50,6,0)/100,0))</f>
        <v>0</v>
      </c>
      <c r="L55" s="141">
        <f>IF(G55&lt;9999,0,IFERROR((G55/1.21)*VLOOKUP(C55,'AUX23'!$D$2:$L$50,7,0)/100,0))</f>
        <v>0</v>
      </c>
      <c r="M55" s="141">
        <f t="shared" si="1"/>
        <v>50163.75</v>
      </c>
      <c r="N55">
        <v>101186920</v>
      </c>
      <c r="O55">
        <f t="shared" si="2"/>
        <v>3</v>
      </c>
      <c r="P55" t="s">
        <v>101</v>
      </c>
      <c r="Q55" t="str">
        <f t="shared" si="7"/>
        <v>WATERLIFE (VARONA CARLOS JOSE)FEBRERO 23</v>
      </c>
      <c r="R55" t="str">
        <f t="shared" si="3"/>
        <v>WATERLIFE (VARONA CARLOS JOSE)3</v>
      </c>
      <c r="S55" t="str">
        <f>+R55&amp;COUNTIF($R$2:R55,R55)</f>
        <v>WATERLIFE (VARONA CARLOS JOSE)31</v>
      </c>
      <c r="T55" s="141">
        <f t="shared" si="8"/>
        <v>154198.58000000013</v>
      </c>
      <c r="U55" t="str">
        <f t="shared" si="4"/>
        <v>4216</v>
      </c>
      <c r="V55" t="str">
        <f t="shared" si="5"/>
        <v>WATERLIFE (VARONA CARLOS JOSE)3101186920</v>
      </c>
      <c r="W55" t="str">
        <f>+V55&amp;COUNTIF($V$2:V55,V55)</f>
        <v>WATERLIFE (VARONA CARLOS JOSE)31011869201</v>
      </c>
    </row>
    <row r="56" spans="1:23" x14ac:dyDescent="0.25">
      <c r="A56" t="str">
        <f>Q56&amp;COUNTIF($Q$30:Q56,Q56)</f>
        <v>SG IMPRESIONESFEBRERO 231</v>
      </c>
      <c r="B56" t="s">
        <v>143</v>
      </c>
      <c r="C56" t="s">
        <v>207</v>
      </c>
      <c r="D56" s="140" t="s">
        <v>319</v>
      </c>
      <c r="E56" s="10">
        <v>44992</v>
      </c>
      <c r="F56" t="str">
        <f>+IFERROR(INDEX('AUX23'!$C$2:$D$44,MATCH(CARGAFACTURAS!C56,'AUX23'!$D$2:$D$50,0),1),"")</f>
        <v>30-71784900-7</v>
      </c>
      <c r="G56" s="243">
        <v>4235</v>
      </c>
      <c r="H56" s="141">
        <f>+IF(G56&lt;9999,0,IFERROR(VLOOKUP(C56,'AUX23'!$D$2:$K$50,3,0)*G56/100,0))</f>
        <v>0</v>
      </c>
      <c r="I56" s="141">
        <f>IF(G56&lt;9999,0,IFERROR(VLOOKUP(C56,'AUX23'!$D$2:$L$50,4,0)*G56/100,0))</f>
        <v>0</v>
      </c>
      <c r="J56" s="141">
        <f>IF(G56&lt;9999,0,IFERROR(VLOOKUP(C56,'AUX23'!$D$2:$L$50,5,0)*G56/100,0))</f>
        <v>0</v>
      </c>
      <c r="K56" s="141">
        <f>IF(G56&lt;9999,0,IFERROR((G56-67170)*VLOOKUP(C56,'AUX23'!$D$2:$L$50,6,0)/100,0))</f>
        <v>0</v>
      </c>
      <c r="L56" s="141">
        <f>IF(G56&lt;9999,0,IFERROR((G56/1.21)*VLOOKUP(C56,'AUX23'!$D$2:$L$50,7,0)/100,0))</f>
        <v>0</v>
      </c>
      <c r="M56" s="141">
        <f t="shared" si="1"/>
        <v>4235</v>
      </c>
      <c r="N56" t="str">
        <f t="shared" si="9"/>
        <v>CC</v>
      </c>
      <c r="O56">
        <f t="shared" si="2"/>
        <v>3</v>
      </c>
      <c r="P56" t="s">
        <v>101</v>
      </c>
      <c r="Q56" t="str">
        <f t="shared" si="7"/>
        <v>SG IMPRESIONESFEBRERO 23</v>
      </c>
      <c r="R56" t="str">
        <f t="shared" si="3"/>
        <v>SG IMPRESIONES3</v>
      </c>
      <c r="S56" t="str">
        <f>+R56&amp;COUNTIF($R$2:R56,R56)</f>
        <v>SG IMPRESIONES31</v>
      </c>
      <c r="T56" s="141">
        <f t="shared" si="8"/>
        <v>149963.58000000013</v>
      </c>
      <c r="U56" t="str">
        <f t="shared" si="4"/>
        <v>0019</v>
      </c>
      <c r="V56" t="str">
        <f t="shared" si="5"/>
        <v>SG IMPRESIONES3CC</v>
      </c>
      <c r="W56" t="str">
        <f>+V56&amp;COUNTIF($V$2:V56,V56)</f>
        <v>SG IMPRESIONES3CC1</v>
      </c>
    </row>
    <row r="57" spans="1:23" x14ac:dyDescent="0.25">
      <c r="A57" t="str">
        <f>Q57&amp;COUNTIF($Q$30:Q57,Q57)</f>
        <v>LIBRERÍA SAN PABLO SRLFEBRERO 232</v>
      </c>
      <c r="B57" t="s">
        <v>143</v>
      </c>
      <c r="C57" t="s">
        <v>10</v>
      </c>
      <c r="D57" s="140" t="s">
        <v>321</v>
      </c>
      <c r="E57" s="10">
        <v>44993</v>
      </c>
      <c r="F57" t="str">
        <f>+IFERROR(INDEX('AUX23'!$C$2:$D$44,MATCH(CARGAFACTURAS!C57,'AUX23'!$D$2:$D$50,0),1),"")</f>
        <v>30-58351679-0</v>
      </c>
      <c r="G57" s="243">
        <v>30000</v>
      </c>
      <c r="H57" s="141">
        <f>+IF(G57&lt;9999,0,IFERROR(VLOOKUP(C57,'AUX23'!$D$2:$K$50,3,0)*G57/100,0))</f>
        <v>375</v>
      </c>
      <c r="I57" s="141">
        <f>IF(G57&lt;9999,0,IFERROR(VLOOKUP(C57,'AUX23'!$D$2:$L$50,4,0)*G57/100,0))</f>
        <v>1500</v>
      </c>
      <c r="J57" s="141">
        <f>IF(G57&lt;9999,0,IFERROR(VLOOKUP(C57,'AUX23'!$D$2:$L$50,5,0)*G57/100,0))</f>
        <v>0</v>
      </c>
      <c r="K57" s="141">
        <f>IF(G57&lt;9999,0,IFERROR((G57-67170)*VLOOKUP(C57,'AUX23'!$D$2:$L$50,6,0)/100,0))</f>
        <v>0</v>
      </c>
      <c r="L57" s="141">
        <f>IF(G57&lt;9999,0,IFERROR((G57/1.21)*VLOOKUP(C57,'AUX23'!$D$2:$L$50,7,0)/100,0))</f>
        <v>0</v>
      </c>
      <c r="M57" s="141">
        <f t="shared" si="1"/>
        <v>28125</v>
      </c>
      <c r="N57">
        <v>101109130</v>
      </c>
      <c r="O57">
        <f t="shared" si="2"/>
        <v>3</v>
      </c>
      <c r="P57" t="s">
        <v>101</v>
      </c>
      <c r="Q57" t="str">
        <f t="shared" si="7"/>
        <v>LIBRERÍA SAN PABLO SRLFEBRERO 23</v>
      </c>
      <c r="R57" t="str">
        <f t="shared" si="3"/>
        <v>LIBRERÍA SAN PABLO SRL3</v>
      </c>
      <c r="S57" t="str">
        <f>+R57&amp;COUNTIF($R$2:R57,R57)</f>
        <v>LIBRERÍA SAN PABLO SRL31</v>
      </c>
      <c r="T57" s="141">
        <f t="shared" si="8"/>
        <v>119963.58000000013</v>
      </c>
      <c r="U57" t="str">
        <f t="shared" si="4"/>
        <v>9294</v>
      </c>
      <c r="V57" t="str">
        <f t="shared" si="5"/>
        <v>LIBRERÍA SAN PABLO SRL3101109130</v>
      </c>
      <c r="W57" t="str">
        <f>+V57&amp;COUNTIF($V$2:V57,V57)</f>
        <v>LIBRERÍA SAN PABLO SRL31011091301</v>
      </c>
    </row>
    <row r="58" spans="1:23" x14ac:dyDescent="0.25">
      <c r="A58" t="str">
        <f>Q58&amp;COUNTIF($Q$30:Q58,Q58)</f>
        <v>SAWELEC SASFEBRERO 232</v>
      </c>
      <c r="B58" t="s">
        <v>143</v>
      </c>
      <c r="C58" t="s">
        <v>253</v>
      </c>
      <c r="D58" s="140" t="s">
        <v>262</v>
      </c>
      <c r="E58" s="10">
        <v>44986</v>
      </c>
      <c r="F58" t="str">
        <f>+IFERROR(INDEX('AUX23'!$C$2:$D$44,MATCH(CARGAFACTURAS!C58,'AUX23'!$D$2:$D$50,0),1),"")</f>
        <v>30-71678975-2</v>
      </c>
      <c r="G58" s="243">
        <v>9790.02</v>
      </c>
      <c r="H58" s="141">
        <f>+IF(G58&lt;9999,0,IFERROR(VLOOKUP(C58,'AUX23'!$D$2:$K$50,3,0)*G58/100,0))</f>
        <v>0</v>
      </c>
      <c r="I58" s="141">
        <f>IF(G58&lt;9999,0,IFERROR(VLOOKUP(C58,'AUX23'!$D$2:$L$50,4,0)*G58/100,0))</f>
        <v>0</v>
      </c>
      <c r="J58" s="141">
        <f>IF(G58&lt;9999,0,IFERROR(VLOOKUP(C58,'AUX23'!$D$2:$L$50,5,0)*G58/100,0))</f>
        <v>0</v>
      </c>
      <c r="K58" s="141">
        <f>IF(G58&lt;9999,0,IFERROR((G58-67170)*VLOOKUP(C58,'AUX23'!$D$2:$L$50,6,0)/100,0))</f>
        <v>0</v>
      </c>
      <c r="L58" s="141">
        <f>IF(G58&lt;9999,0,IFERROR((G58/1.21)*VLOOKUP(C58,'AUX23'!$D$2:$L$50,7,0)/100,0))</f>
        <v>0</v>
      </c>
      <c r="M58" s="141">
        <f t="shared" ref="M58:M121" si="10">G58-H58-I58-J58-K58-L58</f>
        <v>9790.02</v>
      </c>
      <c r="N58">
        <v>100330397</v>
      </c>
      <c r="O58">
        <f t="shared" ref="O58:O121" si="11">+MONTH(E58)</f>
        <v>3</v>
      </c>
      <c r="P58" t="s">
        <v>101</v>
      </c>
      <c r="Q58" t="str">
        <f t="shared" si="7"/>
        <v>SAWELEC SASFEBRERO 23</v>
      </c>
      <c r="R58" t="str">
        <f t="shared" si="3"/>
        <v>SAWELEC SAS3</v>
      </c>
      <c r="S58" t="str">
        <f>+R58&amp;COUNTIF($R$2:R58,R58)</f>
        <v>SAWELEC SAS32</v>
      </c>
      <c r="T58" s="141">
        <f t="shared" si="8"/>
        <v>110173.56000000013</v>
      </c>
      <c r="U58" t="str">
        <f t="shared" si="4"/>
        <v>0036</v>
      </c>
      <c r="V58" t="str">
        <f t="shared" si="5"/>
        <v>SAWELEC SAS3100330397</v>
      </c>
      <c r="W58" t="str">
        <f>+V58&amp;COUNTIF($V$2:V58,V58)</f>
        <v>SAWELEC SAS31003303971</v>
      </c>
    </row>
    <row r="59" spans="1:23" x14ac:dyDescent="0.25">
      <c r="A59" t="str">
        <f>Q59&amp;COUNTIF($Q$30:Q59,Q59)</f>
        <v>CLARO (AMX ARGENTINA)FEBRERO 232</v>
      </c>
      <c r="B59" t="s">
        <v>143</v>
      </c>
      <c r="C59" t="s">
        <v>18</v>
      </c>
      <c r="D59" s="140" t="s">
        <v>345</v>
      </c>
      <c r="E59" s="10">
        <v>44972</v>
      </c>
      <c r="F59" t="str">
        <f>+IFERROR(INDEX('AUX23'!$C$2:$D$44,MATCH(CARGAFACTURAS!C59,'AUX23'!$D$2:$D$50,0),1),"")</f>
        <v>30-66328849-7</v>
      </c>
      <c r="G59" s="243">
        <v>17514.75</v>
      </c>
      <c r="H59" s="141">
        <f>+IF(G59&lt;9999,0,IFERROR(VLOOKUP(C59,'AUX23'!$D$2:$K$50,3,0)*G59/100,0))</f>
        <v>0</v>
      </c>
      <c r="I59" s="141">
        <f>IF(G59&lt;9999,0,IFERROR(VLOOKUP(C59,'AUX23'!$D$2:$L$50,4,0)*G59/100,0))</f>
        <v>0</v>
      </c>
      <c r="J59" s="141">
        <f>IF(G59&lt;9999,0,IFERROR(VLOOKUP(C59,'AUX23'!$D$2:$L$50,5,0)*G59/100,0))</f>
        <v>0</v>
      </c>
      <c r="K59" s="141">
        <f>IF(G59&lt;9999,0,IFERROR((G59-67170)*VLOOKUP(C59,'AUX23'!$D$2:$L$50,6,0)/100,0))</f>
        <v>0</v>
      </c>
      <c r="L59" s="141">
        <f>IF(G59&lt;9999,0,IFERROR((G59/1.21)*VLOOKUP(C59,'AUX23'!$D$2:$L$50,7,0)/100,0))</f>
        <v>0</v>
      </c>
      <c r="M59" s="141">
        <f t="shared" si="10"/>
        <v>17514.75</v>
      </c>
      <c r="N59">
        <v>101319624</v>
      </c>
      <c r="O59">
        <f t="shared" si="11"/>
        <v>2</v>
      </c>
      <c r="P59" t="s">
        <v>101</v>
      </c>
      <c r="Q59" t="str">
        <f t="shared" si="7"/>
        <v>CLARO (AMX ARGENTINA)FEBRERO 23</v>
      </c>
      <c r="R59" t="str">
        <f t="shared" si="3"/>
        <v>CLARO (AMX ARGENTINA)2</v>
      </c>
      <c r="S59" t="str">
        <f>+R59&amp;COUNTIF($R$2:R59,R59)</f>
        <v>CLARO (AMX ARGENTINA)21</v>
      </c>
      <c r="T59" s="141">
        <f t="shared" si="8"/>
        <v>92658.810000000129</v>
      </c>
      <c r="U59" t="str">
        <f t="shared" si="4"/>
        <v>4191</v>
      </c>
      <c r="V59" t="str">
        <f t="shared" si="5"/>
        <v>CLARO (AMX ARGENTINA)2101319624</v>
      </c>
      <c r="W59" t="str">
        <f>+V59&amp;COUNTIF($V$2:V59,V59)</f>
        <v>CLARO (AMX ARGENTINA)21013196241</v>
      </c>
    </row>
    <row r="60" spans="1:23" x14ac:dyDescent="0.25">
      <c r="A60" t="str">
        <f>Q60&amp;COUNTIF($Q$30:Q60,Q60)</f>
        <v>SAWELEC SASFEBRERO 233</v>
      </c>
      <c r="B60" t="s">
        <v>143</v>
      </c>
      <c r="C60" t="s">
        <v>253</v>
      </c>
      <c r="D60" s="140" t="s">
        <v>320</v>
      </c>
      <c r="E60" s="10">
        <v>44993</v>
      </c>
      <c r="F60" t="str">
        <f>+IFERROR(INDEX('AUX23'!$C$2:$D$44,MATCH(CARGAFACTURAS!C60,'AUX23'!$D$2:$D$50,0),1),"")</f>
        <v>30-71678975-2</v>
      </c>
      <c r="G60" s="243">
        <v>9746.85</v>
      </c>
      <c r="H60" s="141">
        <f>+IF(G60&lt;9999,0,IFERROR(VLOOKUP(C60,'AUX23'!$D$2:$K$50,3,0)*G60/100,0))</f>
        <v>0</v>
      </c>
      <c r="I60" s="141">
        <f>IF(G60&lt;9999,0,IFERROR(VLOOKUP(C60,'AUX23'!$D$2:$L$50,4,0)*G60/100,0))</f>
        <v>0</v>
      </c>
      <c r="J60" s="141">
        <f>IF(G60&lt;9999,0,IFERROR(VLOOKUP(C60,'AUX23'!$D$2:$L$50,5,0)*G60/100,0))</f>
        <v>0</v>
      </c>
      <c r="K60" s="141">
        <f>IF(G60&lt;9999,0,IFERROR((G60-67170)*VLOOKUP(C60,'AUX23'!$D$2:$L$50,6,0)/100,0))</f>
        <v>0</v>
      </c>
      <c r="L60" s="141">
        <f>IF(G60&lt;9999,0,IFERROR((G60/1.21)*VLOOKUP(C60,'AUX23'!$D$2:$L$50,7,0)/100,0))</f>
        <v>0</v>
      </c>
      <c r="M60" s="141">
        <f t="shared" si="10"/>
        <v>9746.85</v>
      </c>
      <c r="N60">
        <v>33802372</v>
      </c>
      <c r="O60">
        <f t="shared" si="11"/>
        <v>3</v>
      </c>
      <c r="P60" t="s">
        <v>101</v>
      </c>
      <c r="Q60" t="str">
        <f t="shared" si="7"/>
        <v>SAWELEC SASFEBRERO 23</v>
      </c>
      <c r="R60" t="str">
        <f t="shared" si="3"/>
        <v>SAWELEC SAS3</v>
      </c>
      <c r="S60" t="str">
        <f>+R60&amp;COUNTIF($R$2:R60,R60)</f>
        <v>SAWELEC SAS33</v>
      </c>
      <c r="T60" s="141">
        <f t="shared" si="8"/>
        <v>82911.960000000123</v>
      </c>
      <c r="U60" t="str">
        <f t="shared" si="4"/>
        <v>0039</v>
      </c>
      <c r="V60" t="str">
        <f t="shared" si="5"/>
        <v>SAWELEC SAS333802372</v>
      </c>
      <c r="W60" t="str">
        <f>+V60&amp;COUNTIF($V$2:V60,V60)</f>
        <v>SAWELEC SAS3338023721</v>
      </c>
    </row>
    <row r="61" spans="1:23" x14ac:dyDescent="0.25">
      <c r="A61" t="str">
        <f>Q61&amp;COUNTIF($Q$30:Q61,Q61)</f>
        <v>LIBRERÍA SAN PABLO SRLFEBRERO 233</v>
      </c>
      <c r="B61" t="s">
        <v>143</v>
      </c>
      <c r="C61" t="s">
        <v>10</v>
      </c>
      <c r="D61" s="140" t="s">
        <v>350</v>
      </c>
      <c r="E61" s="10">
        <v>44995</v>
      </c>
      <c r="F61" t="str">
        <f>+IFERROR(INDEX('AUX23'!$C$2:$D$44,MATCH(CARGAFACTURAS!C61,'AUX23'!$D$2:$D$50,0),1),"")</f>
        <v>30-58351679-0</v>
      </c>
      <c r="G61" s="141">
        <v>60000</v>
      </c>
      <c r="H61" s="141">
        <f>+IF(G61&lt;9999,0,IFERROR(VLOOKUP(C61,'AUX23'!$D$2:$K$50,3,0)*G61/100,0))</f>
        <v>750</v>
      </c>
      <c r="I61" s="141">
        <f>IF(G61&lt;9999,0,IFERROR(VLOOKUP(C61,'AUX23'!$D$2:$L$50,4,0)*G61/100,0))</f>
        <v>3000</v>
      </c>
      <c r="J61" s="141">
        <f>IF(G61&lt;9999,0,IFERROR(VLOOKUP(C61,'AUX23'!$D$2:$L$50,5,0)*G61/100,0))</f>
        <v>0</v>
      </c>
      <c r="K61" s="141">
        <f>IF(G61&lt;9999,0,IFERROR((G61-67170)*VLOOKUP(C61,'AUX23'!$D$2:$L$50,6,0)/100,0))</f>
        <v>0</v>
      </c>
      <c r="L61" s="141">
        <f>IF(G61&lt;9999,0,IFERROR((G61/1.21)*VLOOKUP(C61,'AUX23'!$D$2:$L$50,7,0)/100,0))</f>
        <v>0</v>
      </c>
      <c r="M61" s="141">
        <f t="shared" si="10"/>
        <v>56250</v>
      </c>
      <c r="N61">
        <v>33739345</v>
      </c>
      <c r="O61">
        <f t="shared" si="11"/>
        <v>3</v>
      </c>
      <c r="P61" t="s">
        <v>101</v>
      </c>
      <c r="Q61" t="str">
        <f t="shared" si="7"/>
        <v>LIBRERÍA SAN PABLO SRLFEBRERO 23</v>
      </c>
      <c r="R61" t="str">
        <f t="shared" si="3"/>
        <v>LIBRERÍA SAN PABLO SRL3</v>
      </c>
      <c r="S61" t="str">
        <f>+R61&amp;COUNTIF($R$2:R61,R61)</f>
        <v>LIBRERÍA SAN PABLO SRL32</v>
      </c>
      <c r="T61" s="141">
        <f t="shared" si="8"/>
        <v>22911.960000000123</v>
      </c>
      <c r="U61" t="str">
        <f t="shared" si="4"/>
        <v>9382</v>
      </c>
      <c r="V61" t="str">
        <f t="shared" si="5"/>
        <v>LIBRERÍA SAN PABLO SRL333739345</v>
      </c>
      <c r="W61" t="str">
        <f>+V61&amp;COUNTIF($V$2:V61,V61)</f>
        <v>LIBRERÍA SAN PABLO SRL3337393451</v>
      </c>
    </row>
    <row r="62" spans="1:23" x14ac:dyDescent="0.25">
      <c r="A62" t="str">
        <f>Q62&amp;COUNTIF($Q$30:Q62,Q62)</f>
        <v>DEVOLUCION RFFEBRERO 231</v>
      </c>
      <c r="B62" t="s">
        <v>143</v>
      </c>
      <c r="C62" t="s">
        <v>358</v>
      </c>
      <c r="D62" s="140"/>
      <c r="E62" s="10"/>
      <c r="F62" t="str">
        <f>+IFERROR(INDEX('AUX23'!$C$2:$D$44,MATCH(CARGAFACTURAS!C62,'AUX23'!$D$2:$D$50,0),1),"")</f>
        <v/>
      </c>
      <c r="G62" s="141">
        <v>19870</v>
      </c>
      <c r="H62" s="141">
        <f>+IF(G62&lt;9999,0,IFERROR(VLOOKUP(C62,'AUX23'!$D$2:$K$50,3,0)*G62/100,0))</f>
        <v>0</v>
      </c>
      <c r="I62" s="141">
        <f>IF(G62&lt;9999,0,IFERROR(VLOOKUP(C62,'AUX23'!$D$2:$L$50,4,0)*G62/100,0))</f>
        <v>0</v>
      </c>
      <c r="J62" s="141">
        <f>IF(G62&lt;9999,0,IFERROR(VLOOKUP(C62,'AUX23'!$D$2:$L$50,5,0)*G62/100,0))</f>
        <v>0</v>
      </c>
      <c r="K62" s="141">
        <f>IF(G62&lt;9999,0,IFERROR((G62-67170)*VLOOKUP(C62,'AUX23'!$D$2:$L$50,6,0)/100,0))</f>
        <v>0</v>
      </c>
      <c r="L62" s="141">
        <f>IF(G62&lt;9999,0,IFERROR((G62/1.21)*VLOOKUP(C62,'AUX23'!$D$2:$L$50,7,0)/100,0))</f>
        <v>0</v>
      </c>
      <c r="M62" s="141">
        <f t="shared" si="10"/>
        <v>19870</v>
      </c>
      <c r="N62">
        <v>100274965</v>
      </c>
      <c r="O62">
        <f t="shared" si="11"/>
        <v>1</v>
      </c>
      <c r="P62" t="s">
        <v>101</v>
      </c>
      <c r="Q62" t="str">
        <f t="shared" si="7"/>
        <v>DEVOLUCION RFFEBRERO 23</v>
      </c>
      <c r="R62" t="str">
        <f t="shared" si="3"/>
        <v>DEVOLUCION RF1</v>
      </c>
      <c r="S62" t="str">
        <f>+R62&amp;COUNTIF($R$2:R62,R62)</f>
        <v>DEVOLUCION RF11</v>
      </c>
      <c r="T62" s="141">
        <f t="shared" si="8"/>
        <v>3041.9600000001228</v>
      </c>
      <c r="U62" t="str">
        <f t="shared" si="4"/>
        <v/>
      </c>
      <c r="V62" t="str">
        <f t="shared" si="5"/>
        <v>DEVOLUCION RF1100274965</v>
      </c>
      <c r="W62" t="str">
        <f>+V62&amp;COUNTIF($V$2:V62,V62)</f>
        <v>DEVOLUCION RF11002749651</v>
      </c>
    </row>
    <row r="63" spans="1:23" x14ac:dyDescent="0.25">
      <c r="A63" t="str">
        <f>Q63&amp;COUNTIF($Q$30:Q63,Q63)</f>
        <v>DEVOLUCION FF SIPROSAFEBRERO 231</v>
      </c>
      <c r="B63" t="s">
        <v>143</v>
      </c>
      <c r="C63" t="s">
        <v>396</v>
      </c>
      <c r="D63" s="140"/>
      <c r="E63" s="10"/>
      <c r="F63" t="str">
        <f>+IFERROR(INDEX('AUX23'!$C$2:$D$44,MATCH(CARGAFACTURAS!C63,'AUX23'!$D$2:$D$50,0),1),"")</f>
        <v/>
      </c>
      <c r="G63" s="141">
        <v>3041.96</v>
      </c>
      <c r="H63" s="141">
        <f>+IF(G63&lt;9999,0,IFERROR(VLOOKUP(C63,'AUX23'!$D$2:$K$50,3,0)*G63/100,0))</f>
        <v>0</v>
      </c>
      <c r="I63" s="141">
        <f>IF(G63&lt;9999,0,IFERROR(VLOOKUP(C63,'AUX23'!$D$2:$L$50,4,0)*G63/100,0))</f>
        <v>0</v>
      </c>
      <c r="J63" s="141">
        <f>IF(G63&lt;9999,0,IFERROR(VLOOKUP(C63,'AUX23'!$D$2:$L$50,5,0)*G63/100,0))</f>
        <v>0</v>
      </c>
      <c r="K63" s="141">
        <f>IF(G63&lt;9999,0,IFERROR((G63-67170)*VLOOKUP(C63,'AUX23'!$D$2:$L$50,6,0)/100,0))</f>
        <v>0</v>
      </c>
      <c r="L63" s="141">
        <f>IF(G63&lt;9999,0,IFERROR((G63/1.21)*VLOOKUP(C63,'AUX23'!$D$2:$L$50,7,0)/100,0))</f>
        <v>0</v>
      </c>
      <c r="M63" s="141">
        <f t="shared" si="10"/>
        <v>3041.96</v>
      </c>
      <c r="N63" t="str">
        <f t="shared" si="9"/>
        <v>CC</v>
      </c>
      <c r="O63">
        <f t="shared" si="11"/>
        <v>1</v>
      </c>
      <c r="P63" t="s">
        <v>101</v>
      </c>
      <c r="Q63" t="str">
        <f t="shared" si="7"/>
        <v>DEVOLUCION FF SIPROSAFEBRERO 23</v>
      </c>
      <c r="R63" t="str">
        <f t="shared" si="3"/>
        <v>DEVOLUCION FF SIPROSA1</v>
      </c>
      <c r="S63" t="str">
        <f>+R63&amp;COUNTIF($R$2:R63,R63)</f>
        <v>DEVOLUCION FF SIPROSA11</v>
      </c>
      <c r="T63" s="141">
        <f t="shared" si="8"/>
        <v>1.2278178473934531E-10</v>
      </c>
      <c r="U63" t="str">
        <f t="shared" si="4"/>
        <v/>
      </c>
      <c r="V63" t="str">
        <f t="shared" si="5"/>
        <v>DEVOLUCION FF SIPROSA1CC</v>
      </c>
      <c r="W63" t="str">
        <f>+V63&amp;COUNTIF($V$2:V63,V63)</f>
        <v>DEVOLUCION FF SIPROSA1CC1</v>
      </c>
    </row>
    <row r="64" spans="1:23" x14ac:dyDescent="0.25">
      <c r="A64" t="str">
        <f>Q64&amp;COUNTIF($Q$30:Q64,Q64)</f>
        <v>FEBRERO 231</v>
      </c>
      <c r="B64" t="s">
        <v>143</v>
      </c>
      <c r="D64" s="140"/>
      <c r="E64" s="10"/>
      <c r="F64" t="str">
        <f>+IFERROR(INDEX('AUX23'!$C$2:$D$44,MATCH(CARGAFACTURAS!C64,'AUX23'!$D$2:$D$50,0),1),"")</f>
        <v/>
      </c>
      <c r="G64" s="141"/>
      <c r="H64" s="141">
        <f>+IF(G64&lt;9999,0,IFERROR(VLOOKUP(C64,'AUX23'!$D$2:$K$50,3,0)*G64/100,0))</f>
        <v>0</v>
      </c>
      <c r="I64" s="141">
        <f>IF(G64&lt;9999,0,IFERROR(VLOOKUP(C64,'AUX23'!$D$2:$L$50,4,0)*G64/100,0))</f>
        <v>0</v>
      </c>
      <c r="J64" s="141">
        <f>IF(G64&lt;9999,0,IFERROR(VLOOKUP(C64,'AUX23'!$D$2:$L$50,5,0)*G64/100,0))</f>
        <v>0</v>
      </c>
      <c r="K64" s="141">
        <f>IF(G64&lt;9999,0,IFERROR((G64-67170)*VLOOKUP(C64,'AUX23'!$D$2:$L$50,6,0)/100,0))</f>
        <v>0</v>
      </c>
      <c r="L64" s="141">
        <f>IF(G64&lt;9999,0,IFERROR((G64/1.21)*VLOOKUP(C64,'AUX23'!$D$2:$L$50,7,0)/100,0))</f>
        <v>0</v>
      </c>
      <c r="M64" s="141">
        <f t="shared" si="10"/>
        <v>0</v>
      </c>
      <c r="N64" t="str">
        <f t="shared" si="9"/>
        <v>CC</v>
      </c>
      <c r="O64">
        <f t="shared" si="11"/>
        <v>1</v>
      </c>
      <c r="Q64" t="str">
        <f t="shared" si="7"/>
        <v>FEBRERO 23</v>
      </c>
      <c r="R64" t="str">
        <f t="shared" si="3"/>
        <v>1</v>
      </c>
      <c r="S64" t="str">
        <f>+R64&amp;COUNTIF($R$2:R64,R64)</f>
        <v>11</v>
      </c>
      <c r="T64" s="141">
        <f t="shared" si="8"/>
        <v>1.2278178473934531E-10</v>
      </c>
      <c r="U64" t="str">
        <f t="shared" si="4"/>
        <v/>
      </c>
      <c r="V64" t="str">
        <f t="shared" si="5"/>
        <v>1CC</v>
      </c>
      <c r="W64" t="str">
        <f>+V64&amp;COUNTIF($V$2:V64,V64)</f>
        <v>1CC1</v>
      </c>
    </row>
    <row r="65" spans="1:23" x14ac:dyDescent="0.25">
      <c r="A65" t="str">
        <f>Q65&amp;COUNTIF($Q$30:Q65,Q65)</f>
        <v>FEBRERO 232</v>
      </c>
      <c r="B65" t="s">
        <v>143</v>
      </c>
      <c r="F65" t="str">
        <f>+IFERROR(INDEX('AUX23'!$C$2:$D$44,MATCH(CARGAFACTURAS!C65,'AUX23'!$D$2:$D$50,0),1),"")</f>
        <v/>
      </c>
      <c r="G65" s="141"/>
      <c r="H65" s="141">
        <f>+IF(G65&lt;9999,0,IFERROR(VLOOKUP(C65,'AUX23'!$D$2:$K$50,3,0)*G65/100,0))</f>
        <v>0</v>
      </c>
      <c r="I65" s="141">
        <f>IF(G65&lt;9999,0,IFERROR(VLOOKUP(C65,'AUX23'!$D$2:$L$50,4,0)*G65/100,0))</f>
        <v>0</v>
      </c>
      <c r="J65" s="141">
        <f>IF(G65&lt;9999,0,IFERROR(VLOOKUP(C65,'AUX23'!$D$2:$L$50,5,0)*G65/100,0))</f>
        <v>0</v>
      </c>
      <c r="K65" s="141">
        <f>IF(G65&lt;9999,0,IFERROR((G65-67170)*VLOOKUP(C65,'AUX23'!$D$2:$L$50,6,0)/100,0))</f>
        <v>0</v>
      </c>
      <c r="L65" s="141">
        <f>IF(G65&lt;9999,0,IFERROR((G65/1.21)*VLOOKUP(C65,'AUX23'!$D$2:$L$50,7,0)/100,0))</f>
        <v>0</v>
      </c>
      <c r="M65" s="141">
        <f t="shared" si="10"/>
        <v>0</v>
      </c>
      <c r="N65" t="str">
        <f t="shared" si="9"/>
        <v>CC</v>
      </c>
      <c r="O65">
        <f t="shared" si="11"/>
        <v>1</v>
      </c>
      <c r="Q65" t="str">
        <f t="shared" si="7"/>
        <v>FEBRERO 23</v>
      </c>
      <c r="R65" t="str">
        <f t="shared" si="3"/>
        <v>1</v>
      </c>
      <c r="S65" t="str">
        <f>+R65&amp;COUNTIF($R$2:R65,R65)</f>
        <v>12</v>
      </c>
      <c r="T65" s="141">
        <f t="shared" si="8"/>
        <v>1.2278178473934531E-10</v>
      </c>
      <c r="U65" t="str">
        <f t="shared" si="4"/>
        <v/>
      </c>
      <c r="V65" t="str">
        <f t="shared" si="5"/>
        <v>1CC</v>
      </c>
      <c r="W65" t="str">
        <f>+V65&amp;COUNTIF($V$2:V65,V65)</f>
        <v>1CC2</v>
      </c>
    </row>
    <row r="66" spans="1:23" x14ac:dyDescent="0.25">
      <c r="A66" t="str">
        <f>Q66&amp;COUNTIF($Q$30:Q66,Q66)</f>
        <v>ACREDITACIONMARZO 231</v>
      </c>
      <c r="B66" t="s">
        <v>145</v>
      </c>
      <c r="C66" t="s">
        <v>163</v>
      </c>
      <c r="F66" t="str">
        <f>+IFERROR(INDEX('AUX23'!$C$2:$D$44,MATCH(CARGAFACTURAS!C66,'AUX23'!$D$2:$D$50,0),1),"")</f>
        <v/>
      </c>
      <c r="G66" s="141"/>
      <c r="H66" s="141">
        <f>+IF(G66&lt;9999,0,IFERROR(VLOOKUP(C66,'AUX23'!$D$2:$K$50,3,0)*G66/100,0))</f>
        <v>0</v>
      </c>
      <c r="I66" s="141">
        <f>IF(G66&lt;9999,0,IFERROR(VLOOKUP(C66,'AUX23'!$D$2:$L$50,4,0)*G66/100,0))</f>
        <v>0</v>
      </c>
      <c r="J66" s="141">
        <f>IF(G66&lt;9999,0,IFERROR(VLOOKUP(C66,'AUX23'!$D$2:$L$50,5,0)*G66/100,0))</f>
        <v>0</v>
      </c>
      <c r="K66" s="141">
        <f>IF(G66&lt;9999,0,IFERROR((G66-67170)*VLOOKUP(C66,'AUX23'!$D$2:$L$50,6,0)/100,0))</f>
        <v>0</v>
      </c>
      <c r="L66" s="141">
        <f>IF(G66&lt;9999,0,IFERROR((G66/1.21)*VLOOKUP(C66,'AUX23'!$D$2:$L$50,7,0)/100,0))</f>
        <v>0</v>
      </c>
      <c r="M66" s="141">
        <f t="shared" si="10"/>
        <v>0</v>
      </c>
      <c r="N66" t="str">
        <f t="shared" si="9"/>
        <v>CC</v>
      </c>
      <c r="O66">
        <f t="shared" si="11"/>
        <v>1</v>
      </c>
      <c r="Q66" t="str">
        <f t="shared" si="7"/>
        <v>ACREDITACIONMARZO 23</v>
      </c>
      <c r="R66" t="str">
        <f t="shared" si="3"/>
        <v>ACREDITACION1</v>
      </c>
      <c r="S66" t="str">
        <f>+R66&amp;COUNTIF($R$2:R66,R66)</f>
        <v>ACREDITACION12</v>
      </c>
      <c r="T66" s="141">
        <v>2198644.5299999998</v>
      </c>
      <c r="U66" t="str">
        <f t="shared" si="4"/>
        <v/>
      </c>
      <c r="V66" t="str">
        <f t="shared" si="5"/>
        <v>ACREDITACION1CC</v>
      </c>
      <c r="W66" t="str">
        <f>+V66&amp;COUNTIF($V$2:V66,V66)</f>
        <v>ACREDITACION1CC1</v>
      </c>
    </row>
    <row r="67" spans="1:23" x14ac:dyDescent="0.25">
      <c r="A67" t="str">
        <f>Q67&amp;COUNTIF($Q$30:Q67,Q67)</f>
        <v>COOP. DE TRAB. SAN LORENZO M MARZO 231</v>
      </c>
      <c r="B67" t="s">
        <v>145</v>
      </c>
      <c r="C67" t="s">
        <v>92</v>
      </c>
      <c r="D67" s="140" t="s">
        <v>228</v>
      </c>
      <c r="E67" s="10">
        <v>44985</v>
      </c>
      <c r="F67" t="str">
        <f>+IFERROR(INDEX('AUX23'!$C$2:$D$44,MATCH(CARGAFACTURAS!C67,'AUX23'!$D$2:$D$50,0),1),"")</f>
        <v>30-70895858-8</v>
      </c>
      <c r="G67" s="243">
        <v>146761.74</v>
      </c>
      <c r="H67" s="141">
        <f>+IF(G67&lt;9999,0,IFERROR(VLOOKUP(C67,'AUX23'!$D$2:$K$50,3,0)*G67/100,0))</f>
        <v>0</v>
      </c>
      <c r="I67" s="141">
        <f>IF(G67&lt;9999,0,IFERROR(VLOOKUP(C67,'AUX23'!$D$2:$L$50,4,0)*G67/100,0))</f>
        <v>0</v>
      </c>
      <c r="J67" s="141">
        <f>IF(G67&lt;9999,0,IFERROR(VLOOKUP(C67,'AUX23'!$D$2:$L$50,5,0)*G67/100,0))</f>
        <v>0</v>
      </c>
      <c r="K67" s="141">
        <f>IF(G67&lt;9999,0,IFERROR((G67-67170)*VLOOKUP(C67,'AUX23'!$D$2:$L$50,6,0)/100,0))</f>
        <v>0</v>
      </c>
      <c r="L67" s="141">
        <f>IF(G67&lt;9999,0,IFERROR((G67/1.21)*VLOOKUP(C67,'AUX23'!$D$2:$L$50,7,0)/100,0))</f>
        <v>0</v>
      </c>
      <c r="M67" s="141">
        <f t="shared" si="10"/>
        <v>146761.74</v>
      </c>
      <c r="N67">
        <v>101185941</v>
      </c>
      <c r="O67">
        <f t="shared" si="11"/>
        <v>2</v>
      </c>
      <c r="P67" t="s">
        <v>164</v>
      </c>
      <c r="Q67" t="str">
        <f t="shared" si="7"/>
        <v>COOP. DE TRAB. SAN LORENZO M MARZO 23</v>
      </c>
      <c r="R67" t="str">
        <f t="shared" ref="R67:R130" si="12">+CLEAN(C67)&amp;CLEAN(O67)</f>
        <v>COOP. DE TRAB. SAN LORENZO M 2</v>
      </c>
      <c r="S67" t="str">
        <f>+R67&amp;COUNTIF($R$2:R67,R67)</f>
        <v>COOP. DE TRAB. SAN LORENZO M 21</v>
      </c>
      <c r="T67" s="141">
        <f>+T66-G67</f>
        <v>2051882.7899999998</v>
      </c>
      <c r="U67" t="str">
        <f t="shared" ref="U67:U130" si="13">+RIGHT(D67,4)</f>
        <v>4695</v>
      </c>
      <c r="V67" t="str">
        <f t="shared" ref="V67:V130" si="14">+R67&amp;N67</f>
        <v>COOP. DE TRAB. SAN LORENZO M 2101185941</v>
      </c>
      <c r="W67" t="str">
        <f>+V67&amp;COUNTIF($V$2:V67,V67)</f>
        <v>COOP. DE TRAB. SAN LORENZO M 21011859411</v>
      </c>
    </row>
    <row r="68" spans="1:23" x14ac:dyDescent="0.25">
      <c r="A68" t="str">
        <f>Q68&amp;COUNTIF($Q$30:Q68,Q68)</f>
        <v>COOP. DE TRAB. SAN LORENZO M MARZO 232</v>
      </c>
      <c r="B68" t="s">
        <v>145</v>
      </c>
      <c r="C68" t="s">
        <v>92</v>
      </c>
      <c r="D68" s="140" t="s">
        <v>229</v>
      </c>
      <c r="E68" s="10">
        <v>44985</v>
      </c>
      <c r="F68" t="str">
        <f>+IFERROR(INDEX('AUX23'!$C$2:$D$44,MATCH(CARGAFACTURAS!C68,'AUX23'!$D$2:$D$50,0),1),"")</f>
        <v>30-70895858-8</v>
      </c>
      <c r="G68" s="243">
        <v>73380.87</v>
      </c>
      <c r="H68" s="141">
        <f>+IF(G68&lt;9999,0,IFERROR(VLOOKUP(C68,'AUX23'!$D$2:$K$50,3,0)*G68/100,0))</f>
        <v>0</v>
      </c>
      <c r="I68" s="141">
        <f>IF(G68&lt;9999,0,IFERROR(VLOOKUP(C68,'AUX23'!$D$2:$L$50,4,0)*G68/100,0))</f>
        <v>0</v>
      </c>
      <c r="J68" s="141">
        <f>IF(G68&lt;9999,0,IFERROR(VLOOKUP(C68,'AUX23'!$D$2:$L$50,5,0)*G68/100,0))</f>
        <v>0</v>
      </c>
      <c r="K68" s="141">
        <f>IF(G68&lt;9999,0,IFERROR((G68-67170)*VLOOKUP(C68,'AUX23'!$D$2:$L$50,6,0)/100,0))</f>
        <v>0</v>
      </c>
      <c r="L68" s="141">
        <f>IF(G68&lt;9999,0,IFERROR((G68/1.21)*VLOOKUP(C68,'AUX23'!$D$2:$L$50,7,0)/100,0))</f>
        <v>0</v>
      </c>
      <c r="M68" s="141">
        <f t="shared" si="10"/>
        <v>73380.87</v>
      </c>
      <c r="N68">
        <v>101185941</v>
      </c>
      <c r="O68">
        <f t="shared" si="11"/>
        <v>2</v>
      </c>
      <c r="P68" t="s">
        <v>164</v>
      </c>
      <c r="Q68" t="str">
        <f t="shared" si="7"/>
        <v>COOP. DE TRAB. SAN LORENZO M MARZO 23</v>
      </c>
      <c r="R68" t="str">
        <f t="shared" si="12"/>
        <v>COOP. DE TRAB. SAN LORENZO M 2</v>
      </c>
      <c r="S68" t="str">
        <f>+R68&amp;COUNTIF($R$2:R68,R68)</f>
        <v>COOP. DE TRAB. SAN LORENZO M 22</v>
      </c>
      <c r="T68" s="141">
        <f t="shared" ref="T68:T94" si="15">+T67-G68</f>
        <v>1978501.92</v>
      </c>
      <c r="U68" t="str">
        <f t="shared" si="13"/>
        <v>4699</v>
      </c>
      <c r="V68" t="str">
        <f t="shared" si="14"/>
        <v>COOP. DE TRAB. SAN LORENZO M 2101185941</v>
      </c>
      <c r="W68" t="str">
        <f>+V68&amp;COUNTIF($V$2:V68,V68)</f>
        <v>COOP. DE TRAB. SAN LORENZO M 21011859412</v>
      </c>
    </row>
    <row r="69" spans="1:23" x14ac:dyDescent="0.25">
      <c r="A69" t="str">
        <f>Q69&amp;COUNTIF($Q$30:Q69,Q69)</f>
        <v>ROTTA FRANCISCO(COMPUMAQ)MARZO 231</v>
      </c>
      <c r="B69" t="s">
        <v>145</v>
      </c>
      <c r="C69" t="s">
        <v>188</v>
      </c>
      <c r="D69" t="s">
        <v>379</v>
      </c>
      <c r="E69" s="248">
        <v>45000</v>
      </c>
      <c r="F69" t="str">
        <f>+IFERROR(INDEX('AUX23'!$C$2:$D$44,MATCH(CARGAFACTURAS!C69,'AUX23'!$D$2:$D$50,0),1),"")</f>
        <v>20-16216700-7</v>
      </c>
      <c r="G69" s="243">
        <v>2400</v>
      </c>
      <c r="H69" s="141">
        <f>+IF(G69&lt;9999,0,IFERROR(VLOOKUP(C69,'AUX23'!$D$2:$K$50,3,0)*G69/100,0))</f>
        <v>0</v>
      </c>
      <c r="I69" s="141">
        <f>IF(G69&lt;9999,0,IFERROR(VLOOKUP(C69,'AUX23'!$D$2:$L$50,4,0)*G69/100,0))</f>
        <v>0</v>
      </c>
      <c r="J69" s="141">
        <f>IF(G69&lt;9999,0,IFERROR(VLOOKUP(C69,'AUX23'!$D$2:$L$50,5,0)*G69/100,0))</f>
        <v>0</v>
      </c>
      <c r="K69" s="141">
        <f>IF(G69&lt;9999,0,IFERROR((G69-67170)*VLOOKUP(C69,'AUX23'!$D$2:$L$50,6,0)/100,0))</f>
        <v>0</v>
      </c>
      <c r="L69" s="141">
        <f>IF(G69&lt;9999,0,IFERROR((G69/1.21)*VLOOKUP(C69,'AUX23'!$D$2:$L$50,7,0)/100,0))</f>
        <v>0</v>
      </c>
      <c r="M69" s="141">
        <f t="shared" si="10"/>
        <v>2400</v>
      </c>
      <c r="N69" t="str">
        <f t="shared" si="9"/>
        <v>CC</v>
      </c>
      <c r="O69">
        <f t="shared" si="11"/>
        <v>3</v>
      </c>
      <c r="P69" t="s">
        <v>101</v>
      </c>
      <c r="Q69" t="str">
        <f t="shared" si="7"/>
        <v>ROTTA FRANCISCO(COMPUMAQ)MARZO 23</v>
      </c>
      <c r="R69" t="str">
        <f t="shared" si="12"/>
        <v>ROTTA FRANCISCO(COMPUMAQ)3</v>
      </c>
      <c r="S69" t="str">
        <f>+R69&amp;COUNTIF($R$2:R69,R69)</f>
        <v>ROTTA FRANCISCO(COMPUMAQ)32</v>
      </c>
      <c r="T69" s="141">
        <f t="shared" si="15"/>
        <v>1976101.92</v>
      </c>
      <c r="U69" t="str">
        <f t="shared" si="13"/>
        <v>5613</v>
      </c>
      <c r="V69" t="str">
        <f t="shared" si="14"/>
        <v>ROTTA FRANCISCO(COMPUMAQ)3CC</v>
      </c>
      <c r="W69" t="str">
        <f>+V69&amp;COUNTIF($V$2:V69,V69)</f>
        <v>ROTTA FRANCISCO(COMPUMAQ)3CC2</v>
      </c>
    </row>
    <row r="70" spans="1:23" x14ac:dyDescent="0.25">
      <c r="A70" t="str">
        <f>Q70&amp;COUNTIF($Q$30:Q70,Q70)</f>
        <v>LA PROVIDENCIA DEL NOA SRLMARZO 231</v>
      </c>
      <c r="B70" t="s">
        <v>145</v>
      </c>
      <c r="C70" t="s">
        <v>11</v>
      </c>
      <c r="D70" s="140" t="s">
        <v>301</v>
      </c>
      <c r="E70" s="10">
        <v>44986</v>
      </c>
      <c r="F70" t="str">
        <f>+IFERROR(INDEX('AUX23'!$C$2:$D$44,MATCH(CARGAFACTURAS!C70,'AUX23'!$D$2:$D$50,0),1),"")</f>
        <v>30-68568395-0</v>
      </c>
      <c r="G70" s="243">
        <v>421072.8</v>
      </c>
      <c r="H70" s="141">
        <f>+IF(G70&lt;19999,0,IFERROR(VLOOKUP(C70,'AUX23'!$D$2:$K$50,3,0)*G70/100,0))</f>
        <v>5263.41</v>
      </c>
      <c r="I70" s="141">
        <f>IF(G70&lt;9999,0,IFERROR(VLOOKUP(C70,'AUX23'!$D$2:$L$50,4,0)*G70/100,0))</f>
        <v>21053.64</v>
      </c>
      <c r="J70" s="141">
        <f>IF(G70&lt;9999,0,IFERROR(VLOOKUP(C70,'AUX23'!$D$2:$L$50,5,0)*G70/100,0))</f>
        <v>36549.119039999998</v>
      </c>
      <c r="K70" s="141">
        <f>IF(G70&lt;9999,0,IFERROR((G70-67170)*VLOOKUP(C70,'AUX23'!$D$2:$L$50,6,0)/100,0))</f>
        <v>7078.0559999999996</v>
      </c>
      <c r="L70" s="141">
        <f>IF(G70&lt;9999,0,IFERROR((G70/1.21)*VLOOKUP(C70,'AUX23'!$D$2:$L$50,7,0)/100,0))</f>
        <v>3479.9404958677687</v>
      </c>
      <c r="M70" s="141">
        <f t="shared" si="10"/>
        <v>347648.63446413225</v>
      </c>
      <c r="N70">
        <v>36068199</v>
      </c>
      <c r="O70">
        <f t="shared" si="11"/>
        <v>3</v>
      </c>
      <c r="P70" t="s">
        <v>102</v>
      </c>
      <c r="Q70" t="str">
        <f t="shared" si="7"/>
        <v>LA PROVIDENCIA DEL NOA SRLMARZO 23</v>
      </c>
      <c r="R70" t="str">
        <f t="shared" si="12"/>
        <v>LA PROVIDENCIA DEL NOA SRL3</v>
      </c>
      <c r="S70" t="str">
        <f>+R70&amp;COUNTIF($R$2:R70,R70)</f>
        <v>LA PROVIDENCIA DEL NOA SRL31</v>
      </c>
      <c r="T70" s="141">
        <f t="shared" si="15"/>
        <v>1555029.1199999999</v>
      </c>
      <c r="U70" t="str">
        <f t="shared" si="13"/>
        <v>5376</v>
      </c>
      <c r="V70" t="str">
        <f t="shared" si="14"/>
        <v>LA PROVIDENCIA DEL NOA SRL336068199</v>
      </c>
      <c r="W70" t="str">
        <f>+V70&amp;COUNTIF($V$2:V70,V70)</f>
        <v>LA PROVIDENCIA DEL NOA SRL3360681991</v>
      </c>
    </row>
    <row r="71" spans="1:23" x14ac:dyDescent="0.25">
      <c r="A71" t="str">
        <f>Q71&amp;COUNTIF($Q$30:Q71,Q71)</f>
        <v>LA PROVIDENCIA DEL NOA SRLMARZO 232</v>
      </c>
      <c r="B71" t="s">
        <v>145</v>
      </c>
      <c r="C71" t="s">
        <v>11</v>
      </c>
      <c r="D71" s="140" t="s">
        <v>302</v>
      </c>
      <c r="E71" s="10">
        <v>44986</v>
      </c>
      <c r="F71" t="str">
        <f>+IFERROR(INDEX('AUX23'!$C$2:$D$44,MATCH(CARGAFACTURAS!C71,'AUX23'!$D$2:$D$50,0),1),"")</f>
        <v>30-68568395-0</v>
      </c>
      <c r="G71" s="243">
        <v>168429.12</v>
      </c>
      <c r="H71" s="141">
        <f>+IF(G71&lt;19999,0,IFERROR(VLOOKUP(C71,'AUX23'!$D$2:$K$50,3,0)*G71/100,0))</f>
        <v>2105.364</v>
      </c>
      <c r="I71" s="141">
        <f>IF(G71&lt;9999,0,IFERROR(VLOOKUP(C71,'AUX23'!$D$2:$L$50,4,0)*G71/100,0))</f>
        <v>8421.4560000000001</v>
      </c>
      <c r="J71" s="141">
        <f>IF(G71&lt;9999,0,IFERROR(VLOOKUP(C71,'AUX23'!$D$2:$L$50,5,0)*G71/100,0))</f>
        <v>14619.647615999998</v>
      </c>
      <c r="K71" s="141">
        <f>IF(G71&lt;9999,0,IFERROR((G71-67170)*VLOOKUP(C71,'AUX23'!$D$2:$L$50,6,0)/100,0))</f>
        <v>2025.1823999999999</v>
      </c>
      <c r="L71" s="141">
        <f>IF(G71&lt;9999,0,IFERROR((G71/1.21)*VLOOKUP(C71,'AUX23'!$D$2:$L$50,7,0)/100,0))</f>
        <v>1391.9761983471076</v>
      </c>
      <c r="M71" s="141">
        <f t="shared" si="10"/>
        <v>139865.49378565288</v>
      </c>
      <c r="N71">
        <v>36068199</v>
      </c>
      <c r="O71">
        <f t="shared" si="11"/>
        <v>3</v>
      </c>
      <c r="P71" t="s">
        <v>102</v>
      </c>
      <c r="Q71" t="str">
        <f t="shared" si="7"/>
        <v>LA PROVIDENCIA DEL NOA SRLMARZO 23</v>
      </c>
      <c r="R71" t="str">
        <f t="shared" si="12"/>
        <v>LA PROVIDENCIA DEL NOA SRL3</v>
      </c>
      <c r="S71" t="str">
        <f>+R71&amp;COUNTIF($R$2:R71,R71)</f>
        <v>LA PROVIDENCIA DEL NOA SRL32</v>
      </c>
      <c r="T71" s="141">
        <f t="shared" si="15"/>
        <v>1386600</v>
      </c>
      <c r="U71" t="str">
        <f t="shared" si="13"/>
        <v>5377</v>
      </c>
      <c r="V71" t="str">
        <f t="shared" si="14"/>
        <v>LA PROVIDENCIA DEL NOA SRL336068199</v>
      </c>
      <c r="W71" t="str">
        <f>+V71&amp;COUNTIF($V$2:V71,V71)</f>
        <v>LA PROVIDENCIA DEL NOA SRL3360681992</v>
      </c>
    </row>
    <row r="72" spans="1:23" x14ac:dyDescent="0.25">
      <c r="A72" t="str">
        <f>Q72&amp;COUNTIF($Q$30:Q72,Q72)</f>
        <v>LAMAS MONICA GABRIELAMARZO 231</v>
      </c>
      <c r="B72" t="s">
        <v>145</v>
      </c>
      <c r="C72" t="s">
        <v>315</v>
      </c>
      <c r="D72" s="140" t="s">
        <v>351</v>
      </c>
      <c r="E72" s="248">
        <v>44998</v>
      </c>
      <c r="F72" t="str">
        <f>+IFERROR(INDEX('AUX23'!$C$2:$D$44,MATCH(CARGAFACTURAS!C72,'AUX23'!$D$2:$D$50,0),1),"")</f>
        <v>27-27493596-6</v>
      </c>
      <c r="G72" s="243">
        <v>5363.3</v>
      </c>
      <c r="H72" s="141">
        <f>+IF(G72&lt;19999,0,IFERROR(VLOOKUP(C72,'AUX23'!$D$2:$K$50,3,0)*G72/100,0))</f>
        <v>0</v>
      </c>
      <c r="I72" s="141">
        <f>IF(G72&lt;9999,0,IFERROR(VLOOKUP(C72,'AUX23'!$D$2:$L$50,4,0)*G72/100,0))</f>
        <v>0</v>
      </c>
      <c r="J72" s="141">
        <f>IF(G72&lt;9999,0,IFERROR(VLOOKUP(C72,'AUX23'!$D$2:$L$50,5,0)*G72/100,0))</f>
        <v>0</v>
      </c>
      <c r="K72" s="141">
        <f>IF(G72&lt;9999,0,IFERROR((G72-67170)*VLOOKUP(C72,'AUX23'!$D$2:$L$50,6,0)/100,0))</f>
        <v>0</v>
      </c>
      <c r="L72" s="141">
        <f>IF(G72&lt;9999,0,IFERROR((G72/1.21)*VLOOKUP(C72,'AUX23'!$D$2:$L$50,7,0)/100,0))</f>
        <v>0</v>
      </c>
      <c r="M72" s="141">
        <f t="shared" si="10"/>
        <v>5363.3</v>
      </c>
      <c r="N72" t="str">
        <f t="shared" si="9"/>
        <v>CC</v>
      </c>
      <c r="O72">
        <f t="shared" si="11"/>
        <v>3</v>
      </c>
      <c r="P72" t="s">
        <v>101</v>
      </c>
      <c r="Q72" t="str">
        <f t="shared" si="7"/>
        <v>LAMAS MONICA GABRIELAMARZO 23</v>
      </c>
      <c r="R72" t="str">
        <f t="shared" si="12"/>
        <v>LAMAS MONICA GABRIELA3</v>
      </c>
      <c r="S72" t="str">
        <f>+R72&amp;COUNTIF($R$2:R72,R72)</f>
        <v>LAMAS MONICA GABRIELA32</v>
      </c>
      <c r="T72" s="141">
        <f t="shared" si="15"/>
        <v>1381236.7</v>
      </c>
      <c r="U72" t="str">
        <f t="shared" si="13"/>
        <v>9539</v>
      </c>
      <c r="V72" t="str">
        <f t="shared" si="14"/>
        <v>LAMAS MONICA GABRIELA3CC</v>
      </c>
      <c r="W72" t="str">
        <f>+V72&amp;COUNTIF($V$2:V72,V72)</f>
        <v>LAMAS MONICA GABRIELA3CC2</v>
      </c>
    </row>
    <row r="73" spans="1:23" x14ac:dyDescent="0.25">
      <c r="A73" t="str">
        <f>Q73&amp;COUNTIF($Q$30:Q73,Q73)</f>
        <v>LOFT COMPUTACION SASMARZO 231</v>
      </c>
      <c r="B73" t="s">
        <v>145</v>
      </c>
      <c r="C73" t="s">
        <v>136</v>
      </c>
      <c r="D73" s="140" t="s">
        <v>380</v>
      </c>
      <c r="E73" s="248">
        <v>45000</v>
      </c>
      <c r="F73" t="str">
        <f>+IFERROR(INDEX('AUX23'!$C$2:$D$44,MATCH(CARGAFACTURAS!C73,'AUX23'!$D$2:$D$50,0),1),"")</f>
        <v>30-71753417-0</v>
      </c>
      <c r="G73" s="243">
        <v>6200</v>
      </c>
      <c r="H73" s="141">
        <f>+IF(G73&lt;19999,0,IFERROR(VLOOKUP(C73,'AUX23'!$D$2:$K$50,3,0)*G73/100,0))</f>
        <v>0</v>
      </c>
      <c r="I73" s="141">
        <f>IF(G73&lt;9999,0,IFERROR(VLOOKUP(C73,'AUX23'!$D$2:$L$50,4,0)*G73/100,0))</f>
        <v>0</v>
      </c>
      <c r="J73" s="141">
        <f>IF(G73&lt;9999,0,IFERROR(VLOOKUP(C73,'AUX23'!$D$2:$L$50,5,0)*G73/100,0))</f>
        <v>0</v>
      </c>
      <c r="K73" s="141">
        <f>IF(G73&lt;9999,0,IFERROR((G73-67170)*VLOOKUP(C73,'AUX23'!$D$2:$L$50,6,0)/100,0))</f>
        <v>0</v>
      </c>
      <c r="L73" s="141">
        <f>IF(G73&lt;9999,0,IFERROR((G73/1.21)*VLOOKUP(C73,'AUX23'!$D$2:$L$50,7,0)/100,0))</f>
        <v>0</v>
      </c>
      <c r="M73" s="141">
        <f t="shared" si="10"/>
        <v>6200</v>
      </c>
      <c r="N73" t="str">
        <f t="shared" si="9"/>
        <v>CC</v>
      </c>
      <c r="O73">
        <f t="shared" si="11"/>
        <v>3</v>
      </c>
      <c r="P73" t="s">
        <v>101</v>
      </c>
      <c r="Q73" t="str">
        <f t="shared" si="7"/>
        <v>LOFT COMPUTACION SASMARZO 23</v>
      </c>
      <c r="R73" t="str">
        <f t="shared" si="12"/>
        <v>LOFT COMPUTACION SAS3</v>
      </c>
      <c r="S73" t="str">
        <f>+R73&amp;COUNTIF($R$2:R73,R73)</f>
        <v>LOFT COMPUTACION SAS32</v>
      </c>
      <c r="T73" s="141">
        <f t="shared" si="15"/>
        <v>1375036.7</v>
      </c>
      <c r="U73" t="str">
        <f t="shared" si="13"/>
        <v>0208</v>
      </c>
      <c r="V73" t="str">
        <f t="shared" si="14"/>
        <v>LOFT COMPUTACION SAS3CC</v>
      </c>
      <c r="W73" t="str">
        <f>+V73&amp;COUNTIF($V$2:V73,V73)</f>
        <v>LOFT COMPUTACION SAS3CC1</v>
      </c>
    </row>
    <row r="74" spans="1:23" x14ac:dyDescent="0.25">
      <c r="A74" t="str">
        <f>Q74&amp;COUNTIF($Q$30:Q74,Q74)</f>
        <v>JORGE ROLANDO FRIAS (JF SERV. INF.)MARZO 231</v>
      </c>
      <c r="B74" t="s">
        <v>145</v>
      </c>
      <c r="C74" t="s">
        <v>59</v>
      </c>
      <c r="D74" s="140" t="s">
        <v>414</v>
      </c>
      <c r="E74" s="10">
        <v>45005</v>
      </c>
      <c r="F74" t="str">
        <f>+IFERROR(INDEX('AUX23'!$C$2:$D$44,MATCH(CARGAFACTURAS!C74,'AUX23'!$D$2:$D$50,0),1),"")</f>
        <v>20-22167463-5</v>
      </c>
      <c r="G74" s="243">
        <v>48200</v>
      </c>
      <c r="H74" s="141">
        <f>+IF(G74&lt;19999,0,IFERROR(VLOOKUP(C74,'AUX23'!$D$2:$K$50,3,0)*G74/100,0))</f>
        <v>0</v>
      </c>
      <c r="I74" s="141">
        <f>IF(G74&lt;9999,0,IFERROR(VLOOKUP(C74,'AUX23'!$D$2:$L$50,4,0)*G74/100,0))</f>
        <v>1205</v>
      </c>
      <c r="J74" s="141">
        <f>IF(G74&lt;9999,0,IFERROR(VLOOKUP(C74,'AUX23'!$D$2:$L$50,5,0)*G74/100,0))</f>
        <v>0</v>
      </c>
      <c r="K74" s="141">
        <f>IF(G74&lt;9999,0,IFERROR((G74-67170)*VLOOKUP(C74,'AUX23'!$D$2:$L$50,6,0)/100,0))</f>
        <v>0</v>
      </c>
      <c r="L74" s="141">
        <f>IF(G74&lt;9999,0,IFERROR((G74/1.21)*VLOOKUP(C74,'AUX23'!$D$2:$L$50,7,0)/100,0))</f>
        <v>0</v>
      </c>
      <c r="M74" s="141">
        <f t="shared" si="10"/>
        <v>46995</v>
      </c>
      <c r="N74">
        <v>36068201</v>
      </c>
      <c r="O74">
        <f t="shared" si="11"/>
        <v>3</v>
      </c>
      <c r="P74" t="s">
        <v>101</v>
      </c>
      <c r="Q74" t="str">
        <f t="shared" si="7"/>
        <v>JORGE ROLANDO FRIAS (JF SERV. INF.)MARZO 23</v>
      </c>
      <c r="R74" t="str">
        <f t="shared" si="12"/>
        <v>JORGE ROLANDO FRIAS (JF SERV. INF.)3</v>
      </c>
      <c r="S74" t="str">
        <f>+R74&amp;COUNTIF($R$2:R74,R74)</f>
        <v>JORGE ROLANDO FRIAS (JF SERV. INF.)32</v>
      </c>
      <c r="T74" s="141">
        <f t="shared" si="15"/>
        <v>1326836.7</v>
      </c>
      <c r="U74" t="str">
        <f t="shared" si="13"/>
        <v>0149</v>
      </c>
      <c r="V74" t="str">
        <f t="shared" si="14"/>
        <v>JORGE ROLANDO FRIAS (JF SERV. INF.)336068201</v>
      </c>
      <c r="W74" t="str">
        <f>+V74&amp;COUNTIF($V$2:V74,V74)</f>
        <v>JORGE ROLANDO FRIAS (JF SERV. INF.)3360682011</v>
      </c>
    </row>
    <row r="75" spans="1:23" x14ac:dyDescent="0.25">
      <c r="A75" t="str">
        <f>Q75&amp;COUNTIF($Q$30:Q75,Q75)</f>
        <v>FULL TRACK S.R.L.MARZO 231</v>
      </c>
      <c r="B75" t="s">
        <v>145</v>
      </c>
      <c r="C75" t="s">
        <v>98</v>
      </c>
      <c r="D75" s="140" t="s">
        <v>415</v>
      </c>
      <c r="E75" s="10">
        <v>45000</v>
      </c>
      <c r="F75" t="str">
        <f>+IFERROR(INDEX('AUX23'!$C$2:$D$44,MATCH(CARGAFACTURAS!C75,'AUX23'!$D$2:$D$50,0),1),"")</f>
        <v>30-71648081-6</v>
      </c>
      <c r="G75" s="243">
        <v>477850</v>
      </c>
      <c r="H75" s="141">
        <f>+IF(G75&lt;19999,0,IFERROR(VLOOKUP(C75,'AUX23'!$D$2:$K$50,3,0)*G75/100,0))</f>
        <v>0</v>
      </c>
      <c r="I75" s="141">
        <f>IF(G75&lt;9999,0,IFERROR(VLOOKUP(C75,'AUX23'!$D$2:$L$50,4,0)*G75/100,0))</f>
        <v>7167.75</v>
      </c>
      <c r="J75" s="141">
        <f>IF(G75&lt;9999,0,IFERROR(VLOOKUP(C75,'AUX23'!$D$2:$L$50,5,0)*G75/100,0))</f>
        <v>0</v>
      </c>
      <c r="K75" s="141">
        <f>IF(G75&lt;9999,0,IFERROR((G75-67170)*VLOOKUP(C75,'AUX23'!$D$2:$L$50,6,0)/100,0))</f>
        <v>8213.6</v>
      </c>
      <c r="L75" s="141">
        <f>IF(G75&lt;9999,0,IFERROR((G75/1.21)*VLOOKUP(C75,'AUX23'!$D$2:$L$50,7,0)/100,0))</f>
        <v>3949.1735537190084</v>
      </c>
      <c r="M75" s="141">
        <f t="shared" si="10"/>
        <v>458519.47644628101</v>
      </c>
      <c r="N75">
        <v>34075479</v>
      </c>
      <c r="O75">
        <f t="shared" si="11"/>
        <v>3</v>
      </c>
      <c r="P75" t="s">
        <v>124</v>
      </c>
      <c r="Q75" t="str">
        <f t="shared" si="7"/>
        <v>FULL TRACK S.R.L.MARZO 23</v>
      </c>
      <c r="R75" t="str">
        <f t="shared" si="12"/>
        <v>FULL TRACK S.R.L.3</v>
      </c>
      <c r="S75" t="str">
        <f>+R75&amp;COUNTIF($R$2:R75,R75)</f>
        <v>FULL TRACK S.R.L.31</v>
      </c>
      <c r="T75" s="141">
        <f t="shared" si="15"/>
        <v>848986.7</v>
      </c>
      <c r="U75" t="str">
        <f t="shared" si="13"/>
        <v>0033</v>
      </c>
      <c r="V75" t="str">
        <f t="shared" si="14"/>
        <v>FULL TRACK S.R.L.334075479</v>
      </c>
      <c r="W75" t="str">
        <f>+V75&amp;COUNTIF($V$2:V75,V75)</f>
        <v>FULL TRACK S.R.L.3340754791</v>
      </c>
    </row>
    <row r="76" spans="1:23" x14ac:dyDescent="0.25">
      <c r="A76" t="str">
        <f>Q76&amp;COUNTIF($Q$30:Q76,Q76)</f>
        <v>CEGE SRLMARZO 231</v>
      </c>
      <c r="B76" t="s">
        <v>145</v>
      </c>
      <c r="C76" t="s">
        <v>50</v>
      </c>
      <c r="D76" s="140" t="s">
        <v>428</v>
      </c>
      <c r="E76" s="10">
        <v>44965</v>
      </c>
      <c r="F76" t="str">
        <f>+IFERROR(INDEX('AUX23'!$C$2:$D$44,MATCH(CARGAFACTURAS!C76,'AUX23'!$D$2:$D$50,0),1),"")</f>
        <v>30-65710669-7</v>
      </c>
      <c r="G76" s="243">
        <v>94500</v>
      </c>
      <c r="H76" s="141">
        <f>+IF(G76&lt;19999,0,IFERROR(VLOOKUP(C76,'AUX23'!$D$2:$K$50,3,0)*G76/100,0))</f>
        <v>2362.5</v>
      </c>
      <c r="I76" s="141">
        <f>IF(G76&lt;9999,0,IFERROR(VLOOKUP(C76,'AUX23'!$D$2:$L$50,4,0)*G76/100,0))</f>
        <v>4725</v>
      </c>
      <c r="J76" s="141">
        <f>IF(G76&lt;9999,0,IFERROR(VLOOKUP(C76,'AUX23'!$D$2:$L$50,5,0)*G76/100,0))</f>
        <v>0</v>
      </c>
      <c r="K76" s="141">
        <f>IF(G76&lt;9999,0,IFERROR((G76-67170)*VLOOKUP(C76,'AUX23'!$D$2:$L$50,6,0)/100,0))</f>
        <v>0</v>
      </c>
      <c r="L76" s="141">
        <f>IF(G76&lt;9999,0,IFERROR((G76/1.21)*VLOOKUP(C76,'AUX23'!$D$2:$L$50,7,0)/100,0))</f>
        <v>0</v>
      </c>
      <c r="M76" s="141">
        <f t="shared" si="10"/>
        <v>87412.5</v>
      </c>
      <c r="N76">
        <v>34136309</v>
      </c>
      <c r="O76">
        <f t="shared" si="11"/>
        <v>2</v>
      </c>
      <c r="P76" t="s">
        <v>101</v>
      </c>
      <c r="Q76" t="str">
        <f t="shared" si="7"/>
        <v>CEGE SRLMARZO 23</v>
      </c>
      <c r="R76" t="str">
        <f t="shared" si="12"/>
        <v>CEGE SRL2</v>
      </c>
      <c r="S76" t="str">
        <f>+R76&amp;COUNTIF($R$2:R76,R76)</f>
        <v>CEGE SRL21</v>
      </c>
      <c r="T76" s="141">
        <f t="shared" si="15"/>
        <v>754486.7</v>
      </c>
      <c r="U76" t="str">
        <f t="shared" si="13"/>
        <v>1909</v>
      </c>
      <c r="V76" t="str">
        <f t="shared" si="14"/>
        <v>CEGE SRL234136309</v>
      </c>
      <c r="W76" t="str">
        <f>+V76&amp;COUNTIF($V$2:V76,V76)</f>
        <v>CEGE SRL2341363091</v>
      </c>
    </row>
    <row r="77" spans="1:23" x14ac:dyDescent="0.25">
      <c r="A77" t="str">
        <f>Q77&amp;COUNTIF($Q$30:Q77,Q77)</f>
        <v>GOMEZ PARDO RAUL(LIMPLUS)MARZO 231</v>
      </c>
      <c r="B77" t="s">
        <v>145</v>
      </c>
      <c r="C77" t="s">
        <v>114</v>
      </c>
      <c r="D77" s="140" t="s">
        <v>451</v>
      </c>
      <c r="E77" s="10">
        <v>1919.16</v>
      </c>
      <c r="F77" t="str">
        <f>+IFERROR(INDEX('AUX23'!$C$2:$D$44,MATCH(CARGAFACTURAS!C77,'AUX23'!$D$2:$D$50,0),1),"")</f>
        <v>20-34285327-8</v>
      </c>
      <c r="G77" s="243">
        <v>1919.16</v>
      </c>
      <c r="H77" s="141">
        <f>+IF(G77&lt;19999,0,IFERROR(VLOOKUP(C77,'AUX23'!$D$2:$K$50,3,0)*G77/100,0))</f>
        <v>0</v>
      </c>
      <c r="I77" s="141">
        <f>IF(G77&lt;9999,0,IFERROR(VLOOKUP(C77,'AUX23'!$D$2:$L$50,4,0)*G77/100,0))</f>
        <v>0</v>
      </c>
      <c r="J77" s="141">
        <f>IF(G77&lt;9999,0,IFERROR(VLOOKUP(C77,'AUX23'!$D$2:$L$50,5,0)*G77/100,0))</f>
        <v>0</v>
      </c>
      <c r="K77" s="141">
        <f>IF(G77&lt;9999,0,IFERROR((G77-67170)*VLOOKUP(C77,'AUX23'!$D$2:$L$50,6,0)/100,0))</f>
        <v>0</v>
      </c>
      <c r="L77" s="141">
        <f>IF(G77&lt;9999,0,IFERROR((G77/1.21)*VLOOKUP(C77,'AUX23'!$D$2:$L$50,7,0)/100,0))</f>
        <v>0</v>
      </c>
      <c r="M77" s="141">
        <f t="shared" si="10"/>
        <v>1919.16</v>
      </c>
      <c r="N77">
        <v>34136295</v>
      </c>
      <c r="O77">
        <f t="shared" si="11"/>
        <v>4</v>
      </c>
      <c r="P77" t="s">
        <v>101</v>
      </c>
      <c r="Q77" t="str">
        <f t="shared" si="7"/>
        <v>GOMEZ PARDO RAUL(LIMPLUS)MARZO 23</v>
      </c>
      <c r="R77" t="str">
        <f t="shared" si="12"/>
        <v>GOMEZ PARDO RAUL(LIMPLUS)4</v>
      </c>
      <c r="S77" t="str">
        <f>+R77&amp;COUNTIF($R$2:R77,R77)</f>
        <v>GOMEZ PARDO RAUL(LIMPLUS)41</v>
      </c>
      <c r="T77" s="141">
        <f t="shared" si="15"/>
        <v>752567.53999999992</v>
      </c>
      <c r="U77" t="str">
        <f t="shared" si="13"/>
        <v>9550</v>
      </c>
      <c r="V77" t="str">
        <f t="shared" si="14"/>
        <v>GOMEZ PARDO RAUL(LIMPLUS)434136295</v>
      </c>
      <c r="W77" t="str">
        <f>+V77&amp;COUNTIF($V$2:V77,V77)</f>
        <v>GOMEZ PARDO RAUL(LIMPLUS)4341362951</v>
      </c>
    </row>
    <row r="78" spans="1:23" x14ac:dyDescent="0.25">
      <c r="A78" t="str">
        <f>Q78&amp;COUNTIF($Q$30:Q78,Q78)</f>
        <v>ESCOBEDO LUCAS NICOLAS (PAPERTUC)MARZO 231</v>
      </c>
      <c r="B78" t="s">
        <v>145</v>
      </c>
      <c r="C78" t="s">
        <v>104</v>
      </c>
      <c r="D78" s="140" t="s">
        <v>426</v>
      </c>
      <c r="E78" s="10">
        <v>45008</v>
      </c>
      <c r="F78" t="str">
        <f>+IFERROR(INDEX('AUX23'!$C$2:$D$44,MATCH(CARGAFACTURAS!C78,'AUX23'!$D$2:$D$50,0),1),"")</f>
        <v>20-31729103-6</v>
      </c>
      <c r="G78" s="243">
        <v>33741.57</v>
      </c>
      <c r="H78" s="141">
        <f>+IF(G78&lt;19999,0,IFERROR(VLOOKUP(C78,'AUX23'!$D$2:$K$50,3,0)*G78/100,0))</f>
        <v>421.76962500000002</v>
      </c>
      <c r="I78" s="141">
        <f>IF(G78&lt;9999,0,IFERROR(VLOOKUP(C78,'AUX23'!$D$2:$L$50,4,0)*G78/100,0))</f>
        <v>1687.0785000000001</v>
      </c>
      <c r="J78" s="141">
        <f>IF(G78&lt;9999,0,IFERROR(VLOOKUP(C78,'AUX23'!$D$2:$L$50,5,0)*G78/100,0))</f>
        <v>0</v>
      </c>
      <c r="K78" s="141">
        <f>IF(G78&lt;9999,0,IFERROR((G78-67170)*VLOOKUP(C78,'AUX23'!$D$2:$L$50,6,0)/100,0))</f>
        <v>0</v>
      </c>
      <c r="L78" s="141">
        <f>IF(G78&lt;9999,0,IFERROR((G78/1.21)*VLOOKUP(C78,'AUX23'!$D$2:$L$50,7,0)/100,0))</f>
        <v>0</v>
      </c>
      <c r="M78" s="141">
        <f t="shared" si="10"/>
        <v>31632.721874999999</v>
      </c>
      <c r="N78">
        <v>34117097</v>
      </c>
      <c r="O78">
        <f t="shared" si="11"/>
        <v>3</v>
      </c>
      <c r="P78" t="s">
        <v>101</v>
      </c>
      <c r="Q78" t="str">
        <f t="shared" si="7"/>
        <v>ESCOBEDO LUCAS NICOLAS (PAPERTUC)MARZO 23</v>
      </c>
      <c r="R78" t="str">
        <f t="shared" si="12"/>
        <v>ESCOBEDO LUCAS NICOLAS (PAPERTUC)3</v>
      </c>
      <c r="S78" t="str">
        <f>+R78&amp;COUNTIF($R$2:R78,R78)</f>
        <v>ESCOBEDO LUCAS NICOLAS (PAPERTUC)32</v>
      </c>
      <c r="T78" s="141">
        <f t="shared" si="15"/>
        <v>718825.97</v>
      </c>
      <c r="U78" t="str">
        <f t="shared" si="13"/>
        <v>0933</v>
      </c>
      <c r="V78" t="str">
        <f t="shared" si="14"/>
        <v>ESCOBEDO LUCAS NICOLAS (PAPERTUC)334117097</v>
      </c>
      <c r="W78" t="str">
        <f>+V78&amp;COUNTIF($V$2:V78,V78)</f>
        <v>ESCOBEDO LUCAS NICOLAS (PAPERTUC)3341170971</v>
      </c>
    </row>
    <row r="79" spans="1:23" x14ac:dyDescent="0.25">
      <c r="A79" t="str">
        <f>Q79&amp;COUNTIF($Q$30:Q79,Q79)</f>
        <v>LIBRERÍA SAN PABLO SRLMARZO 231</v>
      </c>
      <c r="B79" t="s">
        <v>145</v>
      </c>
      <c r="C79" t="s">
        <v>10</v>
      </c>
      <c r="D79" s="140" t="s">
        <v>429</v>
      </c>
      <c r="E79" s="10">
        <v>45015</v>
      </c>
      <c r="F79" t="str">
        <f>+IFERROR(INDEX('AUX23'!$C$2:$D$44,MATCH(CARGAFACTURAS!C79,'AUX23'!$D$2:$D$50,0),1),"")</f>
        <v>30-58351679-0</v>
      </c>
      <c r="G79" s="243">
        <v>30000</v>
      </c>
      <c r="H79" s="141">
        <f>+IF(G79&lt;19999,0,IFERROR(VLOOKUP(C79,'AUX23'!$D$2:$K$50,3,0)*G79/100,0))</f>
        <v>375</v>
      </c>
      <c r="I79" s="141">
        <f>IF(G79&lt;9999,0,IFERROR(VLOOKUP(C79,'AUX23'!$D$2:$L$50,4,0)*G79/100,0))</f>
        <v>1500</v>
      </c>
      <c r="J79" s="141">
        <f>IF(G79&lt;9999,0,IFERROR(VLOOKUP(C79,'AUX23'!$D$2:$L$50,5,0)*G79/100,0))</f>
        <v>0</v>
      </c>
      <c r="K79" s="141">
        <f>IF(G79&lt;9999,0,IFERROR((G79-67170)*VLOOKUP(C79,'AUX23'!$D$2:$L$50,6,0)/100,0))</f>
        <v>0</v>
      </c>
      <c r="L79" s="141">
        <f>IF(G79&lt;9999,0,IFERROR((G79/1.21)*VLOOKUP(C79,'AUX23'!$D$2:$L$50,7,0)/100,0))</f>
        <v>0</v>
      </c>
      <c r="M79" s="141">
        <f t="shared" si="10"/>
        <v>28125</v>
      </c>
      <c r="N79">
        <v>34199515</v>
      </c>
      <c r="O79">
        <f t="shared" si="11"/>
        <v>3</v>
      </c>
      <c r="P79" t="s">
        <v>101</v>
      </c>
      <c r="Q79" t="str">
        <f t="shared" si="7"/>
        <v>LIBRERÍA SAN PABLO SRLMARZO 23</v>
      </c>
      <c r="R79" t="str">
        <f t="shared" si="12"/>
        <v>LIBRERÍA SAN PABLO SRL3</v>
      </c>
      <c r="S79" t="str">
        <f>+R79&amp;COUNTIF($R$2:R79,R79)</f>
        <v>LIBRERÍA SAN PABLO SRL33</v>
      </c>
      <c r="T79" s="141">
        <f t="shared" si="15"/>
        <v>688825.97</v>
      </c>
      <c r="U79" t="str">
        <f t="shared" si="13"/>
        <v>9888</v>
      </c>
      <c r="V79" t="str">
        <f t="shared" si="14"/>
        <v>LIBRERÍA SAN PABLO SRL334199515</v>
      </c>
      <c r="W79" t="str">
        <f>+V79&amp;COUNTIF($V$2:V79,V79)</f>
        <v>LIBRERÍA SAN PABLO SRL3341995151</v>
      </c>
    </row>
    <row r="80" spans="1:23" x14ac:dyDescent="0.25">
      <c r="A80" t="str">
        <f>Q80&amp;COUNTIF($Q$30:Q80,Q80)</f>
        <v>SAWELEC SASMARZO 231</v>
      </c>
      <c r="B80" t="s">
        <v>145</v>
      </c>
      <c r="C80" t="s">
        <v>253</v>
      </c>
      <c r="D80" s="140" t="s">
        <v>430</v>
      </c>
      <c r="E80" s="10">
        <v>45015</v>
      </c>
      <c r="F80" t="str">
        <f>+IFERROR(INDEX('AUX23'!$C$2:$D$44,MATCH(CARGAFACTURAS!C80,'AUX23'!$D$2:$D$50,0),1),"")</f>
        <v>30-71678975-2</v>
      </c>
      <c r="G80" s="243">
        <v>6490.01</v>
      </c>
      <c r="H80" s="141">
        <f>+IF(G80&lt;19999,0,IFERROR(VLOOKUP(C80,'AUX23'!$D$2:$K$50,3,0)*G80/100,0))</f>
        <v>0</v>
      </c>
      <c r="I80" s="141">
        <f>IF(G80&lt;9999,0,IFERROR(VLOOKUP(C80,'AUX23'!$D$2:$L$50,4,0)*G80/100,0))</f>
        <v>0</v>
      </c>
      <c r="J80" s="141">
        <f>IF(G80&lt;9999,0,IFERROR(VLOOKUP(C80,'AUX23'!$D$2:$L$50,5,0)*G80/100,0))</f>
        <v>0</v>
      </c>
      <c r="K80" s="141">
        <f>IF(G80&lt;9999,0,IFERROR((G80-67170)*VLOOKUP(C80,'AUX23'!$D$2:$L$50,6,0)/100,0))</f>
        <v>0</v>
      </c>
      <c r="L80" s="141">
        <f>IF(G80&lt;9999,0,IFERROR((G80/1.21)*VLOOKUP(C80,'AUX23'!$D$2:$L$50,7,0)/100,0))</f>
        <v>0</v>
      </c>
      <c r="M80" s="141">
        <f t="shared" si="10"/>
        <v>6490.01</v>
      </c>
      <c r="N80">
        <v>34199573</v>
      </c>
      <c r="O80">
        <f t="shared" si="11"/>
        <v>3</v>
      </c>
      <c r="P80" t="s">
        <v>101</v>
      </c>
      <c r="Q80" t="str">
        <f t="shared" si="7"/>
        <v>SAWELEC SASMARZO 23</v>
      </c>
      <c r="R80" t="str">
        <f t="shared" si="12"/>
        <v>SAWELEC SAS3</v>
      </c>
      <c r="S80" t="str">
        <f>+R80&amp;COUNTIF($R$2:R80,R80)</f>
        <v>SAWELEC SAS34</v>
      </c>
      <c r="T80" s="141">
        <f t="shared" si="15"/>
        <v>682335.96</v>
      </c>
      <c r="U80" t="str">
        <f t="shared" si="13"/>
        <v>0044</v>
      </c>
      <c r="V80" t="str">
        <f t="shared" si="14"/>
        <v>SAWELEC SAS334199573</v>
      </c>
      <c r="W80" t="str">
        <f>+V80&amp;COUNTIF($V$2:V80,V80)</f>
        <v>SAWELEC SAS3341995731</v>
      </c>
    </row>
    <row r="81" spans="1:23" x14ac:dyDescent="0.25">
      <c r="A81" t="str">
        <f>Q81&amp;COUNTIF($Q$30:Q81,Q81)</f>
        <v>CANIVARES ANTONIO OTILIOMARZO 231</v>
      </c>
      <c r="B81" t="s">
        <v>145</v>
      </c>
      <c r="C81" t="s">
        <v>119</v>
      </c>
      <c r="D81" s="140" t="s">
        <v>431</v>
      </c>
      <c r="E81" s="10">
        <v>45020</v>
      </c>
      <c r="F81" t="str">
        <f>+IFERROR(INDEX('AUX23'!$C$2:$D$44,MATCH(CARGAFACTURAS!C81,'AUX23'!$D$2:$D$50,0),1),"")</f>
        <v>20-07067141-8</v>
      </c>
      <c r="G81" s="243">
        <v>9000</v>
      </c>
      <c r="H81" s="141">
        <f>+IF(G81&lt;19999,0,IFERROR(VLOOKUP(C81,'AUX23'!$D$2:$K$50,3,0)*G81/100,0))</f>
        <v>0</v>
      </c>
      <c r="I81" s="141">
        <f>IF(G81&lt;9999,0,IFERROR(VLOOKUP(C81,'AUX23'!$D$2:$L$50,4,0)*G81/100,0))</f>
        <v>0</v>
      </c>
      <c r="J81" s="141">
        <f>IF(G81&lt;9999,0,IFERROR(VLOOKUP(C81,'AUX23'!$D$2:$L$50,5,0)*G81/100,0))</f>
        <v>0</v>
      </c>
      <c r="K81" s="141">
        <f>IF(G81&lt;9999,0,IFERROR((G81-67170)*VLOOKUP(C81,'AUX23'!$D$2:$L$50,6,0)/100,0))</f>
        <v>0</v>
      </c>
      <c r="L81" s="141">
        <f>IF(G81&lt;9999,0,IFERROR((G81/1.21)*VLOOKUP(C81,'AUX23'!$D$2:$L$50,7,0)/100,0))</f>
        <v>0</v>
      </c>
      <c r="M81" s="141">
        <f t="shared" si="10"/>
        <v>9000</v>
      </c>
      <c r="N81">
        <v>34493615</v>
      </c>
      <c r="O81">
        <f t="shared" si="11"/>
        <v>4</v>
      </c>
      <c r="P81" t="s">
        <v>101</v>
      </c>
      <c r="Q81" t="str">
        <f t="shared" si="7"/>
        <v>CANIVARES ANTONIO OTILIOMARZO 23</v>
      </c>
      <c r="R81" t="str">
        <f t="shared" si="12"/>
        <v>CANIVARES ANTONIO OTILIO4</v>
      </c>
      <c r="S81" t="str">
        <f>+R81&amp;COUNTIF($R$2:R81,R81)</f>
        <v>CANIVARES ANTONIO OTILIO41</v>
      </c>
      <c r="T81" s="141">
        <f t="shared" si="15"/>
        <v>673335.96</v>
      </c>
      <c r="U81" t="str">
        <f t="shared" si="13"/>
        <v>0566</v>
      </c>
      <c r="V81" t="str">
        <f t="shared" si="14"/>
        <v>CANIVARES ANTONIO OTILIO434493615</v>
      </c>
      <c r="W81" t="str">
        <f>+V81&amp;COUNTIF($V$2:V81,V81)</f>
        <v>CANIVARES ANTONIO OTILIO4344936151</v>
      </c>
    </row>
    <row r="82" spans="1:23" x14ac:dyDescent="0.25">
      <c r="A82" t="str">
        <f>Q82&amp;COUNTIF($Q$30:Q82,Q82)</f>
        <v>CANIVARES ANTONIO OTILIOMARZO 232</v>
      </c>
      <c r="B82" t="s">
        <v>145</v>
      </c>
      <c r="C82" t="s">
        <v>119</v>
      </c>
      <c r="D82" s="140" t="s">
        <v>432</v>
      </c>
      <c r="E82" s="10">
        <v>45026</v>
      </c>
      <c r="F82" t="str">
        <f>+IFERROR(INDEX('AUX23'!$C$2:$D$44,MATCH(CARGAFACTURAS!C82,'AUX23'!$D$2:$D$50,0),1),"")</f>
        <v>20-07067141-8</v>
      </c>
      <c r="G82" s="243">
        <v>9000</v>
      </c>
      <c r="H82" s="141">
        <f>+IF(G82&lt;19999,0,IFERROR(VLOOKUP(C82,'AUX23'!$D$2:$K$50,3,0)*G82/100,0))</f>
        <v>0</v>
      </c>
      <c r="I82" s="141">
        <f>IF(G82&lt;9999,0,IFERROR(VLOOKUP(C82,'AUX23'!$D$2:$L$50,4,0)*G82/100,0))</f>
        <v>0</v>
      </c>
      <c r="J82" s="141">
        <f>IF(G82&lt;9999,0,IFERROR(VLOOKUP(C82,'AUX23'!$D$2:$L$50,5,0)*G82/100,0))</f>
        <v>0</v>
      </c>
      <c r="K82" s="141">
        <f>IF(G82&lt;9999,0,IFERROR((G82-67170)*VLOOKUP(C82,'AUX23'!$D$2:$L$50,6,0)/100,0))</f>
        <v>0</v>
      </c>
      <c r="L82" s="141">
        <f>IF(G82&lt;9999,0,IFERROR((G82/1.21)*VLOOKUP(C82,'AUX23'!$D$2:$L$50,7,0)/100,0))</f>
        <v>0</v>
      </c>
      <c r="M82" s="141">
        <f t="shared" si="10"/>
        <v>9000</v>
      </c>
      <c r="N82">
        <v>34712649</v>
      </c>
      <c r="O82">
        <f t="shared" si="11"/>
        <v>4</v>
      </c>
      <c r="P82" t="s">
        <v>101</v>
      </c>
      <c r="Q82" t="str">
        <f t="shared" si="7"/>
        <v>CANIVARES ANTONIO OTILIOMARZO 23</v>
      </c>
      <c r="R82" t="str">
        <f t="shared" si="12"/>
        <v>CANIVARES ANTONIO OTILIO4</v>
      </c>
      <c r="S82" t="str">
        <f>+R82&amp;COUNTIF($R$2:R82,R82)</f>
        <v>CANIVARES ANTONIO OTILIO42</v>
      </c>
      <c r="T82" s="141">
        <f t="shared" si="15"/>
        <v>664335.96</v>
      </c>
      <c r="U82" t="str">
        <f t="shared" si="13"/>
        <v>0616</v>
      </c>
      <c r="V82" t="str">
        <f t="shared" si="14"/>
        <v>CANIVARES ANTONIO OTILIO434712649</v>
      </c>
      <c r="W82" t="str">
        <f>+V82&amp;COUNTIF($V$2:V82,V82)</f>
        <v>CANIVARES ANTONIO OTILIO4347126491</v>
      </c>
    </row>
    <row r="83" spans="1:23" x14ac:dyDescent="0.25">
      <c r="A83" t="str">
        <f>Q83&amp;COUNTIF($Q$30:Q83,Q83)</f>
        <v>FULL TRACK S.R.L.MARZO 232</v>
      </c>
      <c r="B83" t="s">
        <v>145</v>
      </c>
      <c r="C83" t="s">
        <v>98</v>
      </c>
      <c r="D83" s="140" t="s">
        <v>433</v>
      </c>
      <c r="E83" s="10">
        <v>45021</v>
      </c>
      <c r="F83" t="str">
        <f>+IFERROR(INDEX('AUX23'!$C$2:$D$44,MATCH(CARGAFACTURAS!C83,'AUX23'!$D$2:$D$50,0),1),"")</f>
        <v>30-71648081-6</v>
      </c>
      <c r="G83" s="243">
        <v>462650</v>
      </c>
      <c r="H83" s="141">
        <f>+IF(G83&lt;19999,0,IFERROR(VLOOKUP(C83,'AUX23'!$D$2:$K$50,3,0)*G83/100,0))</f>
        <v>0</v>
      </c>
      <c r="I83" s="141">
        <f>IF(G83&lt;9999,0,IFERROR(VLOOKUP(C83,'AUX23'!$D$2:$L$50,4,0)*G83/100,0))</f>
        <v>6939.75</v>
      </c>
      <c r="J83" s="141">
        <f>IF(G83&lt;9999,0,IFERROR(VLOOKUP(C83,'AUX23'!$D$2:$L$50,5,0)*G83/100,0))</f>
        <v>0</v>
      </c>
      <c r="K83" s="141">
        <f>IF(G83&lt;9999,0,IFERROR((G83-67170)*VLOOKUP(C83,'AUX23'!$D$2:$L$50,6,0)/100,0))</f>
        <v>7909.6</v>
      </c>
      <c r="L83" s="141">
        <f>IF(G83&lt;9999,0,IFERROR((G83/1.21)*VLOOKUP(C83,'AUX23'!$D$2:$L$50,7,0)/100,0))</f>
        <v>3823.5537190082646</v>
      </c>
      <c r="M83" s="141">
        <f t="shared" si="10"/>
        <v>443977.09628099174</v>
      </c>
      <c r="N83">
        <v>34493527</v>
      </c>
      <c r="O83">
        <f t="shared" si="11"/>
        <v>4</v>
      </c>
      <c r="P83" t="s">
        <v>124</v>
      </c>
      <c r="Q83" t="str">
        <f t="shared" si="7"/>
        <v>FULL TRACK S.R.L.MARZO 23</v>
      </c>
      <c r="R83" t="str">
        <f t="shared" si="12"/>
        <v>FULL TRACK S.R.L.4</v>
      </c>
      <c r="S83" t="str">
        <f>+R83&amp;COUNTIF($R$2:R83,R83)</f>
        <v>FULL TRACK S.R.L.41</v>
      </c>
      <c r="T83" s="141">
        <f t="shared" si="15"/>
        <v>201685.95999999996</v>
      </c>
      <c r="U83" t="str">
        <f t="shared" si="13"/>
        <v>0034</v>
      </c>
      <c r="V83" t="str">
        <f t="shared" si="14"/>
        <v>FULL TRACK S.R.L.434493527</v>
      </c>
      <c r="W83" t="str">
        <f>+V83&amp;COUNTIF($V$2:V83,V83)</f>
        <v>FULL TRACK S.R.L.4344935271</v>
      </c>
    </row>
    <row r="84" spans="1:23" x14ac:dyDescent="0.25">
      <c r="A84" t="str">
        <f>Q84&amp;COUNTIF($Q$30:Q84,Q84)</f>
        <v>WATERLIFE (VARONA CARLOS JOSE)MARZO 231</v>
      </c>
      <c r="B84" t="s">
        <v>145</v>
      </c>
      <c r="C84" t="s">
        <v>20</v>
      </c>
      <c r="D84" s="140" t="s">
        <v>434</v>
      </c>
      <c r="E84" s="10">
        <v>45019</v>
      </c>
      <c r="F84" t="str">
        <f>+IFERROR(INDEX('AUX23'!$C$2:$D$70,MATCH(CARGAFACTURAS!C84,'AUX23'!$D$2:$D$50,0),1),"")</f>
        <v>20-22414023-2</v>
      </c>
      <c r="G84" s="243">
        <v>70650</v>
      </c>
      <c r="H84" s="141">
        <f>+IF(G84&lt;19999,0,IFERROR(VLOOKUP(C84,'AUX23'!$D$2:$K$50,3,0)*G84/100,0))</f>
        <v>0</v>
      </c>
      <c r="I84" s="141">
        <f>IF(G84&lt;9999,0,IFERROR(VLOOKUP(C84,'AUX23'!$D$2:$L$50,4,0)*G84/100,0))</f>
        <v>1766.25</v>
      </c>
      <c r="J84" s="141">
        <f>IF(G84&lt;9999,0,IFERROR(VLOOKUP(C84,'AUX23'!$D$2:$L$50,5,0)*G84/100,0))</f>
        <v>0</v>
      </c>
      <c r="K84" s="141">
        <f>IF(G84&lt;9999,0,IFERROR((G84-67170)*VLOOKUP(C84,'AUX23'!$D$2:$L$50,6,0)/100,0))</f>
        <v>0</v>
      </c>
      <c r="L84" s="141">
        <f>IF(G84&lt;9999,0,IFERROR((G84/1.21)*VLOOKUP(C84,'AUX23'!$D$2:$L$50,7,0)/100,0))</f>
        <v>0</v>
      </c>
      <c r="M84" s="141">
        <f t="shared" si="10"/>
        <v>68883.75</v>
      </c>
      <c r="N84">
        <v>34493579</v>
      </c>
      <c r="O84">
        <f t="shared" si="11"/>
        <v>4</v>
      </c>
      <c r="P84" t="s">
        <v>101</v>
      </c>
      <c r="Q84" t="str">
        <f t="shared" si="7"/>
        <v>WATERLIFE (VARONA CARLOS JOSE)MARZO 23</v>
      </c>
      <c r="R84" t="str">
        <f t="shared" si="12"/>
        <v>WATERLIFE (VARONA CARLOS JOSE)4</v>
      </c>
      <c r="S84" t="str">
        <f>+R84&amp;COUNTIF($R$2:R84,R84)</f>
        <v>WATERLIFE (VARONA CARLOS JOSE)41</v>
      </c>
      <c r="T84" s="141">
        <f t="shared" si="15"/>
        <v>131035.95999999996</v>
      </c>
      <c r="U84" t="str">
        <f t="shared" si="13"/>
        <v>4478</v>
      </c>
      <c r="V84" t="str">
        <f t="shared" si="14"/>
        <v>WATERLIFE (VARONA CARLOS JOSE)434493579</v>
      </c>
      <c r="W84" t="str">
        <f>+V84&amp;COUNTIF($V$2:V84,V84)</f>
        <v>WATERLIFE (VARONA CARLOS JOSE)4344935791</v>
      </c>
    </row>
    <row r="85" spans="1:23" x14ac:dyDescent="0.25">
      <c r="A85" t="str">
        <f>Q85&amp;COUNTIF($Q$30:Q85,Q85)</f>
        <v>CLARO (AMX ARGENTINA)MARZO 231</v>
      </c>
      <c r="B85" t="s">
        <v>145</v>
      </c>
      <c r="C85" t="s">
        <v>18</v>
      </c>
      <c r="D85" s="140" t="s">
        <v>437</v>
      </c>
      <c r="E85" s="10">
        <v>45000</v>
      </c>
      <c r="F85" t="str">
        <f>+IFERROR(INDEX('AUX23'!$C$2:$D$44,MATCH(CARGAFACTURAS!C85,'AUX23'!$D$2:$D$50,0),1),"")</f>
        <v>30-66328849-7</v>
      </c>
      <c r="G85" s="243">
        <v>18157.259999999998</v>
      </c>
      <c r="H85" s="141">
        <f>+IF(G85&lt;19999,0,IFERROR(VLOOKUP(C85,'AUX23'!$D$2:$K$50,3,0)*G85/100,0))</f>
        <v>0</v>
      </c>
      <c r="I85" s="141">
        <f>IF(G85&lt;9999,0,IFERROR(VLOOKUP(C85,'AUX23'!$D$2:$L$50,4,0)*G85/100,0))</f>
        <v>0</v>
      </c>
      <c r="J85" s="141">
        <f>IF(G85&lt;9999,0,IFERROR(VLOOKUP(C85,'AUX23'!$D$2:$L$50,5,0)*G85/100,0))</f>
        <v>0</v>
      </c>
      <c r="K85" s="141">
        <f>IF(G85&lt;9999,0,IFERROR((G85-67170)*VLOOKUP(C85,'AUX23'!$D$2:$L$50,6,0)/100,0))</f>
        <v>0</v>
      </c>
      <c r="L85" s="141">
        <f>IF(G85&lt;9999,0,IFERROR((G85/1.21)*VLOOKUP(C85,'AUX23'!$D$2:$L$50,7,0)/100,0))</f>
        <v>0</v>
      </c>
      <c r="M85" s="141">
        <f t="shared" si="10"/>
        <v>18157.259999999998</v>
      </c>
      <c r="N85">
        <v>34630952</v>
      </c>
      <c r="O85">
        <f t="shared" si="11"/>
        <v>3</v>
      </c>
      <c r="P85" t="s">
        <v>101</v>
      </c>
      <c r="Q85" t="str">
        <f t="shared" si="7"/>
        <v>CLARO (AMX ARGENTINA)MARZO 23</v>
      </c>
      <c r="R85" t="str">
        <f t="shared" si="12"/>
        <v>CLARO (AMX ARGENTINA)3</v>
      </c>
      <c r="S85" t="str">
        <f>+R85&amp;COUNTIF($R$2:R85,R85)</f>
        <v>CLARO (AMX ARGENTINA)31</v>
      </c>
      <c r="T85" s="141">
        <f t="shared" si="15"/>
        <v>112878.69999999997</v>
      </c>
      <c r="U85" t="str">
        <f t="shared" si="13"/>
        <v>3653</v>
      </c>
      <c r="V85" t="str">
        <f t="shared" si="14"/>
        <v>CLARO (AMX ARGENTINA)334630952</v>
      </c>
      <c r="W85" t="str">
        <f>+V85&amp;COUNTIF($V$2:V85,V85)</f>
        <v>CLARO (AMX ARGENTINA)3346309521</v>
      </c>
    </row>
    <row r="86" spans="1:23" x14ac:dyDescent="0.25">
      <c r="A86" t="str">
        <f>Q86&amp;COUNTIF($Q$30:Q86,Q86)</f>
        <v>LIBRERÍA SAN PABLO SRLMARZO 232</v>
      </c>
      <c r="B86" t="s">
        <v>145</v>
      </c>
      <c r="C86" t="s">
        <v>10</v>
      </c>
      <c r="D86" s="140" t="s">
        <v>447</v>
      </c>
      <c r="E86" s="10">
        <v>45028</v>
      </c>
      <c r="F86" t="str">
        <f>+IFERROR(INDEX('AUX23'!$C$2:$D$44,MATCH(CARGAFACTURAS!C86,'AUX23'!$D$2:$D$50,0),1),"")</f>
        <v>30-58351679-0</v>
      </c>
      <c r="G86" s="243">
        <v>50000</v>
      </c>
      <c r="H86" s="141">
        <f>+IF(G86&lt;19999,0,IFERROR(VLOOKUP(C86,'AUX23'!$D$2:$K$50,3,0)*G86/100,0))</f>
        <v>625</v>
      </c>
      <c r="I86" s="141">
        <f>IF(G86&lt;9999,0,IFERROR(VLOOKUP(C86,'AUX23'!$D$2:$L$50,4,0)*G86/100,0))</f>
        <v>2500</v>
      </c>
      <c r="J86" s="141">
        <f>IF(G86&lt;9999,0,IFERROR(VLOOKUP(C86,'AUX23'!$D$2:$L$50,5,0)*G86/100,0))</f>
        <v>0</v>
      </c>
      <c r="K86" s="141">
        <f>IF(G86&lt;9999,0,IFERROR((G86-67170)*VLOOKUP(C86,'AUX23'!$D$2:$L$50,6,0)/100,0))</f>
        <v>0</v>
      </c>
      <c r="L86" s="141">
        <f>IF(G86&lt;9999,0,IFERROR((G86/1.21)*VLOOKUP(C86,'AUX23'!$D$2:$L$50,7,0)/100,0))</f>
        <v>0</v>
      </c>
      <c r="M86" s="141">
        <f t="shared" si="10"/>
        <v>46875</v>
      </c>
      <c r="N86">
        <v>34712771</v>
      </c>
      <c r="O86">
        <f t="shared" si="11"/>
        <v>4</v>
      </c>
      <c r="P86" t="s">
        <v>101</v>
      </c>
      <c r="Q86" t="str">
        <f t="shared" si="7"/>
        <v>LIBRERÍA SAN PABLO SRLMARZO 23</v>
      </c>
      <c r="R86" t="str">
        <f t="shared" si="12"/>
        <v>LIBRERÍA SAN PABLO SRL4</v>
      </c>
      <c r="S86" t="str">
        <f>+R86&amp;COUNTIF($R$2:R86,R86)</f>
        <v>LIBRERÍA SAN PABLO SRL41</v>
      </c>
      <c r="T86" s="141">
        <f t="shared" si="15"/>
        <v>62878.699999999968</v>
      </c>
      <c r="U86" t="str">
        <f t="shared" si="13"/>
        <v>0116</v>
      </c>
      <c r="V86" t="str">
        <f t="shared" si="14"/>
        <v>LIBRERÍA SAN PABLO SRL434712771</v>
      </c>
      <c r="W86" t="str">
        <f>+V86&amp;COUNTIF($V$2:V86,V86)</f>
        <v>LIBRERÍA SAN PABLO SRL4347127711</v>
      </c>
    </row>
    <row r="87" spans="1:23" x14ac:dyDescent="0.25">
      <c r="A87" t="str">
        <f>Q87&amp;COUNTIF($Q$30:Q87,Q87)</f>
        <v>NAGLE JORGE ELIAS(FERRETERIA)MARZO 231</v>
      </c>
      <c r="B87" t="s">
        <v>145</v>
      </c>
      <c r="C87" t="s">
        <v>340</v>
      </c>
      <c r="D87" s="140" t="s">
        <v>440</v>
      </c>
      <c r="E87" s="10">
        <v>45027</v>
      </c>
      <c r="F87" t="str">
        <f>+IFERROR(INDEX('AUX23'!$C$2:$D$44,MATCH(CARGAFACTURAS!C87,'AUX23'!$D$2:$D$50,0),1),"")</f>
        <v>20-39477352-3</v>
      </c>
      <c r="G87" s="243">
        <v>650</v>
      </c>
      <c r="H87" s="141">
        <f>+IF(G87&lt;19999,0,IFERROR(VLOOKUP(C87,'AUX23'!$D$2:$K$50,3,0)*G87/100,0))</f>
        <v>0</v>
      </c>
      <c r="I87" s="141">
        <f>IF(G87&lt;9999,0,IFERROR(VLOOKUP(C87,'AUX23'!$D$2:$L$50,4,0)*G87/100,0))</f>
        <v>0</v>
      </c>
      <c r="J87" s="141">
        <f>IF(G87&lt;9999,0,IFERROR(VLOOKUP(C87,'AUX23'!$D$2:$L$50,5,0)*G87/100,0))</f>
        <v>0</v>
      </c>
      <c r="K87" s="141">
        <f>IF(G87&lt;9999,0,IFERROR((G87-67170)*VLOOKUP(C87,'AUX23'!$D$2:$L$50,6,0)/100,0))</f>
        <v>0</v>
      </c>
      <c r="L87" s="141">
        <f>IF(G87&lt;9999,0,IFERROR((G87/1.21)*VLOOKUP(C87,'AUX23'!$D$2:$L$50,7,0)/100,0))</f>
        <v>0</v>
      </c>
      <c r="M87" s="141">
        <f t="shared" si="10"/>
        <v>650</v>
      </c>
      <c r="N87" t="str">
        <f t="shared" si="9"/>
        <v>CC</v>
      </c>
      <c r="O87">
        <f t="shared" si="11"/>
        <v>4</v>
      </c>
      <c r="P87" t="s">
        <v>101</v>
      </c>
      <c r="Q87" t="str">
        <f t="shared" si="7"/>
        <v>NAGLE JORGE ELIAS(FERRETERIA)MARZO 23</v>
      </c>
      <c r="R87" t="str">
        <f t="shared" si="12"/>
        <v>NAGLE JORGE ELIAS(FERRETERIA)4</v>
      </c>
      <c r="S87" t="str">
        <f>+R87&amp;COUNTIF($R$2:R87,R87)</f>
        <v>NAGLE JORGE ELIAS(FERRETERIA)41</v>
      </c>
      <c r="T87" s="141">
        <f t="shared" si="15"/>
        <v>62228.699999999968</v>
      </c>
      <c r="U87" t="str">
        <f t="shared" si="13"/>
        <v>1501</v>
      </c>
      <c r="V87" t="str">
        <f t="shared" si="14"/>
        <v>NAGLE JORGE ELIAS(FERRETERIA)4CC</v>
      </c>
      <c r="W87" t="str">
        <f>+V87&amp;COUNTIF($V$2:V87,V87)</f>
        <v>NAGLE JORGE ELIAS(FERRETERIA)4CC1</v>
      </c>
    </row>
    <row r="88" spans="1:23" x14ac:dyDescent="0.25">
      <c r="A88" t="str">
        <f>Q88&amp;COUNTIF($Q$30:Q88,Q88)</f>
        <v>JORGE ROLANDO FRIAS (JF SERV. INF.)MARZO 232</v>
      </c>
      <c r="B88" t="s">
        <v>145</v>
      </c>
      <c r="C88" t="s">
        <v>59</v>
      </c>
      <c r="D88" s="140" t="s">
        <v>441</v>
      </c>
      <c r="E88" s="10">
        <v>45027</v>
      </c>
      <c r="F88" t="str">
        <f>+IFERROR(INDEX('AUX23'!$C$2:$D$44,MATCH(CARGAFACTURAS!C88,'AUX23'!$D$2:$D$50,0),1),"")</f>
        <v>20-22167463-5</v>
      </c>
      <c r="G88" s="243">
        <v>48200</v>
      </c>
      <c r="H88" s="141">
        <f>+IF(G88&lt;19999,0,IFERROR(VLOOKUP(C88,'AUX23'!$D$2:$K$50,3,0)*G88/100,0))</f>
        <v>0</v>
      </c>
      <c r="I88" s="141">
        <f>IF(G88&lt;9999,0,IFERROR(VLOOKUP(C88,'AUX23'!$D$2:$L$50,4,0)*G88/100,0))</f>
        <v>1205</v>
      </c>
      <c r="J88" s="141">
        <f>IF(G88&lt;9999,0,IFERROR(VLOOKUP(C88,'AUX23'!$D$2:$L$50,5,0)*G88/100,0))</f>
        <v>0</v>
      </c>
      <c r="K88" s="141">
        <f>IF(G88&lt;9999,0,IFERROR((G88-67170)*VLOOKUP(C88,'AUX23'!$D$2:$L$50,6,0)/100,0))</f>
        <v>0</v>
      </c>
      <c r="L88" s="141">
        <f>IF(G88&lt;9999,0,IFERROR((G88/1.21)*VLOOKUP(C88,'AUX23'!$D$2:$L$50,7,0)/100,0))</f>
        <v>0</v>
      </c>
      <c r="M88" s="141">
        <f t="shared" si="10"/>
        <v>46995</v>
      </c>
      <c r="N88">
        <v>36068166</v>
      </c>
      <c r="O88">
        <f t="shared" si="11"/>
        <v>4</v>
      </c>
      <c r="P88" t="s">
        <v>101</v>
      </c>
      <c r="Q88" t="str">
        <f t="shared" si="7"/>
        <v>JORGE ROLANDO FRIAS (JF SERV. INF.)MARZO 23</v>
      </c>
      <c r="R88" t="str">
        <f t="shared" si="12"/>
        <v>JORGE ROLANDO FRIAS (JF SERV. INF.)4</v>
      </c>
      <c r="S88" t="str">
        <f>+R88&amp;COUNTIF($R$2:R88,R88)</f>
        <v>JORGE ROLANDO FRIAS (JF SERV. INF.)41</v>
      </c>
      <c r="T88" s="141">
        <f t="shared" si="15"/>
        <v>14028.699999999968</v>
      </c>
      <c r="U88" t="str">
        <f t="shared" si="13"/>
        <v>0150</v>
      </c>
      <c r="V88" t="str">
        <f t="shared" si="14"/>
        <v>JORGE ROLANDO FRIAS (JF SERV. INF.)436068166</v>
      </c>
      <c r="W88" t="str">
        <f>+V88&amp;COUNTIF($V$2:V88,V88)</f>
        <v>JORGE ROLANDO FRIAS (JF SERV. INF.)4360681661</v>
      </c>
    </row>
    <row r="89" spans="1:23" x14ac:dyDescent="0.25">
      <c r="A89" t="str">
        <f>Q89&amp;COUNTIF($Q$30:Q89,Q89)</f>
        <v>NAGLE JORGE ELIAS(FERRETERIA)MARZO 232</v>
      </c>
      <c r="B89" t="s">
        <v>145</v>
      </c>
      <c r="C89" t="s">
        <v>340</v>
      </c>
      <c r="D89" s="140" t="s">
        <v>450</v>
      </c>
      <c r="E89" s="10">
        <v>45028</v>
      </c>
      <c r="F89" t="str">
        <f>+IFERROR(INDEX('AUX23'!$C$2:$D$44,MATCH(CARGAFACTURAS!C89,'AUX23'!$D$2:$D$50,0),1),"")</f>
        <v>20-39477352-3</v>
      </c>
      <c r="G89" s="243">
        <v>4298</v>
      </c>
      <c r="H89" s="141">
        <f>+IF(G89&lt;19999,0,IFERROR(VLOOKUP(C89,'AUX23'!$D$2:$K$50,3,0)*G89/100,0))</f>
        <v>0</v>
      </c>
      <c r="I89" s="141">
        <f>IF(G89&lt;9999,0,IFERROR(VLOOKUP(C89,'AUX23'!$D$2:$L$50,4,0)*G89/100,0))</f>
        <v>0</v>
      </c>
      <c r="J89" s="141">
        <f>IF(G89&lt;9999,0,IFERROR(VLOOKUP(C89,'AUX23'!$D$2:$L$50,5,0)*G89/100,0))</f>
        <v>0</v>
      </c>
      <c r="K89" s="141">
        <f>IF(G89&lt;9999,0,IFERROR((G89-67170)*VLOOKUP(C89,'AUX23'!$D$2:$L$50,6,0)/100,0))</f>
        <v>0</v>
      </c>
      <c r="L89" s="141">
        <f>IF(G89&lt;9999,0,IFERROR((G89/1.21)*VLOOKUP(C89,'AUX23'!$D$2:$L$50,7,0)/100,0))</f>
        <v>0</v>
      </c>
      <c r="M89" s="141">
        <f t="shared" si="10"/>
        <v>4298</v>
      </c>
      <c r="N89" t="str">
        <f t="shared" si="9"/>
        <v>CC</v>
      </c>
      <c r="O89">
        <f t="shared" si="11"/>
        <v>4</v>
      </c>
      <c r="P89" t="s">
        <v>101</v>
      </c>
      <c r="Q89" t="str">
        <f t="shared" si="7"/>
        <v>NAGLE JORGE ELIAS(FERRETERIA)MARZO 23</v>
      </c>
      <c r="R89" t="str">
        <f t="shared" si="12"/>
        <v>NAGLE JORGE ELIAS(FERRETERIA)4</v>
      </c>
      <c r="S89" t="str">
        <f>+R89&amp;COUNTIF($R$2:R89,R89)</f>
        <v>NAGLE JORGE ELIAS(FERRETERIA)42</v>
      </c>
      <c r="T89" s="141">
        <f t="shared" si="15"/>
        <v>9730.699999999968</v>
      </c>
      <c r="U89" t="str">
        <f t="shared" si="13"/>
        <v>1503</v>
      </c>
      <c r="V89" t="str">
        <f t="shared" si="14"/>
        <v>NAGLE JORGE ELIAS(FERRETERIA)4CC</v>
      </c>
      <c r="W89" t="str">
        <f>+V89&amp;COUNTIF($V$2:V89,V89)</f>
        <v>NAGLE JORGE ELIAS(FERRETERIA)4CC2</v>
      </c>
    </row>
    <row r="90" spans="1:23" x14ac:dyDescent="0.25">
      <c r="A90" t="str">
        <f>Q90&amp;COUNTIF($Q$30:Q90,Q90)</f>
        <v>SAWELEC SASMARZO 232</v>
      </c>
      <c r="B90" t="s">
        <v>145</v>
      </c>
      <c r="C90" t="s">
        <v>253</v>
      </c>
      <c r="D90" s="140" t="s">
        <v>456</v>
      </c>
      <c r="E90" s="10">
        <v>45029</v>
      </c>
      <c r="F90" t="str">
        <f>+IFERROR(INDEX('AUX23'!$C$2:$D$44,MATCH(CARGAFACTURAS!C90,'AUX23'!$D$2:$D$50,0),1),"")</f>
        <v>30-71678975-2</v>
      </c>
      <c r="G90" s="243">
        <v>9766.02</v>
      </c>
      <c r="H90" s="141">
        <f>+IF(G90&lt;19999,0,IFERROR(VLOOKUP(C90,'AUX23'!$D$2:$K$50,3,0)*G90/100,0))</f>
        <v>0</v>
      </c>
      <c r="I90" s="141">
        <f>IF(G90&lt;9999,0,IFERROR(VLOOKUP(C90,'AUX23'!$D$2:$L$50,4,0)*G90/100,0))</f>
        <v>0</v>
      </c>
      <c r="J90" s="141">
        <f>IF(G90&lt;9999,0,IFERROR(VLOOKUP(C90,'AUX23'!$D$2:$L$50,5,0)*G90/100,0))</f>
        <v>0</v>
      </c>
      <c r="K90" s="141">
        <f>IF(G90&lt;9999,0,IFERROR((G90-67170)*VLOOKUP(C90,'AUX23'!$D$2:$L$50,6,0)/100,0))</f>
        <v>0</v>
      </c>
      <c r="L90" s="141">
        <f>IF(G90&lt;9999,0,IFERROR((G90/1.21)*VLOOKUP(C90,'AUX23'!$D$2:$L$50,7,0)/100,0))</f>
        <v>0</v>
      </c>
      <c r="M90" s="141">
        <f t="shared" si="10"/>
        <v>9766.02</v>
      </c>
      <c r="N90">
        <v>34713735</v>
      </c>
      <c r="O90">
        <f t="shared" si="11"/>
        <v>4</v>
      </c>
      <c r="P90" t="s">
        <v>101</v>
      </c>
      <c r="Q90" t="str">
        <f t="shared" si="7"/>
        <v>SAWELEC SASMARZO 23</v>
      </c>
      <c r="R90" t="str">
        <f t="shared" si="12"/>
        <v>SAWELEC SAS4</v>
      </c>
      <c r="S90" t="str">
        <f>+R90&amp;COUNTIF($R$2:R90,R90)</f>
        <v>SAWELEC SAS41</v>
      </c>
      <c r="T90" s="141">
        <f t="shared" si="15"/>
        <v>-35.320000000032451</v>
      </c>
      <c r="U90" t="str">
        <f t="shared" si="13"/>
        <v>0047</v>
      </c>
      <c r="V90" t="str">
        <f t="shared" si="14"/>
        <v>SAWELEC SAS434713735</v>
      </c>
      <c r="W90" t="str">
        <f>+V90&amp;COUNTIF($V$2:V90,V90)</f>
        <v>SAWELEC SAS4347137351</v>
      </c>
    </row>
    <row r="91" spans="1:23" x14ac:dyDescent="0.25">
      <c r="A91" t="str">
        <f>Q91&amp;COUNTIF($Q$30:Q91,Q91)</f>
        <v>MARZO 231</v>
      </c>
      <c r="B91" t="s">
        <v>145</v>
      </c>
      <c r="D91" s="140"/>
      <c r="E91" s="10"/>
      <c r="F91" t="str">
        <f>+IFERROR(INDEX('AUX23'!$C$2:$D$44,MATCH(CARGAFACTURAS!C91,'AUX23'!$D$2:$D$50,0),1),"")</f>
        <v/>
      </c>
      <c r="G91" s="243"/>
      <c r="H91" s="141">
        <f>+IF(G91&lt;19999,0,IFERROR(VLOOKUP(C91,'AUX23'!$D$2:$K$50,3,0)*G91/100,0))</f>
        <v>0</v>
      </c>
      <c r="I91" s="141">
        <f>IF(G91&lt;9999,0,IFERROR(VLOOKUP(C91,'AUX23'!$D$2:$L$50,4,0)*G91/100,0))</f>
        <v>0</v>
      </c>
      <c r="J91" s="141">
        <f>IF(G91&lt;9999,0,IFERROR(VLOOKUP(C91,'AUX23'!$D$2:$L$50,5,0)*G91/100,0))</f>
        <v>0</v>
      </c>
      <c r="K91" s="141">
        <f>IF(G91&lt;9999,0,IFERROR((G91-67170)*VLOOKUP(C91,'AUX23'!$D$2:$L$50,6,0)/100,0))</f>
        <v>0</v>
      </c>
      <c r="L91" s="141">
        <f>IF(G91&lt;9999,0,IFERROR((G91/1.21)*VLOOKUP(C91,'AUX23'!$D$2:$L$50,7,0)/100,0))</f>
        <v>0</v>
      </c>
      <c r="M91" s="141">
        <f t="shared" si="10"/>
        <v>0</v>
      </c>
      <c r="N91" t="str">
        <f t="shared" si="9"/>
        <v>CC</v>
      </c>
      <c r="O91">
        <f t="shared" si="11"/>
        <v>1</v>
      </c>
      <c r="Q91" t="str">
        <f t="shared" si="7"/>
        <v>MARZO 23</v>
      </c>
      <c r="R91" t="str">
        <f t="shared" si="12"/>
        <v>1</v>
      </c>
      <c r="S91" t="str">
        <f>+R91&amp;COUNTIF($R$2:R91,R91)</f>
        <v>13</v>
      </c>
      <c r="T91" s="141">
        <f t="shared" si="15"/>
        <v>-35.320000000032451</v>
      </c>
      <c r="U91" t="str">
        <f t="shared" si="13"/>
        <v/>
      </c>
      <c r="V91" t="str">
        <f t="shared" si="14"/>
        <v>1CC</v>
      </c>
      <c r="W91" t="str">
        <f>+V91&amp;COUNTIF($V$2:V91,V91)</f>
        <v>1CC3</v>
      </c>
    </row>
    <row r="92" spans="1:23" x14ac:dyDescent="0.25">
      <c r="A92" t="str">
        <f>Q92&amp;COUNTIF($Q$30:Q92,Q92)</f>
        <v>MARZO 232</v>
      </c>
      <c r="B92" t="s">
        <v>145</v>
      </c>
      <c r="D92" s="140"/>
      <c r="E92" s="10"/>
      <c r="F92" t="str">
        <f>+IFERROR(INDEX('AUX23'!$C$2:$D$44,MATCH(CARGAFACTURAS!C92,'AUX23'!$D$2:$D$50,0),1),"")</f>
        <v/>
      </c>
      <c r="G92" s="243"/>
      <c r="H92" s="141">
        <f>+IF(G92&lt;19999,0,IFERROR(VLOOKUP(C92,'AUX23'!$D$2:$K$50,3,0)*G92/100,0))</f>
        <v>0</v>
      </c>
      <c r="I92" s="141">
        <f>IF(G92&lt;9999,0,IFERROR(VLOOKUP(C92,'AUX23'!$D$2:$L$50,4,0)*G92/100,0))</f>
        <v>0</v>
      </c>
      <c r="J92" s="141">
        <f>IF(G92&lt;9999,0,IFERROR(VLOOKUP(C92,'AUX23'!$D$2:$L$50,5,0)*G92/100,0))</f>
        <v>0</v>
      </c>
      <c r="K92" s="141">
        <f>IF(G92&lt;9999,0,IFERROR((G92-67170)*VLOOKUP(C92,'AUX23'!$D$2:$L$50,6,0)/100,0))</f>
        <v>0</v>
      </c>
      <c r="L92" s="141">
        <f>IF(G92&lt;9999,0,IFERROR((G92/1.21)*VLOOKUP(C92,'AUX23'!$D$2:$L$50,7,0)/100,0))</f>
        <v>0</v>
      </c>
      <c r="M92" s="141">
        <f t="shared" si="10"/>
        <v>0</v>
      </c>
      <c r="N92" t="str">
        <f t="shared" si="9"/>
        <v>CC</v>
      </c>
      <c r="O92">
        <f t="shared" si="11"/>
        <v>1</v>
      </c>
      <c r="Q92" t="str">
        <f t="shared" si="7"/>
        <v>MARZO 23</v>
      </c>
      <c r="R92" t="str">
        <f t="shared" si="12"/>
        <v>1</v>
      </c>
      <c r="S92" t="str">
        <f>+R92&amp;COUNTIF($R$2:R92,R92)</f>
        <v>14</v>
      </c>
      <c r="T92" s="141">
        <f t="shared" si="15"/>
        <v>-35.320000000032451</v>
      </c>
      <c r="U92" t="str">
        <f t="shared" si="13"/>
        <v/>
      </c>
      <c r="V92" t="str">
        <f t="shared" si="14"/>
        <v>1CC</v>
      </c>
      <c r="W92" t="str">
        <f>+V92&amp;COUNTIF($V$2:V92,V92)</f>
        <v>1CC4</v>
      </c>
    </row>
    <row r="93" spans="1:23" x14ac:dyDescent="0.25">
      <c r="A93" t="str">
        <f>Q93&amp;COUNTIF($Q$30:Q93,Q93)</f>
        <v>MARZO 233</v>
      </c>
      <c r="B93" t="s">
        <v>145</v>
      </c>
      <c r="D93" s="140"/>
      <c r="E93" s="10"/>
      <c r="F93" t="str">
        <f>+IFERROR(INDEX('AUX23'!$C$2:$D$44,MATCH(CARGAFACTURAS!C93,'AUX23'!$D$2:$D$50,0),1),"")</f>
        <v/>
      </c>
      <c r="G93" s="243"/>
      <c r="H93" s="141">
        <f>+IF(G93&lt;19999,0,IFERROR(VLOOKUP(C93,'AUX23'!$D$2:$K$50,3,0)*G93/100,0))</f>
        <v>0</v>
      </c>
      <c r="I93" s="141">
        <f>IF(G93&lt;9999,0,IFERROR(VLOOKUP(C93,'AUX23'!$D$2:$L$50,4,0)*G93/100,0))</f>
        <v>0</v>
      </c>
      <c r="J93" s="141">
        <f>IF(G93&lt;9999,0,IFERROR(VLOOKUP(C93,'AUX23'!$D$2:$L$50,5,0)*G93/100,0))</f>
        <v>0</v>
      </c>
      <c r="K93" s="141">
        <f>IF(G93&lt;9999,0,IFERROR((G93-67170)*VLOOKUP(C93,'AUX23'!$D$2:$L$50,6,0)/100,0))</f>
        <v>0</v>
      </c>
      <c r="L93" s="141">
        <f>IF(G93&lt;9999,0,IFERROR((G93/1.21)*VLOOKUP(C93,'AUX23'!$D$2:$L$50,7,0)/100,0))</f>
        <v>0</v>
      </c>
      <c r="M93" s="141">
        <f t="shared" si="10"/>
        <v>0</v>
      </c>
      <c r="N93" t="str">
        <f t="shared" si="9"/>
        <v>CC</v>
      </c>
      <c r="O93">
        <f t="shared" si="11"/>
        <v>1</v>
      </c>
      <c r="Q93" t="str">
        <f t="shared" si="7"/>
        <v>MARZO 23</v>
      </c>
      <c r="R93" t="str">
        <f t="shared" si="12"/>
        <v>1</v>
      </c>
      <c r="S93" t="str">
        <f>+R93&amp;COUNTIF($R$2:R93,R93)</f>
        <v>15</v>
      </c>
      <c r="T93" s="141">
        <f t="shared" si="15"/>
        <v>-35.320000000032451</v>
      </c>
      <c r="U93" t="str">
        <f t="shared" si="13"/>
        <v/>
      </c>
      <c r="V93" t="str">
        <f t="shared" si="14"/>
        <v>1CC</v>
      </c>
      <c r="W93" t="str">
        <f>+V93&amp;COUNTIF($V$2:V93,V93)</f>
        <v>1CC5</v>
      </c>
    </row>
    <row r="94" spans="1:23" x14ac:dyDescent="0.25">
      <c r="A94" t="str">
        <f>Q94&amp;COUNTIF($Q$30:Q94,Q94)</f>
        <v>MARZO 234</v>
      </c>
      <c r="B94" t="s">
        <v>145</v>
      </c>
      <c r="D94" s="140"/>
      <c r="E94" s="10"/>
      <c r="F94" t="str">
        <f>+IFERROR(INDEX('AUX23'!$C$2:$D$44,MATCH(CARGAFACTURAS!C94,'AUX23'!$D$2:$D$50,0),1),"")</f>
        <v/>
      </c>
      <c r="G94" s="243"/>
      <c r="H94" s="141">
        <f>+IF(G94&lt;19999,0,IFERROR(VLOOKUP(C94,'AUX23'!$D$2:$K$50,3,0)*G94/100,0))</f>
        <v>0</v>
      </c>
      <c r="I94" s="141">
        <f>IF(G94&lt;9999,0,IFERROR(VLOOKUP(C94,'AUX23'!$D$2:$L$50,4,0)*G94/100,0))</f>
        <v>0</v>
      </c>
      <c r="J94" s="141">
        <f>IF(G94&lt;9999,0,IFERROR(VLOOKUP(C94,'AUX23'!$D$2:$L$50,5,0)*G94/100,0))</f>
        <v>0</v>
      </c>
      <c r="K94" s="141">
        <f>IF(G94&lt;9999,0,IFERROR((G94-67170)*VLOOKUP(C94,'AUX23'!$D$2:$L$50,6,0)/100,0))</f>
        <v>0</v>
      </c>
      <c r="L94" s="141">
        <f>IF(G94&lt;9999,0,IFERROR((G94/1.21)*VLOOKUP(C94,'AUX23'!$D$2:$L$50,7,0)/100,0))</f>
        <v>0</v>
      </c>
      <c r="M94" s="141">
        <f t="shared" si="10"/>
        <v>0</v>
      </c>
      <c r="N94" t="str">
        <f t="shared" si="9"/>
        <v>CC</v>
      </c>
      <c r="O94">
        <f t="shared" si="11"/>
        <v>1</v>
      </c>
      <c r="Q94" t="str">
        <f t="shared" si="7"/>
        <v>MARZO 23</v>
      </c>
      <c r="R94" t="str">
        <f t="shared" si="12"/>
        <v>1</v>
      </c>
      <c r="S94" t="str">
        <f>+R94&amp;COUNTIF($R$2:R94,R94)</f>
        <v>16</v>
      </c>
      <c r="T94" s="141">
        <f t="shared" si="15"/>
        <v>-35.320000000032451</v>
      </c>
      <c r="U94" t="str">
        <f t="shared" si="13"/>
        <v/>
      </c>
      <c r="V94" t="str">
        <f t="shared" si="14"/>
        <v>1CC</v>
      </c>
      <c r="W94" t="str">
        <f>+V94&amp;COUNTIF($V$2:V94,V94)</f>
        <v>1CC6</v>
      </c>
    </row>
    <row r="95" spans="1:23" x14ac:dyDescent="0.25">
      <c r="A95" t="str">
        <f>Q95&amp;COUNTIF($Q$30:Q95,Q95)</f>
        <v>ACREDITACION SIPROSAABRIL 231</v>
      </c>
      <c r="B95" t="s">
        <v>144</v>
      </c>
      <c r="C95" t="s">
        <v>398</v>
      </c>
      <c r="F95" t="str">
        <f>+IFERROR(INDEX('AUX23'!$C$2:$D$44,MATCH(CARGAFACTURAS!C95,'AUX23'!$D$2:$D$50,0),1),"")</f>
        <v/>
      </c>
      <c r="G95" s="243">
        <v>2265414.5699999998</v>
      </c>
      <c r="H95" s="141">
        <f>+IF(G95&lt;19999,0,IFERROR(VLOOKUP(C95,'AUX23'!$D$2:$K$50,3,0)*G95/100,0))</f>
        <v>0</v>
      </c>
      <c r="I95" s="141">
        <f>IF(G95&lt;9999,0,IFERROR(VLOOKUP(C95,'AUX23'!$D$2:$L$50,4,0)*G95/100,0))</f>
        <v>0</v>
      </c>
      <c r="J95" s="141">
        <f>IF(G95&lt;9999,0,IFERROR(VLOOKUP(C95,'AUX23'!$D$2:$L$50,5,0)*G95/100,0))</f>
        <v>0</v>
      </c>
      <c r="K95" s="141">
        <f>IF(G95&lt;9999,0,IFERROR((G95-67170)*VLOOKUP(C95,'AUX23'!$D$2:$L$50,6,0)/100,0))</f>
        <v>0</v>
      </c>
      <c r="L95" s="141">
        <f>IF(G95&lt;9999,0,IFERROR((G95/1.21)*VLOOKUP(C95,'AUX23'!$D$2:$L$50,7,0)/100,0))</f>
        <v>0</v>
      </c>
      <c r="M95" s="141">
        <f t="shared" si="10"/>
        <v>2265414.5699999998</v>
      </c>
      <c r="N95">
        <v>18793230</v>
      </c>
      <c r="O95">
        <f t="shared" si="11"/>
        <v>1</v>
      </c>
      <c r="Q95" t="str">
        <f t="shared" ref="Q95:Q158" si="16">+C95&amp;B95</f>
        <v>ACREDITACION SIPROSAABRIL 23</v>
      </c>
      <c r="R95" t="str">
        <f t="shared" si="12"/>
        <v>ACREDITACION SIPROSA1</v>
      </c>
      <c r="S95" t="str">
        <f>+R95&amp;COUNTIF($R$2:R95,R95)</f>
        <v>ACREDITACION SIPROSA11</v>
      </c>
      <c r="T95" s="141">
        <v>2265414.5699999998</v>
      </c>
      <c r="U95" t="str">
        <f t="shared" si="13"/>
        <v/>
      </c>
      <c r="V95" t="str">
        <f t="shared" si="14"/>
        <v>ACREDITACION SIPROSA118793230</v>
      </c>
      <c r="W95" t="str">
        <f>+V95&amp;COUNTIF($V$2:V95,V95)</f>
        <v>ACREDITACION SIPROSA1187932301</v>
      </c>
    </row>
    <row r="96" spans="1:23" x14ac:dyDescent="0.25">
      <c r="A96" t="str">
        <f>Q96&amp;COUNTIF($Q$30:Q96,Q96)</f>
        <v>CEGE SRLABRIL 231</v>
      </c>
      <c r="B96" t="s">
        <v>144</v>
      </c>
      <c r="C96" t="s">
        <v>50</v>
      </c>
      <c r="D96" t="s">
        <v>453</v>
      </c>
      <c r="E96" s="10">
        <v>45029</v>
      </c>
      <c r="F96" t="str">
        <f>+IFERROR(INDEX('AUX23'!$C$2:$D$44,MATCH(CARGAFACTURAS!C96,'AUX23'!$D$2:$D$50,0),1),"")</f>
        <v>30-65710669-7</v>
      </c>
      <c r="G96" s="243">
        <v>107730</v>
      </c>
      <c r="H96" s="141">
        <f>+IF(G96&lt;19999,0,IFERROR(VLOOKUP(C96,'AUX23'!$D$2:$K$50,3,0)*G96/100,0))</f>
        <v>2693.25</v>
      </c>
      <c r="I96" s="141">
        <f>IF(G96&lt;9999,0,IFERROR(VLOOKUP(C96,'AUX23'!$D$2:$L$50,4,0)*G96/100,0))</f>
        <v>5386.5</v>
      </c>
      <c r="J96" s="141">
        <f>IF(G96&lt;9999,0,IFERROR(VLOOKUP(C96,'AUX23'!$D$2:$L$50,5,0)*G96/100,0))</f>
        <v>0</v>
      </c>
      <c r="K96" s="141">
        <f>IF(G96&lt;9999,0,IFERROR((G96-67170)*VLOOKUP(C96,'AUX23'!$D$2:$L$50,6,0)/100,0))</f>
        <v>0</v>
      </c>
      <c r="L96" s="141">
        <f>IF(G96&lt;9999,0,IFERROR((G96/1.21)*VLOOKUP(C96,'AUX23'!$D$2:$L$50,7,0)/100,0))</f>
        <v>0</v>
      </c>
      <c r="M96" s="141">
        <f t="shared" si="10"/>
        <v>99650.25</v>
      </c>
      <c r="N96">
        <v>34712945</v>
      </c>
      <c r="O96">
        <f t="shared" si="11"/>
        <v>4</v>
      </c>
      <c r="P96" t="s">
        <v>101</v>
      </c>
      <c r="Q96" t="str">
        <f t="shared" si="16"/>
        <v>CEGE SRLABRIL 23</v>
      </c>
      <c r="R96" t="str">
        <f t="shared" si="12"/>
        <v>CEGE SRL4</v>
      </c>
      <c r="S96" t="str">
        <f>+R96&amp;COUNTIF($R$2:R96,R96)</f>
        <v>CEGE SRL41</v>
      </c>
      <c r="T96" s="141">
        <f t="shared" ref="T96:T159" si="17">+T95-G96</f>
        <v>2157684.5699999998</v>
      </c>
      <c r="U96" t="str">
        <f t="shared" si="13"/>
        <v>2368</v>
      </c>
      <c r="V96" t="str">
        <f t="shared" si="14"/>
        <v>CEGE SRL434712945</v>
      </c>
      <c r="W96" t="str">
        <f>+V96&amp;COUNTIF($V$2:V96,V96)</f>
        <v>CEGE SRL4347129451</v>
      </c>
    </row>
    <row r="97" spans="1:23" x14ac:dyDescent="0.25">
      <c r="A97" t="str">
        <f>Q97&amp;COUNTIF($Q$30:Q97,Q97)</f>
        <v>COOP. DE TRAB. SAN LORENZO M ABRIL 231</v>
      </c>
      <c r="B97" t="s">
        <v>144</v>
      </c>
      <c r="C97" t="s">
        <v>92</v>
      </c>
      <c r="D97" t="s">
        <v>435</v>
      </c>
      <c r="E97" s="10">
        <v>45016</v>
      </c>
      <c r="F97" t="str">
        <f>+IFERROR(INDEX('AUX23'!$C$2:$D$44,MATCH(CARGAFACTURAS!C97,'AUX23'!$D$2:$D$50,0),1),"")</f>
        <v>30-70895858-8</v>
      </c>
      <c r="G97" s="243">
        <v>150275.74</v>
      </c>
      <c r="H97" s="141">
        <f>+IF(G97&lt;19999,0,IFERROR(VLOOKUP(C97,'AUX23'!$D$2:$K$50,3,0)*G97/100,0))</f>
        <v>0</v>
      </c>
      <c r="I97" s="141">
        <f>IF(G97&lt;9999,0,IFERROR(VLOOKUP(C97,'AUX23'!$D$2:$L$50,4,0)*G97/100,0))</f>
        <v>0</v>
      </c>
      <c r="J97" s="141">
        <f>IF(G97&lt;9999,0,IFERROR(VLOOKUP(C97,'AUX23'!$D$2:$L$50,5,0)*G97/100,0))</f>
        <v>0</v>
      </c>
      <c r="K97" s="141">
        <f>IF(G97&lt;9999,0,IFERROR((G97-67170)*VLOOKUP(C97,'AUX23'!$D$2:$L$50,6,0)/100,0))</f>
        <v>0</v>
      </c>
      <c r="L97" s="141">
        <f>IF(G97&lt;9999,0,IFERROR((G97/1.21)*VLOOKUP(C97,'AUX23'!$D$2:$L$50,7,0)/100,0))</f>
        <v>0</v>
      </c>
      <c r="M97" s="141">
        <f t="shared" si="10"/>
        <v>150275.74</v>
      </c>
      <c r="N97">
        <v>34630902</v>
      </c>
      <c r="O97">
        <f t="shared" si="11"/>
        <v>3</v>
      </c>
      <c r="P97" t="s">
        <v>164</v>
      </c>
      <c r="Q97" t="str">
        <f t="shared" si="16"/>
        <v>COOP. DE TRAB. SAN LORENZO M ABRIL 23</v>
      </c>
      <c r="R97" t="str">
        <f t="shared" si="12"/>
        <v>COOP. DE TRAB. SAN LORENZO M 3</v>
      </c>
      <c r="S97" t="str">
        <f>+R97&amp;COUNTIF($R$2:R97,R97)</f>
        <v>COOP. DE TRAB. SAN LORENZO M 31</v>
      </c>
      <c r="T97" s="141">
        <f t="shared" si="17"/>
        <v>2007408.8299999998</v>
      </c>
      <c r="U97" t="str">
        <f t="shared" si="13"/>
        <v>4745</v>
      </c>
      <c r="V97" t="str">
        <f t="shared" si="14"/>
        <v>COOP. DE TRAB. SAN LORENZO M 334630902</v>
      </c>
      <c r="W97" t="str">
        <f>+V97&amp;COUNTIF($V$2:V97,V97)</f>
        <v>COOP. DE TRAB. SAN LORENZO M 3346309021</v>
      </c>
    </row>
    <row r="98" spans="1:23" x14ac:dyDescent="0.25">
      <c r="A98" t="str">
        <f>Q98&amp;COUNTIF($Q$30:Q98,Q98)</f>
        <v>COOP. DE TRAB. SAN LORENZO M ABRIL 232</v>
      </c>
      <c r="B98" t="s">
        <v>144</v>
      </c>
      <c r="C98" t="s">
        <v>92</v>
      </c>
      <c r="D98" t="s">
        <v>436</v>
      </c>
      <c r="E98" s="10">
        <v>45016</v>
      </c>
      <c r="F98" t="str">
        <f>+IFERROR(INDEX('AUX23'!$C$2:$D$44,MATCH(CARGAFACTURAS!C98,'AUX23'!$D$2:$D$50,0),1),"")</f>
        <v>30-70895858-8</v>
      </c>
      <c r="G98" s="243">
        <v>75137.87</v>
      </c>
      <c r="H98" s="141">
        <f>+IF(G98&lt;19999,0,IFERROR(VLOOKUP(C98,'AUX23'!$D$2:$K$50,3,0)*G98/100,0))</f>
        <v>0</v>
      </c>
      <c r="I98" s="141">
        <f>IF(G98&lt;9999,0,IFERROR(VLOOKUP(C98,'AUX23'!$D$2:$L$50,4,0)*G98/100,0))</f>
        <v>0</v>
      </c>
      <c r="J98" s="141">
        <f>IF(G98&lt;9999,0,IFERROR(VLOOKUP(C98,'AUX23'!$D$2:$L$50,5,0)*G98/100,0))</f>
        <v>0</v>
      </c>
      <c r="K98" s="141">
        <f>IF(G98&lt;9999,0,IFERROR((G98-67170)*VLOOKUP(C98,'AUX23'!$D$2:$L$50,6,0)/100,0))</f>
        <v>0</v>
      </c>
      <c r="L98" s="141">
        <f>IF(G98&lt;9999,0,IFERROR((G98/1.21)*VLOOKUP(C98,'AUX23'!$D$2:$L$50,7,0)/100,0))</f>
        <v>0</v>
      </c>
      <c r="M98" s="141">
        <f t="shared" si="10"/>
        <v>75137.87</v>
      </c>
      <c r="N98">
        <v>34630902</v>
      </c>
      <c r="O98">
        <f t="shared" si="11"/>
        <v>3</v>
      </c>
      <c r="P98" t="s">
        <v>164</v>
      </c>
      <c r="Q98" t="str">
        <f t="shared" si="16"/>
        <v>COOP. DE TRAB. SAN LORENZO M ABRIL 23</v>
      </c>
      <c r="R98" t="str">
        <f t="shared" si="12"/>
        <v>COOP. DE TRAB. SAN LORENZO M 3</v>
      </c>
      <c r="S98" t="str">
        <f>+R98&amp;COUNTIF($R$2:R98,R98)</f>
        <v>COOP. DE TRAB. SAN LORENZO M 32</v>
      </c>
      <c r="T98" s="141">
        <f t="shared" si="17"/>
        <v>1932270.96</v>
      </c>
      <c r="U98" t="str">
        <f t="shared" si="13"/>
        <v>4749</v>
      </c>
      <c r="V98" t="str">
        <f t="shared" si="14"/>
        <v>COOP. DE TRAB. SAN LORENZO M 334630902</v>
      </c>
      <c r="W98" t="str">
        <f>+V98&amp;COUNTIF($V$2:V98,V98)</f>
        <v>COOP. DE TRAB. SAN LORENZO M 3346309022</v>
      </c>
    </row>
    <row r="99" spans="1:23" x14ac:dyDescent="0.25">
      <c r="A99" t="str">
        <f>Q99&amp;COUNTIF($Q$30:Q99,Q99)</f>
        <v>LA PROVIDENCIA DEL NOA SRLABRIL 231</v>
      </c>
      <c r="B99" t="s">
        <v>144</v>
      </c>
      <c r="C99" t="s">
        <v>11</v>
      </c>
      <c r="D99" t="s">
        <v>438</v>
      </c>
      <c r="E99" s="10">
        <v>45017</v>
      </c>
      <c r="F99" t="str">
        <f>+IFERROR(INDEX('AUX23'!$C$2:$D$44,MATCH(CARGAFACTURAS!C99,'AUX23'!$D$2:$D$50,0),1),"")</f>
        <v>30-68568395-0</v>
      </c>
      <c r="G99" s="243">
        <v>609871.68000000005</v>
      </c>
      <c r="H99" s="141">
        <f>+IF(G99&lt;19999,0,IFERROR(VLOOKUP(C99,'AUX23'!$D$2:$K$50,3,0)*G99/100,0))</f>
        <v>7623.3960000000006</v>
      </c>
      <c r="I99" s="141">
        <f>IF(G99&lt;9999,0,IFERROR(VLOOKUP(C99,'AUX23'!$D$2:$L$50,4,0)*G99/100,0))</f>
        <v>30493.584000000003</v>
      </c>
      <c r="J99" s="141">
        <f>IF(G99&lt;9999,0,IFERROR(VLOOKUP(C99,'AUX23'!$D$2:$L$50,5,0)*G99/100,0))</f>
        <v>52936.861824</v>
      </c>
      <c r="K99" s="141">
        <f>IF(G99&lt;9999,0,IFERROR((G99-67170)*VLOOKUP(C99,'AUX23'!$D$2:$L$50,6,0)/100,0))</f>
        <v>10854.033600000001</v>
      </c>
      <c r="L99" s="141">
        <f>IF(G99&lt;9999,0,IFERROR((G99/1.21)*VLOOKUP(C99,'AUX23'!$D$2:$L$50,7,0)/100,0))</f>
        <v>5040.2618181818189</v>
      </c>
      <c r="M99" s="141">
        <f t="shared" si="10"/>
        <v>502923.54275781818</v>
      </c>
      <c r="N99">
        <v>36068167</v>
      </c>
      <c r="O99">
        <f t="shared" si="11"/>
        <v>4</v>
      </c>
      <c r="P99" t="s">
        <v>102</v>
      </c>
      <c r="Q99" t="str">
        <f t="shared" si="16"/>
        <v>LA PROVIDENCIA DEL NOA SRLABRIL 23</v>
      </c>
      <c r="R99" t="str">
        <f t="shared" si="12"/>
        <v>LA PROVIDENCIA DEL NOA SRL4</v>
      </c>
      <c r="S99" t="str">
        <f>+R99&amp;COUNTIF($R$2:R99,R99)</f>
        <v>LA PROVIDENCIA DEL NOA SRL41</v>
      </c>
      <c r="T99" s="141">
        <f t="shared" si="17"/>
        <v>1322399.2799999998</v>
      </c>
      <c r="U99" t="str">
        <f t="shared" si="13"/>
        <v>5691</v>
      </c>
      <c r="V99" t="str">
        <f t="shared" si="14"/>
        <v>LA PROVIDENCIA DEL NOA SRL436068167</v>
      </c>
      <c r="W99" t="str">
        <f>+V99&amp;COUNTIF($V$2:V99,V99)</f>
        <v>LA PROVIDENCIA DEL NOA SRL4360681671</v>
      </c>
    </row>
    <row r="100" spans="1:23" x14ac:dyDescent="0.25">
      <c r="A100" t="str">
        <f>Q100&amp;COUNTIF($Q$30:Q100,Q100)</f>
        <v>LA PROVIDENCIA DEL NOA SRLABRIL 232</v>
      </c>
      <c r="B100" t="s">
        <v>144</v>
      </c>
      <c r="C100" t="s">
        <v>11</v>
      </c>
      <c r="D100" t="s">
        <v>439</v>
      </c>
      <c r="E100" s="10">
        <v>45017</v>
      </c>
      <c r="F100" t="str">
        <f>+IFERROR(INDEX('AUX23'!$C$2:$D$44,MATCH(CARGAFACTURAS!C100,'AUX23'!$D$2:$D$50,0),1),"")</f>
        <v>30-68568395-0</v>
      </c>
      <c r="G100" s="243">
        <v>212129.28</v>
      </c>
      <c r="H100" s="141">
        <f>+IF(G100&lt;19999,0,IFERROR(VLOOKUP(C100,'AUX23'!$D$2:$K$50,3,0)*G100/100,0))</f>
        <v>2651.616</v>
      </c>
      <c r="I100" s="141">
        <f>IF(G100&lt;9999,0,IFERROR(VLOOKUP(C100,'AUX23'!$D$2:$L$50,4,0)*G100/100,0))</f>
        <v>10606.464</v>
      </c>
      <c r="J100" s="141">
        <f>IF(G100&lt;9999,0,IFERROR(VLOOKUP(C100,'AUX23'!$D$2:$L$50,5,0)*G100/100,0))</f>
        <v>18412.821504</v>
      </c>
      <c r="K100" s="141">
        <f>IF(G100&lt;9999,0,IFERROR((G100-67170)*VLOOKUP(C100,'AUX23'!$D$2:$L$50,6,0)/100,0))</f>
        <v>2899.1855999999998</v>
      </c>
      <c r="L100" s="141">
        <f>IF(G100&lt;9999,0,IFERROR((G100/1.21)*VLOOKUP(C100,'AUX23'!$D$2:$L$50,7,0)/100,0))</f>
        <v>1753.1345454545456</v>
      </c>
      <c r="M100" s="141">
        <f t="shared" si="10"/>
        <v>175806.05835054544</v>
      </c>
      <c r="N100">
        <v>36068167</v>
      </c>
      <c r="O100">
        <f t="shared" si="11"/>
        <v>4</v>
      </c>
      <c r="P100" t="s">
        <v>102</v>
      </c>
      <c r="Q100" t="str">
        <f t="shared" si="16"/>
        <v>LA PROVIDENCIA DEL NOA SRLABRIL 23</v>
      </c>
      <c r="R100" t="str">
        <f t="shared" si="12"/>
        <v>LA PROVIDENCIA DEL NOA SRL4</v>
      </c>
      <c r="S100" t="str">
        <f>+R100&amp;COUNTIF($R$2:R100,R100)</f>
        <v>LA PROVIDENCIA DEL NOA SRL42</v>
      </c>
      <c r="T100" s="141">
        <f t="shared" si="17"/>
        <v>1110269.9999999998</v>
      </c>
      <c r="U100" t="str">
        <f t="shared" si="13"/>
        <v>5692</v>
      </c>
      <c r="V100" t="str">
        <f t="shared" si="14"/>
        <v>LA PROVIDENCIA DEL NOA SRL436068167</v>
      </c>
      <c r="W100" t="str">
        <f>+V100&amp;COUNTIF($V$2:V100,V100)</f>
        <v>LA PROVIDENCIA DEL NOA SRL4360681672</v>
      </c>
    </row>
    <row r="101" spans="1:23" x14ac:dyDescent="0.25">
      <c r="A101" t="str">
        <f>Q101&amp;COUNTIF($Q$30:Q101,Q101)</f>
        <v>ESCOBEDO LUCAS NICOLAS (PAPERTUC)ABRIL 231</v>
      </c>
      <c r="B101" t="s">
        <v>144</v>
      </c>
      <c r="C101" t="s">
        <v>104</v>
      </c>
      <c r="D101" t="s">
        <v>446</v>
      </c>
      <c r="E101" s="10">
        <v>45028</v>
      </c>
      <c r="F101" t="str">
        <f>+IFERROR(INDEX('AUX23'!$C$2:$D$44,MATCH(CARGAFACTURAS!C101,'AUX23'!$D$2:$D$50,0),1),"")</f>
        <v>20-31729103-6</v>
      </c>
      <c r="G101" s="243">
        <v>40910</v>
      </c>
      <c r="H101" s="141">
        <f>+IF(G101&lt;19999,0,IFERROR(VLOOKUP(C101,'AUX23'!$D$2:$K$50,3,0)*G101/100,0))</f>
        <v>511.375</v>
      </c>
      <c r="I101" s="141">
        <f>IF(G101&lt;9999,0,IFERROR(VLOOKUP(C101,'AUX23'!$D$2:$L$50,4,0)*G101/100,0))</f>
        <v>2045.5</v>
      </c>
      <c r="J101" s="141">
        <f>IF(G101&lt;9999,0,IFERROR(VLOOKUP(C101,'AUX23'!$D$2:$L$50,5,0)*G101/100,0))</f>
        <v>0</v>
      </c>
      <c r="K101" s="141">
        <f>IF(G101&lt;9999,0,IFERROR((G101-67170)*VLOOKUP(C101,'AUX23'!$D$2:$L$50,6,0)/100,0))</f>
        <v>0</v>
      </c>
      <c r="L101" s="141">
        <f>IF(G101&lt;9999,0,IFERROR((G101/1.21)*VLOOKUP(C101,'AUX23'!$D$2:$L$50,7,0)/100,0))</f>
        <v>0</v>
      </c>
      <c r="M101" s="141">
        <f t="shared" si="10"/>
        <v>38353.125</v>
      </c>
      <c r="N101">
        <v>34712809</v>
      </c>
      <c r="O101">
        <f t="shared" si="11"/>
        <v>4</v>
      </c>
      <c r="P101" t="s">
        <v>101</v>
      </c>
      <c r="Q101" t="str">
        <f t="shared" si="16"/>
        <v>ESCOBEDO LUCAS NICOLAS (PAPERTUC)ABRIL 23</v>
      </c>
      <c r="R101" t="str">
        <f t="shared" si="12"/>
        <v>ESCOBEDO LUCAS NICOLAS (PAPERTUC)4</v>
      </c>
      <c r="S101" t="str">
        <f>+R101&amp;COUNTIF($R$2:R101,R101)</f>
        <v>ESCOBEDO LUCAS NICOLAS (PAPERTUC)41</v>
      </c>
      <c r="T101" s="141">
        <f t="shared" si="17"/>
        <v>1069359.9999999998</v>
      </c>
      <c r="U101" t="str">
        <f t="shared" si="13"/>
        <v>0960</v>
      </c>
      <c r="V101" t="str">
        <f t="shared" si="14"/>
        <v>ESCOBEDO LUCAS NICOLAS (PAPERTUC)434712809</v>
      </c>
      <c r="W101" t="str">
        <f>+V101&amp;COUNTIF($V$2:V101,V101)</f>
        <v>ESCOBEDO LUCAS NICOLAS (PAPERTUC)4347128091</v>
      </c>
    </row>
    <row r="102" spans="1:23" x14ac:dyDescent="0.25">
      <c r="A102" t="str">
        <f>Q102&amp;COUNTIF($Q$30:Q102,Q102)</f>
        <v>FULL TRACK S.R.L.ABRIL 231</v>
      </c>
      <c r="B102" t="s">
        <v>144</v>
      </c>
      <c r="C102" t="s">
        <v>98</v>
      </c>
      <c r="D102" t="s">
        <v>465</v>
      </c>
      <c r="E102" s="10">
        <v>45033</v>
      </c>
      <c r="F102" t="str">
        <f>+IFERROR(INDEX('AUX23'!$C$2:$D$44,MATCH(CARGAFACTURAS!C102,'AUX23'!$D$2:$D$50,0),1),"")</f>
        <v>30-71648081-6</v>
      </c>
      <c r="G102" s="243">
        <v>380950</v>
      </c>
      <c r="H102" s="141">
        <f>+IF(G102&lt;19999,0,IFERROR(VLOOKUP(C102,'AUX23'!$D$2:$K$50,3,0)*G102/100,0))</f>
        <v>0</v>
      </c>
      <c r="I102" s="141">
        <f>IF(G102&lt;9999,0,IFERROR(VLOOKUP(C102,'AUX23'!$D$2:$L$50,4,0)*G102/100,0))</f>
        <v>5714.25</v>
      </c>
      <c r="J102" s="141">
        <f>IF(G102&lt;9999,0,IFERROR(VLOOKUP(C102,'AUX23'!$D$2:$L$50,5,0)*G102/100,0))</f>
        <v>0</v>
      </c>
      <c r="K102" s="141">
        <f>IF(G102&lt;9999,0,IFERROR((G102-67170)*VLOOKUP(C102,'AUX23'!$D$2:$L$50,6,0)/100,0))</f>
        <v>6275.6</v>
      </c>
      <c r="L102" s="141">
        <f>IF(G102&lt;9999,0,IFERROR((G102/1.21)*VLOOKUP(C102,'AUX23'!$D$2:$L$50,7,0)/100,0))</f>
        <v>3148.3471074380168</v>
      </c>
      <c r="M102" s="141">
        <f t="shared" si="10"/>
        <v>365811.802892562</v>
      </c>
      <c r="N102">
        <v>34947405</v>
      </c>
      <c r="O102">
        <f t="shared" si="11"/>
        <v>4</v>
      </c>
      <c r="P102" t="s">
        <v>124</v>
      </c>
      <c r="Q102" t="str">
        <f t="shared" si="16"/>
        <v>FULL TRACK S.R.L.ABRIL 23</v>
      </c>
      <c r="R102" t="str">
        <f t="shared" si="12"/>
        <v>FULL TRACK S.R.L.4</v>
      </c>
      <c r="S102" t="str">
        <f>+R102&amp;COUNTIF($R$2:R102,R102)</f>
        <v>FULL TRACK S.R.L.42</v>
      </c>
      <c r="T102" s="141">
        <f t="shared" si="17"/>
        <v>688409.99999999977</v>
      </c>
      <c r="U102" t="str">
        <f t="shared" si="13"/>
        <v>0035</v>
      </c>
      <c r="V102" t="str">
        <f t="shared" si="14"/>
        <v>FULL TRACK S.R.L.434947405</v>
      </c>
      <c r="W102" t="str">
        <f>+V102&amp;COUNTIF($V$2:V102,V102)</f>
        <v>FULL TRACK S.R.L.4349474051</v>
      </c>
    </row>
    <row r="103" spans="1:23" x14ac:dyDescent="0.25">
      <c r="A103" t="str">
        <f>Q103&amp;COUNTIF($Q$30:Q103,Q103)</f>
        <v>GOMEZ PARDO RAUL(LIMPLUS)ABRIL 231</v>
      </c>
      <c r="B103" t="s">
        <v>144</v>
      </c>
      <c r="C103" t="s">
        <v>114</v>
      </c>
      <c r="D103" t="s">
        <v>449</v>
      </c>
      <c r="E103" s="10">
        <v>45029</v>
      </c>
      <c r="F103" t="str">
        <f>+IFERROR(INDEX('AUX23'!$C$2:$D$44,MATCH(CARGAFACTURAS!C103,'AUX23'!$D$2:$D$50,0),1),"")</f>
        <v>20-34285327-8</v>
      </c>
      <c r="G103" s="243">
        <v>40432.480000000003</v>
      </c>
      <c r="H103" s="141">
        <f>+IF(G103&lt;19999,0,IFERROR(VLOOKUP(C103,'AUX23'!$D$2:$K$50,3,0)*G103/100,0))</f>
        <v>505.40600000000006</v>
      </c>
      <c r="I103" s="141">
        <f>IF(G103&lt;9999,0,IFERROR(VLOOKUP(C103,'AUX23'!$D$2:$L$50,4,0)*G103/100,0))</f>
        <v>2021.6240000000003</v>
      </c>
      <c r="J103" s="141">
        <f>IF(G103&lt;9999,0,IFERROR(VLOOKUP(C103,'AUX23'!$D$2:$L$50,5,0)*G103/100,0))</f>
        <v>0</v>
      </c>
      <c r="K103" s="141">
        <f>IF(G103&lt;9999,0,IFERROR((G103-67170)*VLOOKUP(C103,'AUX23'!$D$2:$L$50,6,0)/100,0))</f>
        <v>0</v>
      </c>
      <c r="L103" s="141">
        <f>IF(G103&lt;9999,0,IFERROR((G103/1.21)*VLOOKUP(C103,'AUX23'!$D$2:$L$50,7,0)/100,0))</f>
        <v>0</v>
      </c>
      <c r="M103" s="141">
        <f t="shared" si="10"/>
        <v>37905.449999999997</v>
      </c>
      <c r="N103">
        <v>34712852</v>
      </c>
      <c r="O103">
        <f t="shared" si="11"/>
        <v>4</v>
      </c>
      <c r="P103" t="s">
        <v>101</v>
      </c>
      <c r="Q103" t="str">
        <f t="shared" si="16"/>
        <v>GOMEZ PARDO RAUL(LIMPLUS)ABRIL 23</v>
      </c>
      <c r="R103" t="str">
        <f t="shared" si="12"/>
        <v>GOMEZ PARDO RAUL(LIMPLUS)4</v>
      </c>
      <c r="S103" t="str">
        <f>+R103&amp;COUNTIF($R$2:R103,R103)</f>
        <v>GOMEZ PARDO RAUL(LIMPLUS)42</v>
      </c>
      <c r="T103" s="141">
        <f t="shared" si="17"/>
        <v>647977.51999999979</v>
      </c>
      <c r="U103" t="str">
        <f t="shared" si="13"/>
        <v>9976</v>
      </c>
      <c r="V103" t="str">
        <f t="shared" si="14"/>
        <v>GOMEZ PARDO RAUL(LIMPLUS)434712852</v>
      </c>
      <c r="W103" t="str">
        <f>+V103&amp;COUNTIF($V$2:V103,V103)</f>
        <v>GOMEZ PARDO RAUL(LIMPLUS)4347128521</v>
      </c>
    </row>
    <row r="104" spans="1:23" x14ac:dyDescent="0.25">
      <c r="A104" t="str">
        <f>Q104&amp;COUNTIF($Q$30:Q104,Q104)</f>
        <v>ENTE CULTURAL DE TUCUMANABRIL 231</v>
      </c>
      <c r="B104" t="s">
        <v>144</v>
      </c>
      <c r="C104" t="s">
        <v>452</v>
      </c>
      <c r="D104" s="140" t="s">
        <v>483</v>
      </c>
      <c r="E104" s="10">
        <v>45037</v>
      </c>
      <c r="F104" t="str">
        <f>+IFERROR(INDEX('AUX23'!$C$2:$D$44,MATCH(CARGAFACTURAS!C104,'AUX23'!$D$2:$D$50,0),1),"")</f>
        <v>20-70008406-4</v>
      </c>
      <c r="G104" s="243">
        <v>4600</v>
      </c>
      <c r="H104" s="141">
        <f>+IF(G104&lt;19999,0,IFERROR(VLOOKUP(C104,'AUX23'!$D$2:$K$50,3,0)*G104/100,0))</f>
        <v>0</v>
      </c>
      <c r="I104" s="141">
        <f>IF(G104&lt;9999,0,IFERROR(VLOOKUP(C104,'AUX23'!$D$2:$L$50,4,0)*G104/100,0))</f>
        <v>0</v>
      </c>
      <c r="J104" s="141">
        <f>IF(G104&lt;9999,0,IFERROR(VLOOKUP(C104,'AUX23'!$D$2:$L$50,5,0)*G104/100,0))</f>
        <v>0</v>
      </c>
      <c r="K104" s="141">
        <f>IF(G104&lt;9999,0,IFERROR((G104-67170)*VLOOKUP(C104,'AUX23'!$D$2:$L$50,6,0)/100,0))</f>
        <v>0</v>
      </c>
      <c r="L104" s="141">
        <f>IF(G104&lt;9999,0,IFERROR((G104/1.21)*VLOOKUP(C104,'AUX23'!$D$2:$L$50,7,0)/100,0))</f>
        <v>0</v>
      </c>
      <c r="M104" s="141">
        <f t="shared" si="10"/>
        <v>4600</v>
      </c>
      <c r="N104">
        <v>34197152</v>
      </c>
      <c r="O104">
        <f t="shared" si="11"/>
        <v>4</v>
      </c>
      <c r="P104" t="s">
        <v>101</v>
      </c>
      <c r="Q104" t="str">
        <f t="shared" si="16"/>
        <v>ENTE CULTURAL DE TUCUMANABRIL 23</v>
      </c>
      <c r="R104" t="str">
        <f t="shared" si="12"/>
        <v>ENTE CULTURAL DE TUCUMAN4</v>
      </c>
      <c r="S104" t="str">
        <f>+R104&amp;COUNTIF($R$2:R104,R104)</f>
        <v>ENTE CULTURAL DE TUCUMAN41</v>
      </c>
      <c r="T104" s="141">
        <f t="shared" si="17"/>
        <v>643377.51999999979</v>
      </c>
      <c r="U104" t="str">
        <f t="shared" si="13"/>
        <v>0005</v>
      </c>
      <c r="V104" t="str">
        <f t="shared" si="14"/>
        <v>ENTE CULTURAL DE TUCUMAN434197152</v>
      </c>
      <c r="W104" t="str">
        <f>+V104&amp;COUNTIF($V$2:V104,V104)</f>
        <v>ENTE CULTURAL DE TUCUMAN4341971521</v>
      </c>
    </row>
    <row r="105" spans="1:23" x14ac:dyDescent="0.25">
      <c r="A105" t="str">
        <f>Q105&amp;COUNTIF($Q$30:Q105,Q105)</f>
        <v>TUMBURUS PEDRO RUBENABRIL 231</v>
      </c>
      <c r="B105" t="s">
        <v>144</v>
      </c>
      <c r="C105" t="s">
        <v>442</v>
      </c>
      <c r="D105" s="140" t="s">
        <v>445</v>
      </c>
      <c r="E105" s="10">
        <v>45021</v>
      </c>
      <c r="F105" t="str">
        <f>+IFERROR(INDEX('AUX23'!$C$2:$D$70,MATCH(CARGAFACTURAS!C105,'AUX23'!$D$2:$D$50,0),1),"")</f>
        <v>20-13628911-0</v>
      </c>
      <c r="G105" s="243">
        <v>1300</v>
      </c>
      <c r="H105" s="141">
        <f>+IF(G105&lt;19999,0,IFERROR(VLOOKUP(C105,'AUX23'!$D$2:$K$50,3,0)*G105/100,0))</f>
        <v>0</v>
      </c>
      <c r="I105" s="141">
        <f>IF(G105&lt;9999,0,IFERROR(VLOOKUP(C105,'AUX23'!$D$2:$L$50,4,0)*G105/100,0))</f>
        <v>0</v>
      </c>
      <c r="J105" s="141">
        <f>IF(G105&lt;9999,0,IFERROR(VLOOKUP(C105,'AUX23'!$D$2:$L$50,5,0)*G105/100,0))</f>
        <v>0</v>
      </c>
      <c r="K105" s="141">
        <f>IF(G105&lt;9999,0,IFERROR((G105-67170)*VLOOKUP(C105,'AUX23'!$D$2:$L$50,6,0)/100,0))</f>
        <v>0</v>
      </c>
      <c r="L105" s="141">
        <f>IF(G105&lt;9999,0,IFERROR((G105/1.21)*VLOOKUP(C105,'AUX23'!$D$2:$L$50,7,0)/100,0))</f>
        <v>0</v>
      </c>
      <c r="M105" s="141">
        <f t="shared" si="10"/>
        <v>1300</v>
      </c>
      <c r="N105" t="str">
        <f t="shared" ref="N105:N142" si="18">+IF(G105&lt;9999,"CC","INGR. NUMERO")</f>
        <v>CC</v>
      </c>
      <c r="O105">
        <f t="shared" si="11"/>
        <v>4</v>
      </c>
      <c r="P105" t="s">
        <v>101</v>
      </c>
      <c r="Q105" t="str">
        <f t="shared" si="16"/>
        <v>TUMBURUS PEDRO RUBENABRIL 23</v>
      </c>
      <c r="R105" t="str">
        <f t="shared" si="12"/>
        <v>TUMBURUS PEDRO RUBEN4</v>
      </c>
      <c r="S105" t="str">
        <f>+R105&amp;COUNTIF($R$2:R105,R105)</f>
        <v>TUMBURUS PEDRO RUBEN41</v>
      </c>
      <c r="T105" s="141">
        <f t="shared" si="17"/>
        <v>642077.51999999979</v>
      </c>
      <c r="U105" t="str">
        <f t="shared" si="13"/>
        <v>1672</v>
      </c>
      <c r="V105" t="str">
        <f t="shared" si="14"/>
        <v>TUMBURUS PEDRO RUBEN4CC</v>
      </c>
      <c r="W105" t="str">
        <f>+V105&amp;COUNTIF($V$2:V105,V105)</f>
        <v>TUMBURUS PEDRO RUBEN4CC1</v>
      </c>
    </row>
    <row r="106" spans="1:23" x14ac:dyDescent="0.25">
      <c r="A106" t="str">
        <f>Q106&amp;COUNTIF($Q$30:Q106,Q106)</f>
        <v>CARREFOURABRIL 231</v>
      </c>
      <c r="B106" t="s">
        <v>144</v>
      </c>
      <c r="C106" t="s">
        <v>117</v>
      </c>
      <c r="D106" s="140" t="s">
        <v>448</v>
      </c>
      <c r="E106" s="10">
        <v>45027</v>
      </c>
      <c r="F106" t="str">
        <f>+IFERROR(INDEX('AUX23'!$C$2:$D$44,MATCH(CARGAFACTURAS!C106,'AUX23'!$D$2:$D$50,0),1),"")</f>
        <v>30-68731043-4</v>
      </c>
      <c r="G106" s="243">
        <v>1641</v>
      </c>
      <c r="H106" s="141">
        <f>+IF(G106&lt;19999,0,IFERROR(VLOOKUP(C106,'AUX23'!$D$2:$K$50,3,0)*G106/100,0))</f>
        <v>0</v>
      </c>
      <c r="I106" s="141">
        <f>IF(G106&lt;9999,0,IFERROR(VLOOKUP(C106,'AUX23'!$D$2:$L$50,4,0)*G106/100,0))</f>
        <v>0</v>
      </c>
      <c r="J106" s="141">
        <f>IF(G106&lt;9999,0,IFERROR(VLOOKUP(C106,'AUX23'!$D$2:$L$50,5,0)*G106/100,0))</f>
        <v>0</v>
      </c>
      <c r="K106" s="141">
        <f>IF(G106&lt;9999,0,IFERROR((G106-67170)*VLOOKUP(C106,'AUX23'!$D$2:$L$50,6,0)/100,0))</f>
        <v>0</v>
      </c>
      <c r="L106" s="141">
        <f>IF(G106&lt;9999,0,IFERROR((G106/1.21)*VLOOKUP(C106,'AUX23'!$D$2:$L$50,7,0)/100,0))</f>
        <v>0</v>
      </c>
      <c r="M106" s="141">
        <f t="shared" si="10"/>
        <v>1641</v>
      </c>
      <c r="N106" t="str">
        <f t="shared" si="18"/>
        <v>CC</v>
      </c>
      <c r="O106">
        <f t="shared" si="11"/>
        <v>4</v>
      </c>
      <c r="P106" t="s">
        <v>101</v>
      </c>
      <c r="Q106" t="str">
        <f t="shared" si="16"/>
        <v>CARREFOURABRIL 23</v>
      </c>
      <c r="R106" t="str">
        <f t="shared" si="12"/>
        <v>CARREFOUR4</v>
      </c>
      <c r="S106" t="str">
        <f>+R106&amp;COUNTIF($R$2:R106,R106)</f>
        <v>CARREFOUR41</v>
      </c>
      <c r="T106" s="141">
        <f t="shared" si="17"/>
        <v>640436.51999999979</v>
      </c>
      <c r="U106" t="str">
        <f t="shared" si="13"/>
        <v>6575</v>
      </c>
      <c r="V106" t="str">
        <f t="shared" si="14"/>
        <v>CARREFOUR4CC</v>
      </c>
      <c r="W106" t="str">
        <f>+V106&amp;COUNTIF($V$2:V106,V106)</f>
        <v>CARREFOUR4CC1</v>
      </c>
    </row>
    <row r="107" spans="1:23" x14ac:dyDescent="0.25">
      <c r="A107" t="str">
        <f>Q107&amp;COUNTIF($Q$30:Q107,Q107)</f>
        <v>VICINI CESAR LUISABRIL 231</v>
      </c>
      <c r="B107" t="s">
        <v>144</v>
      </c>
      <c r="C107" t="s">
        <v>100</v>
      </c>
      <c r="D107" s="140" t="s">
        <v>427</v>
      </c>
      <c r="E107" s="10">
        <v>45006</v>
      </c>
      <c r="F107" t="str">
        <f>+IFERROR(INDEX('AUX23'!$C$2:$D$70,MATCH(CARGAFACTURAS!C107,'AUX23'!$D$2:$D$50,0),1),"")</f>
        <v>20-22058794-1</v>
      </c>
      <c r="G107" s="243">
        <v>1000</v>
      </c>
      <c r="H107" s="141">
        <f>+IF(G107&lt;19999,0,IFERROR(VLOOKUP(C107,'AUX23'!$D$2:$K$50,3,0)*G107/100,0))</f>
        <v>0</v>
      </c>
      <c r="I107" s="141">
        <f>IF(G107&lt;9999,0,IFERROR(VLOOKUP(C107,'AUX23'!$D$2:$L$50,4,0)*G107/100,0))</f>
        <v>0</v>
      </c>
      <c r="J107" s="141">
        <f>IF(G107&lt;9999,0,IFERROR(VLOOKUP(C107,'AUX23'!$D$2:$L$50,5,0)*G107/100,0))</f>
        <v>0</v>
      </c>
      <c r="K107" s="141">
        <f>IF(G107&lt;9999,0,IFERROR((G107-67170)*VLOOKUP(C107,'AUX23'!$D$2:$L$50,6,0)/100,0))</f>
        <v>0</v>
      </c>
      <c r="L107" s="141">
        <f>IF(G107&lt;9999,0,IFERROR((G107/1.21)*VLOOKUP(C107,'AUX23'!$D$2:$L$50,7,0)/100,0))</f>
        <v>0</v>
      </c>
      <c r="M107" s="141">
        <f t="shared" si="10"/>
        <v>1000</v>
      </c>
      <c r="N107" t="str">
        <f t="shared" si="18"/>
        <v>CC</v>
      </c>
      <c r="O107">
        <f t="shared" si="11"/>
        <v>3</v>
      </c>
      <c r="P107" t="s">
        <v>101</v>
      </c>
      <c r="Q107" t="str">
        <f t="shared" si="16"/>
        <v>VICINI CESAR LUISABRIL 23</v>
      </c>
      <c r="R107" t="str">
        <f t="shared" si="12"/>
        <v>VICINI CESAR LUIS3</v>
      </c>
      <c r="S107" t="str">
        <f>+R107&amp;COUNTIF($R$2:R107,R107)</f>
        <v>VICINI CESAR LUIS31</v>
      </c>
      <c r="T107" s="141">
        <f t="shared" si="17"/>
        <v>639436.51999999979</v>
      </c>
      <c r="U107" t="str">
        <f t="shared" si="13"/>
        <v>1508</v>
      </c>
      <c r="V107" t="str">
        <f t="shared" si="14"/>
        <v>VICINI CESAR LUIS3CC</v>
      </c>
      <c r="W107" t="str">
        <f>+V107&amp;COUNTIF($V$2:V107,V107)</f>
        <v>VICINI CESAR LUIS3CC1</v>
      </c>
    </row>
    <row r="108" spans="1:23" x14ac:dyDescent="0.25">
      <c r="A108" t="str">
        <f>Q108&amp;COUNTIF($Q$30:Q108,Q108)</f>
        <v>GOLDMAN RUBEN EDUARDOABRIL 231</v>
      </c>
      <c r="B108" t="s">
        <v>144</v>
      </c>
      <c r="C108" t="s">
        <v>458</v>
      </c>
      <c r="D108" s="140" t="s">
        <v>461</v>
      </c>
      <c r="E108" s="10">
        <v>45030</v>
      </c>
      <c r="F108" t="str">
        <f>+IFERROR(INDEX('AUX23'!$C$2:$D$44,MATCH(CARGAFACTURAS!C108,'AUX23'!$D$2:$D$50,0),1),"")</f>
        <v>20-11707198-8</v>
      </c>
      <c r="G108" s="243">
        <v>3600</v>
      </c>
      <c r="H108" s="141">
        <f>+IF(G108&lt;19999,0,IFERROR(VLOOKUP(C108,'AUX23'!$D$2:$K$50,3,0)*G108/100,0))</f>
        <v>0</v>
      </c>
      <c r="I108" s="141">
        <f>IF(G108&lt;9999,0,IFERROR(VLOOKUP(C108,'AUX23'!$D$2:$L$50,4,0)*G108/100,0))</f>
        <v>0</v>
      </c>
      <c r="J108" s="141">
        <f>IF(G108&lt;9999,0,IFERROR(VLOOKUP(C108,'AUX23'!$D$2:$L$50,5,0)*G108/100,0))</f>
        <v>0</v>
      </c>
      <c r="K108" s="141">
        <f>IF(G108&lt;9999,0,IFERROR((G108-67170)*VLOOKUP(C108,'AUX23'!$D$2:$L$50,6,0)/100,0))</f>
        <v>0</v>
      </c>
      <c r="L108" s="141">
        <f>IF(G108&lt;9999,0,IFERROR((G108/1.21)*VLOOKUP(C108,'AUX23'!$D$2:$L$50,7,0)/100,0))</f>
        <v>0</v>
      </c>
      <c r="M108" s="141">
        <f t="shared" si="10"/>
        <v>3600</v>
      </c>
      <c r="N108" t="str">
        <f t="shared" si="18"/>
        <v>CC</v>
      </c>
      <c r="O108">
        <f t="shared" si="11"/>
        <v>4</v>
      </c>
      <c r="P108" t="s">
        <v>101</v>
      </c>
      <c r="Q108" t="str">
        <f t="shared" si="16"/>
        <v>GOLDMAN RUBEN EDUARDOABRIL 23</v>
      </c>
      <c r="R108" t="str">
        <f t="shared" si="12"/>
        <v>GOLDMAN RUBEN EDUARDO4</v>
      </c>
      <c r="S108" t="str">
        <f>+R108&amp;COUNTIF($R$2:R108,R108)</f>
        <v>GOLDMAN RUBEN EDUARDO41</v>
      </c>
      <c r="T108" s="141">
        <f t="shared" si="17"/>
        <v>635836.51999999979</v>
      </c>
      <c r="U108" t="str">
        <f t="shared" si="13"/>
        <v>4769</v>
      </c>
      <c r="V108" t="str">
        <f t="shared" si="14"/>
        <v>GOLDMAN RUBEN EDUARDO4CC</v>
      </c>
      <c r="W108" t="str">
        <f>+V108&amp;COUNTIF($V$2:V108,V108)</f>
        <v>GOLDMAN RUBEN EDUARDO4CC1</v>
      </c>
    </row>
    <row r="109" spans="1:23" x14ac:dyDescent="0.25">
      <c r="A109" t="str">
        <f>Q109&amp;COUNTIF($Q$30:Q109,Q109)</f>
        <v>MEGAVENTAS SRLABRIL 231</v>
      </c>
      <c r="B109" t="s">
        <v>144</v>
      </c>
      <c r="C109" t="s">
        <v>462</v>
      </c>
      <c r="D109" s="140" t="s">
        <v>480</v>
      </c>
      <c r="E109" s="10">
        <v>45030</v>
      </c>
      <c r="F109" t="str">
        <f>+IFERROR(INDEX('AUX23'!$C$2:$D$44,MATCH(CARGAFACTURAS!C109,'AUX23'!$D$2:$D$50,0),1),"")</f>
        <v>33-71779590-9</v>
      </c>
      <c r="G109" s="243">
        <v>2528.1799999999998</v>
      </c>
      <c r="H109" s="141">
        <f>+IF(G109&lt;19999,0,IFERROR(VLOOKUP(C109,'AUX23'!$D$2:$K$50,3,0)*G109/100,0))</f>
        <v>0</v>
      </c>
      <c r="I109" s="141">
        <f>IF(G109&lt;9999,0,IFERROR(VLOOKUP(C109,'AUX23'!$D$2:$L$50,4,0)*G109/100,0))</f>
        <v>0</v>
      </c>
      <c r="J109" s="141">
        <f>IF(G109&lt;9999,0,IFERROR(VLOOKUP(C109,'AUX23'!$D$2:$L$50,5,0)*G109/100,0))</f>
        <v>0</v>
      </c>
      <c r="K109" s="141">
        <f>IF(G109&lt;9999,0,IFERROR((G109-67170)*VLOOKUP(C109,'AUX23'!$D$2:$L$50,6,0)/100,0))</f>
        <v>0</v>
      </c>
      <c r="L109" s="141">
        <f>IF(G109&lt;9999,0,IFERROR((G109/1.21)*VLOOKUP(C109,'AUX23'!$D$2:$L$50,7,0)/100,0))</f>
        <v>0</v>
      </c>
      <c r="M109" s="141">
        <f t="shared" si="10"/>
        <v>2528.1799999999998</v>
      </c>
      <c r="N109" t="str">
        <f t="shared" si="18"/>
        <v>CC</v>
      </c>
      <c r="O109">
        <f t="shared" si="11"/>
        <v>4</v>
      </c>
      <c r="P109" t="s">
        <v>101</v>
      </c>
      <c r="Q109" t="str">
        <f t="shared" si="16"/>
        <v>MEGAVENTAS SRLABRIL 23</v>
      </c>
      <c r="R109" t="str">
        <f t="shared" si="12"/>
        <v>MEGAVENTAS SRL4</v>
      </c>
      <c r="S109" t="str">
        <f>+R109&amp;COUNTIF($R$2:R109,R109)</f>
        <v>MEGAVENTAS SRL41</v>
      </c>
      <c r="T109" s="141">
        <f t="shared" si="17"/>
        <v>633308.33999999973</v>
      </c>
      <c r="U109" t="str">
        <f t="shared" si="13"/>
        <v>6354</v>
      </c>
      <c r="V109" t="str">
        <f t="shared" si="14"/>
        <v>MEGAVENTAS SRL4CC</v>
      </c>
      <c r="W109" t="str">
        <f>+V109&amp;COUNTIF($V$2:V109,V109)</f>
        <v>MEGAVENTAS SRL4CC1</v>
      </c>
    </row>
    <row r="110" spans="1:23" x14ac:dyDescent="0.25">
      <c r="A110" t="str">
        <f>Q110&amp;COUNTIF($Q$30:Q110,Q110)</f>
        <v>MAIMARA MAXIKIOSCOABRIL 231</v>
      </c>
      <c r="B110" t="s">
        <v>144</v>
      </c>
      <c r="C110" t="s">
        <v>82</v>
      </c>
      <c r="D110" s="140" t="s">
        <v>466</v>
      </c>
      <c r="E110" s="10">
        <v>45035</v>
      </c>
      <c r="F110" t="str">
        <f>+IFERROR(INDEX('AUX23'!$C$2:$D$44,MATCH(CARGAFACTURAS!C110,'AUX23'!$D$2:$D$50,0),1),"")</f>
        <v>20-30068293-2</v>
      </c>
      <c r="G110" s="243">
        <v>5000</v>
      </c>
      <c r="H110" s="141">
        <f>+IF(G110&lt;19999,0,IFERROR(VLOOKUP(C110,'AUX23'!$D$2:$K$50,3,0)*G110/100,0))</f>
        <v>0</v>
      </c>
      <c r="I110" s="141">
        <f>IF(G110&lt;9999,0,IFERROR(VLOOKUP(C110,'AUX23'!$D$2:$L$50,4,0)*G110/100,0))</f>
        <v>0</v>
      </c>
      <c r="J110" s="141">
        <f>IF(G110&lt;9999,0,IFERROR(VLOOKUP(C110,'AUX23'!$D$2:$L$50,5,0)*G110/100,0))</f>
        <v>0</v>
      </c>
      <c r="K110" s="141">
        <f>IF(G110&lt;9999,0,IFERROR((G110-67170)*VLOOKUP(C110,'AUX23'!$D$2:$L$50,6,0)/100,0))</f>
        <v>0</v>
      </c>
      <c r="L110" s="141">
        <f>IF(G110&lt;9999,0,IFERROR((G110/1.21)*VLOOKUP(C110,'AUX23'!$D$2:$L$50,7,0)/100,0))</f>
        <v>0</v>
      </c>
      <c r="M110" s="141">
        <f t="shared" si="10"/>
        <v>5000</v>
      </c>
      <c r="N110">
        <v>34947378</v>
      </c>
      <c r="O110">
        <f t="shared" si="11"/>
        <v>4</v>
      </c>
      <c r="P110" t="s">
        <v>101</v>
      </c>
      <c r="Q110" t="str">
        <f t="shared" si="16"/>
        <v>MAIMARA MAXIKIOSCOABRIL 23</v>
      </c>
      <c r="R110" t="str">
        <f t="shared" si="12"/>
        <v>MAIMARA MAXIKIOSCO4</v>
      </c>
      <c r="S110" t="str">
        <f>+R110&amp;COUNTIF($R$2:R110,R110)</f>
        <v>MAIMARA MAXIKIOSCO41</v>
      </c>
      <c r="T110" s="141">
        <f t="shared" si="17"/>
        <v>628308.33999999973</v>
      </c>
      <c r="U110" t="str">
        <f t="shared" si="13"/>
        <v>0658</v>
      </c>
      <c r="V110" t="str">
        <f t="shared" si="14"/>
        <v>MAIMARA MAXIKIOSCO434947378</v>
      </c>
      <c r="W110" t="str">
        <f>+V110&amp;COUNTIF($V$2:V110,V110)</f>
        <v>MAIMARA MAXIKIOSCO4349473781</v>
      </c>
    </row>
    <row r="111" spans="1:23" x14ac:dyDescent="0.25">
      <c r="A111" t="str">
        <f>Q111&amp;COUNTIF($Q$30:Q111,Q111)</f>
        <v>MAIMARA MAXIKIOSCOABRIL 232</v>
      </c>
      <c r="B111" t="s">
        <v>144</v>
      </c>
      <c r="C111" t="s">
        <v>82</v>
      </c>
      <c r="D111" s="140" t="s">
        <v>467</v>
      </c>
      <c r="E111" s="10">
        <v>45035</v>
      </c>
      <c r="F111" t="str">
        <f>+IFERROR(INDEX('AUX23'!$C$2:$D$44,MATCH(CARGAFACTURAS!C111,'AUX23'!$D$2:$D$50,0),1),"")</f>
        <v>20-30068293-2</v>
      </c>
      <c r="G111" s="243">
        <v>2000</v>
      </c>
      <c r="H111" s="141">
        <f>+IF(G111&lt;19999,0,IFERROR(VLOOKUP(C111,'AUX23'!$D$2:$K$50,3,0)*G111/100,0))</f>
        <v>0</v>
      </c>
      <c r="I111" s="141">
        <f>IF(G111&lt;9999,0,IFERROR(VLOOKUP(C111,'AUX23'!$D$2:$L$50,4,0)*G111/100,0))</f>
        <v>0</v>
      </c>
      <c r="J111" s="141">
        <f>IF(G111&lt;9999,0,IFERROR(VLOOKUP(C111,'AUX23'!$D$2:$L$50,5,0)*G111/100,0))</f>
        <v>0</v>
      </c>
      <c r="K111" s="141">
        <f>IF(G111&lt;9999,0,IFERROR((G111-67170)*VLOOKUP(C111,'AUX23'!$D$2:$L$50,6,0)/100,0))</f>
        <v>0</v>
      </c>
      <c r="L111" s="141">
        <f>IF(G111&lt;9999,0,IFERROR((G111/1.21)*VLOOKUP(C111,'AUX23'!$D$2:$L$50,7,0)/100,0))</f>
        <v>0</v>
      </c>
      <c r="M111" s="141">
        <f t="shared" si="10"/>
        <v>2000</v>
      </c>
      <c r="N111" t="str">
        <f t="shared" si="18"/>
        <v>CC</v>
      </c>
      <c r="O111">
        <f t="shared" si="11"/>
        <v>4</v>
      </c>
      <c r="P111" t="s">
        <v>101</v>
      </c>
      <c r="Q111" t="str">
        <f t="shared" si="16"/>
        <v>MAIMARA MAXIKIOSCOABRIL 23</v>
      </c>
      <c r="R111" t="str">
        <f t="shared" si="12"/>
        <v>MAIMARA MAXIKIOSCO4</v>
      </c>
      <c r="S111" t="str">
        <f>+R111&amp;COUNTIF($R$2:R111,R111)</f>
        <v>MAIMARA MAXIKIOSCO42</v>
      </c>
      <c r="T111" s="141">
        <f t="shared" si="17"/>
        <v>626308.33999999973</v>
      </c>
      <c r="U111" t="str">
        <f t="shared" si="13"/>
        <v>0659</v>
      </c>
      <c r="V111" t="str">
        <f t="shared" si="14"/>
        <v>MAIMARA MAXIKIOSCO4CC</v>
      </c>
      <c r="W111" t="str">
        <f>+V111&amp;COUNTIF($V$2:V111,V111)</f>
        <v>MAIMARA MAXIKIOSCO4CC1</v>
      </c>
    </row>
    <row r="112" spans="1:23" x14ac:dyDescent="0.25">
      <c r="A112" t="str">
        <f>Q112&amp;COUNTIF($Q$30:Q112,Q112)</f>
        <v>NAGLE JORGE ELIAS(FERRETERIA)ABRIL 231</v>
      </c>
      <c r="B112" t="s">
        <v>144</v>
      </c>
      <c r="C112" t="s">
        <v>340</v>
      </c>
      <c r="D112" s="140" t="s">
        <v>470</v>
      </c>
      <c r="E112" s="10">
        <v>45035</v>
      </c>
      <c r="F112" t="str">
        <f>+IFERROR(INDEX('AUX23'!$C$2:$D$44,MATCH(CARGAFACTURAS!C112,'AUX23'!$D$2:$D$50,0),1),"")</f>
        <v>20-39477352-3</v>
      </c>
      <c r="G112" s="243">
        <v>1350</v>
      </c>
      <c r="H112" s="141">
        <f>+IF(G112&lt;19999,0,IFERROR(VLOOKUP(C112,'AUX23'!$D$2:$K$50,3,0)*G112/100,0))</f>
        <v>0</v>
      </c>
      <c r="I112" s="141">
        <f>IF(G112&lt;9999,0,IFERROR(VLOOKUP(C112,'AUX23'!$D$2:$L$50,4,0)*G112/100,0))</f>
        <v>0</v>
      </c>
      <c r="J112" s="141">
        <f>IF(G112&lt;9999,0,IFERROR(VLOOKUP(C112,'AUX23'!$D$2:$L$50,5,0)*G112/100,0))</f>
        <v>0</v>
      </c>
      <c r="K112" s="141">
        <f>IF(G112&lt;9999,0,IFERROR((G112-67170)*VLOOKUP(C112,'AUX23'!$D$2:$L$50,6,0)/100,0))</f>
        <v>0</v>
      </c>
      <c r="L112" s="141">
        <f>IF(G112&lt;9999,0,IFERROR((G112/1.21)*VLOOKUP(C112,'AUX23'!$D$2:$L$50,7,0)/100,0))</f>
        <v>0</v>
      </c>
      <c r="M112" s="141">
        <f t="shared" si="10"/>
        <v>1350</v>
      </c>
      <c r="N112" t="str">
        <f t="shared" si="18"/>
        <v>CC</v>
      </c>
      <c r="O112">
        <f t="shared" si="11"/>
        <v>4</v>
      </c>
      <c r="P112" t="s">
        <v>101</v>
      </c>
      <c r="Q112" t="str">
        <f t="shared" si="16"/>
        <v>NAGLE JORGE ELIAS(FERRETERIA)ABRIL 23</v>
      </c>
      <c r="R112" t="str">
        <f t="shared" si="12"/>
        <v>NAGLE JORGE ELIAS(FERRETERIA)4</v>
      </c>
      <c r="S112" t="str">
        <f>+R112&amp;COUNTIF($R$2:R112,R112)</f>
        <v>NAGLE JORGE ELIAS(FERRETERIA)43</v>
      </c>
      <c r="T112" s="141">
        <f t="shared" si="17"/>
        <v>624958.33999999973</v>
      </c>
      <c r="U112" t="str">
        <f t="shared" si="13"/>
        <v>1519</v>
      </c>
      <c r="V112" t="str">
        <f t="shared" si="14"/>
        <v>NAGLE JORGE ELIAS(FERRETERIA)4CC</v>
      </c>
      <c r="W112" t="str">
        <f>+V112&amp;COUNTIF($V$2:V112,V112)</f>
        <v>NAGLE JORGE ELIAS(FERRETERIA)4CC3</v>
      </c>
    </row>
    <row r="113" spans="1:23" x14ac:dyDescent="0.25">
      <c r="A113" t="str">
        <f>Q113&amp;COUNTIF($Q$30:Q113,Q113)</f>
        <v>OSYMABRIL 231</v>
      </c>
      <c r="B113" t="s">
        <v>144</v>
      </c>
      <c r="C113" t="s">
        <v>266</v>
      </c>
      <c r="D113" s="140" t="s">
        <v>471</v>
      </c>
      <c r="E113" s="10">
        <v>45035</v>
      </c>
      <c r="F113" t="str">
        <f>+IFERROR(INDEX('AUX23'!$C$2:$D$44,MATCH(CARGAFACTURAS!C113,'AUX23'!$D$2:$D$50,0),1),"")</f>
        <v>30-70744264-2</v>
      </c>
      <c r="G113" s="243">
        <v>500</v>
      </c>
      <c r="H113" s="141">
        <f>+IF(G113&lt;19999,0,IFERROR(VLOOKUP(C113,'AUX23'!$D$2:$K$50,3,0)*G113/100,0))</f>
        <v>0</v>
      </c>
      <c r="I113" s="141">
        <f>IF(G113&lt;9999,0,IFERROR(VLOOKUP(C113,'AUX23'!$D$2:$L$50,4,0)*G113/100,0))</f>
        <v>0</v>
      </c>
      <c r="J113" s="141">
        <f>IF(G113&lt;9999,0,IFERROR(VLOOKUP(C113,'AUX23'!$D$2:$L$50,5,0)*G113/100,0))</f>
        <v>0</v>
      </c>
      <c r="K113" s="141">
        <f>IF(G113&lt;9999,0,IFERROR((G113-67170)*VLOOKUP(C113,'AUX23'!$D$2:$L$50,6,0)/100,0))</f>
        <v>0</v>
      </c>
      <c r="L113" s="141">
        <f>IF(G113&lt;9999,0,IFERROR((G113/1.21)*VLOOKUP(C113,'AUX23'!$D$2:$L$50,7,0)/100,0))</f>
        <v>0</v>
      </c>
      <c r="M113" s="141">
        <f t="shared" si="10"/>
        <v>500</v>
      </c>
      <c r="N113" t="str">
        <f t="shared" si="18"/>
        <v>CC</v>
      </c>
      <c r="O113">
        <f t="shared" si="11"/>
        <v>4</v>
      </c>
      <c r="P113" t="s">
        <v>101</v>
      </c>
      <c r="Q113" t="str">
        <f t="shared" si="16"/>
        <v>OSYMABRIL 23</v>
      </c>
      <c r="R113" t="str">
        <f t="shared" si="12"/>
        <v>OSYM4</v>
      </c>
      <c r="S113" t="str">
        <f>+R113&amp;COUNTIF($R$2:R113,R113)</f>
        <v>OSYM41</v>
      </c>
      <c r="T113" s="141">
        <f t="shared" si="17"/>
        <v>624458.33999999973</v>
      </c>
      <c r="U113" t="str">
        <f t="shared" si="13"/>
        <v>2585</v>
      </c>
      <c r="V113" t="str">
        <f t="shared" si="14"/>
        <v>OSYM4CC</v>
      </c>
      <c r="W113" t="str">
        <f>+V113&amp;COUNTIF($V$2:V113,V113)</f>
        <v>OSYM4CC1</v>
      </c>
    </row>
    <row r="114" spans="1:23" x14ac:dyDescent="0.25">
      <c r="A114" t="str">
        <f>Q114&amp;COUNTIF($Q$30:Q114,Q114)</f>
        <v>ENTE CULTURAL DE TUCUMANABRIL 232</v>
      </c>
      <c r="B114" t="s">
        <v>144</v>
      </c>
      <c r="C114" t="s">
        <v>452</v>
      </c>
      <c r="D114" s="140" t="s">
        <v>211</v>
      </c>
      <c r="E114" s="10">
        <v>45041</v>
      </c>
      <c r="F114" t="str">
        <f>+IFERROR(INDEX('AUX23'!$C$2:$D$44,MATCH(CARGAFACTURAS!C114,'AUX23'!$D$2:$D$50,0),1),"")</f>
        <v>20-70008406-4</v>
      </c>
      <c r="G114" s="243">
        <v>4600</v>
      </c>
      <c r="H114" s="141">
        <f>+IF(G114&lt;19999,0,IFERROR(VLOOKUP(C114,'AUX23'!$D$2:$K$50,3,0)*G114/100,0))</f>
        <v>0</v>
      </c>
      <c r="I114" s="141">
        <f>IF(G114&lt;9999,0,IFERROR(VLOOKUP(C114,'AUX23'!$D$2:$L$50,4,0)*G114/100,0))</f>
        <v>0</v>
      </c>
      <c r="J114" s="141">
        <f>IF(G114&lt;9999,0,IFERROR(VLOOKUP(C114,'AUX23'!$D$2:$L$50,5,0)*G114/100,0))</f>
        <v>0</v>
      </c>
      <c r="K114" s="141">
        <f>IF(G114&lt;9999,0,IFERROR((G114-67170)*VLOOKUP(C114,'AUX23'!$D$2:$L$50,6,0)/100,0))</f>
        <v>0</v>
      </c>
      <c r="L114" s="141">
        <f>IF(G114&lt;9999,0,IFERROR((G114/1.21)*VLOOKUP(C114,'AUX23'!$D$2:$L$50,7,0)/100,0))</f>
        <v>0</v>
      </c>
      <c r="M114" s="141">
        <f t="shared" si="10"/>
        <v>4600</v>
      </c>
      <c r="N114">
        <v>34947602</v>
      </c>
      <c r="O114">
        <f t="shared" si="11"/>
        <v>4</v>
      </c>
      <c r="P114" t="s">
        <v>101</v>
      </c>
      <c r="Q114" t="str">
        <f t="shared" si="16"/>
        <v>ENTE CULTURAL DE TUCUMANABRIL 23</v>
      </c>
      <c r="R114" t="str">
        <f t="shared" si="12"/>
        <v>ENTE CULTURAL DE TUCUMAN4</v>
      </c>
      <c r="S114" t="str">
        <f>+R114&amp;COUNTIF($R$2:R114,R114)</f>
        <v>ENTE CULTURAL DE TUCUMAN42</v>
      </c>
      <c r="T114" s="141">
        <f t="shared" si="17"/>
        <v>619858.33999999973</v>
      </c>
      <c r="U114" t="str">
        <f t="shared" si="13"/>
        <v>0006</v>
      </c>
      <c r="V114" t="str">
        <f t="shared" si="14"/>
        <v>ENTE CULTURAL DE TUCUMAN434947602</v>
      </c>
      <c r="W114" t="str">
        <f>+V114&amp;COUNTIF($V$2:V114,V114)</f>
        <v>ENTE CULTURAL DE TUCUMAN4349476021</v>
      </c>
    </row>
    <row r="115" spans="1:23" x14ac:dyDescent="0.25">
      <c r="A115" t="str">
        <f>Q115&amp;COUNTIF($Q$30:Q115,Q115)</f>
        <v>LEON LUIS CESARABRIL 231</v>
      </c>
      <c r="B115" t="s">
        <v>144</v>
      </c>
      <c r="C115" t="s">
        <v>109</v>
      </c>
      <c r="D115" s="140" t="s">
        <v>479</v>
      </c>
      <c r="E115" s="10">
        <v>45036</v>
      </c>
      <c r="F115" t="str">
        <f>+IFERROR(INDEX('AUX23'!$C$2:$D$44,MATCH(CARGAFACTURAS!C115,'AUX23'!$D$2:$D$50,0),1),"")</f>
        <v>20-13278210-6</v>
      </c>
      <c r="G115" s="243">
        <v>59207.11</v>
      </c>
      <c r="H115" s="141">
        <f>+IF(G115&lt;19999,0,IFERROR(VLOOKUP(C115,'AUX23'!$D$2:$K$50,3,0)*G115/100,0))</f>
        <v>740.08887499999992</v>
      </c>
      <c r="I115" s="141">
        <f>IF(G115&lt;9999,0,IFERROR(VLOOKUP(C115,'AUX23'!$D$2:$L$50,4,0)*G115/100,0))</f>
        <v>2960.3554999999997</v>
      </c>
      <c r="J115" s="141">
        <f>IF(G115&lt;9999,0,IFERROR(VLOOKUP(C115,'AUX23'!$D$2:$L$50,5,0)*G115/100,0))</f>
        <v>0</v>
      </c>
      <c r="K115" s="141">
        <f>IF(G115&lt;9999,0,IFERROR((G115-67170)*VLOOKUP(C115,'AUX23'!$D$2:$L$50,6,0)/100,0))</f>
        <v>0</v>
      </c>
      <c r="L115" s="141">
        <f>IF(G115&lt;9999,0,IFERROR((G115/1.21)*VLOOKUP(C115,'AUX23'!$D$2:$L$50,7,0)/100,0))</f>
        <v>0</v>
      </c>
      <c r="M115" s="141">
        <f t="shared" si="10"/>
        <v>55506.665625000001</v>
      </c>
      <c r="N115">
        <v>34947558</v>
      </c>
      <c r="O115">
        <f t="shared" si="11"/>
        <v>4</v>
      </c>
      <c r="P115" t="s">
        <v>101</v>
      </c>
      <c r="Q115" t="str">
        <f t="shared" si="16"/>
        <v>LEON LUIS CESARABRIL 23</v>
      </c>
      <c r="R115" t="str">
        <f t="shared" si="12"/>
        <v>LEON LUIS CESAR4</v>
      </c>
      <c r="S115" t="str">
        <f>+R115&amp;COUNTIF($R$2:R115,R115)</f>
        <v>LEON LUIS CESAR41</v>
      </c>
      <c r="T115" s="141">
        <f t="shared" si="17"/>
        <v>560651.22999999975</v>
      </c>
      <c r="U115" t="str">
        <f t="shared" si="13"/>
        <v>1362</v>
      </c>
      <c r="V115" t="str">
        <f t="shared" si="14"/>
        <v>LEON LUIS CESAR434947558</v>
      </c>
      <c r="W115" t="str">
        <f>+V115&amp;COUNTIF($V$2:V115,V115)</f>
        <v>LEON LUIS CESAR4349475581</v>
      </c>
    </row>
    <row r="116" spans="1:23" x14ac:dyDescent="0.25">
      <c r="A116" t="str">
        <f>Q116&amp;COUNTIF($Q$30:Q116,Q116)</f>
        <v>LOFT COMPUTACION SASABRIL 231</v>
      </c>
      <c r="B116" t="s">
        <v>144</v>
      </c>
      <c r="C116" t="s">
        <v>136</v>
      </c>
      <c r="D116" s="140" t="s">
        <v>474</v>
      </c>
      <c r="E116" s="10">
        <v>45036</v>
      </c>
      <c r="F116" t="str">
        <f>+IFERROR(INDEX('AUX23'!$C$2:$D$44,MATCH(CARGAFACTURAS!C116,'AUX23'!$D$2:$D$50,0),1),"")</f>
        <v>30-71753417-0</v>
      </c>
      <c r="G116" s="243">
        <v>13700</v>
      </c>
      <c r="H116" s="141">
        <f>+IF(G116&lt;19999,0,IFERROR(VLOOKUP(C116,'AUX23'!$D$2:$K$50,3,0)*G116/100,0))</f>
        <v>0</v>
      </c>
      <c r="I116" s="141">
        <f>IF(G116&lt;9999,0,IFERROR(VLOOKUP(C116,'AUX23'!$D$2:$L$50,4,0)*G116/100,0))</f>
        <v>479.5</v>
      </c>
      <c r="J116" s="141">
        <f>IF(G116&lt;9999,0,IFERROR(VLOOKUP(C116,'AUX23'!$D$2:$L$50,5,0)*G116/100,0))</f>
        <v>0</v>
      </c>
      <c r="K116" s="141">
        <f>IF(G116&lt;9999,0,IFERROR((G116-67170)*VLOOKUP(C116,'AUX23'!$D$2:$L$50,6,0)/100,0))</f>
        <v>0</v>
      </c>
      <c r="L116" s="141">
        <f>IF(G116&lt;9999,0,IFERROR((G116/1.21)*VLOOKUP(C116,'AUX23'!$D$2:$L$50,7,0)/100,0))</f>
        <v>0</v>
      </c>
      <c r="M116" s="141">
        <f t="shared" si="10"/>
        <v>13220.5</v>
      </c>
      <c r="N116">
        <v>36068170</v>
      </c>
      <c r="O116">
        <f t="shared" si="11"/>
        <v>4</v>
      </c>
      <c r="P116" t="s">
        <v>101</v>
      </c>
      <c r="Q116" t="str">
        <f t="shared" si="16"/>
        <v>LOFT COMPUTACION SASABRIL 23</v>
      </c>
      <c r="R116" t="str">
        <f t="shared" si="12"/>
        <v>LOFT COMPUTACION SAS4</v>
      </c>
      <c r="S116" t="str">
        <f>+R116&amp;COUNTIF($R$2:R116,R116)</f>
        <v>LOFT COMPUTACION SAS41</v>
      </c>
      <c r="T116" s="141">
        <f t="shared" si="17"/>
        <v>546951.22999999975</v>
      </c>
      <c r="U116" t="str">
        <f t="shared" si="13"/>
        <v>0259</v>
      </c>
      <c r="V116" t="str">
        <f t="shared" si="14"/>
        <v>LOFT COMPUTACION SAS436068170</v>
      </c>
      <c r="W116" t="str">
        <f>+V116&amp;COUNTIF($V$2:V116,V116)</f>
        <v>LOFT COMPUTACION SAS4360681701</v>
      </c>
    </row>
    <row r="117" spans="1:23" x14ac:dyDescent="0.25">
      <c r="A117" t="str">
        <f>Q117&amp;COUNTIF($Q$30:Q117,Q117)</f>
        <v>LOFT COMPUTACION SASABRIL 232</v>
      </c>
      <c r="B117" t="s">
        <v>144</v>
      </c>
      <c r="C117" t="s">
        <v>136</v>
      </c>
      <c r="D117" s="140" t="s">
        <v>473</v>
      </c>
      <c r="E117" s="10">
        <v>45036</v>
      </c>
      <c r="F117" t="str">
        <f>+IFERROR(INDEX('AUX23'!$C$2:$D$44,MATCH(CARGAFACTURAS!C117,'AUX23'!$D$2:$D$50,0),1),"")</f>
        <v>30-71753417-0</v>
      </c>
      <c r="G117" s="243">
        <v>4700</v>
      </c>
      <c r="H117" s="141">
        <f>+IF(G117&lt;19999,0,IFERROR(VLOOKUP(C117,'AUX23'!$D$2:$K$50,3,0)*G117/100,0))</f>
        <v>0</v>
      </c>
      <c r="I117" s="141">
        <f>IF(G117&lt;9999,0,IFERROR(VLOOKUP(C117,'AUX23'!$D$2:$L$50,4,0)*G117/100,0))</f>
        <v>0</v>
      </c>
      <c r="J117" s="141">
        <f>IF(G117&lt;9999,0,IFERROR(VLOOKUP(C117,'AUX23'!$D$2:$L$50,5,0)*G117/100,0))</f>
        <v>0</v>
      </c>
      <c r="K117" s="141">
        <f>IF(G117&lt;9999,0,IFERROR((G117-67170)*VLOOKUP(C117,'AUX23'!$D$2:$L$50,6,0)/100,0))</f>
        <v>0</v>
      </c>
      <c r="L117" s="141">
        <f>IF(G117&lt;9999,0,IFERROR((G117/1.21)*VLOOKUP(C117,'AUX23'!$D$2:$L$50,7,0)/100,0))</f>
        <v>0</v>
      </c>
      <c r="M117" s="141">
        <f t="shared" si="10"/>
        <v>4700</v>
      </c>
      <c r="N117">
        <v>34947465</v>
      </c>
      <c r="O117">
        <f t="shared" si="11"/>
        <v>4</v>
      </c>
      <c r="P117" t="s">
        <v>101</v>
      </c>
      <c r="Q117" t="str">
        <f t="shared" si="16"/>
        <v>LOFT COMPUTACION SASABRIL 23</v>
      </c>
      <c r="R117" t="str">
        <f t="shared" si="12"/>
        <v>LOFT COMPUTACION SAS4</v>
      </c>
      <c r="S117" t="str">
        <f>+R117&amp;COUNTIF($R$2:R117,R117)</f>
        <v>LOFT COMPUTACION SAS42</v>
      </c>
      <c r="T117" s="141">
        <f t="shared" si="17"/>
        <v>542251.22999999975</v>
      </c>
      <c r="U117" t="str">
        <f t="shared" si="13"/>
        <v>0258</v>
      </c>
      <c r="V117" t="str">
        <f t="shared" si="14"/>
        <v>LOFT COMPUTACION SAS434947465</v>
      </c>
      <c r="W117" t="str">
        <f>+V117&amp;COUNTIF($V$2:V117,V117)</f>
        <v>LOFT COMPUTACION SAS4349474651</v>
      </c>
    </row>
    <row r="118" spans="1:23" x14ac:dyDescent="0.25">
      <c r="A118" t="str">
        <f>Q118&amp;COUNTIF($Q$30:Q118,Q118)</f>
        <v>SAWELEC SASABRIL 231</v>
      </c>
      <c r="B118" t="s">
        <v>144</v>
      </c>
      <c r="C118" t="s">
        <v>253</v>
      </c>
      <c r="D118" s="140" t="s">
        <v>475</v>
      </c>
      <c r="E118" s="10">
        <v>45036</v>
      </c>
      <c r="F118" t="str">
        <f>+IFERROR(INDEX('AUX23'!$C$2:$D$44,MATCH(CARGAFACTURAS!C118,'AUX23'!$D$2:$D$50,0),1),"")</f>
        <v>30-71678975-2</v>
      </c>
      <c r="G118" s="243">
        <v>9910.07</v>
      </c>
      <c r="H118" s="141">
        <f>+IF(G118&lt;19999,0,IFERROR(VLOOKUP(C118,'AUX23'!$D$2:$K$50,3,0)*G118/100,0))</f>
        <v>0</v>
      </c>
      <c r="I118" s="141">
        <f>IF(G118&lt;9999,0,IFERROR(VLOOKUP(C118,'AUX23'!$D$2:$L$50,4,0)*G118/100,0))</f>
        <v>0</v>
      </c>
      <c r="J118" s="141">
        <f>IF(G118&lt;9999,0,IFERROR(VLOOKUP(C118,'AUX23'!$D$2:$L$50,5,0)*G118/100,0))</f>
        <v>0</v>
      </c>
      <c r="K118" s="141">
        <f>IF(G118&lt;9999,0,IFERROR((G118-67170)*VLOOKUP(C118,'AUX23'!$D$2:$L$50,6,0)/100,0))</f>
        <v>0</v>
      </c>
      <c r="L118" s="141">
        <f>IF(G118&lt;9999,0,IFERROR((G118/1.21)*VLOOKUP(C118,'AUX23'!$D$2:$L$50,7,0)/100,0))</f>
        <v>0</v>
      </c>
      <c r="M118" s="141">
        <f t="shared" si="10"/>
        <v>9910.07</v>
      </c>
      <c r="N118">
        <v>34947425</v>
      </c>
      <c r="O118">
        <f t="shared" si="11"/>
        <v>4</v>
      </c>
      <c r="P118" t="s">
        <v>101</v>
      </c>
      <c r="Q118" t="str">
        <f t="shared" si="16"/>
        <v>SAWELEC SASABRIL 23</v>
      </c>
      <c r="R118" t="str">
        <f t="shared" si="12"/>
        <v>SAWELEC SAS4</v>
      </c>
      <c r="S118" t="str">
        <f>+R118&amp;COUNTIF($R$2:R118,R118)</f>
        <v>SAWELEC SAS42</v>
      </c>
      <c r="T118" s="141">
        <f t="shared" si="17"/>
        <v>532341.1599999998</v>
      </c>
      <c r="U118" t="str">
        <f t="shared" si="13"/>
        <v>0048</v>
      </c>
      <c r="V118" t="str">
        <f t="shared" si="14"/>
        <v>SAWELEC SAS434947425</v>
      </c>
      <c r="W118" t="str">
        <f>+V118&amp;COUNTIF($V$2:V118,V118)</f>
        <v>SAWELEC SAS4349474251</v>
      </c>
    </row>
    <row r="119" spans="1:23" x14ac:dyDescent="0.25">
      <c r="A119" t="str">
        <f>Q119&amp;COUNTIF($Q$30:Q119,Q119)</f>
        <v>CHEQUERA BM COMISION ADMINISTRACIONABRIL 231</v>
      </c>
      <c r="B119" t="s">
        <v>144</v>
      </c>
      <c r="C119" t="s">
        <v>477</v>
      </c>
      <c r="E119" s="10">
        <v>45036</v>
      </c>
      <c r="F119" t="str">
        <f>+IFERROR(INDEX('AUX23'!$C$2:$D$44,MATCH(CARGAFACTURAS!C119,'AUX23'!$D$2:$D$50,0),1),"")</f>
        <v>30-50001008-4</v>
      </c>
      <c r="G119" s="243">
        <v>2800</v>
      </c>
      <c r="H119" s="141">
        <f>+IF(G119&lt;19999,0,IFERROR(VLOOKUP(C119,'AUX23'!$D$2:$K$50,3,0)*G119/100,0))</f>
        <v>0</v>
      </c>
      <c r="I119" s="141">
        <f>IF(G119&lt;9999,0,IFERROR(VLOOKUP(C119,'AUX23'!$D$2:$L$50,4,0)*G119/100,0))</f>
        <v>0</v>
      </c>
      <c r="J119" s="141">
        <f>IF(G119&lt;9999,0,IFERROR(VLOOKUP(C119,'AUX23'!$D$2:$L$50,5,0)*G119/100,0))</f>
        <v>0</v>
      </c>
      <c r="K119" s="141">
        <f>IF(G119&lt;9999,0,IFERROR((G119-67170)*VLOOKUP(C119,'AUX23'!$D$2:$L$50,6,0)/100,0))</f>
        <v>0</v>
      </c>
      <c r="L119" s="141">
        <f>IF(G119&lt;9999,0,IFERROR((G119/1.21)*VLOOKUP(C119,'AUX23'!$D$2:$L$50,7,0)/100,0))</f>
        <v>0</v>
      </c>
      <c r="M119" s="141">
        <f t="shared" si="10"/>
        <v>2800</v>
      </c>
      <c r="N119">
        <v>1273318384</v>
      </c>
      <c r="O119">
        <f t="shared" si="11"/>
        <v>4</v>
      </c>
      <c r="P119" t="s">
        <v>101</v>
      </c>
      <c r="Q119" t="str">
        <f t="shared" si="16"/>
        <v>CHEQUERA BM COMISION ADMINISTRACIONABRIL 23</v>
      </c>
      <c r="R119" t="str">
        <f t="shared" si="12"/>
        <v>CHEQUERA BM COMISION ADMINISTRACION4</v>
      </c>
      <c r="S119" t="str">
        <f>+R119&amp;COUNTIF($R$2:R119,R119)</f>
        <v>CHEQUERA BM COMISION ADMINISTRACION41</v>
      </c>
      <c r="T119" s="141">
        <f t="shared" si="17"/>
        <v>529541.1599999998</v>
      </c>
      <c r="U119" t="str">
        <f t="shared" si="13"/>
        <v/>
      </c>
      <c r="V119" t="str">
        <f t="shared" si="14"/>
        <v>CHEQUERA BM COMISION ADMINISTRACION41273318384</v>
      </c>
      <c r="W119" t="str">
        <f>+V119&amp;COUNTIF($V$2:V119,V119)</f>
        <v>CHEQUERA BM COMISION ADMINISTRACION412733183841</v>
      </c>
    </row>
    <row r="120" spans="1:23" x14ac:dyDescent="0.25">
      <c r="A120" t="str">
        <f>Q120&amp;COUNTIF($Q$30:Q120,Q120)</f>
        <v>CHEQUERA BM DEBITO FISCAL IVA BASICOABRIL 231</v>
      </c>
      <c r="B120" t="s">
        <v>144</v>
      </c>
      <c r="C120" t="s">
        <v>476</v>
      </c>
      <c r="E120" s="10">
        <v>45036</v>
      </c>
      <c r="F120" t="str">
        <f>+IFERROR(INDEX('AUX23'!$C$2:$D$44,MATCH(CARGAFACTURAS!C120,'AUX23'!$D$2:$D$50,0),1),"")</f>
        <v>30-50001008-4</v>
      </c>
      <c r="G120" s="243">
        <v>588</v>
      </c>
      <c r="H120" s="141">
        <f>+IF(G120&lt;19999,0,IFERROR(VLOOKUP(C120,'AUX23'!$D$2:$K$50,3,0)*G120/100,0))</f>
        <v>0</v>
      </c>
      <c r="I120" s="141">
        <f>IF(G120&lt;9999,0,IFERROR(VLOOKUP(C120,'AUX23'!$D$2:$L$50,4,0)*G120/100,0))</f>
        <v>0</v>
      </c>
      <c r="J120" s="141">
        <f>IF(G120&lt;9999,0,IFERROR(VLOOKUP(C120,'AUX23'!$D$2:$L$50,5,0)*G120/100,0))</f>
        <v>0</v>
      </c>
      <c r="K120" s="141">
        <f>IF(G120&lt;9999,0,IFERROR((G120-67170)*VLOOKUP(C120,'AUX23'!$D$2:$L$50,6,0)/100,0))</f>
        <v>0</v>
      </c>
      <c r="L120" s="141">
        <f>IF(G120&lt;9999,0,IFERROR((G120/1.21)*VLOOKUP(C120,'AUX23'!$D$2:$L$50,7,0)/100,0))</f>
        <v>0</v>
      </c>
      <c r="M120" s="141">
        <f t="shared" si="10"/>
        <v>588</v>
      </c>
      <c r="N120">
        <v>1273318384</v>
      </c>
      <c r="O120">
        <f t="shared" si="11"/>
        <v>4</v>
      </c>
      <c r="P120" t="s">
        <v>101</v>
      </c>
      <c r="Q120" t="str">
        <f t="shared" si="16"/>
        <v>CHEQUERA BM DEBITO FISCAL IVA BASICOABRIL 23</v>
      </c>
      <c r="R120" t="str">
        <f t="shared" si="12"/>
        <v>CHEQUERA BM DEBITO FISCAL IVA BASICO4</v>
      </c>
      <c r="S120" t="str">
        <f>+R120&amp;COUNTIF($R$2:R120,R120)</f>
        <v>CHEQUERA BM DEBITO FISCAL IVA BASICO41</v>
      </c>
      <c r="T120" s="141">
        <f t="shared" si="17"/>
        <v>528953.1599999998</v>
      </c>
      <c r="U120" t="str">
        <f t="shared" si="13"/>
        <v/>
      </c>
      <c r="V120" t="str">
        <f t="shared" si="14"/>
        <v>CHEQUERA BM DEBITO FISCAL IVA BASICO41273318384</v>
      </c>
      <c r="W120" t="str">
        <f>+V120&amp;COUNTIF($V$2:V120,V120)</f>
        <v>CHEQUERA BM DEBITO FISCAL IVA BASICO412733183841</v>
      </c>
    </row>
    <row r="121" spans="1:23" x14ac:dyDescent="0.25">
      <c r="A121" t="str">
        <f>Q121&amp;COUNTIF($Q$30:Q121,Q121)</f>
        <v>CHEQUERA BM COMISION ADMINISTRACIONABRIL 232</v>
      </c>
      <c r="B121" t="s">
        <v>144</v>
      </c>
      <c r="C121" t="s">
        <v>477</v>
      </c>
      <c r="E121" s="10">
        <v>45036</v>
      </c>
      <c r="F121" t="str">
        <f>+IFERROR(INDEX('AUX23'!$C$2:$D$44,MATCH(CARGAFACTURAS!C121,'AUX23'!$D$2:$D$50,0),1),"")</f>
        <v>30-50001008-4</v>
      </c>
      <c r="G121" s="243">
        <v>2800</v>
      </c>
      <c r="H121" s="141">
        <f>+IF(G121&lt;19999,0,IFERROR(VLOOKUP(C121,'AUX23'!$D$2:$K$50,3,0)*G121/100,0))</f>
        <v>0</v>
      </c>
      <c r="I121" s="141">
        <f>IF(G121&lt;9999,0,IFERROR(VLOOKUP(C121,'AUX23'!$D$2:$L$50,4,0)*G121/100,0))</f>
        <v>0</v>
      </c>
      <c r="J121" s="141">
        <f>IF(G121&lt;9999,0,IFERROR(VLOOKUP(C121,'AUX23'!$D$2:$L$50,5,0)*G121/100,0))</f>
        <v>0</v>
      </c>
      <c r="K121" s="141">
        <f>IF(G121&lt;9999,0,IFERROR((G121-67170)*VLOOKUP(C121,'AUX23'!$D$2:$L$50,6,0)/100,0))</f>
        <v>0</v>
      </c>
      <c r="L121" s="141">
        <f>IF(G121&lt;9999,0,IFERROR((G121/1.21)*VLOOKUP(C121,'AUX23'!$D$2:$L$50,7,0)/100,0))</f>
        <v>0</v>
      </c>
      <c r="M121" s="141">
        <f t="shared" si="10"/>
        <v>2800</v>
      </c>
      <c r="N121">
        <v>1273318238</v>
      </c>
      <c r="O121">
        <f t="shared" si="11"/>
        <v>4</v>
      </c>
      <c r="P121" t="s">
        <v>101</v>
      </c>
      <c r="Q121" t="str">
        <f t="shared" si="16"/>
        <v>CHEQUERA BM COMISION ADMINISTRACIONABRIL 23</v>
      </c>
      <c r="R121" t="str">
        <f t="shared" si="12"/>
        <v>CHEQUERA BM COMISION ADMINISTRACION4</v>
      </c>
      <c r="S121" t="str">
        <f>+R121&amp;COUNTIF($R$2:R121,R121)</f>
        <v>CHEQUERA BM COMISION ADMINISTRACION42</v>
      </c>
      <c r="T121" s="141">
        <f t="shared" si="17"/>
        <v>526153.1599999998</v>
      </c>
      <c r="U121" t="str">
        <f t="shared" si="13"/>
        <v/>
      </c>
      <c r="V121" t="str">
        <f t="shared" si="14"/>
        <v>CHEQUERA BM COMISION ADMINISTRACION41273318238</v>
      </c>
      <c r="W121" t="str">
        <f>+V121&amp;COUNTIF($V$2:V121,V121)</f>
        <v>CHEQUERA BM COMISION ADMINISTRACION412733182381</v>
      </c>
    </row>
    <row r="122" spans="1:23" x14ac:dyDescent="0.25">
      <c r="A122" t="str">
        <f>Q122&amp;COUNTIF($Q$30:Q122,Q122)</f>
        <v>CHEQUERA BM DEBITO FISCAL IVA BASICOABRIL 232</v>
      </c>
      <c r="B122" t="s">
        <v>144</v>
      </c>
      <c r="C122" t="s">
        <v>476</v>
      </c>
      <c r="E122" s="10">
        <v>45036</v>
      </c>
      <c r="F122" t="str">
        <f>+IFERROR(INDEX('AUX23'!$C$2:$D$44,MATCH(CARGAFACTURAS!C122,'AUX23'!$D$2:$D$50,0),1),"")</f>
        <v>30-50001008-4</v>
      </c>
      <c r="G122" s="243">
        <v>588</v>
      </c>
      <c r="H122" s="141">
        <f>+IF(G122&lt;19999,0,IFERROR(VLOOKUP(C122,'AUX23'!$D$2:$K$50,3,0)*G122/100,0))</f>
        <v>0</v>
      </c>
      <c r="I122" s="141">
        <f>IF(G122&lt;9999,0,IFERROR(VLOOKUP(C122,'AUX23'!$D$2:$L$50,4,0)*G122/100,0))</f>
        <v>0</v>
      </c>
      <c r="J122" s="141">
        <f>IF(G122&lt;9999,0,IFERROR(VLOOKUP(C122,'AUX23'!$D$2:$L$50,5,0)*G122/100,0))</f>
        <v>0</v>
      </c>
      <c r="K122" s="141">
        <f>IF(G122&lt;9999,0,IFERROR((G122-67170)*VLOOKUP(C122,'AUX23'!$D$2:$L$50,6,0)/100,0))</f>
        <v>0</v>
      </c>
      <c r="L122" s="141">
        <f>IF(G122&lt;9999,0,IFERROR((G122/1.21)*VLOOKUP(C122,'AUX23'!$D$2:$L$50,7,0)/100,0))</f>
        <v>0</v>
      </c>
      <c r="M122" s="141">
        <f t="shared" ref="M122:M185" si="19">G122-H122-I122-J122-K122-L122</f>
        <v>588</v>
      </c>
      <c r="N122">
        <v>1273318238</v>
      </c>
      <c r="O122">
        <f t="shared" ref="O122:O185" si="20">+MONTH(E122)</f>
        <v>4</v>
      </c>
      <c r="P122" t="s">
        <v>101</v>
      </c>
      <c r="Q122" t="str">
        <f t="shared" si="16"/>
        <v>CHEQUERA BM DEBITO FISCAL IVA BASICOABRIL 23</v>
      </c>
      <c r="R122" t="str">
        <f t="shared" si="12"/>
        <v>CHEQUERA BM DEBITO FISCAL IVA BASICO4</v>
      </c>
      <c r="S122" t="str">
        <f>+R122&amp;COUNTIF($R$2:R122,R122)</f>
        <v>CHEQUERA BM DEBITO FISCAL IVA BASICO42</v>
      </c>
      <c r="T122" s="141">
        <f t="shared" si="17"/>
        <v>525565.1599999998</v>
      </c>
      <c r="U122" t="str">
        <f t="shared" si="13"/>
        <v/>
      </c>
      <c r="V122" t="str">
        <f t="shared" si="14"/>
        <v>CHEQUERA BM DEBITO FISCAL IVA BASICO41273318238</v>
      </c>
      <c r="W122" t="str">
        <f>+V122&amp;COUNTIF($V$2:V122,V122)</f>
        <v>CHEQUERA BM DEBITO FISCAL IVA BASICO412733182381</v>
      </c>
    </row>
    <row r="123" spans="1:23" x14ac:dyDescent="0.25">
      <c r="A123" t="str">
        <f>Q123&amp;COUNTIF($Q$30:Q123,Q123)</f>
        <v>LIBRERÍA SAN PABLO SRLABRIL 231</v>
      </c>
      <c r="B123" t="s">
        <v>144</v>
      </c>
      <c r="C123" t="s">
        <v>10</v>
      </c>
      <c r="D123" t="s">
        <v>478</v>
      </c>
      <c r="E123" s="10">
        <v>45036</v>
      </c>
      <c r="F123" t="str">
        <f>+IFERROR(INDEX('AUX23'!$C$2:$D$44,MATCH(CARGAFACTURAS!C123,'AUX23'!$D$2:$D$50,0),1),"")</f>
        <v>30-58351679-0</v>
      </c>
      <c r="G123" s="243">
        <v>25000</v>
      </c>
      <c r="H123" s="141">
        <f>+IF(G123&lt;19999,0,IFERROR(VLOOKUP(C123,'AUX23'!$D$2:$K$50,3,0)*G123/100,0))</f>
        <v>312.5</v>
      </c>
      <c r="I123" s="141">
        <f>IF(G123&lt;9999,0,IFERROR(VLOOKUP(C123,'AUX23'!$D$2:$L$50,4,0)*G123/100,0))</f>
        <v>1250</v>
      </c>
      <c r="J123" s="141">
        <f>IF(G123&lt;9999,0,IFERROR(VLOOKUP(C123,'AUX23'!$D$2:$L$50,5,0)*G123/100,0))</f>
        <v>0</v>
      </c>
      <c r="K123" s="141">
        <f>IF(G123&lt;9999,0,IFERROR((G123-67170)*VLOOKUP(C123,'AUX23'!$D$2:$L$50,6,0)/100,0))</f>
        <v>0</v>
      </c>
      <c r="L123" s="141">
        <f>IF(G123&lt;9999,0,IFERROR((G123/1.21)*VLOOKUP(C123,'AUX23'!$D$2:$L$50,7,0)/100,0))</f>
        <v>0</v>
      </c>
      <c r="M123" s="141">
        <f t="shared" si="19"/>
        <v>23437.5</v>
      </c>
      <c r="N123">
        <v>34947515</v>
      </c>
      <c r="O123">
        <f t="shared" si="20"/>
        <v>4</v>
      </c>
      <c r="P123" t="s">
        <v>101</v>
      </c>
      <c r="Q123" t="str">
        <f t="shared" si="16"/>
        <v>LIBRERÍA SAN PABLO SRLABRIL 23</v>
      </c>
      <c r="R123" t="str">
        <f t="shared" si="12"/>
        <v>LIBRERÍA SAN PABLO SRL4</v>
      </c>
      <c r="S123" t="str">
        <f>+R123&amp;COUNTIF($R$2:R123,R123)</f>
        <v>LIBRERÍA SAN PABLO SRL42</v>
      </c>
      <c r="T123" s="141">
        <f t="shared" si="17"/>
        <v>500565.1599999998</v>
      </c>
      <c r="U123" t="str">
        <f t="shared" si="13"/>
        <v>0274</v>
      </c>
      <c r="V123" t="str">
        <f t="shared" si="14"/>
        <v>LIBRERÍA SAN PABLO SRL434947515</v>
      </c>
      <c r="W123" t="str">
        <f>+V123&amp;COUNTIF($V$2:V123,V123)</f>
        <v>LIBRERÍA SAN PABLO SRL4349475151</v>
      </c>
    </row>
    <row r="124" spans="1:23" x14ac:dyDescent="0.25">
      <c r="A124" t="str">
        <f>Q124&amp;COUNTIF($Q$30:Q124,Q124)</f>
        <v>ROTTA FRANCISCO(COMPUMAQ)ABRIL 231</v>
      </c>
      <c r="B124" t="s">
        <v>144</v>
      </c>
      <c r="C124" t="s">
        <v>188</v>
      </c>
      <c r="D124" t="s">
        <v>481</v>
      </c>
      <c r="E124" s="10">
        <v>45041</v>
      </c>
      <c r="F124" t="str">
        <f>+IFERROR(INDEX('AUX23'!$C$2:$D$44,MATCH(CARGAFACTURAS!C124,'AUX23'!$D$2:$D$50,0),1),"")</f>
        <v>20-16216700-7</v>
      </c>
      <c r="G124" s="243">
        <v>6000</v>
      </c>
      <c r="H124" s="141">
        <f>+IF(G124&lt;19999,0,IFERROR(VLOOKUP(C124,'AUX23'!$D$2:$K$50,3,0)*G124/100,0))</f>
        <v>0</v>
      </c>
      <c r="I124" s="141">
        <f>IF(G124&lt;9999,0,IFERROR(VLOOKUP(C124,'AUX23'!$D$2:$L$50,4,0)*G124/100,0))</f>
        <v>0</v>
      </c>
      <c r="J124" s="141">
        <f>IF(G124&lt;9999,0,IFERROR(VLOOKUP(C124,'AUX23'!$D$2:$L$50,5,0)*G124/100,0))</f>
        <v>0</v>
      </c>
      <c r="K124" s="141">
        <f>IF(G124&lt;9999,0,IFERROR((G124-67170)*VLOOKUP(C124,'AUX23'!$D$2:$L$50,6,0)/100,0))</f>
        <v>0</v>
      </c>
      <c r="L124" s="141">
        <f>IF(G124&lt;9999,0,IFERROR((G124/1.21)*VLOOKUP(C124,'AUX23'!$D$2:$L$50,7,0)/100,0))</f>
        <v>0</v>
      </c>
      <c r="M124" s="141">
        <f t="shared" si="19"/>
        <v>6000</v>
      </c>
      <c r="N124" t="str">
        <f t="shared" si="18"/>
        <v>CC</v>
      </c>
      <c r="O124">
        <f t="shared" si="20"/>
        <v>4</v>
      </c>
      <c r="P124" t="s">
        <v>101</v>
      </c>
      <c r="Q124" t="str">
        <f t="shared" si="16"/>
        <v>ROTTA FRANCISCO(COMPUMAQ)ABRIL 23</v>
      </c>
      <c r="R124" t="str">
        <f t="shared" si="12"/>
        <v>ROTTA FRANCISCO(COMPUMAQ)4</v>
      </c>
      <c r="S124" t="str">
        <f>+R124&amp;COUNTIF($R$2:R124,R124)</f>
        <v>ROTTA FRANCISCO(COMPUMAQ)41</v>
      </c>
      <c r="T124" s="141">
        <f t="shared" si="17"/>
        <v>494565.1599999998</v>
      </c>
      <c r="U124" t="str">
        <f t="shared" si="13"/>
        <v>6451</v>
      </c>
      <c r="V124" t="str">
        <f t="shared" si="14"/>
        <v>ROTTA FRANCISCO(COMPUMAQ)4CC</v>
      </c>
      <c r="W124" t="str">
        <f>+V124&amp;COUNTIF($V$2:V124,V124)</f>
        <v>ROTTA FRANCISCO(COMPUMAQ)4CC1</v>
      </c>
    </row>
    <row r="125" spans="1:23" x14ac:dyDescent="0.25">
      <c r="A125" t="str">
        <f>Q125&amp;COUNTIF($Q$30:Q125,Q125)</f>
        <v>CLARO (AMX ARGENTINA)ABRIL 231</v>
      </c>
      <c r="B125" t="s">
        <v>144</v>
      </c>
      <c r="C125" t="s">
        <v>18</v>
      </c>
      <c r="D125" t="s">
        <v>482</v>
      </c>
      <c r="E125" s="10">
        <v>45031</v>
      </c>
      <c r="F125" t="str">
        <f>+IFERROR(INDEX('AUX23'!$C$2:$D$44,MATCH(CARGAFACTURAS!C125,'AUX23'!$D$2:$D$50,0),1),"")</f>
        <v>30-66328849-7</v>
      </c>
      <c r="G125" s="243">
        <v>18157.259999999998</v>
      </c>
      <c r="H125" s="141">
        <f>+IF(G125&lt;19999,0,IFERROR(VLOOKUP(C125,'AUX23'!$D$2:$K$50,3,0)*G125/100,0))</f>
        <v>0</v>
      </c>
      <c r="I125" s="141">
        <f>IF(G125&lt;9999,0,IFERROR(VLOOKUP(C125,'AUX23'!$D$2:$L$50,4,0)*G125/100,0))</f>
        <v>0</v>
      </c>
      <c r="J125" s="141">
        <f>IF(G125&lt;9999,0,IFERROR(VLOOKUP(C125,'AUX23'!$D$2:$L$50,5,0)*G125/100,0))</f>
        <v>0</v>
      </c>
      <c r="K125" s="141">
        <f>IF(G125&lt;9999,0,IFERROR((G125-67170)*VLOOKUP(C125,'AUX23'!$D$2:$L$50,6,0)/100,0))</f>
        <v>0</v>
      </c>
      <c r="L125" s="141">
        <f>IF(G125&lt;9999,0,IFERROR((G125/1.21)*VLOOKUP(C125,'AUX23'!$D$2:$L$50,7,0)/100,0))</f>
        <v>0</v>
      </c>
      <c r="M125" s="141">
        <f t="shared" si="19"/>
        <v>18157.259999999998</v>
      </c>
      <c r="N125">
        <v>35170242</v>
      </c>
      <c r="O125">
        <f t="shared" si="20"/>
        <v>4</v>
      </c>
      <c r="P125" t="s">
        <v>101</v>
      </c>
      <c r="Q125" t="str">
        <f t="shared" si="16"/>
        <v>CLARO (AMX ARGENTINA)ABRIL 23</v>
      </c>
      <c r="R125" t="str">
        <f t="shared" si="12"/>
        <v>CLARO (AMX ARGENTINA)4</v>
      </c>
      <c r="S125" t="str">
        <f>+R125&amp;COUNTIF($R$2:R125,R125)</f>
        <v>CLARO (AMX ARGENTINA)41</v>
      </c>
      <c r="T125" s="141">
        <f t="shared" si="17"/>
        <v>476407.89999999979</v>
      </c>
      <c r="U125" t="str">
        <f t="shared" si="13"/>
        <v>8012</v>
      </c>
      <c r="V125" t="str">
        <f t="shared" si="14"/>
        <v>CLARO (AMX ARGENTINA)435170242</v>
      </c>
      <c r="W125" t="str">
        <f>+V125&amp;COUNTIF($V$2:V125,V125)</f>
        <v>CLARO (AMX ARGENTINA)4351702421</v>
      </c>
    </row>
    <row r="126" spans="1:23" x14ac:dyDescent="0.25">
      <c r="A126" t="str">
        <f>Q126&amp;COUNTIF($Q$30:Q126,Q126)</f>
        <v>LOFT COMPUTACION SASABRIL 233</v>
      </c>
      <c r="B126" t="s">
        <v>144</v>
      </c>
      <c r="C126" t="s">
        <v>136</v>
      </c>
      <c r="D126" t="s">
        <v>512</v>
      </c>
      <c r="E126" s="10">
        <v>45049</v>
      </c>
      <c r="F126" t="str">
        <f>+IFERROR(INDEX('AUX23'!$C$2:$D$44,MATCH(CARGAFACTURAS!C126,'AUX23'!$D$2:$D$50,0),1),"")</f>
        <v>30-71753417-0</v>
      </c>
      <c r="G126" s="243">
        <v>13700</v>
      </c>
      <c r="H126" s="141">
        <f>+IF(G126&lt;19999,0,IFERROR(VLOOKUP(C126,'AUX23'!$D$2:$K$50,3,0)*G126/100,0))</f>
        <v>0</v>
      </c>
      <c r="I126" s="141">
        <f>IF(G126&lt;9999,0,IFERROR(VLOOKUP(C126,'AUX23'!$D$2:$L$50,4,0)*G126/100,0))</f>
        <v>479.5</v>
      </c>
      <c r="J126" s="141">
        <f>IF(G126&lt;9999,0,IFERROR(VLOOKUP(C126,'AUX23'!$D$2:$L$50,5,0)*G126/100,0))</f>
        <v>0</v>
      </c>
      <c r="K126" s="141">
        <f>IF(G126&lt;9999,0,IFERROR((G126-67170)*VLOOKUP(C126,'AUX23'!$D$2:$L$50,6,0)/100,0))</f>
        <v>0</v>
      </c>
      <c r="L126" s="141">
        <f>IF(G126&lt;9999,0,IFERROR((G126/1.21)*VLOOKUP(C126,'AUX23'!$D$2:$L$50,7,0)/100,0))</f>
        <v>0</v>
      </c>
      <c r="M126" s="141">
        <f t="shared" si="19"/>
        <v>13220.5</v>
      </c>
      <c r="N126" t="str">
        <f t="shared" si="18"/>
        <v>INGR. NUMERO</v>
      </c>
      <c r="O126">
        <f t="shared" si="20"/>
        <v>5</v>
      </c>
      <c r="P126" t="s">
        <v>101</v>
      </c>
      <c r="Q126" t="str">
        <f t="shared" si="16"/>
        <v>LOFT COMPUTACION SASABRIL 23</v>
      </c>
      <c r="R126" t="str">
        <f t="shared" si="12"/>
        <v>LOFT COMPUTACION SAS5</v>
      </c>
      <c r="S126" t="str">
        <f>+R126&amp;COUNTIF($R$2:R126,R126)</f>
        <v>LOFT COMPUTACION SAS51</v>
      </c>
      <c r="T126" s="141">
        <f t="shared" si="17"/>
        <v>462707.89999999979</v>
      </c>
      <c r="U126" t="str">
        <f t="shared" si="13"/>
        <v>0275</v>
      </c>
      <c r="V126" t="str">
        <f t="shared" si="14"/>
        <v>LOFT COMPUTACION SAS5INGR. NUMERO</v>
      </c>
      <c r="W126" t="str">
        <f>+V126&amp;COUNTIF($V$2:V126,V126)</f>
        <v>LOFT COMPUTACION SAS5INGR. NUMERO1</v>
      </c>
    </row>
    <row r="127" spans="1:23" x14ac:dyDescent="0.25">
      <c r="A127" t="str">
        <f>Q127&amp;COUNTIF($Q$30:Q127,Q127)</f>
        <v>LIBRERÍA SAN PABLO SRLABRIL 232</v>
      </c>
      <c r="B127" t="s">
        <v>144</v>
      </c>
      <c r="C127" t="s">
        <v>10</v>
      </c>
      <c r="D127" t="s">
        <v>501</v>
      </c>
      <c r="E127" s="10">
        <v>45044</v>
      </c>
      <c r="F127" t="str">
        <f>+IFERROR(INDEX('AUX23'!$C$2:$D$44,MATCH(CARGAFACTURAS!C127,'AUX23'!$D$2:$D$50,0),1),"")</f>
        <v>30-58351679-0</v>
      </c>
      <c r="G127" s="243">
        <v>20000</v>
      </c>
      <c r="H127" s="141">
        <f>+IF(G127&lt;19999,0,IFERROR(VLOOKUP(C127,'AUX23'!$D$2:$K$50,3,0)*G127/100,0))</f>
        <v>250</v>
      </c>
      <c r="I127" s="141">
        <f>IF(G127&lt;9999,0,IFERROR(VLOOKUP(C127,'AUX23'!$D$2:$L$50,4,0)*G127/100,0))</f>
        <v>1000</v>
      </c>
      <c r="J127" s="141">
        <f>IF(G127&lt;9999,0,IFERROR(VLOOKUP(C127,'AUX23'!$D$2:$L$50,5,0)*G127/100,0))</f>
        <v>0</v>
      </c>
      <c r="K127" s="141">
        <f>IF(G127&lt;9999,0,IFERROR((G127-67170)*VLOOKUP(C127,'AUX23'!$D$2:$L$50,6,0)/100,0))</f>
        <v>0</v>
      </c>
      <c r="L127" s="141">
        <f>IF(G127&lt;9999,0,IFERROR((G127/1.21)*VLOOKUP(C127,'AUX23'!$D$2:$L$50,7,0)/100,0))</f>
        <v>0</v>
      </c>
      <c r="M127" s="141">
        <f t="shared" si="19"/>
        <v>18750</v>
      </c>
      <c r="N127">
        <v>35670234</v>
      </c>
      <c r="O127">
        <f t="shared" si="20"/>
        <v>4</v>
      </c>
      <c r="P127" t="s">
        <v>101</v>
      </c>
      <c r="Q127" t="str">
        <f t="shared" si="16"/>
        <v>LIBRERÍA SAN PABLO SRLABRIL 23</v>
      </c>
      <c r="R127" t="str">
        <f t="shared" si="12"/>
        <v>LIBRERÍA SAN PABLO SRL4</v>
      </c>
      <c r="S127" t="str">
        <f>+R127&amp;COUNTIF($R$2:R127,R127)</f>
        <v>LIBRERÍA SAN PABLO SRL43</v>
      </c>
      <c r="T127" s="141">
        <f t="shared" si="17"/>
        <v>442707.89999999979</v>
      </c>
      <c r="U127" t="str">
        <f t="shared" si="13"/>
        <v>0445</v>
      </c>
      <c r="V127" t="str">
        <f t="shared" si="14"/>
        <v>LIBRERÍA SAN PABLO SRL435670234</v>
      </c>
      <c r="W127" t="str">
        <f>+V127&amp;COUNTIF($V$2:V127,V127)</f>
        <v>LIBRERÍA SAN PABLO SRL4356702341</v>
      </c>
    </row>
    <row r="128" spans="1:23" x14ac:dyDescent="0.25">
      <c r="A128" t="str">
        <f>Q128&amp;COUNTIF($Q$30:Q128,Q128)</f>
        <v>ACREDITACION SIPROSA RFABRIL 231</v>
      </c>
      <c r="B128" t="s">
        <v>144</v>
      </c>
      <c r="C128" t="s">
        <v>411</v>
      </c>
      <c r="E128" s="10"/>
      <c r="F128" t="str">
        <f>+IFERROR(INDEX('AUX23'!$C$2:$D$44,MATCH(CARGAFACTURAS!C128,'AUX23'!$D$2:$D$50,0),1),"")</f>
        <v/>
      </c>
      <c r="G128" s="243">
        <v>881000</v>
      </c>
      <c r="H128" s="141">
        <f>+IF(G128&lt;19999,0,IFERROR(VLOOKUP(C128,'AUX23'!$D$2:$K$50,3,0)*G128/100,0))</f>
        <v>0</v>
      </c>
      <c r="I128" s="141">
        <f>IF(G128&lt;9999,0,IFERROR(VLOOKUP(C128,'AUX23'!$D$2:$L$50,4,0)*G128/100,0))</f>
        <v>0</v>
      </c>
      <c r="J128" s="141">
        <f>IF(G128&lt;9999,0,IFERROR(VLOOKUP(C128,'AUX23'!$D$2:$L$50,5,0)*G128/100,0))</f>
        <v>0</v>
      </c>
      <c r="K128" s="141">
        <f>IF(G128&lt;9999,0,IFERROR((G128-67170)*VLOOKUP(C128,'AUX23'!$D$2:$L$50,6,0)/100,0))</f>
        <v>0</v>
      </c>
      <c r="L128" s="141">
        <f>IF(G128&lt;9999,0,IFERROR((G128/1.21)*VLOOKUP(C128,'AUX23'!$D$2:$L$50,7,0)/100,0))</f>
        <v>0</v>
      </c>
      <c r="M128" s="141">
        <f t="shared" si="19"/>
        <v>881000</v>
      </c>
      <c r="N128">
        <v>35114955</v>
      </c>
      <c r="O128">
        <f t="shared" si="20"/>
        <v>1</v>
      </c>
      <c r="Q128" t="str">
        <f t="shared" si="16"/>
        <v>ACREDITACION SIPROSA RFABRIL 23</v>
      </c>
      <c r="R128" t="str">
        <f t="shared" si="12"/>
        <v>ACREDITACION SIPROSA RF1</v>
      </c>
      <c r="S128" t="str">
        <f>+R128&amp;COUNTIF($R$2:R128,R128)</f>
        <v>ACREDITACION SIPROSA RF11</v>
      </c>
      <c r="T128" s="141">
        <f>+T127-G128+G128*2</f>
        <v>1323707.8999999999</v>
      </c>
      <c r="U128" t="str">
        <f t="shared" si="13"/>
        <v/>
      </c>
      <c r="V128" t="str">
        <f t="shared" si="14"/>
        <v>ACREDITACION SIPROSA RF135114955</v>
      </c>
      <c r="W128" t="str">
        <f>+V128&amp;COUNTIF($V$2:V128,V128)</f>
        <v>ACREDITACION SIPROSA RF1351149551</v>
      </c>
    </row>
    <row r="129" spans="1:23" x14ac:dyDescent="0.25">
      <c r="A129" t="str">
        <f>Q129&amp;COUNTIF($Q$30:Q129,Q129)</f>
        <v>CONFEDERACION MEDICA DE LA REPUBLICAABRIL 231</v>
      </c>
      <c r="B129" t="s">
        <v>144</v>
      </c>
      <c r="C129" t="s">
        <v>495</v>
      </c>
      <c r="D129" t="s">
        <v>497</v>
      </c>
      <c r="E129" s="10">
        <v>45043</v>
      </c>
      <c r="F129" t="str">
        <f>+IFERROR(INDEX('AUX23'!$C$2:$D$44,MATCH(CARGAFACTURAS!C129,'AUX23'!$D$2:$D$50,0),1),"")</f>
        <v>30-52925546-9</v>
      </c>
      <c r="G129" s="243">
        <v>190000</v>
      </c>
      <c r="H129" s="141">
        <f>+IF(G129&lt;19999,0,IFERROR(VLOOKUP(C129,'AUX23'!$D$2:$K$50,3,0)*G129/100,0))</f>
        <v>0</v>
      </c>
      <c r="I129" s="141">
        <f>IF(G129&lt;9999,0,IFERROR(VLOOKUP(C129,'AUX23'!$D$2:$L$50,4,0)*G129/100,0))</f>
        <v>0</v>
      </c>
      <c r="J129" s="141">
        <f>IF(G129&lt;9999,0,IFERROR(VLOOKUP(C129,'AUX23'!$D$2:$L$50,5,0)*G129/100,0))</f>
        <v>0</v>
      </c>
      <c r="K129" s="141">
        <f>IF(G129&lt;9999,0,IFERROR((G129-67170)*VLOOKUP(C129,'AUX23'!$D$2:$L$50,6,0)/100,0))</f>
        <v>2456.6</v>
      </c>
      <c r="L129" s="141">
        <f>IF(G129&lt;9999,0,IFERROR((G129/1.21)*VLOOKUP(C129,'AUX23'!$D$2:$L$50,7,0)/100,0))</f>
        <v>1570.2479338842977</v>
      </c>
      <c r="M129" s="141">
        <f t="shared" si="19"/>
        <v>185973.1520661157</v>
      </c>
      <c r="N129">
        <v>35170275</v>
      </c>
      <c r="O129">
        <f t="shared" si="20"/>
        <v>4</v>
      </c>
      <c r="P129" t="s">
        <v>202</v>
      </c>
      <c r="Q129" t="str">
        <f t="shared" si="16"/>
        <v>CONFEDERACION MEDICA DE LA REPUBLICAABRIL 23</v>
      </c>
      <c r="R129" t="str">
        <f t="shared" si="12"/>
        <v>CONFEDERACION MEDICA DE LA REPUBLICA4</v>
      </c>
      <c r="S129" t="str">
        <f>+R129&amp;COUNTIF($R$2:R129,R129)</f>
        <v>CONFEDERACION MEDICA DE LA REPUBLICA41</v>
      </c>
      <c r="T129" s="141">
        <f t="shared" si="17"/>
        <v>1133707.8999999999</v>
      </c>
      <c r="U129" t="str">
        <f t="shared" si="13"/>
        <v>2005</v>
      </c>
      <c r="V129" t="str">
        <f t="shared" si="14"/>
        <v>CONFEDERACION MEDICA DE LA REPUBLICA435170275</v>
      </c>
      <c r="W129" t="str">
        <f>+V129&amp;COUNTIF($V$2:V129,V129)</f>
        <v>CONFEDERACION MEDICA DE LA REPUBLICA4351702751</v>
      </c>
    </row>
    <row r="130" spans="1:23" x14ac:dyDescent="0.25">
      <c r="A130" t="str">
        <f>Q130&amp;COUNTIF($Q$30:Q130,Q130)</f>
        <v>GRANEROS HORACIO EDUARDOABRIL 231</v>
      </c>
      <c r="B130" t="s">
        <v>144</v>
      </c>
      <c r="C130" t="s">
        <v>491</v>
      </c>
      <c r="D130" t="s">
        <v>498</v>
      </c>
      <c r="E130" s="10">
        <v>45043</v>
      </c>
      <c r="F130" t="str">
        <f>+IFERROR(INDEX('AUX23'!$C$2:$D$44,MATCH(CARGAFACTURAS!C130,'AUX23'!$D$2:$D$50,0),1),"")</f>
        <v>20-11476093-6</v>
      </c>
      <c r="G130" s="243">
        <v>691000</v>
      </c>
      <c r="H130" s="141">
        <f>+IF(G130&lt;19999,0,IFERROR(VLOOKUP(C130,'AUX23'!$D$2:$K$50,3,0)*G130/100,0))</f>
        <v>0</v>
      </c>
      <c r="I130" s="141">
        <f>IF(G130&lt;9999,0,IFERROR(VLOOKUP(C130,'AUX23'!$D$2:$L$50,4,0)*G130/100,0))</f>
        <v>10365</v>
      </c>
      <c r="J130" s="141">
        <f>IF(G130&lt;9999,0,IFERROR(VLOOKUP(C130,'AUX23'!$D$2:$L$50,5,0)*G130/100,0))</f>
        <v>0</v>
      </c>
      <c r="K130" s="141">
        <f>IF(G130&lt;9999,0,IFERROR((G130-67170)*VLOOKUP(C130,'AUX23'!$D$2:$L$50,6,0)/100,0))</f>
        <v>15595.75</v>
      </c>
      <c r="L130" s="141">
        <f>IF(G130&lt;9999,0,IFERROR((G130/1.21)*VLOOKUP(C130,'AUX23'!$D$2:$L$50,7,0)/100,0))</f>
        <v>5710.7438016528931</v>
      </c>
      <c r="M130" s="141">
        <f t="shared" si="19"/>
        <v>659328.50619834708</v>
      </c>
      <c r="N130">
        <v>35170205</v>
      </c>
      <c r="O130">
        <f t="shared" si="20"/>
        <v>4</v>
      </c>
      <c r="P130" t="s">
        <v>202</v>
      </c>
      <c r="Q130" t="str">
        <f t="shared" si="16"/>
        <v>GRANEROS HORACIO EDUARDOABRIL 23</v>
      </c>
      <c r="R130" t="str">
        <f t="shared" si="12"/>
        <v>GRANEROS HORACIO EDUARDO4</v>
      </c>
      <c r="S130" t="str">
        <f>+R130&amp;COUNTIF($R$2:R130,R130)</f>
        <v>GRANEROS HORACIO EDUARDO41</v>
      </c>
      <c r="T130" s="141">
        <f t="shared" si="17"/>
        <v>442707.89999999991</v>
      </c>
      <c r="U130" t="str">
        <f t="shared" si="13"/>
        <v>0614</v>
      </c>
      <c r="V130" t="str">
        <f t="shared" si="14"/>
        <v>GRANEROS HORACIO EDUARDO435170205</v>
      </c>
      <c r="W130" t="str">
        <f>+V130&amp;COUNTIF($V$2:V130,V130)</f>
        <v>GRANEROS HORACIO EDUARDO4351702051</v>
      </c>
    </row>
    <row r="131" spans="1:23" x14ac:dyDescent="0.25">
      <c r="A131" t="str">
        <f>Q131&amp;COUNTIF($Q$30:Q131,Q131)</f>
        <v>LIBRERÍA SAN PABLO SRLABRIL 233</v>
      </c>
      <c r="B131" t="s">
        <v>144</v>
      </c>
      <c r="C131" s="262" t="s">
        <v>10</v>
      </c>
      <c r="D131" t="s">
        <v>555</v>
      </c>
      <c r="E131" s="10">
        <v>45057</v>
      </c>
      <c r="F131" t="str">
        <f>+IFERROR(INDEX('AUX23'!$C$2:$D$44,MATCH(CARGAFACTURAS!C131,'AUX23'!$D$2:$D$50,0),1),"")</f>
        <v>30-58351679-0</v>
      </c>
      <c r="G131" s="243">
        <v>45044.04</v>
      </c>
      <c r="H131" s="141">
        <f>+IF(G131&lt;19999,0,IFERROR(VLOOKUP(C131,'AUX23'!$D$2:$K$50,3,0)*G131/100,0))</f>
        <v>563.05050000000006</v>
      </c>
      <c r="I131" s="141">
        <f>IF(G131&lt;9999,0,IFERROR(VLOOKUP(C131,'AUX23'!$D$2:$L$50,4,0)*G131/100,0))</f>
        <v>2252.2020000000002</v>
      </c>
      <c r="J131" s="141">
        <f>IF(G131&lt;9999,0,IFERROR(VLOOKUP(C131,'AUX23'!$D$2:$L$50,5,0)*G131/100,0))</f>
        <v>0</v>
      </c>
      <c r="K131" s="141">
        <f>IF(G131&lt;9999,0,IFERROR((G131-67170)*VLOOKUP(C131,'AUX23'!$D$2:$L$50,6,0)/100,0))</f>
        <v>0</v>
      </c>
      <c r="L131" s="141">
        <f>IF(G131&lt;9999,0,IFERROR((G131/1.21)*VLOOKUP(C131,'AUX23'!$D$2:$L$50,7,0)/100,0))</f>
        <v>0</v>
      </c>
      <c r="M131" s="141">
        <f t="shared" ref="M131:M134" si="21">G131-H131-I131-J131-K131-L131</f>
        <v>42228.787500000006</v>
      </c>
      <c r="N131">
        <v>35681283</v>
      </c>
      <c r="O131">
        <f t="shared" ref="O131:O134" si="22">+MONTH(E131)</f>
        <v>5</v>
      </c>
      <c r="P131" t="s">
        <v>101</v>
      </c>
      <c r="Q131" t="str">
        <f t="shared" si="16"/>
        <v>LIBRERÍA SAN PABLO SRLABRIL 23</v>
      </c>
      <c r="R131" t="str">
        <f t="shared" ref="R131:R194" si="23">+CLEAN(C131)&amp;CLEAN(O131)</f>
        <v>LIBRERÍA SAN PABLO SRL5</v>
      </c>
      <c r="S131" t="str">
        <f>+R131&amp;COUNTIF($R$2:R131,R131)</f>
        <v>LIBRERÍA SAN PABLO SRL51</v>
      </c>
      <c r="T131" s="141">
        <f t="shared" si="17"/>
        <v>397663.85999999993</v>
      </c>
      <c r="U131" t="str">
        <f t="shared" ref="U131:U194" si="24">+RIGHT(D131,4)</f>
        <v>0710</v>
      </c>
      <c r="V131" t="str">
        <f t="shared" ref="V131:V194" si="25">+R131&amp;N131</f>
        <v>LIBRERÍA SAN PABLO SRL535681283</v>
      </c>
      <c r="W131" t="str">
        <f>+V131&amp;COUNTIF($V$2:V131,V131)</f>
        <v>LIBRERÍA SAN PABLO SRL5356812831</v>
      </c>
    </row>
    <row r="132" spans="1:23" x14ac:dyDescent="0.25">
      <c r="A132" t="str">
        <f>Q132&amp;COUNTIF($Q$30:Q132,Q132)</f>
        <v>FULL TRACK S.R.L.ABRIL 232</v>
      </c>
      <c r="B132" t="s">
        <v>144</v>
      </c>
      <c r="C132" t="s">
        <v>98</v>
      </c>
      <c r="D132" t="s">
        <v>511</v>
      </c>
      <c r="E132" s="10">
        <v>45047</v>
      </c>
      <c r="F132" t="str">
        <f>+IFERROR(INDEX('AUX23'!$C$2:$D$44,MATCH(CARGAFACTURAS!C132,'AUX23'!$D$2:$D$50,0),1),"")</f>
        <v>30-71648081-6</v>
      </c>
      <c r="G132" s="243">
        <v>388550</v>
      </c>
      <c r="H132" s="141">
        <f>+IF(G132&lt;19999,0,IFERROR(VLOOKUP(C132,'AUX23'!$D$2:$K$50,3,0)*G132/100,0))</f>
        <v>0</v>
      </c>
      <c r="I132" s="141">
        <f>IF(G132&lt;9999,0,IFERROR(VLOOKUP(C132,'AUX23'!$D$2:$L$50,4,0)*G132/100,0))</f>
        <v>5828.25</v>
      </c>
      <c r="J132" s="141">
        <f>IF(G132&lt;9999,0,IFERROR(VLOOKUP(C132,'AUX23'!$D$2:$L$50,5,0)*G132/100,0))</f>
        <v>0</v>
      </c>
      <c r="K132" s="141">
        <f>IF(G132&lt;9999,0,IFERROR((G132-67170)*VLOOKUP(C132,'AUX23'!$D$2:$L$50,6,0)/100,0))</f>
        <v>6427.6</v>
      </c>
      <c r="L132" s="141">
        <f>IF(G132&lt;9999,0,IFERROR((G132/1.21)*VLOOKUP(C132,'AUX23'!$D$2:$L$50,7,0)/100,0))</f>
        <v>3211.1570247933887</v>
      </c>
      <c r="M132" s="141">
        <f t="shared" si="21"/>
        <v>373082.99297520664</v>
      </c>
      <c r="N132">
        <v>35373049</v>
      </c>
      <c r="O132">
        <f t="shared" si="22"/>
        <v>5</v>
      </c>
      <c r="P132" t="s">
        <v>124</v>
      </c>
      <c r="Q132" t="str">
        <f t="shared" si="16"/>
        <v>FULL TRACK S.R.L.ABRIL 23</v>
      </c>
      <c r="R132" t="str">
        <f t="shared" si="23"/>
        <v>FULL TRACK S.R.L.5</v>
      </c>
      <c r="S132" t="str">
        <f>+R132&amp;COUNTIF($R$2:R132,R132)</f>
        <v>FULL TRACK S.R.L.51</v>
      </c>
      <c r="T132" s="141">
        <f t="shared" si="17"/>
        <v>9113.8599999999278</v>
      </c>
      <c r="U132" t="str">
        <f t="shared" si="24"/>
        <v>0036</v>
      </c>
      <c r="V132" t="str">
        <f t="shared" si="25"/>
        <v>FULL TRACK S.R.L.535373049</v>
      </c>
      <c r="W132" t="str">
        <f>+V132&amp;COUNTIF($V$2:V132,V132)</f>
        <v>FULL TRACK S.R.L.5353730491</v>
      </c>
    </row>
    <row r="133" spans="1:23" x14ac:dyDescent="0.25">
      <c r="A133" t="str">
        <f>Q133&amp;COUNTIF($Q$30:Q133,Q133)</f>
        <v>LA GACETAABRIL 231</v>
      </c>
      <c r="B133" t="s">
        <v>144</v>
      </c>
      <c r="C133" t="s">
        <v>540</v>
      </c>
      <c r="D133" t="s">
        <v>543</v>
      </c>
      <c r="E133" s="10">
        <v>45054</v>
      </c>
      <c r="F133" t="str">
        <f>+IFERROR(INDEX('AUX23'!$C$2:$D$44,MATCH(CARGAFACTURAS!C133,'AUX23'!$D$2:$D$50,0),1),"")</f>
        <v>30-50009071-1</v>
      </c>
      <c r="G133" s="243">
        <v>7430.03</v>
      </c>
      <c r="H133" s="141">
        <f>+IF(G133&lt;19999,0,IFERROR(VLOOKUP(C133,'AUX23'!$D$2:$K$50,3,0)*G133/100,0))</f>
        <v>0</v>
      </c>
      <c r="I133" s="141">
        <f>IF(G133&lt;9999,0,IFERROR(VLOOKUP(C133,'AUX23'!$D$2:$L$50,4,0)*G133/100,0))</f>
        <v>0</v>
      </c>
      <c r="J133" s="141">
        <f>IF(G133&lt;9999,0,IFERROR(VLOOKUP(C133,'AUX23'!$D$2:$L$50,5,0)*G133/100,0))</f>
        <v>0</v>
      </c>
      <c r="K133" s="141">
        <f>IF(G133&lt;9999,0,IFERROR((G133-67170)*VLOOKUP(C133,'AUX23'!$D$2:$L$50,6,0)/100,0))</f>
        <v>0</v>
      </c>
      <c r="L133" s="141">
        <f>IF(G133&lt;9999,0,IFERROR((G133/1.21)*VLOOKUP(C133,'AUX23'!$D$2:$L$50,7,0)/100,0))</f>
        <v>0</v>
      </c>
      <c r="M133" s="141">
        <f t="shared" si="21"/>
        <v>7430.03</v>
      </c>
      <c r="N133" t="str">
        <f t="shared" ref="N133:N134" si="26">+IF(G133&lt;9999,"CC","INGR. NUMERO")</f>
        <v>CC</v>
      </c>
      <c r="O133">
        <f t="shared" si="22"/>
        <v>5</v>
      </c>
      <c r="P133" t="s">
        <v>101</v>
      </c>
      <c r="Q133" t="str">
        <f t="shared" si="16"/>
        <v>LA GACETAABRIL 23</v>
      </c>
      <c r="R133" t="str">
        <f t="shared" si="23"/>
        <v>LA GACETA5</v>
      </c>
      <c r="S133" t="str">
        <f>+R133&amp;COUNTIF($R$2:R133,R133)</f>
        <v>LA GACETA51</v>
      </c>
      <c r="T133" s="141">
        <f t="shared" si="17"/>
        <v>1683.8299999999281</v>
      </c>
      <c r="U133" t="str">
        <f t="shared" si="24"/>
        <v>1599</v>
      </c>
      <c r="V133" t="str">
        <f t="shared" si="25"/>
        <v>LA GACETA5CC</v>
      </c>
      <c r="W133" t="str">
        <f>+V133&amp;COUNTIF($V$2:V133,V133)</f>
        <v>LA GACETA5CC1</v>
      </c>
    </row>
    <row r="134" spans="1:23" x14ac:dyDescent="0.25">
      <c r="A134" t="str">
        <f>Q134&amp;COUNTIF($Q$30:Q134,Q134)</f>
        <v>BARRIONUEVO CEBALLOS MARIA ENRIQUETAABRIL 231</v>
      </c>
      <c r="B134" t="s">
        <v>144</v>
      </c>
      <c r="C134" t="s">
        <v>546</v>
      </c>
      <c r="D134" t="s">
        <v>549</v>
      </c>
      <c r="E134" s="10">
        <v>45055</v>
      </c>
      <c r="F134" t="str">
        <f>+IFERROR(INDEX('AUX23'!$C$2:$D$44,MATCH(CARGAFACTURAS!C134,'AUX23'!$D$2:$D$50,0),1),"")</f>
        <v>27-36121142-7</v>
      </c>
      <c r="G134" s="243">
        <v>1700</v>
      </c>
      <c r="H134" s="141">
        <f>+IF(G134&lt;19999,0,IFERROR(VLOOKUP(C134,'AUX23'!$D$2:$K$50,3,0)*G134/100,0))</f>
        <v>0</v>
      </c>
      <c r="I134" s="141">
        <f>IF(G134&lt;9999,0,IFERROR(VLOOKUP(C134,'AUX23'!$D$2:$L$50,4,0)*G134/100,0))</f>
        <v>0</v>
      </c>
      <c r="J134" s="141">
        <f>IF(G134&lt;9999,0,IFERROR(VLOOKUP(C134,'AUX23'!$D$2:$L$50,5,0)*G134/100,0))</f>
        <v>0</v>
      </c>
      <c r="K134" s="141">
        <f>IF(G134&lt;9999,0,IFERROR((G134-67170)*VLOOKUP(C134,'AUX23'!$D$2:$L$50,6,0)/100,0))</f>
        <v>0</v>
      </c>
      <c r="L134" s="141">
        <f>IF(G134&lt;9999,0,IFERROR((G134/1.21)*VLOOKUP(C134,'AUX23'!$D$2:$L$50,7,0)/100,0))</f>
        <v>0</v>
      </c>
      <c r="M134" s="141">
        <f t="shared" si="21"/>
        <v>1700</v>
      </c>
      <c r="N134" t="str">
        <f t="shared" si="26"/>
        <v>CC</v>
      </c>
      <c r="O134">
        <f t="shared" si="22"/>
        <v>5</v>
      </c>
      <c r="P134" t="s">
        <v>101</v>
      </c>
      <c r="Q134" t="str">
        <f t="shared" si="16"/>
        <v>BARRIONUEVO CEBALLOS MARIA ENRIQUETAABRIL 23</v>
      </c>
      <c r="R134" t="str">
        <f t="shared" si="23"/>
        <v>BARRIONUEVO CEBALLOS MARIA ENRIQUETA5</v>
      </c>
      <c r="S134" t="str">
        <f>+R134&amp;COUNTIF($R$2:R134,R134)</f>
        <v>BARRIONUEVO CEBALLOS MARIA ENRIQUETA51</v>
      </c>
      <c r="T134" s="141">
        <f t="shared" si="17"/>
        <v>-16.170000000071923</v>
      </c>
      <c r="U134" t="str">
        <f t="shared" si="24"/>
        <v>1566</v>
      </c>
      <c r="V134" t="str">
        <f t="shared" si="25"/>
        <v>BARRIONUEVO CEBALLOS MARIA ENRIQUETA5CC</v>
      </c>
      <c r="W134" t="str">
        <f>+V134&amp;COUNTIF($V$2:V134,V134)</f>
        <v>BARRIONUEVO CEBALLOS MARIA ENRIQUETA5CC1</v>
      </c>
    </row>
    <row r="135" spans="1:23" x14ac:dyDescent="0.25">
      <c r="A135" t="str">
        <f>Q135&amp;COUNTIF($Q$30:Q135,Q135)</f>
        <v>ABRIL 231</v>
      </c>
      <c r="B135" t="s">
        <v>144</v>
      </c>
      <c r="E135" s="10"/>
      <c r="F135" t="str">
        <f>+IFERROR(INDEX('AUX23'!$C$2:$D$44,MATCH(CARGAFACTURAS!C135,'AUX23'!$D$2:$D$50,0),1),"")</f>
        <v/>
      </c>
      <c r="G135" s="141"/>
      <c r="H135" s="141">
        <f>+IF(G135&lt;19999,0,IFERROR(VLOOKUP(C135,'AUX23'!$D$2:$K$50,3,0)*G135/100,0))</f>
        <v>0</v>
      </c>
      <c r="I135" s="141">
        <f>IF(G135&lt;9999,0,IFERROR(VLOOKUP(C135,'AUX23'!$D$2:$L$50,4,0)*G135/100,0))</f>
        <v>0</v>
      </c>
      <c r="J135" s="141">
        <f>IF(G135&lt;9999,0,IFERROR(VLOOKUP(C135,'AUX23'!$D$2:$L$50,5,0)*G135/100,0))</f>
        <v>0</v>
      </c>
      <c r="K135" s="141">
        <f>IF(G135&lt;9999,0,IFERROR((G135-67170)*VLOOKUP(C135,'AUX23'!$D$2:$L$50,6,0)/100,0))</f>
        <v>0</v>
      </c>
      <c r="L135" s="141">
        <f>IF(G135&lt;9999,0,IFERROR((G135/1.21)*VLOOKUP(C135,'AUX23'!$D$2:$L$50,7,0)/100,0))</f>
        <v>0</v>
      </c>
      <c r="M135" s="141">
        <f t="shared" si="19"/>
        <v>0</v>
      </c>
      <c r="N135" t="str">
        <f t="shared" si="18"/>
        <v>CC</v>
      </c>
      <c r="O135">
        <f t="shared" si="20"/>
        <v>1</v>
      </c>
      <c r="Q135" t="str">
        <f t="shared" si="16"/>
        <v>ABRIL 23</v>
      </c>
      <c r="R135" t="str">
        <f t="shared" si="23"/>
        <v>1</v>
      </c>
      <c r="S135" t="str">
        <f>+R135&amp;COUNTIF($R$2:R135,R135)</f>
        <v>17</v>
      </c>
      <c r="T135" s="141">
        <f t="shared" si="17"/>
        <v>-16.170000000071923</v>
      </c>
      <c r="U135" t="str">
        <f t="shared" si="24"/>
        <v/>
      </c>
      <c r="V135" t="str">
        <f t="shared" si="25"/>
        <v>1CC</v>
      </c>
      <c r="W135" t="str">
        <f>+V135&amp;COUNTIF($V$2:V135,V135)</f>
        <v>1CC7</v>
      </c>
    </row>
    <row r="136" spans="1:23" x14ac:dyDescent="0.25">
      <c r="A136" t="str">
        <f>Q136&amp;COUNTIF($Q$30:Q136,Q136)</f>
        <v>ABRIL 232</v>
      </c>
      <c r="B136" t="s">
        <v>144</v>
      </c>
      <c r="E136" s="10"/>
      <c r="F136" t="str">
        <f>+IFERROR(INDEX('AUX23'!$C$2:$D$44,MATCH(CARGAFACTURAS!C136,'AUX23'!$D$2:$D$50,0),1),"")</f>
        <v/>
      </c>
      <c r="G136" s="141"/>
      <c r="H136" s="141">
        <f>+IF(G136&lt;19999,0,IFERROR(VLOOKUP(C136,'AUX23'!$D$2:$K$50,3,0)*G136/100,0))</f>
        <v>0</v>
      </c>
      <c r="I136" s="141">
        <f>IF(G136&lt;9999,0,IFERROR(VLOOKUP(C136,'AUX23'!$D$2:$L$50,4,0)*G136/100,0))</f>
        <v>0</v>
      </c>
      <c r="J136" s="141">
        <f>IF(G136&lt;9999,0,IFERROR(VLOOKUP(C136,'AUX23'!$D$2:$L$50,5,0)*G136/100,0))</f>
        <v>0</v>
      </c>
      <c r="K136" s="141">
        <f>IF(G136&lt;9999,0,IFERROR((G136-67170)*VLOOKUP(C136,'AUX23'!$D$2:$L$50,6,0)/100,0))</f>
        <v>0</v>
      </c>
      <c r="L136" s="141">
        <f>IF(G136&lt;9999,0,IFERROR((G136/1.21)*VLOOKUP(C136,'AUX23'!$D$2:$L$50,7,0)/100,0))</f>
        <v>0</v>
      </c>
      <c r="M136" s="141">
        <f t="shared" si="19"/>
        <v>0</v>
      </c>
      <c r="N136" t="str">
        <f t="shared" si="18"/>
        <v>CC</v>
      </c>
      <c r="O136">
        <f t="shared" si="20"/>
        <v>1</v>
      </c>
      <c r="Q136" t="str">
        <f t="shared" si="16"/>
        <v>ABRIL 23</v>
      </c>
      <c r="R136" t="str">
        <f t="shared" si="23"/>
        <v>1</v>
      </c>
      <c r="S136" t="str">
        <f>+R136&amp;COUNTIF($R$2:R136,R136)</f>
        <v>18</v>
      </c>
      <c r="T136" s="141">
        <f t="shared" si="17"/>
        <v>-16.170000000071923</v>
      </c>
      <c r="U136" t="str">
        <f t="shared" si="24"/>
        <v/>
      </c>
      <c r="V136" t="str">
        <f t="shared" si="25"/>
        <v>1CC</v>
      </c>
      <c r="W136" t="str">
        <f>+V136&amp;COUNTIF($V$2:V136,V136)</f>
        <v>1CC8</v>
      </c>
    </row>
    <row r="137" spans="1:23" x14ac:dyDescent="0.25">
      <c r="A137" t="str">
        <f>Q137&amp;COUNTIF($Q$30:Q137,Q137)</f>
        <v>ABRIL 233</v>
      </c>
      <c r="B137" t="s">
        <v>144</v>
      </c>
      <c r="E137" s="10"/>
      <c r="F137" t="str">
        <f>+IFERROR(INDEX('AUX23'!$C$2:$D$44,MATCH(CARGAFACTURAS!C137,'AUX23'!$D$2:$D$50,0),1),"")</f>
        <v/>
      </c>
      <c r="G137" s="141"/>
      <c r="H137" s="141">
        <f>+IF(G137&lt;19999,0,IFERROR(VLOOKUP(C137,'AUX23'!$D$2:$K$50,3,0)*G137/100,0))</f>
        <v>0</v>
      </c>
      <c r="I137" s="141">
        <f>IF(G137&lt;9999,0,IFERROR(VLOOKUP(C137,'AUX23'!$D$2:$L$50,4,0)*G137/100,0))</f>
        <v>0</v>
      </c>
      <c r="J137" s="141">
        <f>IF(G137&lt;9999,0,IFERROR(VLOOKUP(C137,'AUX23'!$D$2:$L$50,5,0)*G137/100,0))</f>
        <v>0</v>
      </c>
      <c r="K137" s="141">
        <f>IF(G137&lt;9999,0,IFERROR((G137-67170)*VLOOKUP(C137,'AUX23'!$D$2:$L$50,6,0)/100,0))</f>
        <v>0</v>
      </c>
      <c r="L137" s="141">
        <f>IF(G137&lt;9999,0,IFERROR((G137/1.21)*VLOOKUP(C137,'AUX23'!$D$2:$L$50,7,0)/100,0))</f>
        <v>0</v>
      </c>
      <c r="M137" s="141">
        <f t="shared" si="19"/>
        <v>0</v>
      </c>
      <c r="N137" t="str">
        <f t="shared" si="18"/>
        <v>CC</v>
      </c>
      <c r="O137">
        <f t="shared" si="20"/>
        <v>1</v>
      </c>
      <c r="Q137" t="str">
        <f t="shared" si="16"/>
        <v>ABRIL 23</v>
      </c>
      <c r="R137" t="str">
        <f t="shared" si="23"/>
        <v>1</v>
      </c>
      <c r="S137" t="str">
        <f>+R137&amp;COUNTIF($R$2:R137,R137)</f>
        <v>19</v>
      </c>
      <c r="T137" s="141">
        <f t="shared" si="17"/>
        <v>-16.170000000071923</v>
      </c>
      <c r="U137" t="str">
        <f t="shared" si="24"/>
        <v/>
      </c>
      <c r="V137" t="str">
        <f t="shared" si="25"/>
        <v>1CC</v>
      </c>
      <c r="W137" t="str">
        <f>+V137&amp;COUNTIF($V$2:V137,V137)</f>
        <v>1CC9</v>
      </c>
    </row>
    <row r="138" spans="1:23" x14ac:dyDescent="0.25">
      <c r="A138" t="str">
        <f>Q138&amp;COUNTIF($Q$30:Q138,Q138)</f>
        <v>ABRIL 234</v>
      </c>
      <c r="B138" t="s">
        <v>144</v>
      </c>
      <c r="E138" s="10"/>
      <c r="F138" t="str">
        <f>+IFERROR(INDEX('AUX23'!$C$2:$D$44,MATCH(CARGAFACTURAS!C138,'AUX23'!$D$2:$D$50,0),1),"")</f>
        <v/>
      </c>
      <c r="G138" s="141"/>
      <c r="H138" s="141">
        <f>+IF(G138&lt;19999,0,IFERROR(VLOOKUP(C138,'AUX23'!$D$2:$K$50,3,0)*G138/100,0))</f>
        <v>0</v>
      </c>
      <c r="I138" s="141">
        <f>IF(G138&lt;9999,0,IFERROR(VLOOKUP(C138,'AUX23'!$D$2:$L$50,4,0)*G138/100,0))</f>
        <v>0</v>
      </c>
      <c r="J138" s="141">
        <f>IF(G138&lt;9999,0,IFERROR(VLOOKUP(C138,'AUX23'!$D$2:$L$50,5,0)*G138/100,0))</f>
        <v>0</v>
      </c>
      <c r="K138" s="141">
        <f>IF(G138&lt;9999,0,IFERROR((G138-67170)*VLOOKUP(C138,'AUX23'!$D$2:$L$50,6,0)/100,0))</f>
        <v>0</v>
      </c>
      <c r="L138" s="141">
        <f>IF(G138&lt;9999,0,IFERROR((G138/1.21)*VLOOKUP(C138,'AUX23'!$D$2:$L$50,7,0)/100,0))</f>
        <v>0</v>
      </c>
      <c r="M138" s="141">
        <f t="shared" si="19"/>
        <v>0</v>
      </c>
      <c r="N138" t="str">
        <f t="shared" si="18"/>
        <v>CC</v>
      </c>
      <c r="O138">
        <f t="shared" si="20"/>
        <v>1</v>
      </c>
      <c r="Q138" t="str">
        <f t="shared" si="16"/>
        <v>ABRIL 23</v>
      </c>
      <c r="R138" t="str">
        <f t="shared" si="23"/>
        <v>1</v>
      </c>
      <c r="S138" t="str">
        <f>+R138&amp;COUNTIF($R$2:R138,R138)</f>
        <v>110</v>
      </c>
      <c r="T138" s="141">
        <f t="shared" si="17"/>
        <v>-16.170000000071923</v>
      </c>
      <c r="U138" t="str">
        <f t="shared" si="24"/>
        <v/>
      </c>
      <c r="V138" t="str">
        <f t="shared" si="25"/>
        <v>1CC</v>
      </c>
      <c r="W138" t="str">
        <f>+V138&amp;COUNTIF($V$2:V138,V138)</f>
        <v>1CC10</v>
      </c>
    </row>
    <row r="139" spans="1:23" x14ac:dyDescent="0.25">
      <c r="A139" t="str">
        <f>Q139&amp;COUNTIF($Q$30:Q139,Q139)</f>
        <v>ABRIL 235</v>
      </c>
      <c r="B139" t="s">
        <v>144</v>
      </c>
      <c r="E139" s="10"/>
      <c r="F139" t="str">
        <f>+IFERROR(INDEX('AUX23'!$C$2:$D$44,MATCH(CARGAFACTURAS!C139,'AUX23'!$D$2:$D$50,0),1),"")</f>
        <v/>
      </c>
      <c r="G139" s="141"/>
      <c r="H139" s="141">
        <f>+IF(G139&lt;19999,0,IFERROR(VLOOKUP(C139,'AUX23'!$D$2:$K$50,3,0)*G139/100,0))</f>
        <v>0</v>
      </c>
      <c r="I139" s="141">
        <f>IF(G139&lt;9999,0,IFERROR(VLOOKUP(C139,'AUX23'!$D$2:$L$50,4,0)*G139/100,0))</f>
        <v>0</v>
      </c>
      <c r="J139" s="141">
        <f>IF(G139&lt;9999,0,IFERROR(VLOOKUP(C139,'AUX23'!$D$2:$L$50,5,0)*G139/100,0))</f>
        <v>0</v>
      </c>
      <c r="K139" s="141">
        <f>IF(G139&lt;9999,0,IFERROR((G139-67170)*VLOOKUP(C139,'AUX23'!$D$2:$L$50,6,0)/100,0))</f>
        <v>0</v>
      </c>
      <c r="L139" s="141">
        <f>IF(G139&lt;9999,0,IFERROR((G139/1.21)*VLOOKUP(C139,'AUX23'!$D$2:$L$50,7,0)/100,0))</f>
        <v>0</v>
      </c>
      <c r="M139" s="141">
        <f t="shared" si="19"/>
        <v>0</v>
      </c>
      <c r="N139" t="str">
        <f t="shared" si="18"/>
        <v>CC</v>
      </c>
      <c r="O139">
        <f t="shared" si="20"/>
        <v>1</v>
      </c>
      <c r="Q139" t="str">
        <f t="shared" si="16"/>
        <v>ABRIL 23</v>
      </c>
      <c r="R139" t="str">
        <f t="shared" si="23"/>
        <v>1</v>
      </c>
      <c r="S139" t="str">
        <f>+R139&amp;COUNTIF($R$2:R139,R139)</f>
        <v>111</v>
      </c>
      <c r="T139" s="141">
        <f t="shared" si="17"/>
        <v>-16.170000000071923</v>
      </c>
      <c r="U139" t="str">
        <f t="shared" si="24"/>
        <v/>
      </c>
      <c r="V139" t="str">
        <f t="shared" si="25"/>
        <v>1CC</v>
      </c>
      <c r="W139" t="str">
        <f>+V139&amp;COUNTIF($V$2:V139,V139)</f>
        <v>1CC11</v>
      </c>
    </row>
    <row r="140" spans="1:23" x14ac:dyDescent="0.25">
      <c r="A140" t="str">
        <f>Q140&amp;COUNTIF($Q$30:Q140,Q140)</f>
        <v>ABRIL 236</v>
      </c>
      <c r="B140" t="s">
        <v>144</v>
      </c>
      <c r="E140" s="10"/>
      <c r="F140" t="str">
        <f>+IFERROR(INDEX('AUX23'!$C$2:$D$44,MATCH(CARGAFACTURAS!C140,'AUX23'!$D$2:$D$50,0),1),"")</f>
        <v/>
      </c>
      <c r="G140" s="141"/>
      <c r="H140" s="141">
        <f>+IF(G140&lt;19999,0,IFERROR(VLOOKUP(C140,'AUX23'!$D$2:$K$50,3,0)*G140/100,0))</f>
        <v>0</v>
      </c>
      <c r="I140" s="141">
        <f>IF(G140&lt;9999,0,IFERROR(VLOOKUP(C140,'AUX23'!$D$2:$L$50,4,0)*G140/100,0))</f>
        <v>0</v>
      </c>
      <c r="J140" s="141">
        <f>IF(G140&lt;9999,0,IFERROR(VLOOKUP(C140,'AUX23'!$D$2:$L$50,5,0)*G140/100,0))</f>
        <v>0</v>
      </c>
      <c r="K140" s="141">
        <f>IF(G140&lt;9999,0,IFERROR((G140-67170)*VLOOKUP(C140,'AUX23'!$D$2:$L$50,6,0)/100,0))</f>
        <v>0</v>
      </c>
      <c r="L140" s="141">
        <f>IF(G140&lt;9999,0,IFERROR((G140/1.21)*VLOOKUP(C140,'AUX23'!$D$2:$L$50,7,0)/100,0))</f>
        <v>0</v>
      </c>
      <c r="M140" s="141">
        <f t="shared" si="19"/>
        <v>0</v>
      </c>
      <c r="N140" t="str">
        <f t="shared" si="18"/>
        <v>CC</v>
      </c>
      <c r="O140">
        <f t="shared" si="20"/>
        <v>1</v>
      </c>
      <c r="Q140" t="str">
        <f t="shared" si="16"/>
        <v>ABRIL 23</v>
      </c>
      <c r="R140" t="str">
        <f t="shared" si="23"/>
        <v>1</v>
      </c>
      <c r="S140" t="str">
        <f>+R140&amp;COUNTIF($R$2:R140,R140)</f>
        <v>112</v>
      </c>
      <c r="T140" s="141">
        <f t="shared" si="17"/>
        <v>-16.170000000071923</v>
      </c>
      <c r="U140" t="str">
        <f t="shared" si="24"/>
        <v/>
      </c>
      <c r="V140" t="str">
        <f t="shared" si="25"/>
        <v>1CC</v>
      </c>
      <c r="W140" t="str">
        <f>+V140&amp;COUNTIF($V$2:V140,V140)</f>
        <v>1CC12</v>
      </c>
    </row>
    <row r="141" spans="1:23" x14ac:dyDescent="0.25">
      <c r="A141" t="str">
        <f>Q141&amp;COUNTIF($Q$30:Q141,Q141)</f>
        <v>ABRIL 237</v>
      </c>
      <c r="B141" t="s">
        <v>144</v>
      </c>
      <c r="E141" s="10"/>
      <c r="F141" t="str">
        <f>+IFERROR(INDEX('AUX23'!$C$2:$D$44,MATCH(CARGAFACTURAS!C141,'AUX23'!$D$2:$D$50,0),1),"")</f>
        <v/>
      </c>
      <c r="G141" s="141"/>
      <c r="H141" s="141">
        <f>+IF(G141&lt;19999,0,IFERROR(VLOOKUP(C141,'AUX23'!$D$2:$K$50,3,0)*G141/100,0))</f>
        <v>0</v>
      </c>
      <c r="I141" s="141">
        <f>IF(G141&lt;9999,0,IFERROR(VLOOKUP(C141,'AUX23'!$D$2:$L$50,4,0)*G141/100,0))</f>
        <v>0</v>
      </c>
      <c r="J141" s="141">
        <f>IF(G141&lt;9999,0,IFERROR(VLOOKUP(C141,'AUX23'!$D$2:$L$50,5,0)*G141/100,0))</f>
        <v>0</v>
      </c>
      <c r="K141" s="141">
        <f>IF(G141&lt;9999,0,IFERROR((G141-67170)*VLOOKUP(C141,'AUX23'!$D$2:$L$50,6,0)/100,0))</f>
        <v>0</v>
      </c>
      <c r="L141" s="141">
        <f>IF(G141&lt;9999,0,IFERROR((G141/1.21)*VLOOKUP(C141,'AUX23'!$D$2:$L$50,7,0)/100,0))</f>
        <v>0</v>
      </c>
      <c r="M141" s="141">
        <f t="shared" si="19"/>
        <v>0</v>
      </c>
      <c r="N141" t="str">
        <f t="shared" si="18"/>
        <v>CC</v>
      </c>
      <c r="O141">
        <f t="shared" si="20"/>
        <v>1</v>
      </c>
      <c r="Q141" t="str">
        <f t="shared" si="16"/>
        <v>ABRIL 23</v>
      </c>
      <c r="R141" t="str">
        <f t="shared" si="23"/>
        <v>1</v>
      </c>
      <c r="S141" t="str">
        <f>+R141&amp;COUNTIF($R$2:R141,R141)</f>
        <v>113</v>
      </c>
      <c r="T141" s="141">
        <f t="shared" si="17"/>
        <v>-16.170000000071923</v>
      </c>
      <c r="U141" t="str">
        <f t="shared" si="24"/>
        <v/>
      </c>
      <c r="V141" t="str">
        <f t="shared" si="25"/>
        <v>1CC</v>
      </c>
      <c r="W141" t="str">
        <f>+V141&amp;COUNTIF($V$2:V141,V141)</f>
        <v>1CC13</v>
      </c>
    </row>
    <row r="142" spans="1:23" x14ac:dyDescent="0.25">
      <c r="A142" t="str">
        <f>Q142&amp;COUNTIF($Q$30:Q142,Q142)</f>
        <v>ABRIL 238</v>
      </c>
      <c r="B142" t="s">
        <v>144</v>
      </c>
      <c r="E142" s="10"/>
      <c r="F142" t="str">
        <f>+IFERROR(INDEX('AUX23'!$C$2:$D$44,MATCH(CARGAFACTURAS!C142,'AUX23'!$D$2:$D$50,0),1),"")</f>
        <v/>
      </c>
      <c r="G142" s="141"/>
      <c r="H142" s="141">
        <f>+IF(G142&lt;19999,0,IFERROR(VLOOKUP(C142,'AUX23'!$D$2:$K$50,3,0)*G142/100,0))</f>
        <v>0</v>
      </c>
      <c r="I142" s="141">
        <f>IF(G142&lt;9999,0,IFERROR(VLOOKUP(C142,'AUX23'!$D$2:$L$50,4,0)*G142/100,0))</f>
        <v>0</v>
      </c>
      <c r="J142" s="141">
        <f>IF(G142&lt;9999,0,IFERROR(VLOOKUP(C142,'AUX23'!$D$2:$L$50,5,0)*G142/100,0))</f>
        <v>0</v>
      </c>
      <c r="K142" s="141">
        <f>IF(G142&lt;9999,0,IFERROR((G142-67170)*VLOOKUP(C142,'AUX23'!$D$2:$L$50,6,0)/100,0))</f>
        <v>0</v>
      </c>
      <c r="L142" s="141">
        <f>IF(G142&lt;9999,0,IFERROR((G142/1.21)*VLOOKUP(C142,'AUX23'!$D$2:$L$50,7,0)/100,0))</f>
        <v>0</v>
      </c>
      <c r="M142" s="141">
        <f t="shared" si="19"/>
        <v>0</v>
      </c>
      <c r="N142" t="str">
        <f t="shared" si="18"/>
        <v>CC</v>
      </c>
      <c r="O142">
        <f t="shared" si="20"/>
        <v>1</v>
      </c>
      <c r="Q142" t="str">
        <f t="shared" si="16"/>
        <v>ABRIL 23</v>
      </c>
      <c r="R142" t="str">
        <f t="shared" si="23"/>
        <v>1</v>
      </c>
      <c r="S142" t="str">
        <f>+R142&amp;COUNTIF($R$2:R142,R142)</f>
        <v>114</v>
      </c>
      <c r="T142" s="141">
        <f t="shared" si="17"/>
        <v>-16.170000000071923</v>
      </c>
      <c r="U142" t="str">
        <f t="shared" si="24"/>
        <v/>
      </c>
      <c r="V142" t="str">
        <f t="shared" si="25"/>
        <v>1CC</v>
      </c>
      <c r="W142" t="str">
        <f>+V142&amp;COUNTIF($V$2:V142,V142)</f>
        <v>1CC14</v>
      </c>
    </row>
    <row r="143" spans="1:23" x14ac:dyDescent="0.25">
      <c r="A143" t="str">
        <f>Q143&amp;COUNTIF($Q$30:Q143,Q143)</f>
        <v>ACREDITACION SIPROSAMAYO 231</v>
      </c>
      <c r="B143" t="s">
        <v>146</v>
      </c>
      <c r="C143" t="s">
        <v>398</v>
      </c>
      <c r="F143" t="str">
        <f>+IFERROR(INDEX('AUX23'!$C$2:$D$44,MATCH(CARGAFACTURAS!C143,'AUX23'!$D$2:$D$50,0),1),"")</f>
        <v/>
      </c>
      <c r="G143" s="141">
        <v>3203525.55</v>
      </c>
      <c r="H143" s="141">
        <f>+IF(G143&lt;19999,0,IFERROR(VLOOKUP(C143,'AUX23'!$D$2:$K$50,3,0)*G143/100,0))</f>
        <v>0</v>
      </c>
      <c r="I143" s="141">
        <f>IF(G143&lt;9999,0,IFERROR(VLOOKUP(C143,'AUX23'!$D$2:$L$50,4,0)*G143/100,0))</f>
        <v>0</v>
      </c>
      <c r="J143" s="141">
        <f>IF(G143&lt;9999,0,IFERROR(VLOOKUP(C143,'AUX23'!$D$2:$L$50,5,0)*G143/100,0))</f>
        <v>0</v>
      </c>
      <c r="K143" s="141">
        <f>IF(G143&lt;9999,0,IFERROR((G143-67170)*VLOOKUP(C143,'AUX23'!$D$2:$L$50,6,0)/100,0))</f>
        <v>0</v>
      </c>
      <c r="L143" s="141">
        <f>IF(G143&lt;9999,0,IFERROR((G143/1.21)*VLOOKUP(C143,'AUX23'!$D$2:$L$50,7,0)/100,0))</f>
        <v>0</v>
      </c>
      <c r="M143" s="141">
        <f t="shared" si="19"/>
        <v>3203525.55</v>
      </c>
      <c r="N143">
        <v>18842275</v>
      </c>
      <c r="O143">
        <f t="shared" si="20"/>
        <v>1</v>
      </c>
      <c r="Q143" t="str">
        <f t="shared" si="16"/>
        <v>ACREDITACION SIPROSAMAYO 23</v>
      </c>
      <c r="R143" t="str">
        <f t="shared" si="23"/>
        <v>ACREDITACION SIPROSA1</v>
      </c>
      <c r="S143" t="str">
        <f>+R143&amp;COUNTIF($R$2:R143,R143)</f>
        <v>ACREDITACION SIPROSA12</v>
      </c>
      <c r="T143" s="141">
        <f>+T142-G143+G143*2</f>
        <v>3203509.38</v>
      </c>
      <c r="U143" t="str">
        <f t="shared" si="24"/>
        <v/>
      </c>
      <c r="V143" t="str">
        <f t="shared" si="25"/>
        <v>ACREDITACION SIPROSA118842275</v>
      </c>
      <c r="W143" t="str">
        <f>+V143&amp;COUNTIF($V$2:V143,V143)</f>
        <v>ACREDITACION SIPROSA1188422751</v>
      </c>
    </row>
    <row r="144" spans="1:23" x14ac:dyDescent="0.25">
      <c r="A144" t="str">
        <f>Q144&amp;COUNTIF($Q$30:Q144,Q144)</f>
        <v>COOP. DE TRAB. SAN LORENZO M MAYO 231</v>
      </c>
      <c r="B144" t="s">
        <v>146</v>
      </c>
      <c r="C144" t="s">
        <v>92</v>
      </c>
      <c r="D144" t="s">
        <v>502</v>
      </c>
      <c r="E144" s="10">
        <v>45046</v>
      </c>
      <c r="F144" t="str">
        <f>+IFERROR(INDEX('AUX23'!$C$2:$D$44,MATCH(CARGAFACTURAS!C144,'AUX23'!$D$2:$D$50,0),1),"")</f>
        <v>30-70895858-8</v>
      </c>
      <c r="G144" s="243">
        <v>200618.12</v>
      </c>
      <c r="H144" s="141">
        <f>+IF(G144&lt;19999,0,IFERROR(VLOOKUP(C144,'AUX23'!$D$2:$K$50,3,0)*G144/100,0))</f>
        <v>0</v>
      </c>
      <c r="I144" s="141">
        <f>IF(G144&lt;9999,0,IFERROR(VLOOKUP(C144,'AUX23'!$D$2:$L$50,4,0)*G144/100,0))</f>
        <v>0</v>
      </c>
      <c r="J144" s="141">
        <f>IF(G144&lt;9999,0,IFERROR(VLOOKUP(C144,'AUX23'!$D$2:$L$50,5,0)*G144/100,0))</f>
        <v>0</v>
      </c>
      <c r="K144" s="141">
        <f>IF(G144&lt;9999,0,IFERROR((G144-67170)*VLOOKUP(C144,'AUX23'!$D$2:$L$50,6,0)/100,0))</f>
        <v>0</v>
      </c>
      <c r="L144" s="141">
        <f>IF(G144&lt;9999,0,IFERROR((G144/1.21)*VLOOKUP(C144,'AUX23'!$D$2:$L$50,7,0)/100,0))</f>
        <v>0</v>
      </c>
      <c r="M144" s="141">
        <f t="shared" si="19"/>
        <v>200618.12</v>
      </c>
      <c r="N144">
        <v>35529780</v>
      </c>
      <c r="O144">
        <f t="shared" si="20"/>
        <v>4</v>
      </c>
      <c r="P144" t="s">
        <v>164</v>
      </c>
      <c r="Q144" t="str">
        <f t="shared" si="16"/>
        <v>COOP. DE TRAB. SAN LORENZO M MAYO 23</v>
      </c>
      <c r="R144" t="str">
        <f t="shared" si="23"/>
        <v>COOP. DE TRAB. SAN LORENZO M 4</v>
      </c>
      <c r="S144" t="str">
        <f>+R144&amp;COUNTIF($R$2:R144,R144)</f>
        <v>COOP. DE TRAB. SAN LORENZO M 41</v>
      </c>
      <c r="T144" s="141">
        <f t="shared" si="17"/>
        <v>3002891.26</v>
      </c>
      <c r="U144" t="str">
        <f t="shared" si="24"/>
        <v>4795</v>
      </c>
      <c r="V144" t="str">
        <f t="shared" si="25"/>
        <v>COOP. DE TRAB. SAN LORENZO M 435529780</v>
      </c>
      <c r="W144" t="str">
        <f>+V144&amp;COUNTIF($V$2:V144,V144)</f>
        <v>COOP. DE TRAB. SAN LORENZO M 4355297801</v>
      </c>
    </row>
    <row r="145" spans="1:23" x14ac:dyDescent="0.25">
      <c r="A145" t="str">
        <f>Q145&amp;COUNTIF($Q$30:Q145,Q145)</f>
        <v>COOP. DE TRAB. SAN LORENZO M MAYO 232</v>
      </c>
      <c r="B145" t="s">
        <v>146</v>
      </c>
      <c r="C145" t="s">
        <v>92</v>
      </c>
      <c r="D145" t="s">
        <v>503</v>
      </c>
      <c r="E145" s="10">
        <v>45046</v>
      </c>
      <c r="F145" t="str">
        <f>+IFERROR(INDEX('AUX23'!$C$2:$D$44,MATCH(CARGAFACTURAS!C145,'AUX23'!$D$2:$D$50,0),1),"")</f>
        <v>30-70895858-8</v>
      </c>
      <c r="G145" s="243">
        <v>100309.06</v>
      </c>
      <c r="H145" s="141">
        <f>+IF(G145&lt;19999,0,IFERROR(VLOOKUP(C145,'AUX23'!$D$2:$K$50,3,0)*G145/100,0))</f>
        <v>0</v>
      </c>
      <c r="I145" s="141">
        <f>IF(G145&lt;9999,0,IFERROR(VLOOKUP(C145,'AUX23'!$D$2:$L$50,4,0)*G145/100,0))</f>
        <v>0</v>
      </c>
      <c r="J145" s="141">
        <f>IF(G145&lt;9999,0,IFERROR(VLOOKUP(C145,'AUX23'!$D$2:$L$50,5,0)*G145/100,0))</f>
        <v>0</v>
      </c>
      <c r="K145" s="141">
        <f>IF(G145&lt;9999,0,IFERROR((G145-67170)*VLOOKUP(C145,'AUX23'!$D$2:$L$50,6,0)/100,0))</f>
        <v>0</v>
      </c>
      <c r="L145" s="141">
        <f>IF(G145&lt;9999,0,IFERROR((G145/1.21)*VLOOKUP(C145,'AUX23'!$D$2:$L$50,7,0)/100,0))</f>
        <v>0</v>
      </c>
      <c r="M145" s="141">
        <f t="shared" si="19"/>
        <v>100309.06</v>
      </c>
      <c r="N145">
        <v>35529780</v>
      </c>
      <c r="O145">
        <f t="shared" si="20"/>
        <v>4</v>
      </c>
      <c r="P145" t="s">
        <v>164</v>
      </c>
      <c r="Q145" t="str">
        <f t="shared" si="16"/>
        <v>COOP. DE TRAB. SAN LORENZO M MAYO 23</v>
      </c>
      <c r="R145" t="str">
        <f t="shared" si="23"/>
        <v>COOP. DE TRAB. SAN LORENZO M 4</v>
      </c>
      <c r="S145" t="str">
        <f>+R145&amp;COUNTIF($R$2:R145,R145)</f>
        <v>COOP. DE TRAB. SAN LORENZO M 42</v>
      </c>
      <c r="T145" s="141">
        <f t="shared" si="17"/>
        <v>2902582.1999999997</v>
      </c>
      <c r="U145" t="str">
        <f t="shared" si="24"/>
        <v>4799</v>
      </c>
      <c r="V145" t="str">
        <f t="shared" si="25"/>
        <v>COOP. DE TRAB. SAN LORENZO M 435529780</v>
      </c>
      <c r="W145" t="str">
        <f>+V145&amp;COUNTIF($V$2:V145,V145)</f>
        <v>COOP. DE TRAB. SAN LORENZO M 4355297802</v>
      </c>
    </row>
    <row r="146" spans="1:23" x14ac:dyDescent="0.25">
      <c r="A146" t="str">
        <f>Q146&amp;COUNTIF($Q$30:Q146,Q146)</f>
        <v>COOP. DE TRAB. SAN LORENZO M MAYO 233</v>
      </c>
      <c r="B146" t="s">
        <v>146</v>
      </c>
      <c r="C146" t="s">
        <v>92</v>
      </c>
      <c r="D146" t="s">
        <v>504</v>
      </c>
      <c r="E146" s="10">
        <v>45046</v>
      </c>
      <c r="F146" t="str">
        <f>+IFERROR(INDEX('AUX23'!$C$2:$D$44,MATCH(CARGAFACTURAS!C146,'AUX23'!$D$2:$D$50,0),1),"")</f>
        <v>30-70895858-8</v>
      </c>
      <c r="G146" s="243">
        <v>50342.38</v>
      </c>
      <c r="H146" s="141">
        <f>+IF(G146&lt;19999,0,IFERROR(VLOOKUP(C146,'AUX23'!$D$2:$K$50,3,0)*G146/100,0))</f>
        <v>0</v>
      </c>
      <c r="I146" s="141">
        <f>IF(G146&lt;9999,0,IFERROR(VLOOKUP(C146,'AUX23'!$D$2:$L$50,4,0)*G146/100,0))</f>
        <v>0</v>
      </c>
      <c r="J146" s="141">
        <f>IF(G146&lt;9999,0,IFERROR(VLOOKUP(C146,'AUX23'!$D$2:$L$50,5,0)*G146/100,0))</f>
        <v>0</v>
      </c>
      <c r="K146" s="141">
        <f>IF(G146&lt;9999,0,IFERROR((G146-67170)*VLOOKUP(C146,'AUX23'!$D$2:$L$50,6,0)/100,0))</f>
        <v>0</v>
      </c>
      <c r="L146" s="141">
        <f>IF(G146&lt;9999,0,IFERROR((G146/1.21)*VLOOKUP(C146,'AUX23'!$D$2:$L$50,7,0)/100,0))</f>
        <v>0</v>
      </c>
      <c r="M146" s="141">
        <f t="shared" si="19"/>
        <v>50342.38</v>
      </c>
      <c r="N146">
        <v>35529780</v>
      </c>
      <c r="O146">
        <f t="shared" si="20"/>
        <v>4</v>
      </c>
      <c r="P146" t="s">
        <v>164</v>
      </c>
      <c r="Q146" t="str">
        <f t="shared" si="16"/>
        <v>COOP. DE TRAB. SAN LORENZO M MAYO 23</v>
      </c>
      <c r="R146" t="str">
        <f t="shared" si="23"/>
        <v>COOP. DE TRAB. SAN LORENZO M 4</v>
      </c>
      <c r="S146" t="str">
        <f>+R146&amp;COUNTIF($R$2:R146,R146)</f>
        <v>COOP. DE TRAB. SAN LORENZO M 43</v>
      </c>
      <c r="T146" s="141">
        <f t="shared" si="17"/>
        <v>2852239.82</v>
      </c>
      <c r="U146" t="str">
        <f t="shared" si="24"/>
        <v>4845</v>
      </c>
      <c r="V146" t="str">
        <f t="shared" si="25"/>
        <v>COOP. DE TRAB. SAN LORENZO M 435529780</v>
      </c>
      <c r="W146" t="str">
        <f>+V146&amp;COUNTIF($V$2:V146,V146)</f>
        <v>COOP. DE TRAB. SAN LORENZO M 4355297803</v>
      </c>
    </row>
    <row r="147" spans="1:23" x14ac:dyDescent="0.25">
      <c r="A147" t="str">
        <f>Q147&amp;COUNTIF($Q$30:Q147,Q147)</f>
        <v>COOP. DE TRAB. SAN LORENZO M MAYO 234</v>
      </c>
      <c r="B147" t="s">
        <v>146</v>
      </c>
      <c r="C147" t="s">
        <v>92</v>
      </c>
      <c r="D147" t="s">
        <v>505</v>
      </c>
      <c r="E147" s="10">
        <v>45046</v>
      </c>
      <c r="F147" t="str">
        <f>+IFERROR(INDEX('AUX23'!$C$2:$D$44,MATCH(CARGAFACTURAS!C147,'AUX23'!$D$2:$D$50,0),1),"")</f>
        <v>30-70895858-8</v>
      </c>
      <c r="G147" s="243">
        <v>25171.19</v>
      </c>
      <c r="H147" s="141">
        <f>+IF(G147&lt;19999,0,IFERROR(VLOOKUP(C147,'AUX23'!$D$2:$K$50,3,0)*G147/100,0))</f>
        <v>0</v>
      </c>
      <c r="I147" s="141">
        <f>IF(G147&lt;9999,0,IFERROR(VLOOKUP(C147,'AUX23'!$D$2:$L$50,4,0)*G147/100,0))</f>
        <v>0</v>
      </c>
      <c r="J147" s="141">
        <f>IF(G147&lt;9999,0,IFERROR(VLOOKUP(C147,'AUX23'!$D$2:$L$50,5,0)*G147/100,0))</f>
        <v>0</v>
      </c>
      <c r="K147" s="141">
        <f>IF(G147&lt;9999,0,IFERROR((G147-67170)*VLOOKUP(C147,'AUX23'!$D$2:$L$50,6,0)/100,0))</f>
        <v>0</v>
      </c>
      <c r="L147" s="141">
        <f>IF(G147&lt;9999,0,IFERROR((G147/1.21)*VLOOKUP(C147,'AUX23'!$D$2:$L$50,7,0)/100,0))</f>
        <v>0</v>
      </c>
      <c r="M147" s="141">
        <f t="shared" si="19"/>
        <v>25171.19</v>
      </c>
      <c r="N147">
        <v>35529780</v>
      </c>
      <c r="O147">
        <f t="shared" si="20"/>
        <v>4</v>
      </c>
      <c r="P147" t="s">
        <v>164</v>
      </c>
      <c r="Q147" t="str">
        <f t="shared" si="16"/>
        <v>COOP. DE TRAB. SAN LORENZO M MAYO 23</v>
      </c>
      <c r="R147" t="str">
        <f t="shared" si="23"/>
        <v>COOP. DE TRAB. SAN LORENZO M 4</v>
      </c>
      <c r="S147" t="str">
        <f>+R147&amp;COUNTIF($R$2:R147,R147)</f>
        <v>COOP. DE TRAB. SAN LORENZO M 44</v>
      </c>
      <c r="T147" s="141">
        <f t="shared" si="17"/>
        <v>2827068.63</v>
      </c>
      <c r="U147" t="str">
        <f t="shared" si="24"/>
        <v>4849</v>
      </c>
      <c r="V147" t="str">
        <f t="shared" si="25"/>
        <v>COOP. DE TRAB. SAN LORENZO M 435529780</v>
      </c>
      <c r="W147" t="str">
        <f>+V147&amp;COUNTIF($V$2:V147,V147)</f>
        <v>COOP. DE TRAB. SAN LORENZO M 4355297804</v>
      </c>
    </row>
    <row r="148" spans="1:23" x14ac:dyDescent="0.25">
      <c r="A148" t="str">
        <f>Q148&amp;COUNTIF($Q$30:Q148,Q148)</f>
        <v>LA PROVIDENCIA DEL NOA SRLMAYO 231</v>
      </c>
      <c r="B148" t="s">
        <v>146</v>
      </c>
      <c r="C148" t="s">
        <v>11</v>
      </c>
      <c r="D148" t="s">
        <v>508</v>
      </c>
      <c r="E148" s="10">
        <v>45048</v>
      </c>
      <c r="F148" t="str">
        <f>+IFERROR(INDEX('AUX23'!$C$2:$D$44,MATCH(CARGAFACTURAS!C148,'AUX23'!$D$2:$D$50,0),1),"")</f>
        <v>30-68568395-0</v>
      </c>
      <c r="G148" s="243">
        <v>530323.19999999995</v>
      </c>
      <c r="H148" s="141">
        <f>+IF(G148&lt;19999,0,IFERROR(VLOOKUP(C148,'AUX23'!$D$2:$K$50,3,0)*G148/100,0))</f>
        <v>6629.04</v>
      </c>
      <c r="I148" s="141">
        <f>IF(G148&lt;9999,0,IFERROR(VLOOKUP(C148,'AUX23'!$D$2:$L$50,4,0)*G148/100,0))</f>
        <v>26516.16</v>
      </c>
      <c r="J148" s="141">
        <f>IF(G148&lt;9999,0,IFERROR(VLOOKUP(C148,'AUX23'!$D$2:$L$50,5,0)*G148/100,0))</f>
        <v>46032.053759999995</v>
      </c>
      <c r="K148" s="141">
        <f>IF(G148&lt;9999,0,IFERROR((G148-67170)*VLOOKUP(C148,'AUX23'!$D$2:$L$50,6,0)/100,0))</f>
        <v>9263.0639999999985</v>
      </c>
      <c r="L148" s="141">
        <f>IF(G148&lt;9999,0,IFERROR((G148/1.21)*VLOOKUP(C148,'AUX23'!$D$2:$L$50,7,0)/100,0))</f>
        <v>4382.8363636363638</v>
      </c>
      <c r="M148" s="141">
        <f t="shared" si="19"/>
        <v>437500.04587636364</v>
      </c>
      <c r="N148">
        <v>36068174</v>
      </c>
      <c r="O148">
        <f t="shared" si="20"/>
        <v>5</v>
      </c>
      <c r="P148" t="s">
        <v>102</v>
      </c>
      <c r="Q148" t="str">
        <f t="shared" si="16"/>
        <v>LA PROVIDENCIA DEL NOA SRLMAYO 23</v>
      </c>
      <c r="R148" t="str">
        <f t="shared" si="23"/>
        <v>LA PROVIDENCIA DEL NOA SRL5</v>
      </c>
      <c r="S148" t="str">
        <f>+R148&amp;COUNTIF($R$2:R148,R148)</f>
        <v>LA PROVIDENCIA DEL NOA SRL51</v>
      </c>
      <c r="T148" s="141">
        <f t="shared" si="17"/>
        <v>2296745.4299999997</v>
      </c>
      <c r="U148" t="str">
        <f t="shared" si="24"/>
        <v>5796</v>
      </c>
      <c r="V148" t="str">
        <f t="shared" si="25"/>
        <v>LA PROVIDENCIA DEL NOA SRL536068174</v>
      </c>
      <c r="W148" t="str">
        <f>+V148&amp;COUNTIF($V$2:V148,V148)</f>
        <v>LA PROVIDENCIA DEL NOA SRL5360681741</v>
      </c>
    </row>
    <row r="149" spans="1:23" x14ac:dyDescent="0.25">
      <c r="A149" t="str">
        <f>Q149&amp;COUNTIF($Q$30:Q149,Q149)</f>
        <v>LA PROVIDENCIA DEL NOA SRLMAYO 232</v>
      </c>
      <c r="B149" t="s">
        <v>146</v>
      </c>
      <c r="C149" t="s">
        <v>11</v>
      </c>
      <c r="D149" t="s">
        <v>509</v>
      </c>
      <c r="E149" s="10">
        <v>45048</v>
      </c>
      <c r="F149" t="str">
        <f>+IFERROR(INDEX('AUX23'!$C$2:$D$60,MATCH(CARGAFACTURAS!C149,'AUX23'!$D$2:$D$70,0),1),"")</f>
        <v>30-68568395-0</v>
      </c>
      <c r="G149" s="243">
        <v>265161.59999999998</v>
      </c>
      <c r="H149" s="141">
        <f>+IF(G149&lt;19999,0,IFERROR(VLOOKUP(C149,'AUX23'!$D$2:$K$50,3,0)*G149/100,0))</f>
        <v>3314.52</v>
      </c>
      <c r="I149" s="141">
        <f>IF(G149&lt;9999,0,IFERROR(VLOOKUP(C149,'AUX23'!$D$2:$L$50,4,0)*G149/100,0))</f>
        <v>13258.08</v>
      </c>
      <c r="J149" s="141">
        <f>IF(G149&lt;9999,0,IFERROR(VLOOKUP(C149,'AUX23'!$D$2:$L$50,5,0)*G149/100,0))</f>
        <v>23016.026879999998</v>
      </c>
      <c r="K149" s="141">
        <f>IF(G149&lt;9999,0,IFERROR((G149-67170)*VLOOKUP(C149,'AUX23'!$D$2:$L$50,6,0)/100,0))</f>
        <v>3959.8319999999994</v>
      </c>
      <c r="L149" s="141">
        <f>IF(G149&lt;9999,0,IFERROR((G149/1.21)*VLOOKUP(C149,'AUX23'!$D$2:$L$50,7,0)/100,0))</f>
        <v>2191.4181818181819</v>
      </c>
      <c r="M149" s="141">
        <f t="shared" si="19"/>
        <v>219421.72293818183</v>
      </c>
      <c r="N149">
        <v>36068174</v>
      </c>
      <c r="O149">
        <f t="shared" si="20"/>
        <v>5</v>
      </c>
      <c r="P149" t="s">
        <v>102</v>
      </c>
      <c r="Q149" t="str">
        <f t="shared" si="16"/>
        <v>LA PROVIDENCIA DEL NOA SRLMAYO 23</v>
      </c>
      <c r="R149" t="str">
        <f t="shared" si="23"/>
        <v>LA PROVIDENCIA DEL NOA SRL5</v>
      </c>
      <c r="S149" t="str">
        <f>+R149&amp;COUNTIF($R$2:R149,R149)</f>
        <v>LA PROVIDENCIA DEL NOA SRL52</v>
      </c>
      <c r="T149" s="141">
        <f t="shared" si="17"/>
        <v>2031583.8299999996</v>
      </c>
      <c r="U149" t="str">
        <f t="shared" si="24"/>
        <v>5797</v>
      </c>
      <c r="V149" t="str">
        <f t="shared" si="25"/>
        <v>LA PROVIDENCIA DEL NOA SRL536068174</v>
      </c>
      <c r="W149" t="str">
        <f>+V149&amp;COUNTIF($V$2:V149,V149)</f>
        <v>LA PROVIDENCIA DEL NOA SRL5360681742</v>
      </c>
    </row>
    <row r="150" spans="1:23" x14ac:dyDescent="0.25">
      <c r="A150" t="str">
        <f>Q150&amp;COUNTIF($Q$30:Q150,Q150)</f>
        <v>WATERLIFE (VARONA CARLOS JOSE)MAYO 231</v>
      </c>
      <c r="B150" t="s">
        <v>146</v>
      </c>
      <c r="C150" t="s">
        <v>20</v>
      </c>
      <c r="D150" t="s">
        <v>545</v>
      </c>
      <c r="E150" s="10">
        <v>45048</v>
      </c>
      <c r="F150" t="str">
        <f>+IFERROR(INDEX('AUX23'!$C$2:$D$60,MATCH(CARGAFACTURAS!C150,'AUX23'!$D$2:$D$70,0),1),"")</f>
        <v>20-22414023-2</v>
      </c>
      <c r="G150" s="243">
        <v>62250</v>
      </c>
      <c r="H150" s="141">
        <f>+IF(G150&lt;19999,0,IFERROR(VLOOKUP(C150,'AUX23'!$D$2:$K$50,3,0)*G150/100,0))</f>
        <v>0</v>
      </c>
      <c r="I150" s="141">
        <f>IF(G150&lt;9999,0,IFERROR(VLOOKUP(C150,'AUX23'!$D$2:$L$50,4,0)*G150/100,0))</f>
        <v>1556.25</v>
      </c>
      <c r="J150" s="141">
        <f>IF(G150&lt;9999,0,IFERROR(VLOOKUP(C150,'AUX23'!$D$2:$L$50,5,0)*G150/100,0))</f>
        <v>0</v>
      </c>
      <c r="K150" s="141">
        <f>IF(G150&lt;9999,0,IFERROR((G150-67170)*VLOOKUP(C150,'AUX23'!$D$2:$L$50,6,0)/100,0))</f>
        <v>0</v>
      </c>
      <c r="L150" s="141">
        <f>IF(G150&lt;9999,0,IFERROR((G150/1.21)*VLOOKUP(C150,'AUX23'!$D$2:$L$50,7,0)/100,0))</f>
        <v>0</v>
      </c>
      <c r="M150" s="141">
        <f t="shared" si="19"/>
        <v>60693.75</v>
      </c>
      <c r="N150">
        <v>35670281</v>
      </c>
      <c r="O150">
        <f t="shared" si="20"/>
        <v>5</v>
      </c>
      <c r="P150" t="s">
        <v>101</v>
      </c>
      <c r="Q150" t="str">
        <f t="shared" si="16"/>
        <v>WATERLIFE (VARONA CARLOS JOSE)MAYO 23</v>
      </c>
      <c r="R150" t="str">
        <f t="shared" si="23"/>
        <v>WATERLIFE (VARONA CARLOS JOSE)5</v>
      </c>
      <c r="S150" t="str">
        <f>+R150&amp;COUNTIF($R$2:R150,R150)</f>
        <v>WATERLIFE (VARONA CARLOS JOSE)51</v>
      </c>
      <c r="T150" s="141">
        <f t="shared" si="17"/>
        <v>1969333.8299999996</v>
      </c>
      <c r="U150" t="str">
        <f t="shared" si="24"/>
        <v>4594</v>
      </c>
      <c r="V150" t="str">
        <f t="shared" si="25"/>
        <v>WATERLIFE (VARONA CARLOS JOSE)535670281</v>
      </c>
      <c r="W150" t="str">
        <f>+V150&amp;COUNTIF($V$2:V150,V150)</f>
        <v>WATERLIFE (VARONA CARLOS JOSE)5356702811</v>
      </c>
    </row>
    <row r="151" spans="1:23" x14ac:dyDescent="0.25">
      <c r="A151" t="str">
        <f>Q151&amp;COUNTIF($Q$30:Q151,Q151)</f>
        <v>CEGE SRLMAYO 231</v>
      </c>
      <c r="B151" t="s">
        <v>146</v>
      </c>
      <c r="C151" t="s">
        <v>50</v>
      </c>
      <c r="D151" t="s">
        <v>553</v>
      </c>
      <c r="E151" s="10">
        <v>45057</v>
      </c>
      <c r="F151" t="str">
        <f>+IFERROR(INDEX('AUX23'!$C$2:$D$60,MATCH(CARGAFACTURAS!C151,'AUX23'!$D$2:$D$70,0),1),"")</f>
        <v>30-65710669-7</v>
      </c>
      <c r="G151" s="243">
        <v>107730</v>
      </c>
      <c r="H151" s="141">
        <f>+IF(G151&lt;19999,0,IFERROR(VLOOKUP(C151,'AUX23'!$D$2:$K$50,3,0)*G151/100,0))</f>
        <v>2693.25</v>
      </c>
      <c r="I151" s="141">
        <f>IF(G151&lt;9999,0,IFERROR(VLOOKUP(C151,'AUX23'!$D$2:$L$50,4,0)*G151/100,0))</f>
        <v>5386.5</v>
      </c>
      <c r="J151" s="141">
        <f>IF(G151&lt;9999,0,IFERROR(VLOOKUP(C151,'AUX23'!$D$2:$L$50,5,0)*G151/100,0))</f>
        <v>0</v>
      </c>
      <c r="K151" s="141">
        <f>IF(G151&lt;9999,0,IFERROR((G151-67170)*VLOOKUP(C151,'AUX23'!$D$2:$L$50,6,0)/100,0))</f>
        <v>0</v>
      </c>
      <c r="L151" s="141">
        <f>IF(G151&lt;9999,0,IFERROR((G151/1.21)*VLOOKUP(C151,'AUX23'!$D$2:$L$50,7,0)/100,0))</f>
        <v>0</v>
      </c>
      <c r="M151" s="141">
        <f t="shared" si="19"/>
        <v>99650.25</v>
      </c>
      <c r="N151">
        <v>35681611</v>
      </c>
      <c r="O151">
        <f t="shared" si="20"/>
        <v>5</v>
      </c>
      <c r="P151" t="s">
        <v>101</v>
      </c>
      <c r="Q151" t="str">
        <f t="shared" si="16"/>
        <v>CEGE SRLMAYO 23</v>
      </c>
      <c r="R151" t="str">
        <f t="shared" si="23"/>
        <v>CEGE SRL5</v>
      </c>
      <c r="S151" t="str">
        <f>+R151&amp;COUNTIF($R$2:R151,R151)</f>
        <v>CEGE SRL51</v>
      </c>
      <c r="T151" s="141">
        <f t="shared" si="17"/>
        <v>1861603.8299999996</v>
      </c>
      <c r="U151" t="str">
        <f t="shared" si="24"/>
        <v>2642</v>
      </c>
      <c r="V151" t="str">
        <f t="shared" si="25"/>
        <v>CEGE SRL535681611</v>
      </c>
      <c r="W151" t="str">
        <f>+V151&amp;COUNTIF($V$2:V151,V151)</f>
        <v>CEGE SRL5356816111</v>
      </c>
    </row>
    <row r="152" spans="1:23" x14ac:dyDescent="0.25">
      <c r="A152" t="str">
        <f>Q152&amp;COUNTIF($Q$30:Q152,Q152)</f>
        <v>JORGE ROLANDO FRIAS (JF SERV. INF.)MAYO 231</v>
      </c>
      <c r="B152" t="s">
        <v>146</v>
      </c>
      <c r="C152" t="s">
        <v>59</v>
      </c>
      <c r="D152" t="s">
        <v>576</v>
      </c>
      <c r="E152" s="10">
        <v>45062</v>
      </c>
      <c r="F152" t="str">
        <f>+IFERROR(INDEX('AUX23'!$C$2:$D$60,MATCH(CARGAFACTURAS!C152,'AUX23'!$D$2:$D$70,0),1),"")</f>
        <v>20-22167463-5</v>
      </c>
      <c r="G152" s="243">
        <v>48200</v>
      </c>
      <c r="H152" s="141">
        <f>+IF(G152&lt;19999,0,IFERROR(VLOOKUP(C152,'AUX23'!$D$2:$K$50,3,0)*G152/100,0))</f>
        <v>0</v>
      </c>
      <c r="I152" s="141">
        <f>IF(G152&lt;9999,0,IFERROR(VLOOKUP(C152,'AUX23'!$D$2:$L$50,4,0)*G152/100,0))</f>
        <v>1205</v>
      </c>
      <c r="J152" s="141">
        <f>IF(G152&lt;9999,0,IFERROR(VLOOKUP(C152,'AUX23'!$D$2:$L$50,5,0)*G152/100,0))</f>
        <v>0</v>
      </c>
      <c r="K152" s="141">
        <f>IF(G152&lt;9999,0,IFERROR((G152-67170)*VLOOKUP(C152,'AUX23'!$D$2:$L$50,6,0)/100,0))</f>
        <v>0</v>
      </c>
      <c r="L152" s="141">
        <f>IF(G152&lt;9999,0,IFERROR((G152/1.21)*VLOOKUP(C152,'AUX23'!$D$2:$L$50,7,0)/100,0))</f>
        <v>0</v>
      </c>
      <c r="M152" s="141">
        <f t="shared" si="19"/>
        <v>46995</v>
      </c>
      <c r="N152">
        <v>36068171</v>
      </c>
      <c r="O152">
        <f t="shared" si="20"/>
        <v>5</v>
      </c>
      <c r="P152" t="s">
        <v>101</v>
      </c>
      <c r="Q152" t="str">
        <f t="shared" si="16"/>
        <v>JORGE ROLANDO FRIAS (JF SERV. INF.)MAYO 23</v>
      </c>
      <c r="R152" t="str">
        <f t="shared" si="23"/>
        <v>JORGE ROLANDO FRIAS (JF SERV. INF.)5</v>
      </c>
      <c r="S152" t="str">
        <f>+R152&amp;COUNTIF($R$2:R152,R152)</f>
        <v>JORGE ROLANDO FRIAS (JF SERV. INF.)51</v>
      </c>
      <c r="T152" s="141">
        <f t="shared" si="17"/>
        <v>1813403.8299999996</v>
      </c>
      <c r="U152" t="str">
        <f t="shared" si="24"/>
        <v>0151</v>
      </c>
      <c r="V152" t="str">
        <f t="shared" si="25"/>
        <v>JORGE ROLANDO FRIAS (JF SERV. INF.)536068171</v>
      </c>
      <c r="W152" t="str">
        <f>+V152&amp;COUNTIF($V$2:V152,V152)</f>
        <v>JORGE ROLANDO FRIAS (JF SERV. INF.)5360681711</v>
      </c>
    </row>
    <row r="153" spans="1:23" x14ac:dyDescent="0.25">
      <c r="A153" t="str">
        <f>Q153&amp;COUNTIF($Q$30:Q153,Q153)</f>
        <v>ROTTA FRANCISCO(COMPUMAQ)MAYO 231</v>
      </c>
      <c r="B153" t="s">
        <v>146</v>
      </c>
      <c r="C153" t="s">
        <v>188</v>
      </c>
      <c r="D153" t="s">
        <v>567</v>
      </c>
      <c r="E153" s="10">
        <v>45062</v>
      </c>
      <c r="F153" t="str">
        <f>+IFERROR(INDEX('AUX23'!$C$2:$D$60,MATCH(CARGAFACTURAS!C153,'AUX23'!$D$2:$D$70,0),1),"")</f>
        <v>20-16216700-7</v>
      </c>
      <c r="G153" s="243">
        <v>262900</v>
      </c>
      <c r="H153" s="141">
        <f>+IF(G153&lt;19999,0,IFERROR(VLOOKUP(C153,'AUX23'!$D$2:$K$50,3,0)*G153/100,0))</f>
        <v>3286.25</v>
      </c>
      <c r="I153" s="141">
        <f>IF(G153&lt;9999,0,IFERROR(VLOOKUP(C153,'AUX23'!$D$2:$L$50,4,0)*G153/100,0))</f>
        <v>13145</v>
      </c>
      <c r="J153" s="141">
        <f>IF(G153&lt;9999,0,IFERROR(VLOOKUP(C153,'AUX23'!$D$2:$L$50,5,0)*G153/100,0))</f>
        <v>0</v>
      </c>
      <c r="K153" s="141">
        <f>IF(G153&lt;9999,0,IFERROR((G153-67170)*VLOOKUP(C153,'AUX23'!$D$2:$L$50,6,0)/100,0))</f>
        <v>0</v>
      </c>
      <c r="L153" s="141">
        <f>IF(G153&lt;9999,0,IFERROR((G153/1.21)*VLOOKUP(C153,'AUX23'!$D$2:$L$50,7,0)/100,0))</f>
        <v>0</v>
      </c>
      <c r="M153" s="141">
        <f t="shared" si="19"/>
        <v>246468.75</v>
      </c>
      <c r="N153">
        <v>35956219</v>
      </c>
      <c r="O153">
        <f t="shared" si="20"/>
        <v>5</v>
      </c>
      <c r="P153" t="s">
        <v>165</v>
      </c>
      <c r="Q153" t="str">
        <f t="shared" si="16"/>
        <v>ROTTA FRANCISCO(COMPUMAQ)MAYO 23</v>
      </c>
      <c r="R153" t="str">
        <f t="shared" si="23"/>
        <v>ROTTA FRANCISCO(COMPUMAQ)5</v>
      </c>
      <c r="S153" t="str">
        <f>+R153&amp;COUNTIF($R$2:R153,R153)</f>
        <v>ROTTA FRANCISCO(COMPUMAQ)51</v>
      </c>
      <c r="T153" s="141">
        <f t="shared" si="17"/>
        <v>1550503.8299999996</v>
      </c>
      <c r="U153" t="str">
        <f t="shared" si="24"/>
        <v>2511</v>
      </c>
      <c r="V153" t="str">
        <f t="shared" si="25"/>
        <v>ROTTA FRANCISCO(COMPUMAQ)535956219</v>
      </c>
      <c r="W153" t="str">
        <f>+V153&amp;COUNTIF($V$2:V153,V153)</f>
        <v>ROTTA FRANCISCO(COMPUMAQ)5359562191</v>
      </c>
    </row>
    <row r="154" spans="1:23" x14ac:dyDescent="0.25">
      <c r="A154" t="str">
        <f>Q154&amp;COUNTIF($Q$30:Q154,Q154)</f>
        <v>LEON LUIS CESARMAYO 231</v>
      </c>
      <c r="B154" t="s">
        <v>146</v>
      </c>
      <c r="C154" t="s">
        <v>109</v>
      </c>
      <c r="D154" t="s">
        <v>554</v>
      </c>
      <c r="E154" s="10">
        <v>45057</v>
      </c>
      <c r="F154" t="str">
        <f>+IFERROR(INDEX('AUX23'!$C$2:$D$60,MATCH(CARGAFACTURAS!C154,'AUX23'!$D$2:$D$70,0),1),"")</f>
        <v>20-13278210-6</v>
      </c>
      <c r="G154" s="243">
        <v>25697.65</v>
      </c>
      <c r="H154" s="141">
        <f>+IF(G154&lt;19999,0,IFERROR(VLOOKUP(C154,'AUX23'!$D$2:$K$50,3,0)*G154/100,0))</f>
        <v>321.22062499999998</v>
      </c>
      <c r="I154" s="141">
        <f>IF(G154&lt;9999,0,IFERROR(VLOOKUP(C154,'AUX23'!$D$2:$L$50,4,0)*G154/100,0))</f>
        <v>1284.8824999999999</v>
      </c>
      <c r="J154" s="141">
        <f>IF(G154&lt;9999,0,IFERROR(VLOOKUP(C154,'AUX23'!$D$2:$L$50,5,0)*G154/100,0))</f>
        <v>0</v>
      </c>
      <c r="K154" s="141">
        <f>IF(G154&lt;9999,0,IFERROR((G154-67170)*VLOOKUP(C154,'AUX23'!$D$2:$L$50,6,0)/100,0))</f>
        <v>0</v>
      </c>
      <c r="L154" s="141">
        <f>IF(G154&lt;9999,0,IFERROR((G154/1.21)*VLOOKUP(C154,'AUX23'!$D$2:$L$50,7,0)/100,0))</f>
        <v>0</v>
      </c>
      <c r="M154" s="141">
        <f t="shared" si="19"/>
        <v>24091.546875</v>
      </c>
      <c r="N154">
        <v>35681254</v>
      </c>
      <c r="O154">
        <f t="shared" si="20"/>
        <v>5</v>
      </c>
      <c r="P154" t="s">
        <v>101</v>
      </c>
      <c r="Q154" t="str">
        <f t="shared" si="16"/>
        <v>LEON LUIS CESARMAYO 23</v>
      </c>
      <c r="R154" t="str">
        <f t="shared" si="23"/>
        <v>LEON LUIS CESAR5</v>
      </c>
      <c r="S154" t="str">
        <f>+R154&amp;COUNTIF($R$2:R154,R154)</f>
        <v>LEON LUIS CESAR51</v>
      </c>
      <c r="T154" s="141">
        <f t="shared" si="17"/>
        <v>1524806.1799999997</v>
      </c>
      <c r="U154" t="str">
        <f t="shared" si="24"/>
        <v>1395</v>
      </c>
      <c r="V154" t="str">
        <f t="shared" si="25"/>
        <v>LEON LUIS CESAR535681254</v>
      </c>
      <c r="W154" t="str">
        <f>+V154&amp;COUNTIF($V$2:V154,V154)</f>
        <v>LEON LUIS CESAR5356812541</v>
      </c>
    </row>
    <row r="155" spans="1:23" x14ac:dyDescent="0.25">
      <c r="A155" t="str">
        <f>Q155&amp;COUNTIF($Q$30:Q155,Q155)</f>
        <v>MAIMARA MAXIKIOSCOMAYO 231</v>
      </c>
      <c r="B155" t="s">
        <v>146</v>
      </c>
      <c r="C155" s="262" t="s">
        <v>82</v>
      </c>
      <c r="D155" t="s">
        <v>559</v>
      </c>
      <c r="E155" s="10">
        <v>45058</v>
      </c>
      <c r="F155" t="str">
        <f>+IFERROR(INDEX('AUX23'!$C$2:$D$60,MATCH(CARGAFACTURAS!C155,'AUX23'!$D$2:$D$70,0),1),"")</f>
        <v>20-30068293-2</v>
      </c>
      <c r="G155" s="243">
        <v>3345.3</v>
      </c>
      <c r="H155" s="141">
        <f>+IF(G155&lt;19999,0,IFERROR(VLOOKUP(C155,'AUX23'!$D$2:$K$50,3,0)*G155/100,0))</f>
        <v>0</v>
      </c>
      <c r="I155" s="141">
        <f>IF(G155&lt;9999,0,IFERROR(VLOOKUP(C155,'AUX23'!$D$2:$L$50,4,0)*G155/100,0))</f>
        <v>0</v>
      </c>
      <c r="J155" s="141">
        <f>IF(G155&lt;9999,0,IFERROR(VLOOKUP(C155,'AUX23'!$D$2:$L$50,5,0)*G155/100,0))</f>
        <v>0</v>
      </c>
      <c r="K155" s="141">
        <f>IF(G155&lt;9999,0,IFERROR((G155-67170)*VLOOKUP(C155,'AUX23'!$D$2:$L$50,6,0)/100,0))</f>
        <v>0</v>
      </c>
      <c r="L155" s="141">
        <f>IF(G155&lt;9999,0,IFERROR((G155/1.21)*VLOOKUP(C155,'AUX23'!$D$2:$L$50,7,0)/100,0))</f>
        <v>0</v>
      </c>
      <c r="M155" s="141">
        <f t="shared" ref="M155" si="27">G155-H155-I155-J155-K155-L155</f>
        <v>3345.3</v>
      </c>
      <c r="N155">
        <v>35742314</v>
      </c>
      <c r="O155">
        <f t="shared" ref="O155" si="28">+MONTH(E155)</f>
        <v>5</v>
      </c>
      <c r="P155" t="s">
        <v>101</v>
      </c>
      <c r="Q155" t="str">
        <f t="shared" si="16"/>
        <v>MAIMARA MAXIKIOSCOMAYO 23</v>
      </c>
      <c r="R155" t="str">
        <f t="shared" si="23"/>
        <v>MAIMARA MAXIKIOSCO5</v>
      </c>
      <c r="S155" t="str">
        <f>+R155&amp;COUNTIF($R$2:R155,R155)</f>
        <v>MAIMARA MAXIKIOSCO51</v>
      </c>
      <c r="T155" s="141">
        <f t="shared" si="17"/>
        <v>1521460.8799999997</v>
      </c>
      <c r="U155" t="str">
        <f t="shared" si="24"/>
        <v>0683</v>
      </c>
      <c r="V155" t="str">
        <f t="shared" si="25"/>
        <v>MAIMARA MAXIKIOSCO535742314</v>
      </c>
      <c r="W155" t="str">
        <f>+V155&amp;COUNTIF($V$2:V155,V155)</f>
        <v>MAIMARA MAXIKIOSCO5357423141</v>
      </c>
    </row>
    <row r="156" spans="1:23" x14ac:dyDescent="0.25">
      <c r="A156" t="str">
        <f>Q156&amp;COUNTIF($Q$30:Q156,Q156)</f>
        <v>FULL TRACK S.R.L.MAYO 231</v>
      </c>
      <c r="B156" t="s">
        <v>146</v>
      </c>
      <c r="C156" t="s">
        <v>98</v>
      </c>
      <c r="D156" t="s">
        <v>569</v>
      </c>
      <c r="E156" s="10">
        <v>45061</v>
      </c>
      <c r="F156" t="str">
        <f>+IFERROR(INDEX('AUX23'!$C$2:$D$60,MATCH(CARGAFACTURAS!C156,'AUX23'!$D$2:$D$70,0),1),"")</f>
        <v>30-71648081-6</v>
      </c>
      <c r="G156" s="243">
        <v>57000</v>
      </c>
      <c r="H156" s="141">
        <f>+IF(G156&lt;19999,0,IFERROR(VLOOKUP(C156,'AUX23'!$D$2:$K$50,3,0)*G156/100,0))</f>
        <v>0</v>
      </c>
      <c r="I156" s="141">
        <f>IF(G156&lt;9999,0,IFERROR(VLOOKUP(C156,'AUX23'!$D$2:$L$50,4,0)*G156/100,0))</f>
        <v>855</v>
      </c>
      <c r="J156" s="141">
        <f>IF(G156&lt;9999,0,IFERROR(VLOOKUP(C156,'AUX23'!$D$2:$L$50,5,0)*G156/100,0))</f>
        <v>0</v>
      </c>
      <c r="K156" s="141">
        <v>0</v>
      </c>
      <c r="L156" s="141">
        <f>IF(G156&lt;9999,0,IFERROR((G156/1.21)*VLOOKUP(C156,'AUX23'!$D$2:$L$50,7,0)/100,0))</f>
        <v>471.07438016528926</v>
      </c>
      <c r="M156" s="141">
        <f t="shared" si="19"/>
        <v>55673.925619834714</v>
      </c>
      <c r="N156">
        <v>35956228</v>
      </c>
      <c r="O156">
        <f t="shared" si="20"/>
        <v>5</v>
      </c>
      <c r="P156" t="s">
        <v>124</v>
      </c>
      <c r="Q156" t="str">
        <f t="shared" si="16"/>
        <v>FULL TRACK S.R.L.MAYO 23</v>
      </c>
      <c r="R156" t="str">
        <f t="shared" si="23"/>
        <v>FULL TRACK S.R.L.5</v>
      </c>
      <c r="S156" t="str">
        <f>+R156&amp;COUNTIF($R$2:R156,R156)</f>
        <v>FULL TRACK S.R.L.52</v>
      </c>
      <c r="T156" s="141">
        <f t="shared" si="17"/>
        <v>1464460.8799999997</v>
      </c>
      <c r="U156" t="str">
        <f t="shared" si="24"/>
        <v>0041</v>
      </c>
      <c r="V156" t="str">
        <f t="shared" si="25"/>
        <v>FULL TRACK S.R.L.535956228</v>
      </c>
      <c r="W156" t="str">
        <f>+V156&amp;COUNTIF($V$2:V156,V156)</f>
        <v>FULL TRACK S.R.L.5359562281</v>
      </c>
    </row>
    <row r="157" spans="1:23" x14ac:dyDescent="0.25">
      <c r="A157" t="str">
        <f>Q157&amp;COUNTIF($Q$30:Q157,Q157)</f>
        <v>GOMEZ PARDO RAUL(LIMPLUS)MAYO 231</v>
      </c>
      <c r="B157" t="s">
        <v>146</v>
      </c>
      <c r="C157" t="s">
        <v>114</v>
      </c>
      <c r="D157" t="s">
        <v>556</v>
      </c>
      <c r="E157" s="10">
        <v>45057</v>
      </c>
      <c r="F157" t="str">
        <f>+IFERROR(INDEX('AUX23'!$C$2:$D$60,MATCH(CARGAFACTURAS!C157,'AUX23'!$D$2:$D$70,0),1),"")</f>
        <v>20-34285327-8</v>
      </c>
      <c r="G157" s="243">
        <v>41071.25</v>
      </c>
      <c r="H157" s="141">
        <f>+IF(G157&lt;19999,0,IFERROR(VLOOKUP(C157,'AUX23'!$D$2:$K$50,3,0)*G157/100,0))</f>
        <v>513.390625</v>
      </c>
      <c r="I157" s="141">
        <f>IF(G157&lt;9999,0,IFERROR(VLOOKUP(C157,'AUX23'!$D$2:$L$50,4,0)*G157/100,0))</f>
        <v>2053.5625</v>
      </c>
      <c r="J157" s="141">
        <f>IF(G157&lt;9999,0,IFERROR(VLOOKUP(C157,'AUX23'!$D$2:$L$50,5,0)*G157/100,0))</f>
        <v>0</v>
      </c>
      <c r="K157" s="141">
        <f>IF(G157&lt;9999,0,IFERROR((G157-67170)*VLOOKUP(C157,'AUX23'!$D$2:$L$50,6,0)/100,0))</f>
        <v>0</v>
      </c>
      <c r="L157" s="141">
        <f>IF(G157&lt;9999,0,IFERROR((G157/1.21)*VLOOKUP(C157,'AUX23'!$D$2:$L$50,7,0)/100,0))</f>
        <v>0</v>
      </c>
      <c r="M157" s="141">
        <f t="shared" si="19"/>
        <v>38504.296875</v>
      </c>
      <c r="N157">
        <v>35681320</v>
      </c>
      <c r="O157">
        <f t="shared" si="20"/>
        <v>5</v>
      </c>
      <c r="P157" t="s">
        <v>101</v>
      </c>
      <c r="Q157" t="str">
        <f t="shared" si="16"/>
        <v>GOMEZ PARDO RAUL(LIMPLUS)MAYO 23</v>
      </c>
      <c r="R157" t="str">
        <f t="shared" si="23"/>
        <v>GOMEZ PARDO RAUL(LIMPLUS)5</v>
      </c>
      <c r="S157" t="str">
        <f>+R157&amp;COUNTIF($R$2:R157,R157)</f>
        <v>GOMEZ PARDO RAUL(LIMPLUS)51</v>
      </c>
      <c r="T157" s="141">
        <f t="shared" si="17"/>
        <v>1423389.6299999997</v>
      </c>
      <c r="U157" t="str">
        <f t="shared" si="24"/>
        <v>0709</v>
      </c>
      <c r="V157" t="str">
        <f t="shared" si="25"/>
        <v>GOMEZ PARDO RAUL(LIMPLUS)535681320</v>
      </c>
      <c r="W157" t="str">
        <f>+V157&amp;COUNTIF($V$2:V157,V157)</f>
        <v>GOMEZ PARDO RAUL(LIMPLUS)5356813201</v>
      </c>
    </row>
    <row r="158" spans="1:23" x14ac:dyDescent="0.25">
      <c r="A158" t="str">
        <f>Q158&amp;COUNTIF($Q$30:Q158,Q158)</f>
        <v>MAIMARA MAXIKIOSCOMAYO 232</v>
      </c>
      <c r="B158" t="s">
        <v>146</v>
      </c>
      <c r="C158" t="s">
        <v>82</v>
      </c>
      <c r="D158" t="s">
        <v>552</v>
      </c>
      <c r="E158" s="10">
        <v>45057</v>
      </c>
      <c r="F158" t="str">
        <f>+IFERROR(INDEX('AUX23'!$C$2:$D$60,MATCH(CARGAFACTURAS!C158,'AUX23'!$D$2:$D$70,0),1),"")</f>
        <v>20-30068293-2</v>
      </c>
      <c r="G158" s="243">
        <v>5000</v>
      </c>
      <c r="H158" s="141">
        <f>+IF(G158&lt;19999,0,IFERROR(VLOOKUP(C158,'AUX23'!$D$2:$K$50,3,0)*G158/100,0))</f>
        <v>0</v>
      </c>
      <c r="I158" s="141">
        <f>IF(G158&lt;9999,0,IFERROR(VLOOKUP(C158,'AUX23'!$D$2:$L$50,4,0)*G158/100,0))</f>
        <v>0</v>
      </c>
      <c r="J158" s="141">
        <f>IF(G158&lt;9999,0,IFERROR(VLOOKUP(C158,'AUX23'!$D$2:$L$50,5,0)*G158/100,0))</f>
        <v>0</v>
      </c>
      <c r="K158" s="141">
        <f>IF(G158&lt;9999,0,IFERROR((G158-67170)*VLOOKUP(C158,'AUX23'!$D$2:$L$50,6,0)/100,0))</f>
        <v>0</v>
      </c>
      <c r="L158" s="141">
        <f>IF(G158&lt;9999,0,IFERROR((G158/1.21)*VLOOKUP(C158,'AUX23'!$D$2:$L$50,7,0)/100,0))</f>
        <v>0</v>
      </c>
      <c r="M158" s="141">
        <f t="shared" si="19"/>
        <v>5000</v>
      </c>
      <c r="N158">
        <v>35681213</v>
      </c>
      <c r="O158">
        <f t="shared" si="20"/>
        <v>5</v>
      </c>
      <c r="P158" t="s">
        <v>101</v>
      </c>
      <c r="Q158" t="str">
        <f t="shared" si="16"/>
        <v>MAIMARA MAXIKIOSCOMAYO 23</v>
      </c>
      <c r="R158" t="str">
        <f t="shared" si="23"/>
        <v>MAIMARA MAXIKIOSCO5</v>
      </c>
      <c r="S158" t="str">
        <f>+R158&amp;COUNTIF($R$2:R158,R158)</f>
        <v>MAIMARA MAXIKIOSCO52</v>
      </c>
      <c r="T158" s="141">
        <f t="shared" si="17"/>
        <v>1418389.6299999997</v>
      </c>
      <c r="U158" t="str">
        <f t="shared" si="24"/>
        <v>0680</v>
      </c>
      <c r="V158" t="str">
        <f t="shared" si="25"/>
        <v>MAIMARA MAXIKIOSCO535681213</v>
      </c>
      <c r="W158" t="str">
        <f>+V158&amp;COUNTIF($V$2:V158,V158)</f>
        <v>MAIMARA MAXIKIOSCO5356812131</v>
      </c>
    </row>
    <row r="159" spans="1:23" x14ac:dyDescent="0.25">
      <c r="A159" t="str">
        <f>Q159&amp;COUNTIF($Q$30:Q159,Q159)</f>
        <v>ESCOBEDO LUCAS NICOLAS (PAPERTUC)MAYO 231</v>
      </c>
      <c r="B159" t="s">
        <v>146</v>
      </c>
      <c r="C159" t="s">
        <v>104</v>
      </c>
      <c r="D159" t="s">
        <v>575</v>
      </c>
      <c r="E159" s="10">
        <v>45058</v>
      </c>
      <c r="F159" t="str">
        <f>+IFERROR(INDEX('AUX23'!$C$2:$D$60,MATCH(CARGAFACTURAS!C159,'AUX23'!$D$2:$D$70,0),1),"")</f>
        <v>20-31729103-6</v>
      </c>
      <c r="G159" s="243">
        <v>22956.82</v>
      </c>
      <c r="H159" s="141">
        <f>+IF(G159&lt;19999,0,IFERROR(VLOOKUP(C159,'AUX23'!$D$2:$K$50,3,0)*G159/100,0))</f>
        <v>286.96025000000003</v>
      </c>
      <c r="I159" s="141">
        <f>IF(G159&lt;9999,0,IFERROR(VLOOKUP(C159,'AUX23'!$D$2:$L$50,4,0)*G159/100,0))</f>
        <v>1147.8410000000001</v>
      </c>
      <c r="J159" s="141">
        <f>IF(G159&lt;9999,0,IFERROR(VLOOKUP(C159,'AUX23'!$D$2:$L$50,5,0)*G159/100,0))</f>
        <v>0</v>
      </c>
      <c r="K159" s="141">
        <f>IF(G159&lt;9999,0,IFERROR((G159-67170)*VLOOKUP(C159,'AUX23'!$D$2:$L$50,6,0)/100,0))</f>
        <v>0</v>
      </c>
      <c r="L159" s="141">
        <f>IF(G159&lt;9999,0,IFERROR((G159/1.21)*VLOOKUP(C159,'AUX23'!$D$2:$L$50,7,0)/100,0))</f>
        <v>0</v>
      </c>
      <c r="M159" s="141">
        <f t="shared" si="19"/>
        <v>21522.018749999999</v>
      </c>
      <c r="N159">
        <v>35956233</v>
      </c>
      <c r="O159">
        <f t="shared" si="20"/>
        <v>5</v>
      </c>
      <c r="P159" t="s">
        <v>101</v>
      </c>
      <c r="Q159" t="str">
        <f t="shared" ref="Q159:Q216" si="29">+C159&amp;B159</f>
        <v>ESCOBEDO LUCAS NICOLAS (PAPERTUC)MAYO 23</v>
      </c>
      <c r="R159" t="str">
        <f t="shared" si="23"/>
        <v>ESCOBEDO LUCAS NICOLAS (PAPERTUC)5</v>
      </c>
      <c r="S159" t="str">
        <f>+R159&amp;COUNTIF($R$2:R159,R159)</f>
        <v>ESCOBEDO LUCAS NICOLAS (PAPERTUC)51</v>
      </c>
      <c r="T159" s="141">
        <f t="shared" si="17"/>
        <v>1395432.8099999996</v>
      </c>
      <c r="U159" t="str">
        <f t="shared" si="24"/>
        <v>0978</v>
      </c>
      <c r="V159" t="str">
        <f t="shared" si="25"/>
        <v>ESCOBEDO LUCAS NICOLAS (PAPERTUC)535956233</v>
      </c>
      <c r="W159" t="str">
        <f>+V159&amp;COUNTIF($V$2:V159,V159)</f>
        <v>ESCOBEDO LUCAS NICOLAS (PAPERTUC)5359562331</v>
      </c>
    </row>
    <row r="160" spans="1:23" x14ac:dyDescent="0.25">
      <c r="A160" t="str">
        <f>Q160&amp;COUNTIF($Q$30:Q160,Q160)</f>
        <v>CYGNUS COMUNICACIONESMAYO 231</v>
      </c>
      <c r="B160" t="s">
        <v>146</v>
      </c>
      <c r="C160" t="s">
        <v>564</v>
      </c>
      <c r="D160" t="s">
        <v>566</v>
      </c>
      <c r="E160" s="10">
        <v>45054</v>
      </c>
      <c r="F160" t="str">
        <f>+IFERROR(INDEX('AUX23'!$C$2:$D$60,MATCH(CARGAFACTURAS!C160,'AUX23'!$D$2:$D$70,0),1),"")</f>
        <v>30-71210577-8</v>
      </c>
      <c r="G160" s="273">
        <v>8560</v>
      </c>
      <c r="H160" s="141">
        <f>+IF(G160&lt;19999,0,IFERROR(VLOOKUP(C160,'AUX23'!$D$2:$K$50,3,0)*G160/100,0))</f>
        <v>0</v>
      </c>
      <c r="I160" s="141">
        <f>IF(G160&lt;9999,0,IFERROR(VLOOKUP(C160,'AUX23'!$D$2:$L$50,4,0)*G160/100,0))</f>
        <v>0</v>
      </c>
      <c r="J160" s="141">
        <f>IF(G160&lt;9999,0,IFERROR(VLOOKUP(C160,'AUX23'!$D$2:$L$50,5,0)*G160/100,0))</f>
        <v>0</v>
      </c>
      <c r="K160" s="141">
        <f>IF(G160&lt;9999,0,IFERROR((G160-67170)*VLOOKUP(C160,'AUX23'!$D$2:$L$50,6,0)/100,0))</f>
        <v>0</v>
      </c>
      <c r="L160" s="141">
        <f>IF(G160&lt;9999,0,IFERROR((G160/1.21)*VLOOKUP(C160,'AUX23'!$D$2:$L$50,7,0)/100,0))</f>
        <v>0</v>
      </c>
      <c r="M160" s="141">
        <f t="shared" si="19"/>
        <v>8560</v>
      </c>
      <c r="N160">
        <v>35956246</v>
      </c>
      <c r="O160">
        <f t="shared" si="20"/>
        <v>5</v>
      </c>
      <c r="P160" t="s">
        <v>101</v>
      </c>
      <c r="Q160" t="str">
        <f t="shared" si="29"/>
        <v>CYGNUS COMUNICACIONESMAYO 23</v>
      </c>
      <c r="R160" t="str">
        <f t="shared" si="23"/>
        <v>CYGNUS COMUNICACIONES5</v>
      </c>
      <c r="S160" t="str">
        <f>+R160&amp;COUNTIF($R$2:R160,R160)</f>
        <v>CYGNUS COMUNICACIONES51</v>
      </c>
      <c r="T160" s="141">
        <f t="shared" ref="T160:T186" si="30">+T159-G160</f>
        <v>1386872.8099999996</v>
      </c>
      <c r="U160" t="str">
        <f t="shared" si="24"/>
        <v>1328</v>
      </c>
      <c r="V160" t="str">
        <f t="shared" si="25"/>
        <v>CYGNUS COMUNICACIONES535956246</v>
      </c>
      <c r="W160" t="str">
        <f>+V160&amp;COUNTIF($V$2:V160,V160)</f>
        <v>CYGNUS COMUNICACIONES5359562461</v>
      </c>
    </row>
    <row r="161" spans="1:23" x14ac:dyDescent="0.25">
      <c r="A161" t="str">
        <f>Q161&amp;COUNTIF($Q$30:Q161,Q161)</f>
        <v>FULL TRACK S.R.L.MAYO 232</v>
      </c>
      <c r="B161" t="s">
        <v>146</v>
      </c>
      <c r="C161" t="s">
        <v>98</v>
      </c>
      <c r="D161" t="s">
        <v>570</v>
      </c>
      <c r="E161" s="10">
        <v>45062</v>
      </c>
      <c r="F161" t="str">
        <f>+IFERROR(INDEX('AUX23'!$C$2:$D$60,MATCH(CARGAFACTURAS!C161,'AUX23'!$D$2:$D$70,0),1),"")</f>
        <v>30-71648081-6</v>
      </c>
      <c r="G161" s="243">
        <v>677300</v>
      </c>
      <c r="H161" s="141">
        <f>+IF(G161&lt;19999,0,IFERROR(VLOOKUP(C161,'AUX23'!$D$2:$K$50,3,0)*G161/100,0))</f>
        <v>0</v>
      </c>
      <c r="I161" s="141">
        <f>IF(G161&lt;9999,0,IFERROR(VLOOKUP(C161,'AUX23'!$D$2:$L$50,4,0)*G161/100,0))</f>
        <v>10159.5</v>
      </c>
      <c r="J161" s="141">
        <f>IF(G161&lt;9999,0,IFERROR(VLOOKUP(C161,'AUX23'!$D$2:$L$50,5,0)*G161/100,0))</f>
        <v>0</v>
      </c>
      <c r="K161" s="141">
        <f>IF(G161&lt;9999,0,IFERROR((G161-67170)*VLOOKUP(C161,'AUX23'!$D$2:$L$50,6,0)/100,0))</f>
        <v>12202.6</v>
      </c>
      <c r="L161" s="141">
        <f>IF(G161&lt;9999,0,IFERROR((G161/1.21)*VLOOKUP(C161,'AUX23'!$D$2:$L$50,7,0)/100,0))</f>
        <v>5597.5206611570247</v>
      </c>
      <c r="M161" s="141">
        <f t="shared" si="19"/>
        <v>649340.37933884305</v>
      </c>
      <c r="N161">
        <v>35956258</v>
      </c>
      <c r="O161">
        <f t="shared" si="20"/>
        <v>5</v>
      </c>
      <c r="P161" t="s">
        <v>124</v>
      </c>
      <c r="Q161" t="str">
        <f t="shared" si="29"/>
        <v>FULL TRACK S.R.L.MAYO 23</v>
      </c>
      <c r="R161" t="str">
        <f t="shared" si="23"/>
        <v>FULL TRACK S.R.L.5</v>
      </c>
      <c r="S161" t="str">
        <f>+R161&amp;COUNTIF($R$2:R161,R161)</f>
        <v>FULL TRACK S.R.L.53</v>
      </c>
      <c r="T161" s="141">
        <f t="shared" si="30"/>
        <v>709572.80999999959</v>
      </c>
      <c r="U161" t="str">
        <f t="shared" si="24"/>
        <v>0042</v>
      </c>
      <c r="V161" t="str">
        <f t="shared" si="25"/>
        <v>FULL TRACK S.R.L.535956258</v>
      </c>
      <c r="W161" t="str">
        <f>+V161&amp;COUNTIF($V$2:V161,V161)</f>
        <v>FULL TRACK S.R.L.5359562581</v>
      </c>
    </row>
    <row r="162" spans="1:23" x14ac:dyDescent="0.25">
      <c r="A162" t="str">
        <f>Q162&amp;COUNTIF($Q$30:Q162,Q162)</f>
        <v>TODOLANDIA SRLMAYO 231</v>
      </c>
      <c r="B162" t="s">
        <v>146</v>
      </c>
      <c r="C162" t="s">
        <v>577</v>
      </c>
      <c r="D162" t="s">
        <v>580</v>
      </c>
      <c r="E162" s="10">
        <v>45064</v>
      </c>
      <c r="F162" t="str">
        <f>+IFERROR(INDEX('AUX23'!$C$2:$D$60,MATCH(CARGAFACTURAS!C162,'AUX23'!$D$2:$D$70,0),1),"")</f>
        <v>33-71510909-9</v>
      </c>
      <c r="G162" s="243">
        <v>19458</v>
      </c>
      <c r="H162" s="141">
        <f>+IF(G162&lt;19999,0,IFERROR(VLOOKUP(C162,'AUX23'!$D$2:$K$50,3,0)*G162/100,0))</f>
        <v>0</v>
      </c>
      <c r="I162" s="141">
        <f>IF(G162&lt;9999,0,IFERROR(VLOOKUP(C162,'AUX23'!$D$2:$L$50,4,0)*G162/100,0))</f>
        <v>972.9</v>
      </c>
      <c r="J162" s="141">
        <f>IF(G162&lt;9999,0,IFERROR(VLOOKUP(C162,'AUX23'!$D$2:$L$50,5,0)*G162/100,0))</f>
        <v>0</v>
      </c>
      <c r="K162" s="141">
        <f>IF(G162&lt;9999,0,IFERROR((G162-67170)*VLOOKUP(C162,'AUX23'!$D$2:$L$50,6,0)/100,0))</f>
        <v>0</v>
      </c>
      <c r="L162" s="141">
        <f>IF(G162&lt;9999,0,IFERROR((G162/1.21)*VLOOKUP(C162,'AUX23'!$D$2:$L$50,7,0)/100,0))</f>
        <v>0</v>
      </c>
      <c r="M162" s="141">
        <f t="shared" si="19"/>
        <v>18485.099999999999</v>
      </c>
      <c r="N162">
        <v>35956287</v>
      </c>
      <c r="O162">
        <f t="shared" si="20"/>
        <v>5</v>
      </c>
      <c r="P162" t="s">
        <v>101</v>
      </c>
      <c r="Q162" t="str">
        <f t="shared" si="29"/>
        <v>TODOLANDIA SRLMAYO 23</v>
      </c>
      <c r="R162" t="str">
        <f t="shared" si="23"/>
        <v>TODOLANDIA SRL5</v>
      </c>
      <c r="S162" t="str">
        <f>+R162&amp;COUNTIF($R$2:R162,R162)</f>
        <v>TODOLANDIA SRL51</v>
      </c>
      <c r="T162" s="141">
        <f t="shared" si="30"/>
        <v>690114.80999999959</v>
      </c>
      <c r="U162" t="str">
        <f t="shared" si="24"/>
        <v>8577</v>
      </c>
      <c r="V162" t="str">
        <f t="shared" si="25"/>
        <v>TODOLANDIA SRL535956287</v>
      </c>
      <c r="W162" t="str">
        <f>+V162&amp;COUNTIF($V$2:V162,V162)</f>
        <v>TODOLANDIA SRL5359562871</v>
      </c>
    </row>
    <row r="163" spans="1:23" x14ac:dyDescent="0.25">
      <c r="A163" t="str">
        <f>Q163&amp;COUNTIF($Q$30:Q163,Q163)</f>
        <v>DOLSA SAMAYO 231</v>
      </c>
      <c r="B163" t="s">
        <v>146</v>
      </c>
      <c r="C163" t="s">
        <v>571</v>
      </c>
      <c r="D163" t="s">
        <v>574</v>
      </c>
      <c r="E163" s="10">
        <v>45063</v>
      </c>
      <c r="F163" t="str">
        <f>+IFERROR(INDEX('AUX23'!$C$2:$D$60,MATCH(CARGAFACTURAS!C163,'AUX23'!$D$2:$D$70,0),1),"")</f>
        <v>30-71162078-4</v>
      </c>
      <c r="G163" s="243">
        <v>33853.65</v>
      </c>
      <c r="H163" s="141">
        <f>+IF(G163&lt;19999,0,IFERROR(VLOOKUP(C163,'AUX23'!$D$2:$K$50,3,0)*G163/100,0))</f>
        <v>423.17062499999997</v>
      </c>
      <c r="I163" s="141">
        <f>IF(G163&lt;9999,0,IFERROR(VLOOKUP(C163,'AUX23'!$D$2:$L$50,4,0)*G163/100,0))</f>
        <v>1692.6824999999999</v>
      </c>
      <c r="J163" s="141">
        <f>IF(G163&lt;9999,0,IFERROR(VLOOKUP(C163,'AUX23'!$D$2:$L$50,5,0)*G163/100,0))</f>
        <v>0</v>
      </c>
      <c r="K163" s="141">
        <f>IF(G163&lt;9999,0,IFERROR((G163-67170)*VLOOKUP(C163,'AUX23'!$D$2:$L$50,6,0)/100,0))</f>
        <v>0</v>
      </c>
      <c r="L163" s="141">
        <f>IF(G163&lt;9999,0,IFERROR((G163/1.21)*VLOOKUP(C163,'AUX23'!$D$2:$L$50,7,0)/100,0))</f>
        <v>0</v>
      </c>
      <c r="M163" s="141">
        <f t="shared" si="19"/>
        <v>31737.796875000004</v>
      </c>
      <c r="N163">
        <v>35956271</v>
      </c>
      <c r="O163">
        <f t="shared" si="20"/>
        <v>5</v>
      </c>
      <c r="P163" t="s">
        <v>101</v>
      </c>
      <c r="Q163" t="str">
        <f t="shared" si="29"/>
        <v>DOLSA SAMAYO 23</v>
      </c>
      <c r="R163" t="str">
        <f t="shared" si="23"/>
        <v>DOLSA SA5</v>
      </c>
      <c r="S163" t="str">
        <f>+R163&amp;COUNTIF($R$2:R163,R163)</f>
        <v>DOLSA SA51</v>
      </c>
      <c r="T163" s="141">
        <f t="shared" si="30"/>
        <v>656261.15999999957</v>
      </c>
      <c r="U163" t="str">
        <f t="shared" si="24"/>
        <v>6518</v>
      </c>
      <c r="V163" t="str">
        <f t="shared" si="25"/>
        <v>DOLSA SA535956271</v>
      </c>
      <c r="W163" t="str">
        <f>+V163&amp;COUNTIF($V$2:V163,V163)</f>
        <v>DOLSA SA5359562711</v>
      </c>
    </row>
    <row r="164" spans="1:23" x14ac:dyDescent="0.25">
      <c r="A164" t="str">
        <f>Q164&amp;COUNTIF($Q$30:Q164,Q164)</f>
        <v>AFS GROUP SRLMAYO 231</v>
      </c>
      <c r="B164" t="s">
        <v>146</v>
      </c>
      <c r="C164" t="s">
        <v>583</v>
      </c>
      <c r="D164" t="s">
        <v>585</v>
      </c>
      <c r="E164" s="10">
        <v>45065</v>
      </c>
      <c r="F164" t="str">
        <f>+IFERROR(INDEX('AUX23'!$C$2:$D$60,MATCH(CARGAFACTURAS!C164,'AUX23'!$D$2:$D$70,0),1),"")</f>
        <v>30-71518319-2</v>
      </c>
      <c r="G164" s="243">
        <v>15970</v>
      </c>
      <c r="H164" s="141">
        <f>+IF(G164&lt;19999,0,IFERROR(VLOOKUP(C164,'AUX23'!$D$2:$K$70,3,0)*G164/100,0))</f>
        <v>0</v>
      </c>
      <c r="I164" s="141">
        <f>IF(G164&lt;9999,0,IFERROR(VLOOKUP(C164,'AUX23'!$D$2:$L$70,4,0)*G164/100,0))</f>
        <v>798.5</v>
      </c>
      <c r="J164" s="141">
        <f>IF(G164&lt;9999,0,IFERROR(VLOOKUP(C164,'AUX23'!$D$2:$L$70,5,0)*G164/100,0))</f>
        <v>0</v>
      </c>
      <c r="K164" s="141">
        <f>IF(G164&lt;9999,0,IFERROR((G164-67170)*VLOOKUP(C164,'AUX23'!$D$2:$L$70,6,0)/100,0))</f>
        <v>0</v>
      </c>
      <c r="L164" s="141">
        <f>IF(G164&lt;9999,0,IFERROR((G164/1.21)*VLOOKUP(C164,'AUX23'!$D$2:$L$70,7,0)/100,0))</f>
        <v>0</v>
      </c>
      <c r="M164" s="141">
        <f t="shared" si="19"/>
        <v>15171.5</v>
      </c>
      <c r="N164">
        <v>35956298</v>
      </c>
      <c r="O164">
        <f t="shared" si="20"/>
        <v>5</v>
      </c>
      <c r="P164" t="s">
        <v>101</v>
      </c>
      <c r="Q164" t="str">
        <f t="shared" si="29"/>
        <v>AFS GROUP SRLMAYO 23</v>
      </c>
      <c r="R164" t="str">
        <f t="shared" si="23"/>
        <v>AFS GROUP SRL5</v>
      </c>
      <c r="S164" t="str">
        <f>+R164&amp;COUNTIF($R$2:R164,R164)</f>
        <v>AFS GROUP SRL51</v>
      </c>
      <c r="T164" s="141">
        <f t="shared" si="30"/>
        <v>640291.15999999957</v>
      </c>
      <c r="U164" t="str">
        <f t="shared" si="24"/>
        <v>0487</v>
      </c>
      <c r="V164" t="str">
        <f t="shared" si="25"/>
        <v>AFS GROUP SRL535956298</v>
      </c>
      <c r="W164" t="str">
        <f>+V164&amp;COUNTIF($V$2:V164,V164)</f>
        <v>AFS GROUP SRL5359562981</v>
      </c>
    </row>
    <row r="165" spans="1:23" x14ac:dyDescent="0.25">
      <c r="A165" t="str">
        <f>Q165&amp;COUNTIF($Q$30:Q165,Q165)</f>
        <v>CLARO (AMX ARGENTINA)MAYO 231</v>
      </c>
      <c r="B165" t="s">
        <v>146</v>
      </c>
      <c r="C165" t="s">
        <v>18</v>
      </c>
      <c r="D165" t="s">
        <v>595</v>
      </c>
      <c r="E165" s="10">
        <v>45061</v>
      </c>
      <c r="F165" t="str">
        <f>+IFERROR(INDEX('AUX23'!$C$2:$D$60,MATCH(CARGAFACTURAS!C165,'AUX23'!$D$2:$D$70,0),1),"")</f>
        <v>30-66328849-7</v>
      </c>
      <c r="G165" s="273">
        <v>20937.27</v>
      </c>
      <c r="H165" s="141">
        <f>+IF(G165&lt;19999,0,IFERROR(VLOOKUP(C165,'AUX23'!$D$2:$K$70,3,0)*G165/100,0))</f>
        <v>0</v>
      </c>
      <c r="I165" s="141">
        <f>IF(G165&lt;9999,0,IFERROR(VLOOKUP(C165,'AUX23'!$D$2:$L$70,4,0)*G165/100,0))</f>
        <v>0</v>
      </c>
      <c r="J165" s="141">
        <f>IF(G165&lt;9999,0,IFERROR(VLOOKUP(C165,'AUX23'!$D$2:$L$70,5,0)*G165/100,0))</f>
        <v>0</v>
      </c>
      <c r="K165" s="141">
        <v>0</v>
      </c>
      <c r="L165" s="141">
        <f>IF(G165&lt;9999,0,IFERROR((G165/1.21)*VLOOKUP(C165,'AUX23'!$D$2:$L$70,7,0)/100,0))</f>
        <v>0</v>
      </c>
      <c r="M165" s="141">
        <f t="shared" ref="M165" si="31">G165-H165-I165-J165-K165-L165</f>
        <v>20937.27</v>
      </c>
      <c r="N165">
        <v>36054508</v>
      </c>
      <c r="O165">
        <f t="shared" ref="O165" si="32">+MONTH(E165)</f>
        <v>5</v>
      </c>
      <c r="P165" t="s">
        <v>101</v>
      </c>
      <c r="Q165" t="str">
        <f t="shared" si="29"/>
        <v>CLARO (AMX ARGENTINA)MAYO 23</v>
      </c>
      <c r="R165" t="str">
        <f t="shared" si="23"/>
        <v>CLARO (AMX ARGENTINA)5</v>
      </c>
      <c r="S165" t="str">
        <f>+R165&amp;COUNTIF($R$2:R165,R165)</f>
        <v>CLARO (AMX ARGENTINA)51</v>
      </c>
      <c r="T165" s="141">
        <f t="shared" si="30"/>
        <v>619353.88999999955</v>
      </c>
      <c r="U165" t="str">
        <f t="shared" si="24"/>
        <v>7475</v>
      </c>
      <c r="V165" t="str">
        <f t="shared" si="25"/>
        <v>CLARO (AMX ARGENTINA)536054508</v>
      </c>
      <c r="W165" t="str">
        <f>+V165&amp;COUNTIF($V$2:V165,V165)</f>
        <v>CLARO (AMX ARGENTINA)5360545081</v>
      </c>
    </row>
    <row r="166" spans="1:23" x14ac:dyDescent="0.25">
      <c r="A166" t="str">
        <f>Q166&amp;COUNTIF($Q$30:Q166,Q166)</f>
        <v>MAIMARA MAXIKIOSCOMAYO 233</v>
      </c>
      <c r="B166" t="s">
        <v>146</v>
      </c>
      <c r="C166" s="262" t="s">
        <v>82</v>
      </c>
      <c r="D166" t="s">
        <v>500</v>
      </c>
      <c r="E166" s="10">
        <v>45043</v>
      </c>
      <c r="F166" t="str">
        <f>+IFERROR(INDEX('AUX23'!$C$2:$D$60,MATCH(CARGAFACTURAS!C166,'AUX23'!$D$2:$D$70,0),1),"")</f>
        <v>20-30068293-2</v>
      </c>
      <c r="G166" s="243">
        <v>4500</v>
      </c>
      <c r="H166" s="141">
        <f>+IF(G166&lt;19999,0,IFERROR(VLOOKUP(C166,'AUX23'!$D$2:$K$50,3,0)*G166/100,0))</f>
        <v>0</v>
      </c>
      <c r="I166" s="141">
        <f>IF(G166&lt;9999,0,IFERROR(VLOOKUP(C166,'AUX23'!$D$2:$L$50,4,0)*G166/100,0))</f>
        <v>0</v>
      </c>
      <c r="J166" s="141">
        <f>IF(G166&lt;9999,0,IFERROR(VLOOKUP(C166,'AUX23'!$D$2:$L$50,5,0)*G166/100,0))</f>
        <v>0</v>
      </c>
      <c r="K166" s="141">
        <f>IF(G166&lt;9999,0,IFERROR((G166-67170)*VLOOKUP(C166,'AUX23'!$D$2:$L$50,6,0)/100,0))</f>
        <v>0</v>
      </c>
      <c r="L166" s="141">
        <f>IF(G166&lt;9999,0,IFERROR((G166/1.21)*VLOOKUP(C166,'AUX23'!$D$2:$L$50,7,0)/100,0))</f>
        <v>0</v>
      </c>
      <c r="M166" s="141">
        <f t="shared" ref="M166:M171" si="33">G166-H166-I166-J166-K166-L166</f>
        <v>4500</v>
      </c>
      <c r="N166">
        <v>35170111</v>
      </c>
      <c r="O166">
        <f t="shared" ref="O166:O171" si="34">+MONTH(E166)</f>
        <v>4</v>
      </c>
      <c r="P166" t="s">
        <v>101</v>
      </c>
      <c r="Q166" t="str">
        <f t="shared" si="29"/>
        <v>MAIMARA MAXIKIOSCOMAYO 23</v>
      </c>
      <c r="R166" t="str">
        <f t="shared" si="23"/>
        <v>MAIMARA MAXIKIOSCO4</v>
      </c>
      <c r="S166" t="str">
        <f>+R166&amp;COUNTIF($R$2:R166,R166)</f>
        <v>MAIMARA MAXIKIOSCO43</v>
      </c>
      <c r="T166" s="141">
        <f t="shared" si="30"/>
        <v>614853.88999999955</v>
      </c>
      <c r="U166" t="str">
        <f t="shared" si="24"/>
        <v>0670</v>
      </c>
      <c r="V166" t="str">
        <f t="shared" si="25"/>
        <v>MAIMARA MAXIKIOSCO435170111</v>
      </c>
      <c r="W166" t="str">
        <f>+V166&amp;COUNTIF($V$2:V166,V166)</f>
        <v>MAIMARA MAXIKIOSCO4351701111</v>
      </c>
    </row>
    <row r="167" spans="1:23" x14ac:dyDescent="0.25">
      <c r="A167" t="str">
        <f>Q167&amp;COUNTIF($Q$30:Q167,Q167)</f>
        <v>GOMEZ PARDO RAUL(LIMPLUS)MAYO 232</v>
      </c>
      <c r="B167" t="s">
        <v>146</v>
      </c>
      <c r="C167" s="262" t="s">
        <v>114</v>
      </c>
      <c r="D167" t="s">
        <v>558</v>
      </c>
      <c r="E167" s="10">
        <v>45057</v>
      </c>
      <c r="F167" t="str">
        <f>+IFERROR(INDEX('AUX23'!$C$2:$D$60,MATCH(CARGAFACTURAS!C167,'AUX23'!$D$2:$D$70,0),1),"")</f>
        <v>20-34285327-8</v>
      </c>
      <c r="G167" s="243">
        <v>4402.57</v>
      </c>
      <c r="H167" s="141">
        <f>+IF(G167&lt;19999,0,IFERROR(VLOOKUP(C167,'AUX23'!$D$2:$K$50,3,0)*G167/100,0))</f>
        <v>0</v>
      </c>
      <c r="I167" s="141">
        <f>IF(G167&lt;9999,0,IFERROR(VLOOKUP(C167,'AUX23'!$D$2:$L$50,4,0)*G167/100,0))</f>
        <v>0</v>
      </c>
      <c r="J167" s="141">
        <f>IF(G167&lt;9999,0,IFERROR(VLOOKUP(C167,'AUX23'!$D$2:$L$50,5,0)*G167/100,0))</f>
        <v>0</v>
      </c>
      <c r="K167" s="141">
        <f>IF(G167&lt;9999,0,IFERROR((G167-67170)*VLOOKUP(C167,'AUX23'!$D$2:$L$50,6,0)/100,0))</f>
        <v>0</v>
      </c>
      <c r="L167" s="141">
        <f>IF(G167&lt;9999,0,IFERROR((G167/1.21)*VLOOKUP(C167,'AUX23'!$D$2:$L$50,7,0)/100,0))</f>
        <v>0</v>
      </c>
      <c r="M167" s="141">
        <f t="shared" ref="M167" si="35">G167-H167-I167-J167-K167-L167</f>
        <v>4402.57</v>
      </c>
      <c r="N167" t="str">
        <f t="shared" ref="N167" si="36">+IF(G167&lt;9999,"CC","INGR. NUMERO")</f>
        <v>CC</v>
      </c>
      <c r="O167">
        <f t="shared" ref="O167" si="37">+MONTH(E167)</f>
        <v>5</v>
      </c>
      <c r="P167" t="s">
        <v>101</v>
      </c>
      <c r="Q167" t="str">
        <f t="shared" si="29"/>
        <v>GOMEZ PARDO RAUL(LIMPLUS)MAYO 23</v>
      </c>
      <c r="R167" t="str">
        <f t="shared" si="23"/>
        <v>GOMEZ PARDO RAUL(LIMPLUS)5</v>
      </c>
      <c r="S167" t="str">
        <f>+R167&amp;COUNTIF($R$2:R167,R167)</f>
        <v>GOMEZ PARDO RAUL(LIMPLUS)52</v>
      </c>
      <c r="T167" s="141">
        <f t="shared" si="30"/>
        <v>610451.3199999996</v>
      </c>
      <c r="U167" t="str">
        <f t="shared" si="24"/>
        <v>7979</v>
      </c>
      <c r="V167" t="str">
        <f t="shared" si="25"/>
        <v>GOMEZ PARDO RAUL(LIMPLUS)5CC</v>
      </c>
      <c r="W167" t="str">
        <f>+V167&amp;COUNTIF($V$2:V167,V167)</f>
        <v>GOMEZ PARDO RAUL(LIMPLUS)5CC1</v>
      </c>
    </row>
    <row r="168" spans="1:23" x14ac:dyDescent="0.25">
      <c r="A168" t="str">
        <f>Q168&amp;COUNTIF($Q$30:Q168,Q168)</f>
        <v>PUERTAS RUBEN ALBERTO(PLASTINORT)MAYO 231</v>
      </c>
      <c r="B168" t="s">
        <v>146</v>
      </c>
      <c r="C168" s="262" t="s">
        <v>107</v>
      </c>
      <c r="D168" t="s">
        <v>506</v>
      </c>
      <c r="E168" s="10">
        <v>45048</v>
      </c>
      <c r="F168" t="str">
        <f>+IFERROR(INDEX('AUX23'!$C$2:$D$60,MATCH(CARGAFACTURAS!C168,'AUX23'!$D$2:$D$70,0),1),"")</f>
        <v>20-12576284-1</v>
      </c>
      <c r="G168" s="243">
        <v>5400</v>
      </c>
      <c r="H168" s="141">
        <f>+IF(G168&lt;19999,0,IFERROR(VLOOKUP(C168,'AUX23'!$D$2:$K$50,3,0)*G168/100,0))</f>
        <v>0</v>
      </c>
      <c r="I168" s="141">
        <f>IF(G168&lt;9999,0,IFERROR(VLOOKUP(C168,'AUX23'!$D$2:$L$50,4,0)*G168/100,0))</f>
        <v>0</v>
      </c>
      <c r="J168" s="141">
        <f>IF(G168&lt;9999,0,IFERROR(VLOOKUP(C168,'AUX23'!$D$2:$L$50,5,0)*G168/100,0))</f>
        <v>0</v>
      </c>
      <c r="K168" s="141">
        <f>IF(G168&lt;9999,0,IFERROR((G168-67170)*VLOOKUP(C168,'AUX23'!$D$2:$L$50,6,0)/100,0))</f>
        <v>0</v>
      </c>
      <c r="L168" s="141">
        <f>IF(G168&lt;9999,0,IFERROR((G168/1.21)*VLOOKUP(C168,'AUX23'!$D$2:$L$50,7,0)/100,0))</f>
        <v>0</v>
      </c>
      <c r="M168" s="141">
        <f t="shared" si="33"/>
        <v>5400</v>
      </c>
      <c r="N168" t="str">
        <f t="shared" ref="N168:N169" si="38">+IF(G168&lt;9999,"CC","INGR. NUMERO")</f>
        <v>CC</v>
      </c>
      <c r="O168">
        <f t="shared" si="34"/>
        <v>5</v>
      </c>
      <c r="P168" t="s">
        <v>101</v>
      </c>
      <c r="Q168" t="str">
        <f t="shared" si="29"/>
        <v>PUERTAS RUBEN ALBERTO(PLASTINORT)MAYO 23</v>
      </c>
      <c r="R168" t="str">
        <f t="shared" si="23"/>
        <v>PUERTAS RUBEN ALBERTO(PLASTINORT)5</v>
      </c>
      <c r="S168" t="str">
        <f>+R168&amp;COUNTIF($R$2:R168,R168)</f>
        <v>PUERTAS RUBEN ALBERTO(PLASTINORT)51</v>
      </c>
      <c r="T168" s="141">
        <f t="shared" si="30"/>
        <v>605051.3199999996</v>
      </c>
      <c r="U168" t="str">
        <f t="shared" si="24"/>
        <v>9736</v>
      </c>
      <c r="V168" t="str">
        <f t="shared" si="25"/>
        <v>PUERTAS RUBEN ALBERTO(PLASTINORT)5CC</v>
      </c>
      <c r="W168" t="str">
        <f>+V168&amp;COUNTIF($V$2:V168,V168)</f>
        <v>PUERTAS RUBEN ALBERTO(PLASTINORT)5CC1</v>
      </c>
    </row>
    <row r="169" spans="1:23" x14ac:dyDescent="0.25">
      <c r="A169" t="str">
        <f>Q169&amp;COUNTIF($Q$30:Q169,Q169)</f>
        <v>ROTTA FRANCISCO(COMPUMAQ)MAYO 232</v>
      </c>
      <c r="B169" t="s">
        <v>146</v>
      </c>
      <c r="C169" s="262" t="s">
        <v>188</v>
      </c>
      <c r="D169" t="s">
        <v>507</v>
      </c>
      <c r="E169" s="10">
        <v>45048</v>
      </c>
      <c r="F169" t="str">
        <f>+IFERROR(INDEX('AUX23'!$C$2:$D$60,MATCH(CARGAFACTURAS!C169,'AUX23'!$D$2:$D$70,0),1),"")</f>
        <v>20-16216700-7</v>
      </c>
      <c r="G169" s="273">
        <v>1100</v>
      </c>
      <c r="H169" s="141">
        <f>+IF(G169&lt;19999,0,IFERROR(VLOOKUP(C169,'AUX23'!$D$2:$K$50,3,0)*G169/100,0))</f>
        <v>0</v>
      </c>
      <c r="I169" s="141">
        <f>IF(G169&lt;9999,0,IFERROR(VLOOKUP(C169,'AUX23'!$D$2:$L$50,4,0)*G169/100,0))</f>
        <v>0</v>
      </c>
      <c r="J169" s="141">
        <f>IF(G169&lt;9999,0,IFERROR(VLOOKUP(C169,'AUX23'!$D$2:$L$50,5,0)*G169/100,0))</f>
        <v>0</v>
      </c>
      <c r="K169" s="141">
        <f>IF(G169&lt;9999,0,IFERROR((G169-67170)*VLOOKUP(C169,'AUX23'!$D$2:$L$50,6,0)/100,0))</f>
        <v>0</v>
      </c>
      <c r="L169" s="141">
        <f>IF(G169&lt;9999,0,IFERROR((G169/1.21)*VLOOKUP(C169,'AUX23'!$D$2:$L$50,7,0)/100,0))</f>
        <v>0</v>
      </c>
      <c r="M169" s="141">
        <f t="shared" si="33"/>
        <v>1100</v>
      </c>
      <c r="N169" t="str">
        <f t="shared" si="38"/>
        <v>CC</v>
      </c>
      <c r="O169">
        <f t="shared" si="34"/>
        <v>5</v>
      </c>
      <c r="P169" t="s">
        <v>101</v>
      </c>
      <c r="Q169" t="str">
        <f t="shared" si="29"/>
        <v>ROTTA FRANCISCO(COMPUMAQ)MAYO 23</v>
      </c>
      <c r="R169" t="str">
        <f t="shared" si="23"/>
        <v>ROTTA FRANCISCO(COMPUMAQ)5</v>
      </c>
      <c r="S169" t="str">
        <f>+R169&amp;COUNTIF($R$2:R169,R169)</f>
        <v>ROTTA FRANCISCO(COMPUMAQ)52</v>
      </c>
      <c r="T169" s="141">
        <f t="shared" si="30"/>
        <v>603951.3199999996</v>
      </c>
      <c r="U169" t="str">
        <f t="shared" si="24"/>
        <v>6557</v>
      </c>
      <c r="V169" t="str">
        <f t="shared" si="25"/>
        <v>ROTTA FRANCISCO(COMPUMAQ)5CC</v>
      </c>
      <c r="W169" t="str">
        <f>+V169&amp;COUNTIF($V$2:V169,V169)</f>
        <v>ROTTA FRANCISCO(COMPUMAQ)5CC1</v>
      </c>
    </row>
    <row r="170" spans="1:23" x14ac:dyDescent="0.25">
      <c r="A170" t="str">
        <f>Q170&amp;COUNTIF($Q$30:Q170,Q170)</f>
        <v>NAGLE JORGE ELIAS(FERRETERIA)MAYO 231</v>
      </c>
      <c r="B170" t="s">
        <v>146</v>
      </c>
      <c r="C170" s="262" t="s">
        <v>340</v>
      </c>
      <c r="D170" t="s">
        <v>513</v>
      </c>
      <c r="E170" s="10">
        <v>45050</v>
      </c>
      <c r="F170" t="str">
        <f>+IFERROR(INDEX('AUX23'!$C$2:$D$60,MATCH(CARGAFACTURAS!C170,'AUX23'!$D$2:$D$70,0),1),"")</f>
        <v>20-39477352-3</v>
      </c>
      <c r="G170" s="273">
        <v>6280</v>
      </c>
      <c r="H170" s="141">
        <f>+IF(G170&lt;19999,0,IFERROR(VLOOKUP(C170,'AUX23'!$D$2:$K$50,3,0)*G170/100,0))</f>
        <v>0</v>
      </c>
      <c r="I170" s="141">
        <f>IF(G170&lt;9999,0,IFERROR(VLOOKUP(C170,'AUX23'!$D$2:$L$50,4,0)*G170/100,0))</f>
        <v>0</v>
      </c>
      <c r="J170" s="141">
        <f>IF(G170&lt;9999,0,IFERROR(VLOOKUP(C170,'AUX23'!$D$2:$L$50,5,0)*G170/100,0))</f>
        <v>0</v>
      </c>
      <c r="K170" s="141">
        <f>IF(G170&lt;9999,0,IFERROR((G170-67170)*VLOOKUP(C170,'AUX23'!$D$2:$L$50,6,0)/100,0))</f>
        <v>0</v>
      </c>
      <c r="L170" s="141">
        <f>IF(G170&lt;9999,0,IFERROR((G170/1.21)*VLOOKUP(C170,'AUX23'!$D$2:$L$50,7,0)/100,0))</f>
        <v>0</v>
      </c>
      <c r="M170" s="141">
        <f t="shared" si="33"/>
        <v>6280</v>
      </c>
      <c r="N170">
        <v>35373116</v>
      </c>
      <c r="O170">
        <f t="shared" si="34"/>
        <v>5</v>
      </c>
      <c r="P170" t="s">
        <v>101</v>
      </c>
      <c r="Q170" t="str">
        <f t="shared" si="29"/>
        <v>NAGLE JORGE ELIAS(FERRETERIA)MAYO 23</v>
      </c>
      <c r="R170" t="str">
        <f t="shared" si="23"/>
        <v>NAGLE JORGE ELIAS(FERRETERIA)5</v>
      </c>
      <c r="S170" t="str">
        <f>+R170&amp;COUNTIF($R$2:R170,R170)</f>
        <v>NAGLE JORGE ELIAS(FERRETERIA)51</v>
      </c>
      <c r="T170" s="141">
        <f t="shared" si="30"/>
        <v>597671.3199999996</v>
      </c>
      <c r="U170" t="str">
        <f t="shared" si="24"/>
        <v>1540</v>
      </c>
      <c r="V170" t="str">
        <f t="shared" si="25"/>
        <v>NAGLE JORGE ELIAS(FERRETERIA)535373116</v>
      </c>
      <c r="W170" t="str">
        <f>+V170&amp;COUNTIF($V$2:V170,V170)</f>
        <v>NAGLE JORGE ELIAS(FERRETERIA)5353731161</v>
      </c>
    </row>
    <row r="171" spans="1:23" x14ac:dyDescent="0.25">
      <c r="A171" t="str">
        <f>Q171&amp;COUNTIF($Q$30:Q171,Q171)</f>
        <v>ACREDITACION SIPROSA RFMAYO 231</v>
      </c>
      <c r="B171" t="s">
        <v>146</v>
      </c>
      <c r="C171" t="s">
        <v>411</v>
      </c>
      <c r="E171" s="10"/>
      <c r="F171" t="str">
        <f>+IFERROR(INDEX('AUX23'!$C$2:$D$60,MATCH(CARGAFACTURAS!C171,'AUX23'!$D$2:$D$70,0),1),"")</f>
        <v/>
      </c>
      <c r="G171" s="243">
        <f>60000+322288.68</f>
        <v>382288.68</v>
      </c>
      <c r="H171" s="141">
        <f>+IF(G171&lt;19999,0,IFERROR(VLOOKUP(C171,'AUX23'!$D$2:$K$50,3,0)*G171/100,0))</f>
        <v>0</v>
      </c>
      <c r="I171" s="141">
        <f>IF(G171&lt;9999,0,IFERROR(VLOOKUP(C171,'AUX23'!$D$2:$L$50,4,0)*G171/100,0))</f>
        <v>0</v>
      </c>
      <c r="J171" s="141">
        <f>IF(G171&lt;9999,0,IFERROR(VLOOKUP(C171,'AUX23'!$D$2:$L$50,5,0)*G171/100,0))</f>
        <v>0</v>
      </c>
      <c r="K171" s="141">
        <f>IF(G171&lt;9999,0,IFERROR((G171-67170)*VLOOKUP(C171,'AUX23'!$D$2:$L$50,6,0)/100,0))</f>
        <v>0</v>
      </c>
      <c r="L171" s="141">
        <f>IF(G171&lt;9999,0,IFERROR((G171/1.21)*VLOOKUP(C171,'AUX23'!$D$2:$L$50,7,0)/100,0))</f>
        <v>0</v>
      </c>
      <c r="M171" s="141">
        <f t="shared" si="33"/>
        <v>382288.68</v>
      </c>
      <c r="N171">
        <v>35930781</v>
      </c>
      <c r="O171">
        <f t="shared" si="34"/>
        <v>1</v>
      </c>
      <c r="Q171" t="str">
        <f t="shared" si="29"/>
        <v>ACREDITACION SIPROSA RFMAYO 23</v>
      </c>
      <c r="R171" t="str">
        <f t="shared" si="23"/>
        <v>ACREDITACION SIPROSA RF1</v>
      </c>
      <c r="S171" t="str">
        <f>+R171&amp;COUNTIF($R$2:R171,R171)</f>
        <v>ACREDITACION SIPROSA RF12</v>
      </c>
      <c r="T171" s="141">
        <f>+T170-G171+G171*2</f>
        <v>979959.99999999953</v>
      </c>
      <c r="U171" t="str">
        <f t="shared" si="24"/>
        <v/>
      </c>
      <c r="V171" t="str">
        <f t="shared" si="25"/>
        <v>ACREDITACION SIPROSA RF135930781</v>
      </c>
      <c r="W171" t="str">
        <f>+V171&amp;COUNTIF($V$2:V171,V171)</f>
        <v>ACREDITACION SIPROSA RF1359307811</v>
      </c>
    </row>
    <row r="172" spans="1:23" x14ac:dyDescent="0.25">
      <c r="A172" t="str">
        <f>Q172&amp;COUNTIF($Q$30:Q172,Q172)</f>
        <v>SAFARSI MARCO MATIASMAYO 231</v>
      </c>
      <c r="B172" t="s">
        <v>146</v>
      </c>
      <c r="C172" t="s">
        <v>587</v>
      </c>
      <c r="D172" t="s">
        <v>590</v>
      </c>
      <c r="E172" s="10">
        <v>45049</v>
      </c>
      <c r="F172" t="str">
        <f>+IFERROR(INDEX('AUX23'!$C$2:$D$60,MATCH(CARGAFACTURAS!C172,'AUX23'!$D$2:$D$70,0),1),"")</f>
        <v>20-17860726-0</v>
      </c>
      <c r="G172" s="243">
        <v>40000</v>
      </c>
      <c r="H172" s="141">
        <f>+IF(G172&lt;19999,0,IFERROR(VLOOKUP(C172,'AUX23'!$D$2:$K$70,3,0)*G172/100,0))</f>
        <v>1000</v>
      </c>
      <c r="I172" s="141">
        <f>IF(G172&lt;9999,0,IFERROR(VLOOKUP(C172,'AUX23'!$D$2:$L$70,4,0)*G172/100,0))</f>
        <v>2800</v>
      </c>
      <c r="J172" s="141">
        <f>IF(G172&lt;9999,0,IFERROR(VLOOKUP(C172,'AUX23'!$D$2:$L$70,5,0)*G172/100,0))</f>
        <v>0</v>
      </c>
      <c r="K172" s="141">
        <f>IF(G172&lt;9999,0,IFERROR((G172-67170)*VLOOKUP(C172,'AUX23'!$D$2:$L$70,6,0)/100,0))</f>
        <v>0</v>
      </c>
      <c r="L172" s="141">
        <f>IF(G172&lt;9999,0,IFERROR((G172/1.21)*VLOOKUP(C172,'AUX23'!$D$2:$L$70,7,0)/100,0))</f>
        <v>0</v>
      </c>
      <c r="M172" s="141">
        <f t="shared" si="19"/>
        <v>36200</v>
      </c>
      <c r="N172">
        <v>36054482</v>
      </c>
      <c r="O172">
        <f t="shared" si="20"/>
        <v>5</v>
      </c>
      <c r="P172" t="s">
        <v>202</v>
      </c>
      <c r="Q172" t="str">
        <f t="shared" si="29"/>
        <v>SAFARSI MARCO MATIASMAYO 23</v>
      </c>
      <c r="R172" t="str">
        <f t="shared" si="23"/>
        <v>SAFARSI MARCO MATIAS5</v>
      </c>
      <c r="S172" t="str">
        <f>+R172&amp;COUNTIF($R$2:R172,R172)</f>
        <v>SAFARSI MARCO MATIAS51</v>
      </c>
      <c r="T172" s="141">
        <f t="shared" si="30"/>
        <v>939959.99999999953</v>
      </c>
      <c r="U172" t="str">
        <f t="shared" si="24"/>
        <v>0148</v>
      </c>
      <c r="V172" t="str">
        <f t="shared" si="25"/>
        <v>SAFARSI MARCO MATIAS536054482</v>
      </c>
      <c r="W172" t="str">
        <f>+V172&amp;COUNTIF($V$2:V172,V172)</f>
        <v>SAFARSI MARCO MATIAS5360544821</v>
      </c>
    </row>
    <row r="173" spans="1:23" x14ac:dyDescent="0.25">
      <c r="A173" t="str">
        <f>Q173&amp;COUNTIF($Q$30:Q173,Q173)</f>
        <v>CARMENA MARCELA ALEJANDRAMAYO 231</v>
      </c>
      <c r="B173" t="s">
        <v>146</v>
      </c>
      <c r="C173" s="262" t="s">
        <v>486</v>
      </c>
      <c r="D173" t="s">
        <v>487</v>
      </c>
      <c r="E173" s="10">
        <v>45042</v>
      </c>
      <c r="F173" t="str">
        <f>+IFERROR(INDEX('AUX23'!$C$2:$D$60,MATCH(CARGAFACTURAS!C173,'AUX23'!$D$2:$D$70,0),1),"")</f>
        <v>27-23238405-6</v>
      </c>
      <c r="G173" s="243">
        <v>20000</v>
      </c>
      <c r="H173" s="141">
        <f>+IF(G173&lt;19999,0,IFERROR(VLOOKUP(C173,'AUX23'!$D$2:$K$50,3,0)*G173/100,0))</f>
        <v>0</v>
      </c>
      <c r="I173" s="263">
        <f>IF(G173&lt;9999,0,IFERROR(VLOOKUP(C173,'AUX23'!$D$2:$L$50,4,0)*G173/100,0))</f>
        <v>700</v>
      </c>
      <c r="J173" s="141">
        <f>IF(G173&lt;9999,0,IFERROR(VLOOKUP(C173,'AUX23'!$D$2:$L$50,5,0)*G173/100,0))</f>
        <v>0</v>
      </c>
      <c r="K173" s="141">
        <f>IF(G173&lt;9999,0,IFERROR((G173-67170)*VLOOKUP(C173,'AUX23'!$D$2:$L$50,6,0)/100,0))</f>
        <v>0</v>
      </c>
      <c r="L173" s="141">
        <f>IF(G173&lt;9999,0,IFERROR((G173/1.21)*VLOOKUP(C173,'AUX23'!$D$2:$L$50,7,0)/100,0))</f>
        <v>0</v>
      </c>
      <c r="M173" s="141">
        <f t="shared" ref="M173:M178" si="39">G173-H173-I173-J173-K173-L173</f>
        <v>19300</v>
      </c>
      <c r="N173">
        <v>35170267</v>
      </c>
      <c r="O173">
        <f t="shared" ref="O173:O178" si="40">+MONTH(E173)</f>
        <v>4</v>
      </c>
      <c r="P173" t="s">
        <v>202</v>
      </c>
      <c r="Q173" t="str">
        <f t="shared" si="29"/>
        <v>CARMENA MARCELA ALEJANDRAMAYO 23</v>
      </c>
      <c r="R173" t="str">
        <f t="shared" si="23"/>
        <v>CARMENA MARCELA ALEJANDRA4</v>
      </c>
      <c r="S173" t="str">
        <f>+R173&amp;COUNTIF($R$2:R173,R173)</f>
        <v>CARMENA MARCELA ALEJANDRA41</v>
      </c>
      <c r="T173" s="141">
        <f t="shared" si="30"/>
        <v>919959.99999999953</v>
      </c>
      <c r="U173" t="str">
        <f t="shared" si="24"/>
        <v>0389</v>
      </c>
      <c r="V173" t="str">
        <f t="shared" si="25"/>
        <v>CARMENA MARCELA ALEJANDRA435170267</v>
      </c>
      <c r="W173" t="str">
        <f>+V173&amp;COUNTIF($V$2:V173,V173)</f>
        <v>CARMENA MARCELA ALEJANDRA4351702671</v>
      </c>
    </row>
    <row r="174" spans="1:23" x14ac:dyDescent="0.25">
      <c r="A174" t="str">
        <f>Q174&amp;COUNTIF($Q$30:Q174,Q174)</f>
        <v>LA PROVIDENCIA DEL NOA SRLMAYO 233</v>
      </c>
      <c r="B174" t="s">
        <v>146</v>
      </c>
      <c r="C174" t="s">
        <v>11</v>
      </c>
      <c r="D174" t="s">
        <v>591</v>
      </c>
      <c r="E174" s="10">
        <v>45077</v>
      </c>
      <c r="F174" t="str">
        <f>+IFERROR(INDEX('AUX23'!$C$2:$D$60,MATCH(CARGAFACTURAS!C174,'AUX23'!$D$2:$D$70,0),1),"")</f>
        <v>30-68568395-0</v>
      </c>
      <c r="G174" s="243">
        <v>120175.44</v>
      </c>
      <c r="H174" s="141">
        <f>+IF(G174&lt;19999,0,IFERROR(VLOOKUP(C174,'AUX23'!$D$2:$K$70,3,0)*G174/100,0))</f>
        <v>1502.193</v>
      </c>
      <c r="I174" s="141">
        <f>IF(G174&lt;9999,0,IFERROR(VLOOKUP(C174,'AUX23'!$D$2:$L$70,4,0)*G174/100,0))</f>
        <v>6008.7719999999999</v>
      </c>
      <c r="J174" s="141">
        <f>IF(G174&lt;9999,0,IFERROR(VLOOKUP(C174,'AUX23'!$D$2:$L$70,5,0)*G174/100,0))</f>
        <v>10431.228192</v>
      </c>
      <c r="K174" s="141">
        <f>IF(G174&lt;9999,0,IFERROR((G174-67170)*VLOOKUP(C174,'AUX23'!$D$2:$L$70,6,0)/100,0))</f>
        <v>1060.1088</v>
      </c>
      <c r="L174" s="141">
        <f>IF(G174&lt;9999,0,IFERROR((G174/1.21)*VLOOKUP(C174,'AUX23'!$D$2:$L$70,7,0)/100,0))</f>
        <v>993.1854545454546</v>
      </c>
      <c r="M174" s="141">
        <f t="shared" si="39"/>
        <v>100179.95255345455</v>
      </c>
      <c r="N174">
        <v>36068204</v>
      </c>
      <c r="O174">
        <f t="shared" si="40"/>
        <v>5</v>
      </c>
      <c r="P174" t="s">
        <v>202</v>
      </c>
      <c r="Q174" t="str">
        <f t="shared" si="29"/>
        <v>LA PROVIDENCIA DEL NOA SRLMAYO 23</v>
      </c>
      <c r="R174" t="str">
        <f t="shared" si="23"/>
        <v>LA PROVIDENCIA DEL NOA SRL5</v>
      </c>
      <c r="S174" t="str">
        <f>+R174&amp;COUNTIF($R$2:R174,R174)</f>
        <v>LA PROVIDENCIA DEL NOA SRL53</v>
      </c>
      <c r="T174" s="141">
        <f t="shared" si="30"/>
        <v>799784.55999999959</v>
      </c>
      <c r="U174" t="str">
        <f t="shared" si="24"/>
        <v>5481</v>
      </c>
      <c r="V174" t="str">
        <f t="shared" si="25"/>
        <v>LA PROVIDENCIA DEL NOA SRL536068204</v>
      </c>
      <c r="W174" t="str">
        <f>+V174&amp;COUNTIF($V$2:V174,V174)</f>
        <v>LA PROVIDENCIA DEL NOA SRL5360682041</v>
      </c>
    </row>
    <row r="175" spans="1:23" x14ac:dyDescent="0.25">
      <c r="A175" t="str">
        <f>Q175&amp;COUNTIF($Q$30:Q175,Q175)</f>
        <v>LA PROVIDENCIA DEL NOA SRLMAYO 234</v>
      </c>
      <c r="B175" t="s">
        <v>146</v>
      </c>
      <c r="C175" t="s">
        <v>11</v>
      </c>
      <c r="D175" t="s">
        <v>592</v>
      </c>
      <c r="E175" s="10">
        <v>45077</v>
      </c>
      <c r="F175" t="str">
        <f>+IFERROR(INDEX('AUX23'!$C$2:$D$60,MATCH(CARGAFACTURAS!C175,'AUX23'!$D$2:$D$70,0),1),"")</f>
        <v>30-68568395-0</v>
      </c>
      <c r="G175" s="243">
        <v>49162.68</v>
      </c>
      <c r="H175" s="141">
        <f>+IF(G175&lt;19999,0,IFERROR(VLOOKUP(C175,'AUX23'!$D$2:$K$70,3,0)*G175/100,0))</f>
        <v>614.5335</v>
      </c>
      <c r="I175" s="141">
        <f>IF(G175&lt;9999,0,IFERROR(VLOOKUP(C175,'AUX23'!$D$2:$L$70,4,0)*G175/100,0))</f>
        <v>2458.134</v>
      </c>
      <c r="J175" s="141">
        <f>IF(G175&lt;9999,0,IFERROR(VLOOKUP(C175,'AUX23'!$D$2:$L$70,5,0)*G175/100,0))</f>
        <v>4267.320624</v>
      </c>
      <c r="K175" s="141">
        <v>0</v>
      </c>
      <c r="L175" s="141">
        <f>IF(G175&lt;9999,0,IFERROR((G175/1.21)*VLOOKUP(C175,'AUX23'!$D$2:$L$70,7,0)/100,0))</f>
        <v>406.30314049586775</v>
      </c>
      <c r="M175" s="141">
        <f t="shared" si="39"/>
        <v>41416.388735504137</v>
      </c>
      <c r="N175">
        <v>36068204</v>
      </c>
      <c r="O175">
        <f t="shared" si="40"/>
        <v>5</v>
      </c>
      <c r="P175" t="s">
        <v>202</v>
      </c>
      <c r="Q175" t="str">
        <f t="shared" si="29"/>
        <v>LA PROVIDENCIA DEL NOA SRLMAYO 23</v>
      </c>
      <c r="R175" t="str">
        <f t="shared" si="23"/>
        <v>LA PROVIDENCIA DEL NOA SRL5</v>
      </c>
      <c r="S175" t="str">
        <f>+R175&amp;COUNTIF($R$2:R175,R175)</f>
        <v>LA PROVIDENCIA DEL NOA SRL54</v>
      </c>
      <c r="T175" s="141">
        <f t="shared" si="30"/>
        <v>750621.87999999954</v>
      </c>
      <c r="U175" t="str">
        <f t="shared" si="24"/>
        <v>5482</v>
      </c>
      <c r="V175" t="str">
        <f t="shared" si="25"/>
        <v>LA PROVIDENCIA DEL NOA SRL536068204</v>
      </c>
      <c r="W175" t="str">
        <f>+V175&amp;COUNTIF($V$2:V175,V175)</f>
        <v>LA PROVIDENCIA DEL NOA SRL5360682042</v>
      </c>
    </row>
    <row r="176" spans="1:23" x14ac:dyDescent="0.25">
      <c r="A176" t="str">
        <f>Q176&amp;COUNTIF($Q$30:Q176,Q176)</f>
        <v>LA PROVIDENCIA DEL NOA SRLMAYO 235</v>
      </c>
      <c r="B176" t="s">
        <v>146</v>
      </c>
      <c r="C176" t="s">
        <v>11</v>
      </c>
      <c r="D176" t="s">
        <v>593</v>
      </c>
      <c r="E176" s="10">
        <v>45077</v>
      </c>
      <c r="F176" t="str">
        <f>+IFERROR(INDEX('AUX23'!$C$2:$D$60,MATCH(CARGAFACTURAS!C176,'AUX23'!$D$2:$D$70,0),1),"")</f>
        <v>30-68568395-0</v>
      </c>
      <c r="G176" s="243">
        <v>109250.4</v>
      </c>
      <c r="H176" s="141">
        <f>+IF(G176&lt;19999,0,IFERROR(VLOOKUP(C176,'AUX23'!$D$2:$K$70,3,0)*G176/100,0))</f>
        <v>1365.63</v>
      </c>
      <c r="I176" s="141">
        <f>IF(G176&lt;9999,0,IFERROR(VLOOKUP(C176,'AUX23'!$D$2:$L$70,4,0)*G176/100,0))</f>
        <v>5462.52</v>
      </c>
      <c r="J176" s="141">
        <f>IF(G176&lt;9999,0,IFERROR(VLOOKUP(C176,'AUX23'!$D$2:$L$70,5,0)*G176/100,0))</f>
        <v>9482.9347199999993</v>
      </c>
      <c r="K176" s="141">
        <f>IF(G176&lt;9999,0,IFERROR((G176-67170)*VLOOKUP(C176,'AUX23'!$D$2:$L$70,6,0)/100,0))</f>
        <v>841.60799999999983</v>
      </c>
      <c r="L176" s="141">
        <f>IF(G176&lt;9999,0,IFERROR((G176/1.21)*VLOOKUP(C176,'AUX23'!$D$2:$L$70,7,0)/100,0))</f>
        <v>902.89586776859505</v>
      </c>
      <c r="M176" s="141">
        <f t="shared" si="39"/>
        <v>91194.811412231385</v>
      </c>
      <c r="N176">
        <v>36068204</v>
      </c>
      <c r="O176">
        <f t="shared" si="40"/>
        <v>5</v>
      </c>
      <c r="P176" t="s">
        <v>202</v>
      </c>
      <c r="Q176" t="str">
        <f t="shared" si="29"/>
        <v>LA PROVIDENCIA DEL NOA SRLMAYO 23</v>
      </c>
      <c r="R176" t="str">
        <f t="shared" si="23"/>
        <v>LA PROVIDENCIA DEL NOA SRL5</v>
      </c>
      <c r="S176" t="str">
        <f>+R176&amp;COUNTIF($R$2:R176,R176)</f>
        <v>LA PROVIDENCIA DEL NOA SRL55</v>
      </c>
      <c r="T176" s="141">
        <f t="shared" si="30"/>
        <v>641371.47999999952</v>
      </c>
      <c r="U176" t="str">
        <f t="shared" si="24"/>
        <v>5586</v>
      </c>
      <c r="V176" t="str">
        <f t="shared" si="25"/>
        <v>LA PROVIDENCIA DEL NOA SRL536068204</v>
      </c>
      <c r="W176" t="str">
        <f>+V176&amp;COUNTIF($V$2:V176,V176)</f>
        <v>LA PROVIDENCIA DEL NOA SRL5360682043</v>
      </c>
    </row>
    <row r="177" spans="1:23" x14ac:dyDescent="0.25">
      <c r="A177" t="str">
        <f>Q177&amp;COUNTIF($Q$30:Q177,Q177)</f>
        <v>LA PROVIDENCIA DEL NOA SRLMAYO 236</v>
      </c>
      <c r="B177" t="s">
        <v>146</v>
      </c>
      <c r="C177" t="s">
        <v>11</v>
      </c>
      <c r="D177" t="s">
        <v>594</v>
      </c>
      <c r="E177" s="10">
        <v>45077</v>
      </c>
      <c r="F177" t="str">
        <f>+IFERROR(INDEX('AUX23'!$C$2:$D$60,MATCH(CARGAFACTURAS!C177,'AUX23'!$D$2:$D$70,0),1),"")</f>
        <v>30-68568395-0</v>
      </c>
      <c r="G177" s="243">
        <v>43700.160000000003</v>
      </c>
      <c r="H177" s="141">
        <f>+IF(G177&lt;19999,0,IFERROR(VLOOKUP(C177,'AUX23'!$D$2:$K$70,3,0)*G177/100,0))</f>
        <v>546.25200000000007</v>
      </c>
      <c r="I177" s="141">
        <f>IF(G177&lt;9999,0,IFERROR(VLOOKUP(C177,'AUX23'!$D$2:$L$70,4,0)*G177/100,0))</f>
        <v>2185.0080000000003</v>
      </c>
      <c r="J177" s="141">
        <f>IF(G177&lt;9999,0,IFERROR(VLOOKUP(C177,'AUX23'!$D$2:$L$70,5,0)*G177/100,0))</f>
        <v>3793.1738880000003</v>
      </c>
      <c r="K177" s="141">
        <v>0</v>
      </c>
      <c r="L177" s="141">
        <f>IF(G177&lt;9999,0,IFERROR((G177/1.21)*VLOOKUP(C177,'AUX23'!$D$2:$L$70,7,0)/100,0))</f>
        <v>361.15834710743803</v>
      </c>
      <c r="M177" s="141">
        <f t="shared" si="39"/>
        <v>36814.567764892563</v>
      </c>
      <c r="N177">
        <v>36068204</v>
      </c>
      <c r="O177">
        <f t="shared" si="40"/>
        <v>5</v>
      </c>
      <c r="P177" t="s">
        <v>202</v>
      </c>
      <c r="Q177" t="str">
        <f t="shared" si="29"/>
        <v>LA PROVIDENCIA DEL NOA SRLMAYO 23</v>
      </c>
      <c r="R177" t="str">
        <f t="shared" si="23"/>
        <v>LA PROVIDENCIA DEL NOA SRL5</v>
      </c>
      <c r="S177" t="str">
        <f>+R177&amp;COUNTIF($R$2:R177,R177)</f>
        <v>LA PROVIDENCIA DEL NOA SRL56</v>
      </c>
      <c r="T177" s="141">
        <f t="shared" si="30"/>
        <v>597671.31999999948</v>
      </c>
      <c r="U177" t="str">
        <f t="shared" si="24"/>
        <v>5587</v>
      </c>
      <c r="V177" t="str">
        <f t="shared" si="25"/>
        <v>LA PROVIDENCIA DEL NOA SRL536068204</v>
      </c>
      <c r="W177" t="str">
        <f>+V177&amp;COUNTIF($V$2:V177,V177)</f>
        <v>LA PROVIDENCIA DEL NOA SRL5360682044</v>
      </c>
    </row>
    <row r="178" spans="1:23" x14ac:dyDescent="0.25">
      <c r="A178" t="str">
        <f>Q178&amp;COUNTIF($Q$30:Q178,Q178)</f>
        <v>FULL TRACK S.R.L.MAYO 233</v>
      </c>
      <c r="B178" t="s">
        <v>146</v>
      </c>
      <c r="C178" t="s">
        <v>98</v>
      </c>
      <c r="D178" t="s">
        <v>601</v>
      </c>
      <c r="E178" s="10">
        <v>45077</v>
      </c>
      <c r="F178" t="str">
        <f>+IFERROR(INDEX('AUX23'!$C$2:$D$60,MATCH(CARGAFACTURAS!C178,'AUX23'!$D$2:$D$70,0),1),"")</f>
        <v>30-71648081-6</v>
      </c>
      <c r="G178" s="243">
        <v>562900</v>
      </c>
      <c r="H178" s="141">
        <f>+IF(G178&lt;19999,0,IFERROR(VLOOKUP(C178,'AUX23'!$D$2:$K$70,3,0)*G178/100,0))</f>
        <v>0</v>
      </c>
      <c r="I178" s="141">
        <f>IF(G178&lt;9999,0,IFERROR(VLOOKUP(C178,'AUX23'!$D$2:$L$70,4,0)*G178/100,0))</f>
        <v>8443.5</v>
      </c>
      <c r="J178" s="141">
        <f>IF(G178&lt;9999,0,IFERROR(VLOOKUP(C178,'AUX23'!$D$2:$L$70,5,0)*G178/100,0))</f>
        <v>0</v>
      </c>
      <c r="K178" s="141">
        <f>IF(G178&lt;9999,0,IFERROR((G178-67170)*VLOOKUP(C178,'AUX23'!$D$2:$L$70,6,0)/100,0))</f>
        <v>9914.6</v>
      </c>
      <c r="L178" s="141">
        <f>IF(G178&lt;9999,0,IFERROR((G178/1.21)*VLOOKUP(C178,'AUX23'!$D$2:$L$70,7,0)/100,0))</f>
        <v>4652.0661157024797</v>
      </c>
      <c r="M178" s="141">
        <f t="shared" si="39"/>
        <v>539889.83388429752</v>
      </c>
      <c r="N178">
        <v>36342083</v>
      </c>
      <c r="O178">
        <f t="shared" si="40"/>
        <v>5</v>
      </c>
      <c r="P178" t="s">
        <v>124</v>
      </c>
      <c r="Q178" t="str">
        <f t="shared" si="29"/>
        <v>FULL TRACK S.R.L.MAYO 23</v>
      </c>
      <c r="R178" t="str">
        <f t="shared" si="23"/>
        <v>FULL TRACK S.R.L.5</v>
      </c>
      <c r="S178" t="str">
        <f>+R178&amp;COUNTIF($R$2:R178,R178)</f>
        <v>FULL TRACK S.R.L.54</v>
      </c>
      <c r="T178" s="141">
        <f t="shared" si="30"/>
        <v>34771.319999999483</v>
      </c>
      <c r="U178" t="str">
        <f t="shared" si="24"/>
        <v>0044</v>
      </c>
      <c r="V178" t="str">
        <f t="shared" si="25"/>
        <v>FULL TRACK S.R.L.536342083</v>
      </c>
      <c r="W178" t="str">
        <f>+V178&amp;COUNTIF($V$2:V178,V178)</f>
        <v>FULL TRACK S.R.L.5363420831</v>
      </c>
    </row>
    <row r="179" spans="1:23" x14ac:dyDescent="0.25">
      <c r="A179" t="str">
        <f>Q179&amp;COUNTIF($Q$30:Q179,Q179)</f>
        <v>NAGLE JORGE ELIAS(FERRETERIA)MAYO 232</v>
      </c>
      <c r="B179" t="s">
        <v>146</v>
      </c>
      <c r="C179" t="s">
        <v>340</v>
      </c>
      <c r="D179" t="s">
        <v>597</v>
      </c>
      <c r="E179" s="10">
        <v>45075</v>
      </c>
      <c r="F179" t="str">
        <f>+IFERROR(INDEX('AUX23'!$C$2:$D$60,MATCH(CARGAFACTURAS!C179,'AUX23'!$D$2:$D$70,0),1),"")</f>
        <v>20-39477352-3</v>
      </c>
      <c r="G179" s="243">
        <v>740</v>
      </c>
      <c r="H179" s="141">
        <f>+IF(G179&lt;19999,0,IFERROR(VLOOKUP(C179,'AUX23'!$D$2:$K$70,3,0)*G179/100,0))</f>
        <v>0</v>
      </c>
      <c r="I179" s="141">
        <f>IF(G179&lt;9999,0,IFERROR(VLOOKUP(C179,'AUX23'!$D$2:$L$70,4,0)*G179/100,0))</f>
        <v>0</v>
      </c>
      <c r="J179" s="141">
        <f>IF(G179&lt;9999,0,IFERROR(VLOOKUP(C179,'AUX23'!$D$2:$L$70,5,0)*G179/100,0))</f>
        <v>0</v>
      </c>
      <c r="K179" s="141">
        <f>IF(G179&lt;9999,0,IFERROR((G179-67170)*VLOOKUP(C179,'AUX23'!$D$2:$L$70,6,0)/100,0))</f>
        <v>0</v>
      </c>
      <c r="L179" s="141">
        <f>IF(G179&lt;9999,0,IFERROR((G179/1.21)*VLOOKUP(C179,'AUX23'!$D$2:$L$70,7,0)/100,0))</f>
        <v>0</v>
      </c>
      <c r="M179" s="141">
        <f t="shared" si="19"/>
        <v>740</v>
      </c>
      <c r="N179" t="str">
        <f t="shared" ref="N179:N230" si="41">+IF(G179&lt;9999,"CC","INGR. NUMERO")</f>
        <v>CC</v>
      </c>
      <c r="O179">
        <f t="shared" si="20"/>
        <v>5</v>
      </c>
      <c r="P179" t="s">
        <v>101</v>
      </c>
      <c r="Q179" t="str">
        <f t="shared" si="29"/>
        <v>NAGLE JORGE ELIAS(FERRETERIA)MAYO 23</v>
      </c>
      <c r="R179" t="str">
        <f t="shared" si="23"/>
        <v>NAGLE JORGE ELIAS(FERRETERIA)5</v>
      </c>
      <c r="S179" t="str">
        <f>+R179&amp;COUNTIF($R$2:R179,R179)</f>
        <v>NAGLE JORGE ELIAS(FERRETERIA)52</v>
      </c>
      <c r="T179" s="141">
        <f t="shared" si="30"/>
        <v>34031.319999999483</v>
      </c>
      <c r="U179" t="str">
        <f t="shared" si="24"/>
        <v>1615</v>
      </c>
      <c r="V179" t="str">
        <f t="shared" si="25"/>
        <v>NAGLE JORGE ELIAS(FERRETERIA)5CC</v>
      </c>
      <c r="W179" t="str">
        <f>+V179&amp;COUNTIF($V$2:V179,V179)</f>
        <v>NAGLE JORGE ELIAS(FERRETERIA)5CC1</v>
      </c>
    </row>
    <row r="180" spans="1:23" x14ac:dyDescent="0.25">
      <c r="A180" t="str">
        <f>Q180&amp;COUNTIF($Q$30:Q180,Q180)</f>
        <v>GOMEZ PARDO RAUL(LIMPLUS)MAYO 233</v>
      </c>
      <c r="B180" t="s">
        <v>146</v>
      </c>
      <c r="C180" t="s">
        <v>114</v>
      </c>
      <c r="D180" s="141" t="s">
        <v>602</v>
      </c>
      <c r="E180" s="10">
        <v>45076</v>
      </c>
      <c r="F180" t="str">
        <f>+IFERROR(INDEX('AUX23'!$C$2:$D$60,MATCH(CARGAFACTURAS!C180,'AUX23'!$D$2:$D$70,0),1),"")</f>
        <v>20-34285327-8</v>
      </c>
      <c r="G180" s="273">
        <v>33623.910000000003</v>
      </c>
      <c r="H180" s="141">
        <f>+IF(G180&lt;19999,0,IFERROR(VLOOKUP(C180,'AUX23'!$D$2:$K$70,3,0)*G180/100,0))</f>
        <v>420.29887500000007</v>
      </c>
      <c r="I180" s="141">
        <f>IF(G180&lt;9999,0,IFERROR(VLOOKUP(C180,'AUX23'!$D$2:$L$70,4,0)*G180/100,0))</f>
        <v>1681.1955000000003</v>
      </c>
      <c r="J180" s="141">
        <f>IF(G180&lt;9999,0,IFERROR(VLOOKUP(C180,'AUX23'!$D$2:$L$70,5,0)*G180/100,0))</f>
        <v>0</v>
      </c>
      <c r="K180" s="141">
        <f>IF(G180&lt;9999,0,IFERROR((G180-67170)*VLOOKUP(C180,'AUX23'!$D$2:$L$70,6,0)/100,0))</f>
        <v>0</v>
      </c>
      <c r="L180" s="141">
        <f>IF(G180&lt;9999,0,IFERROR((G180/1.21)*VLOOKUP(C180,'AUX23'!$D$2:$L$70,7,0)/100,0))</f>
        <v>0</v>
      </c>
      <c r="M180" s="141">
        <f t="shared" si="19"/>
        <v>31522.415625000001</v>
      </c>
      <c r="N180">
        <v>36342089</v>
      </c>
      <c r="O180">
        <f t="shared" si="20"/>
        <v>5</v>
      </c>
      <c r="P180" t="s">
        <v>101</v>
      </c>
      <c r="Q180" t="str">
        <f t="shared" si="29"/>
        <v>GOMEZ PARDO RAUL(LIMPLUS)MAYO 23</v>
      </c>
      <c r="R180" t="str">
        <f t="shared" si="23"/>
        <v>GOMEZ PARDO RAUL(LIMPLUS)5</v>
      </c>
      <c r="S180" t="str">
        <f>+R180&amp;COUNTIF($R$2:R180,R180)</f>
        <v>GOMEZ PARDO RAUL(LIMPLUS)53</v>
      </c>
      <c r="T180" s="141">
        <f t="shared" si="30"/>
        <v>407.40999999947962</v>
      </c>
      <c r="U180" t="str">
        <f t="shared" si="24"/>
        <v>1145</v>
      </c>
      <c r="V180" t="str">
        <f t="shared" si="25"/>
        <v>GOMEZ PARDO RAUL(LIMPLUS)536342089</v>
      </c>
      <c r="W180" t="str">
        <f>+V180&amp;COUNTIF($V$2:V180,V180)</f>
        <v>GOMEZ PARDO RAUL(LIMPLUS)5363420891</v>
      </c>
    </row>
    <row r="181" spans="1:23" x14ac:dyDescent="0.25">
      <c r="A181" t="str">
        <f>Q181&amp;COUNTIF($Q$30:Q181,Q181)</f>
        <v>MAIMARA MAXIKIOSCOMAYO 234</v>
      </c>
      <c r="B181" t="s">
        <v>146</v>
      </c>
      <c r="C181" t="s">
        <v>82</v>
      </c>
      <c r="D181" t="s">
        <v>605</v>
      </c>
      <c r="E181" s="10">
        <v>45083</v>
      </c>
      <c r="F181" t="str">
        <f>+IFERROR(INDEX('AUX23'!$C$2:$D$60,MATCH(CARGAFACTURAS!C181,'AUX23'!$D$2:$D$70,0),1),"")</f>
        <v>20-30068293-2</v>
      </c>
      <c r="G181" s="243">
        <v>407.41</v>
      </c>
      <c r="H181" s="141">
        <f>+IF(G181&lt;19999,0,IFERROR(VLOOKUP(C181,'AUX23'!$D$2:$K$70,3,0)*G181/100,0))</f>
        <v>0</v>
      </c>
      <c r="I181" s="141">
        <f>IF(G181&lt;9999,0,IFERROR(VLOOKUP(C181,'AUX23'!$D$2:$L$70,4,0)*G181/100,0))</f>
        <v>0</v>
      </c>
      <c r="J181" s="141">
        <f>IF(G181&lt;9999,0,IFERROR(VLOOKUP(C181,'AUX23'!$D$2:$L$70,5,0)*G181/100,0))</f>
        <v>0</v>
      </c>
      <c r="K181" s="141">
        <f>IF(G181&lt;9999,0,IFERROR((G181-67170)*VLOOKUP(C181,'AUX23'!$D$2:$L$70,6,0)/100,0))</f>
        <v>0</v>
      </c>
      <c r="L181" s="141">
        <f>IF(G181&lt;9999,0,IFERROR((G181/1.21)*VLOOKUP(C181,'AUX23'!$D$2:$L$70,7,0)/100,0))</f>
        <v>0</v>
      </c>
      <c r="M181" s="141">
        <f t="shared" si="19"/>
        <v>407.41</v>
      </c>
      <c r="N181">
        <v>36597437</v>
      </c>
      <c r="O181">
        <f t="shared" si="20"/>
        <v>6</v>
      </c>
      <c r="P181" t="s">
        <v>101</v>
      </c>
      <c r="Q181" t="str">
        <f t="shared" si="29"/>
        <v>MAIMARA MAXIKIOSCOMAYO 23</v>
      </c>
      <c r="R181" t="str">
        <f t="shared" si="23"/>
        <v>MAIMARA MAXIKIOSCO6</v>
      </c>
      <c r="S181" t="str">
        <f>+R181&amp;COUNTIF($R$2:R181,R181)</f>
        <v>MAIMARA MAXIKIOSCO61</v>
      </c>
      <c r="T181" s="141">
        <f t="shared" si="30"/>
        <v>-5.2040149967069738E-10</v>
      </c>
      <c r="U181" t="str">
        <f t="shared" si="24"/>
        <v>0713</v>
      </c>
      <c r="V181" t="str">
        <f t="shared" si="25"/>
        <v>MAIMARA MAXIKIOSCO636597437</v>
      </c>
      <c r="W181" t="str">
        <f>+V181&amp;COUNTIF($V$2:V181,V181)</f>
        <v>MAIMARA MAXIKIOSCO6365974371</v>
      </c>
    </row>
    <row r="182" spans="1:23" x14ac:dyDescent="0.25">
      <c r="A182" t="str">
        <f>Q182&amp;COUNTIF($Q$30:Q182,Q182)</f>
        <v>MAYO 231</v>
      </c>
      <c r="B182" t="s">
        <v>146</v>
      </c>
      <c r="E182" s="10"/>
      <c r="F182" t="str">
        <f>+IFERROR(INDEX('AUX23'!$C$2:$D$60,MATCH(CARGAFACTURAS!C182,'AUX23'!$D$2:$D$70,0),1),"")</f>
        <v/>
      </c>
      <c r="G182" s="243"/>
      <c r="H182" s="141">
        <f>+IF(G182&lt;19999,0,IFERROR(VLOOKUP(C182,'AUX23'!$D$2:$K$70,3,0)*G182/100,0))</f>
        <v>0</v>
      </c>
      <c r="I182" s="141">
        <f>IF(G182&lt;9999,0,IFERROR(VLOOKUP(C182,'AUX23'!$D$2:$L$70,4,0)*G182/100,0))</f>
        <v>0</v>
      </c>
      <c r="J182" s="141">
        <f>IF(G182&lt;9999,0,IFERROR(VLOOKUP(C182,'AUX23'!$D$2:$L$70,5,0)*G182/100,0))</f>
        <v>0</v>
      </c>
      <c r="K182" s="141">
        <f>IF(G182&lt;9999,0,IFERROR((G182-67170)*VLOOKUP(C182,'AUX23'!$D$2:$L$70,6,0)/100,0))</f>
        <v>0</v>
      </c>
      <c r="L182" s="141">
        <f>IF(G182&lt;9999,0,IFERROR((G182/1.21)*VLOOKUP(C182,'AUX23'!$D$2:$L$70,7,0)/100,0))</f>
        <v>0</v>
      </c>
      <c r="M182" s="141">
        <f t="shared" si="19"/>
        <v>0</v>
      </c>
      <c r="N182" t="str">
        <f t="shared" si="41"/>
        <v>CC</v>
      </c>
      <c r="O182">
        <f t="shared" si="20"/>
        <v>1</v>
      </c>
      <c r="Q182" t="str">
        <f t="shared" si="29"/>
        <v>MAYO 23</v>
      </c>
      <c r="R182" t="str">
        <f t="shared" si="23"/>
        <v>1</v>
      </c>
      <c r="S182" t="str">
        <f>+R182&amp;COUNTIF($R$2:R182,R182)</f>
        <v>115</v>
      </c>
      <c r="T182" s="141">
        <f t="shared" si="30"/>
        <v>-5.2040149967069738E-10</v>
      </c>
      <c r="U182" t="str">
        <f t="shared" si="24"/>
        <v/>
      </c>
      <c r="V182" t="str">
        <f t="shared" si="25"/>
        <v>1CC</v>
      </c>
      <c r="W182" t="str">
        <f>+V182&amp;COUNTIF($V$2:V182,V182)</f>
        <v>1CC15</v>
      </c>
    </row>
    <row r="183" spans="1:23" x14ac:dyDescent="0.25">
      <c r="A183" t="str">
        <f>Q183&amp;COUNTIF($Q$30:Q183,Q183)</f>
        <v>MAYO 232</v>
      </c>
      <c r="B183" t="s">
        <v>146</v>
      </c>
      <c r="F183" t="str">
        <f>+IFERROR(INDEX('AUX23'!$C$2:$D$60,MATCH(CARGAFACTURAS!C183,'AUX23'!$D$2:$D$70,0),1),"")</f>
        <v/>
      </c>
      <c r="G183" s="141"/>
      <c r="H183" s="141">
        <f>+IF(G183&lt;19999,0,IFERROR(VLOOKUP(C183,'AUX23'!$D$2:$K$70,3,0)*G183/100,0))</f>
        <v>0</v>
      </c>
      <c r="I183" s="141">
        <f>IF(G183&lt;9999,0,IFERROR(VLOOKUP(C183,'AUX23'!$D$2:$L$70,4,0)*G183/100,0))</f>
        <v>0</v>
      </c>
      <c r="J183" s="141">
        <f>IF(G183&lt;9999,0,IFERROR(VLOOKUP(C183,'AUX23'!$D$2:$L$70,5,0)*G183/100,0))</f>
        <v>0</v>
      </c>
      <c r="K183" s="141">
        <f>IF(G183&lt;9999,0,IFERROR((G183-67170)*VLOOKUP(C183,'AUX23'!$D$2:$L$70,6,0)/100,0))</f>
        <v>0</v>
      </c>
      <c r="L183" s="141">
        <f>IF(G183&lt;9999,0,IFERROR((G183/1.21)*VLOOKUP(C183,'AUX23'!$D$2:$L$70,7,0)/100,0))</f>
        <v>0</v>
      </c>
      <c r="M183" s="141">
        <f t="shared" si="19"/>
        <v>0</v>
      </c>
      <c r="N183" t="str">
        <f t="shared" si="41"/>
        <v>CC</v>
      </c>
      <c r="O183">
        <f t="shared" si="20"/>
        <v>1</v>
      </c>
      <c r="Q183" t="str">
        <f t="shared" si="29"/>
        <v>MAYO 23</v>
      </c>
      <c r="R183" t="str">
        <f t="shared" si="23"/>
        <v>1</v>
      </c>
      <c r="S183" t="str">
        <f>+R183&amp;COUNTIF($R$2:R183,R183)</f>
        <v>116</v>
      </c>
      <c r="T183" s="141">
        <f t="shared" si="30"/>
        <v>-5.2040149967069738E-10</v>
      </c>
      <c r="U183" t="str">
        <f t="shared" si="24"/>
        <v/>
      </c>
      <c r="V183" t="str">
        <f t="shared" si="25"/>
        <v>1CC</v>
      </c>
      <c r="W183" t="str">
        <f>+V183&amp;COUNTIF($V$2:V183,V183)</f>
        <v>1CC16</v>
      </c>
    </row>
    <row r="184" spans="1:23" x14ac:dyDescent="0.25">
      <c r="A184" t="str">
        <f>Q184&amp;COUNTIF($Q$30:Q184,Q184)</f>
        <v>MAYO 233</v>
      </c>
      <c r="B184" t="s">
        <v>146</v>
      </c>
      <c r="F184" t="str">
        <f>+IFERROR(INDEX('AUX23'!$C$2:$D$60,MATCH(CARGAFACTURAS!C184,'AUX23'!$D$2:$D$70,0),1),"")</f>
        <v/>
      </c>
      <c r="G184" s="141"/>
      <c r="H184" s="141">
        <f>+IF(G184&lt;19999,0,IFERROR(VLOOKUP(C184,'AUX23'!$D$2:$K$70,3,0)*G184/100,0))</f>
        <v>0</v>
      </c>
      <c r="I184" s="141">
        <f>IF(G184&lt;9999,0,IFERROR(VLOOKUP(C184,'AUX23'!$D$2:$L$70,4,0)*G184/100,0))</f>
        <v>0</v>
      </c>
      <c r="J184" s="141">
        <f>IF(G184&lt;9999,0,IFERROR(VLOOKUP(C184,'AUX23'!$D$2:$L$70,5,0)*G184/100,0))</f>
        <v>0</v>
      </c>
      <c r="K184" s="141">
        <f>IF(G184&lt;9999,0,IFERROR((G184-67170)*VLOOKUP(C184,'AUX23'!$D$2:$L$70,6,0)/100,0))</f>
        <v>0</v>
      </c>
      <c r="L184" s="141">
        <f>IF(G184&lt;9999,0,IFERROR((G184/1.21)*VLOOKUP(C184,'AUX23'!$D$2:$L$70,7,0)/100,0))</f>
        <v>0</v>
      </c>
      <c r="M184" s="141">
        <f t="shared" si="19"/>
        <v>0</v>
      </c>
      <c r="N184" t="str">
        <f t="shared" si="41"/>
        <v>CC</v>
      </c>
      <c r="O184">
        <f t="shared" si="20"/>
        <v>1</v>
      </c>
      <c r="Q184" t="str">
        <f t="shared" si="29"/>
        <v>MAYO 23</v>
      </c>
      <c r="R184" t="str">
        <f t="shared" si="23"/>
        <v>1</v>
      </c>
      <c r="S184" t="str">
        <f>+R184&amp;COUNTIF($R$2:R184,R184)</f>
        <v>117</v>
      </c>
      <c r="T184" s="141">
        <f t="shared" si="30"/>
        <v>-5.2040149967069738E-10</v>
      </c>
      <c r="U184" t="str">
        <f t="shared" si="24"/>
        <v/>
      </c>
      <c r="V184" t="str">
        <f t="shared" si="25"/>
        <v>1CC</v>
      </c>
      <c r="W184" t="str">
        <f>+V184&amp;COUNTIF($V$2:V184,V184)</f>
        <v>1CC17</v>
      </c>
    </row>
    <row r="185" spans="1:23" x14ac:dyDescent="0.25">
      <c r="A185" t="str">
        <f>Q185&amp;COUNTIF($Q$30:Q185,Q185)</f>
        <v>MAYO 234</v>
      </c>
      <c r="B185" t="s">
        <v>146</v>
      </c>
      <c r="F185" t="str">
        <f>+IFERROR(INDEX('AUX23'!$C$2:$D$60,MATCH(CARGAFACTURAS!C185,'AUX23'!$D$2:$D$70,0),1),"")</f>
        <v/>
      </c>
      <c r="G185" s="141"/>
      <c r="H185" s="141">
        <f>+IF(G185&lt;19999,0,IFERROR(VLOOKUP(C185,'AUX23'!$D$2:$K$70,3,0)*G185/100,0))</f>
        <v>0</v>
      </c>
      <c r="I185" s="141">
        <f>IF(G185&lt;9999,0,IFERROR(VLOOKUP(C185,'AUX23'!$D$2:$L$70,4,0)*G185/100,0))</f>
        <v>0</v>
      </c>
      <c r="J185" s="141">
        <f>IF(G185&lt;9999,0,IFERROR(VLOOKUP(C185,'AUX23'!$D$2:$L$70,5,0)*G185/100,0))</f>
        <v>0</v>
      </c>
      <c r="K185" s="141">
        <f>IF(G185&lt;9999,0,IFERROR((G185-67170)*VLOOKUP(C185,'AUX23'!$D$2:$L$70,6,0)/100,0))</f>
        <v>0</v>
      </c>
      <c r="L185" s="141">
        <f>IF(G185&lt;9999,0,IFERROR((G185/1.21)*VLOOKUP(C185,'AUX23'!$D$2:$L$70,7,0)/100,0))</f>
        <v>0</v>
      </c>
      <c r="M185" s="141">
        <f t="shared" si="19"/>
        <v>0</v>
      </c>
      <c r="N185" t="str">
        <f t="shared" si="41"/>
        <v>CC</v>
      </c>
      <c r="O185">
        <f t="shared" si="20"/>
        <v>1</v>
      </c>
      <c r="Q185" t="str">
        <f t="shared" si="29"/>
        <v>MAYO 23</v>
      </c>
      <c r="R185" t="str">
        <f t="shared" si="23"/>
        <v>1</v>
      </c>
      <c r="S185" t="str">
        <f>+R185&amp;COUNTIF($R$2:R185,R185)</f>
        <v>118</v>
      </c>
      <c r="T185" s="141">
        <f t="shared" si="30"/>
        <v>-5.2040149967069738E-10</v>
      </c>
      <c r="U185" t="str">
        <f t="shared" si="24"/>
        <v/>
      </c>
      <c r="V185" t="str">
        <f t="shared" si="25"/>
        <v>1CC</v>
      </c>
      <c r="W185" t="str">
        <f>+V185&amp;COUNTIF($V$2:V185,V185)</f>
        <v>1CC18</v>
      </c>
    </row>
    <row r="186" spans="1:23" x14ac:dyDescent="0.25">
      <c r="A186" t="str">
        <f>Q186&amp;COUNTIF($Q$30:Q186,Q186)</f>
        <v>MAYO 235</v>
      </c>
      <c r="B186" t="s">
        <v>146</v>
      </c>
      <c r="F186" t="str">
        <f>+IFERROR(INDEX('AUX23'!$C$2:$D$60,MATCH(CARGAFACTURAS!C186,'AUX23'!$D$2:$D$70,0),1),"")</f>
        <v/>
      </c>
      <c r="G186" s="141"/>
      <c r="H186" s="141">
        <f>+IF(G186&lt;19999,0,IFERROR(VLOOKUP(C186,'AUX23'!$D$2:$K$70,3,0)*G186/100,0))</f>
        <v>0</v>
      </c>
      <c r="I186" s="141">
        <f>IF(G186&lt;9999,0,IFERROR(VLOOKUP(C186,'AUX23'!$D$2:$L$70,4,0)*G186/100,0))</f>
        <v>0</v>
      </c>
      <c r="J186" s="141">
        <f>IF(G186&lt;9999,0,IFERROR(VLOOKUP(C186,'AUX23'!$D$2:$L$70,5,0)*G186/100,0))</f>
        <v>0</v>
      </c>
      <c r="K186" s="141">
        <f>IF(G186&lt;9999,0,IFERROR((G186-67170)*VLOOKUP(C186,'AUX23'!$D$2:$L$70,6,0)/100,0))</f>
        <v>0</v>
      </c>
      <c r="L186" s="141">
        <f>IF(G186&lt;9999,0,IFERROR((G186/1.21)*VLOOKUP(C186,'AUX23'!$D$2:$L$70,7,0)/100,0))</f>
        <v>0</v>
      </c>
      <c r="M186" s="141">
        <f t="shared" ref="M186:M233" si="42">G186-H186-I186-J186-K186-L186</f>
        <v>0</v>
      </c>
      <c r="N186" t="str">
        <f t="shared" si="41"/>
        <v>CC</v>
      </c>
      <c r="O186">
        <f t="shared" ref="O186:O233" si="43">+MONTH(E186)</f>
        <v>1</v>
      </c>
      <c r="Q186" t="str">
        <f t="shared" si="29"/>
        <v>MAYO 23</v>
      </c>
      <c r="R186" t="str">
        <f t="shared" si="23"/>
        <v>1</v>
      </c>
      <c r="S186" t="str">
        <f>+R186&amp;COUNTIF($R$2:R186,R186)</f>
        <v>119</v>
      </c>
      <c r="T186" s="141">
        <f t="shared" si="30"/>
        <v>-5.2040149967069738E-10</v>
      </c>
      <c r="U186" t="str">
        <f t="shared" si="24"/>
        <v/>
      </c>
      <c r="V186" t="str">
        <f t="shared" si="25"/>
        <v>1CC</v>
      </c>
      <c r="W186" t="str">
        <f>+V186&amp;COUNTIF($V$2:V186,V186)</f>
        <v>1CC19</v>
      </c>
    </row>
    <row r="187" spans="1:23" x14ac:dyDescent="0.25">
      <c r="A187" t="str">
        <f>Q187&amp;COUNTIF($Q$30:Q187,Q187)</f>
        <v>ACREDITACION SIPROSAJUNIO 231</v>
      </c>
      <c r="B187" t="s">
        <v>147</v>
      </c>
      <c r="C187" t="s">
        <v>398</v>
      </c>
      <c r="F187" t="str">
        <f>+IFERROR(INDEX('AUX23'!$C$2:$D$60,MATCH(CARGAFACTURAS!C187,'AUX23'!$D$2:$D$70,0),1),"")</f>
        <v/>
      </c>
      <c r="G187" s="141">
        <v>2952529.66</v>
      </c>
      <c r="H187" s="141">
        <f>+IF(G187&lt;19999,0,IFERROR(VLOOKUP(C187,'AUX23'!$D$2:$K$70,3,0)*G187/100,0))</f>
        <v>0</v>
      </c>
      <c r="I187" s="141">
        <f>IF(G187&lt;9999,0,IFERROR(VLOOKUP(C187,'AUX23'!$D$2:$L$70,4,0)*G187/100,0))</f>
        <v>0</v>
      </c>
      <c r="J187" s="141">
        <f>IF(G187&lt;9999,0,IFERROR(VLOOKUP(C187,'AUX23'!$D$2:$L$70,5,0)*G187/100,0))</f>
        <v>0</v>
      </c>
      <c r="K187" s="141">
        <f>IF(G187&lt;9999,0,IFERROR((G187-67170)*VLOOKUP(C187,'AUX23'!$D$2:$L$70,6,0)/100,0))</f>
        <v>0</v>
      </c>
      <c r="L187" s="141">
        <f>IF(G187&lt;9999,0,IFERROR((G187/1.21)*VLOOKUP(C187,'AUX23'!$D$2:$L$70,7,0)/100,0))</f>
        <v>0</v>
      </c>
      <c r="M187" s="141">
        <f t="shared" si="42"/>
        <v>2952529.66</v>
      </c>
      <c r="N187">
        <v>18881369</v>
      </c>
      <c r="O187">
        <f t="shared" si="43"/>
        <v>1</v>
      </c>
      <c r="Q187" t="str">
        <f t="shared" si="29"/>
        <v>ACREDITACION SIPROSAJUNIO 23</v>
      </c>
      <c r="R187" t="str">
        <f t="shared" si="23"/>
        <v>ACREDITACION SIPROSA1</v>
      </c>
      <c r="S187" t="str">
        <f>+R187&amp;COUNTIF($R$2:R187,R187)</f>
        <v>ACREDITACION SIPROSA13</v>
      </c>
      <c r="T187" s="141">
        <f>+T186-G187+G187*2</f>
        <v>2952529.6599999997</v>
      </c>
      <c r="U187" t="str">
        <f t="shared" si="24"/>
        <v/>
      </c>
      <c r="V187" t="str">
        <f t="shared" si="25"/>
        <v>ACREDITACION SIPROSA118881369</v>
      </c>
      <c r="W187" t="str">
        <f>+V187&amp;COUNTIF($V$2:V187,V187)</f>
        <v>ACREDITACION SIPROSA1188813691</v>
      </c>
    </row>
    <row r="188" spans="1:23" x14ac:dyDescent="0.25">
      <c r="A188" t="str">
        <f>Q188&amp;COUNTIF($Q$30:Q188,Q188)</f>
        <v>WATERLIFE (VARONA CARLOS JOSE)JUNIO 231</v>
      </c>
      <c r="B188" t="s">
        <v>147</v>
      </c>
      <c r="C188" t="s">
        <v>20</v>
      </c>
      <c r="D188" t="s">
        <v>598</v>
      </c>
      <c r="E188" s="10">
        <v>45078</v>
      </c>
      <c r="F188" t="str">
        <f>+IFERROR(INDEX('AUX23'!$C$2:$D$60,MATCH(CARGAFACTURAS!C188,'AUX23'!$D$2:$D$70,0),1),"")</f>
        <v>20-22414023-2</v>
      </c>
      <c r="G188" s="243">
        <v>66450</v>
      </c>
      <c r="H188" s="141">
        <f>+IF(G188&lt;19999,0,IFERROR(VLOOKUP(C188,'AUX23'!$D$2:$K$70,3,0)*G188/100,0))</f>
        <v>0</v>
      </c>
      <c r="I188" s="141">
        <f>IF(G188&lt;9999,0,IFERROR(VLOOKUP(C188,'AUX23'!$D$2:$L$70,4,0)*G188/100,0))</f>
        <v>1661.25</v>
      </c>
      <c r="J188" s="141">
        <f>IF(G188&lt;9999,0,IFERROR(VLOOKUP(C188,'AUX23'!$D$2:$L$70,5,0)*G188/100,0))</f>
        <v>0</v>
      </c>
      <c r="K188" s="141">
        <f>IF(G188&lt;9999,0,IFERROR((G188-67170)*VLOOKUP(C188,'AUX23'!$D$2:$L$70,6,0)/100,0))</f>
        <v>0</v>
      </c>
      <c r="L188" s="141">
        <f>IF(G188&lt;9999,0,IFERROR((G188/1.21)*VLOOKUP(C188,'AUX23'!$D$2:$L$70,7,0)/100,0))</f>
        <v>0</v>
      </c>
      <c r="M188" s="141">
        <f t="shared" si="42"/>
        <v>64788.75</v>
      </c>
      <c r="N188">
        <v>36597525</v>
      </c>
      <c r="O188">
        <f t="shared" si="43"/>
        <v>6</v>
      </c>
      <c r="P188" t="s">
        <v>101</v>
      </c>
      <c r="Q188" t="str">
        <f t="shared" si="29"/>
        <v>WATERLIFE (VARONA CARLOS JOSE)JUNIO 23</v>
      </c>
      <c r="R188" t="str">
        <f t="shared" si="23"/>
        <v>WATERLIFE (VARONA CARLOS JOSE)6</v>
      </c>
      <c r="S188" t="str">
        <f>+R188&amp;COUNTIF($R$2:R188,R188)</f>
        <v>WATERLIFE (VARONA CARLOS JOSE)61</v>
      </c>
      <c r="T188" s="141">
        <f t="shared" ref="T188:T216" si="44">+T187-G188</f>
        <v>2886079.6599999997</v>
      </c>
      <c r="U188" t="str">
        <f t="shared" si="24"/>
        <v>4655</v>
      </c>
      <c r="V188" t="str">
        <f t="shared" si="25"/>
        <v>WATERLIFE (VARONA CARLOS JOSE)636597525</v>
      </c>
      <c r="W188" t="str">
        <f>+V188&amp;COUNTIF($V$2:V188,V188)</f>
        <v>WATERLIFE (VARONA CARLOS JOSE)6365975251</v>
      </c>
    </row>
    <row r="189" spans="1:23" x14ac:dyDescent="0.25">
      <c r="A189" t="str">
        <f>Q189&amp;COUNTIF($Q$30:Q189,Q189)</f>
        <v>LA PROVIDENCIA DEL NOA SRLJUNIO 231</v>
      </c>
      <c r="B189" t="s">
        <v>147</v>
      </c>
      <c r="C189" t="s">
        <v>11</v>
      </c>
      <c r="D189" t="s">
        <v>599</v>
      </c>
      <c r="E189" s="10">
        <v>45078</v>
      </c>
      <c r="F189" t="str">
        <f>+IFERROR(INDEX('AUX23'!$C$2:$D$60,MATCH(CARGAFACTURAS!C189,'AUX23'!$D$2:$D$70,0),1),"")</f>
        <v>30-68568395-0</v>
      </c>
      <c r="G189" s="243">
        <v>530323.19999999995</v>
      </c>
      <c r="H189" s="141">
        <f>+IF(G189&lt;19999,0,IFERROR(VLOOKUP(C189,'AUX23'!$D$2:$K$70,3,0)*G189/100,0))</f>
        <v>6629.04</v>
      </c>
      <c r="I189" s="141">
        <f>IF(G189&lt;9999,0,IFERROR(VLOOKUP(C189,'AUX23'!$D$2:$L$70,4,0)*G189/100,0))</f>
        <v>26516.16</v>
      </c>
      <c r="J189" s="141">
        <f>IF(G189&lt;9999,0,IFERROR(VLOOKUP(C189,'AUX23'!$D$2:$L$70,5,0)*G189/100,0))</f>
        <v>46032.053759999995</v>
      </c>
      <c r="K189" s="141">
        <f>IF(G189&lt;9999,0,IFERROR((G189-67170)*VLOOKUP(C189,'AUX23'!$D$2:$L$70,6,0)/100,0))</f>
        <v>9263.0639999999985</v>
      </c>
      <c r="L189" s="141">
        <f>IF(G189&lt;9999,0,IFERROR((G189/1.21)*VLOOKUP(C189,'AUX23'!$D$2:$L$70,7,0)/100,0))</f>
        <v>4382.8363636363638</v>
      </c>
      <c r="M189" s="141">
        <f t="shared" si="42"/>
        <v>437500.04587636364</v>
      </c>
      <c r="N189">
        <v>36068209</v>
      </c>
      <c r="O189">
        <f t="shared" si="43"/>
        <v>6</v>
      </c>
      <c r="P189" t="s">
        <v>102</v>
      </c>
      <c r="Q189" t="str">
        <f t="shared" si="29"/>
        <v>LA PROVIDENCIA DEL NOA SRLJUNIO 23</v>
      </c>
      <c r="R189" t="str">
        <f t="shared" si="23"/>
        <v>LA PROVIDENCIA DEL NOA SRL6</v>
      </c>
      <c r="S189" t="str">
        <f>+R189&amp;COUNTIF($R$2:R189,R189)</f>
        <v>LA PROVIDENCIA DEL NOA SRL61</v>
      </c>
      <c r="T189" s="141">
        <f t="shared" si="44"/>
        <v>2355756.46</v>
      </c>
      <c r="U189" t="str">
        <f t="shared" si="24"/>
        <v>5901</v>
      </c>
      <c r="V189" t="str">
        <f t="shared" si="25"/>
        <v>LA PROVIDENCIA DEL NOA SRL636068209</v>
      </c>
      <c r="W189" t="str">
        <f>+V189&amp;COUNTIF($V$2:V189,V189)</f>
        <v>LA PROVIDENCIA DEL NOA SRL6360682091</v>
      </c>
    </row>
    <row r="190" spans="1:23" x14ac:dyDescent="0.25">
      <c r="A190" t="str">
        <f>Q190&amp;COUNTIF($Q$30:Q190,Q190)</f>
        <v>LA PROVIDENCIA DEL NOA SRLJUNIO 232</v>
      </c>
      <c r="B190" t="s">
        <v>147</v>
      </c>
      <c r="C190" t="s">
        <v>11</v>
      </c>
      <c r="D190" t="s">
        <v>600</v>
      </c>
      <c r="E190" s="10">
        <v>45078</v>
      </c>
      <c r="F190" t="str">
        <f>+IFERROR(INDEX('AUX23'!$C$2:$D$60,MATCH(CARGAFACTURAS!C190,'AUX23'!$D$2:$D$70,0),1),"")</f>
        <v>30-68568395-0</v>
      </c>
      <c r="G190" s="243">
        <v>212129.28</v>
      </c>
      <c r="H190" s="141">
        <f>+IF(G190&lt;19999,0,IFERROR(VLOOKUP(C190,'AUX23'!$D$2:$K$70,3,0)*G190/100,0))</f>
        <v>2651.616</v>
      </c>
      <c r="I190" s="141">
        <f>IF(G190&lt;9999,0,IFERROR(VLOOKUP(C190,'AUX23'!$D$2:$L$70,4,0)*G190/100,0))</f>
        <v>10606.464</v>
      </c>
      <c r="J190" s="141">
        <f>IF(G190&lt;9999,0,IFERROR(VLOOKUP(C190,'AUX23'!$D$2:$L$70,5,0)*G190/100,0))</f>
        <v>18412.821504</v>
      </c>
      <c r="K190" s="141">
        <f>IF(G190&lt;9999,0,IFERROR((G190-67170)*VLOOKUP(C190,'AUX23'!$D$2:$L$70,6,0)/100,0))</f>
        <v>2899.1855999999998</v>
      </c>
      <c r="L190" s="141">
        <f>IF(G190&lt;9999,0,IFERROR((G190/1.21)*VLOOKUP(C190,'AUX23'!$D$2:$L$70,7,0)/100,0))</f>
        <v>1753.1345454545456</v>
      </c>
      <c r="M190" s="141">
        <f t="shared" si="42"/>
        <v>175806.05835054544</v>
      </c>
      <c r="N190">
        <v>36068209</v>
      </c>
      <c r="O190">
        <f t="shared" si="43"/>
        <v>6</v>
      </c>
      <c r="P190" t="s">
        <v>102</v>
      </c>
      <c r="Q190" t="str">
        <f t="shared" si="29"/>
        <v>LA PROVIDENCIA DEL NOA SRLJUNIO 23</v>
      </c>
      <c r="R190" t="str">
        <f t="shared" si="23"/>
        <v>LA PROVIDENCIA DEL NOA SRL6</v>
      </c>
      <c r="S190" t="str">
        <f>+R190&amp;COUNTIF($R$2:R190,R190)</f>
        <v>LA PROVIDENCIA DEL NOA SRL62</v>
      </c>
      <c r="T190" s="141">
        <f t="shared" si="44"/>
        <v>2143627.1800000002</v>
      </c>
      <c r="U190" t="str">
        <f t="shared" si="24"/>
        <v>5902</v>
      </c>
      <c r="V190" t="str">
        <f t="shared" si="25"/>
        <v>LA PROVIDENCIA DEL NOA SRL636068209</v>
      </c>
      <c r="W190" t="str">
        <f>+V190&amp;COUNTIF($V$2:V190,V190)</f>
        <v>LA PROVIDENCIA DEL NOA SRL6360682092</v>
      </c>
    </row>
    <row r="191" spans="1:23" x14ac:dyDescent="0.25">
      <c r="A191" t="str">
        <f>Q191&amp;COUNTIF($Q$30:Q191,Q191)</f>
        <v>COOP. DE TRAB. SAN LORENZO M JUNIO 231</v>
      </c>
      <c r="B191" t="s">
        <v>147</v>
      </c>
      <c r="C191" t="s">
        <v>92</v>
      </c>
      <c r="D191" t="s">
        <v>603</v>
      </c>
      <c r="E191" s="10">
        <v>45077</v>
      </c>
      <c r="F191" t="str">
        <f>+IFERROR(INDEX('AUX23'!$C$2:$D$60,MATCH(CARGAFACTURAS!C191,'AUX23'!$D$2:$D$70,0),1),"")</f>
        <v>30-70895858-8</v>
      </c>
      <c r="G191" s="243">
        <v>200618.12</v>
      </c>
      <c r="H191" s="141">
        <f>+IF(G191&lt;19999,0,IFERROR(VLOOKUP(C191,'AUX23'!$D$2:$K$70,3,0)*G191/100,0))</f>
        <v>0</v>
      </c>
      <c r="I191" s="141">
        <f>IF(G191&lt;9999,0,IFERROR(VLOOKUP(C191,'AUX23'!$D$2:$L$70,4,0)*G191/100,0))</f>
        <v>0</v>
      </c>
      <c r="J191" s="141">
        <f>IF(G191&lt;9999,0,IFERROR(VLOOKUP(C191,'AUX23'!$D$2:$L$70,5,0)*G191/100,0))</f>
        <v>0</v>
      </c>
      <c r="K191" s="141">
        <f>IF(G191&lt;9999,0,IFERROR((G191-67170)*VLOOKUP(C191,'AUX23'!$D$2:$L$70,6,0)/100,0))</f>
        <v>0</v>
      </c>
      <c r="L191" s="141">
        <f>IF(G191&lt;9999,0,IFERROR((G191/1.21)*VLOOKUP(C191,'AUX23'!$D$2:$L$70,7,0)/100,0))</f>
        <v>0</v>
      </c>
      <c r="M191" s="141">
        <f t="shared" si="42"/>
        <v>200618.12</v>
      </c>
      <c r="N191">
        <v>36597602</v>
      </c>
      <c r="O191">
        <f t="shared" si="43"/>
        <v>5</v>
      </c>
      <c r="P191" t="s">
        <v>164</v>
      </c>
      <c r="Q191" t="str">
        <f t="shared" si="29"/>
        <v>COOP. DE TRAB. SAN LORENZO M JUNIO 23</v>
      </c>
      <c r="R191" t="str">
        <f t="shared" si="23"/>
        <v>COOP. DE TRAB. SAN LORENZO M 5</v>
      </c>
      <c r="S191" t="str">
        <f>+R191&amp;COUNTIF($R$2:R191,R191)</f>
        <v>COOP. DE TRAB. SAN LORENZO M 51</v>
      </c>
      <c r="T191" s="141">
        <f t="shared" si="44"/>
        <v>1943009.06</v>
      </c>
      <c r="U191" t="str">
        <f t="shared" si="24"/>
        <v>4897</v>
      </c>
      <c r="V191" t="str">
        <f t="shared" si="25"/>
        <v>COOP. DE TRAB. SAN LORENZO M 536597602</v>
      </c>
      <c r="W191" t="str">
        <f>+V191&amp;COUNTIF($V$2:V191,V191)</f>
        <v>COOP. DE TRAB. SAN LORENZO M 5365976021</v>
      </c>
    </row>
    <row r="192" spans="1:23" x14ac:dyDescent="0.25">
      <c r="A192" t="str">
        <f>Q192&amp;COUNTIF($Q$30:Q192,Q192)</f>
        <v>COOP. DE TRAB. SAN LORENZO M JUNIO 232</v>
      </c>
      <c r="B192" t="s">
        <v>147</v>
      </c>
      <c r="C192" t="s">
        <v>92</v>
      </c>
      <c r="D192" t="s">
        <v>604</v>
      </c>
      <c r="E192" s="10">
        <v>45077</v>
      </c>
      <c r="F192" t="str">
        <f>+IFERROR(INDEX('AUX23'!$C$2:$D$60,MATCH(CARGAFACTURAS!C192,'AUX23'!$D$2:$D$70,0),1),"")</f>
        <v>30-70895858-8</v>
      </c>
      <c r="G192" s="243">
        <v>100309.06</v>
      </c>
      <c r="H192" s="141">
        <f>+IF(G192&lt;19999,0,IFERROR(VLOOKUP(C192,'AUX23'!$D$2:$K$70,3,0)*G192/100,0))</f>
        <v>0</v>
      </c>
      <c r="I192" s="141">
        <f>IF(G192&lt;9999,0,IFERROR(VLOOKUP(C192,'AUX23'!$D$2:$L$70,4,0)*G192/100,0))</f>
        <v>0</v>
      </c>
      <c r="J192" s="141">
        <f>IF(G192&lt;9999,0,IFERROR(VLOOKUP(C192,'AUX23'!$D$2:$L$70,5,0)*G192/100,0))</f>
        <v>0</v>
      </c>
      <c r="K192" s="141">
        <f>IF(G192&lt;9999,0,IFERROR((G192-67170)*VLOOKUP(C192,'AUX23'!$D$2:$L$70,6,0)/100,0))</f>
        <v>0</v>
      </c>
      <c r="L192" s="141">
        <f>IF(G192&lt;9999,0,IFERROR((G192/1.21)*VLOOKUP(C192,'AUX23'!$D$2:$L$70,7,0)/100,0))</f>
        <v>0</v>
      </c>
      <c r="M192" s="141">
        <f t="shared" si="42"/>
        <v>100309.06</v>
      </c>
      <c r="N192">
        <v>36597602</v>
      </c>
      <c r="O192">
        <f t="shared" si="43"/>
        <v>5</v>
      </c>
      <c r="P192" t="s">
        <v>164</v>
      </c>
      <c r="Q192" t="str">
        <f t="shared" si="29"/>
        <v>COOP. DE TRAB. SAN LORENZO M JUNIO 23</v>
      </c>
      <c r="R192" t="str">
        <f t="shared" si="23"/>
        <v>COOP. DE TRAB. SAN LORENZO M 5</v>
      </c>
      <c r="S192" t="str">
        <f>+R192&amp;COUNTIF($R$2:R192,R192)</f>
        <v>COOP. DE TRAB. SAN LORENZO M 52</v>
      </c>
      <c r="T192" s="141">
        <f t="shared" si="44"/>
        <v>1842700</v>
      </c>
      <c r="U192" t="str">
        <f t="shared" si="24"/>
        <v>4900</v>
      </c>
      <c r="V192" t="str">
        <f t="shared" si="25"/>
        <v>COOP. DE TRAB. SAN LORENZO M 536597602</v>
      </c>
      <c r="W192" t="str">
        <f>+V192&amp;COUNTIF($V$2:V192,V192)</f>
        <v>COOP. DE TRAB. SAN LORENZO M 5365976022</v>
      </c>
    </row>
    <row r="193" spans="1:23" x14ac:dyDescent="0.25">
      <c r="A193" t="str">
        <f>Q193&amp;COUNTIF($Q$30:Q193,Q193)</f>
        <v>LOFT COMPUTACION SASJUNIO 231</v>
      </c>
      <c r="B193" t="s">
        <v>147</v>
      </c>
      <c r="C193" t="s">
        <v>136</v>
      </c>
      <c r="D193" t="s">
        <v>586</v>
      </c>
      <c r="E193" s="10">
        <v>45065</v>
      </c>
      <c r="F193" t="str">
        <f>+IFERROR(INDEX('AUX23'!$C$2:$D$60,MATCH(CARGAFACTURAS!C193,'AUX23'!$D$2:$D$70,0),1),"")</f>
        <v>30-71753417-0</v>
      </c>
      <c r="G193" s="243">
        <v>4400</v>
      </c>
      <c r="H193" s="141">
        <f>+IF(G193&lt;19999,0,IFERROR(VLOOKUP(C193,'AUX23'!$D$2:$K$70,3,0)*G193/100,0))</f>
        <v>0</v>
      </c>
      <c r="I193" s="141">
        <f>IF(G193&lt;9999,0,IFERROR(VLOOKUP(C193,'AUX23'!$D$2:$L$70,4,0)*G193/100,0))</f>
        <v>0</v>
      </c>
      <c r="J193" s="141">
        <f>IF(G193&lt;9999,0,IFERROR(VLOOKUP(C193,'AUX23'!$D$2:$L$70,5,0)*G193/100,0))</f>
        <v>0</v>
      </c>
      <c r="K193" s="141">
        <f>IF(G193&lt;9999,0,IFERROR((G193-67170)*VLOOKUP(C193,'AUX23'!$D$2:$L$70,6,0)/100,0))</f>
        <v>0</v>
      </c>
      <c r="L193" s="141">
        <f>IF(G193&lt;9999,0,IFERROR((G193/1.21)*VLOOKUP(C193,'AUX23'!$D$2:$L$70,7,0)/100,0))</f>
        <v>0</v>
      </c>
      <c r="M193" s="141">
        <f t="shared" si="42"/>
        <v>4400</v>
      </c>
      <c r="N193">
        <v>35956315</v>
      </c>
      <c r="O193">
        <f t="shared" si="43"/>
        <v>5</v>
      </c>
      <c r="P193" t="s">
        <v>101</v>
      </c>
      <c r="Q193" t="str">
        <f t="shared" si="29"/>
        <v>LOFT COMPUTACION SASJUNIO 23</v>
      </c>
      <c r="R193" t="str">
        <f t="shared" si="23"/>
        <v>LOFT COMPUTACION SAS5</v>
      </c>
      <c r="S193" t="str">
        <f>+R193&amp;COUNTIF($R$2:R193,R193)</f>
        <v>LOFT COMPUTACION SAS52</v>
      </c>
      <c r="T193" s="141">
        <f t="shared" si="44"/>
        <v>1838300</v>
      </c>
      <c r="U193" t="str">
        <f t="shared" si="24"/>
        <v>0303</v>
      </c>
      <c r="V193" t="str">
        <f t="shared" si="25"/>
        <v>LOFT COMPUTACION SAS535956315</v>
      </c>
      <c r="W193" t="str">
        <f>+V193&amp;COUNTIF($V$2:V193,V193)</f>
        <v>LOFT COMPUTACION SAS5359563151</v>
      </c>
    </row>
    <row r="194" spans="1:23" x14ac:dyDescent="0.25">
      <c r="A194" t="str">
        <f>Q194&amp;COUNTIF($Q$30:Q194,Q194)</f>
        <v>MAIMARA MAXIKIOSCOJUNIO 231</v>
      </c>
      <c r="B194" t="s">
        <v>147</v>
      </c>
      <c r="C194" t="s">
        <v>82</v>
      </c>
      <c r="D194" t="s">
        <v>606</v>
      </c>
      <c r="E194" s="10">
        <v>45083</v>
      </c>
      <c r="F194" t="str">
        <f>+IFERROR(INDEX('AUX23'!$C$2:$D$60,MATCH(CARGAFACTURAS!C194,'AUX23'!$D$2:$D$70,0),1),"")</f>
        <v>20-30068293-2</v>
      </c>
      <c r="G194" s="243">
        <v>3000</v>
      </c>
      <c r="H194" s="141">
        <f>+IF(G194&lt;19999,0,IFERROR(VLOOKUP(C194,'AUX23'!$D$2:$K$70,3,0)*G194/100,0))</f>
        <v>0</v>
      </c>
      <c r="I194" s="141">
        <f>IF(G194&lt;9999,0,IFERROR(VLOOKUP(C194,'AUX23'!$D$2:$L$70,4,0)*G194/100,0))</f>
        <v>0</v>
      </c>
      <c r="J194" s="141">
        <f>IF(G194&lt;9999,0,IFERROR(VLOOKUP(C194,'AUX23'!$D$2:$L$70,5,0)*G194/100,0))</f>
        <v>0</v>
      </c>
      <c r="K194" s="141">
        <f>IF(G194&lt;9999,0,IFERROR((G194-67170)*VLOOKUP(C194,'AUX23'!$D$2:$L$70,6,0)/100,0))</f>
        <v>0</v>
      </c>
      <c r="L194" s="141">
        <f>IF(G194&lt;9999,0,IFERROR((G194/1.21)*VLOOKUP(C194,'AUX23'!$D$2:$L$70,7,0)/100,0))</f>
        <v>0</v>
      </c>
      <c r="M194" s="141">
        <f t="shared" si="42"/>
        <v>3000</v>
      </c>
      <c r="N194">
        <v>36597464</v>
      </c>
      <c r="O194">
        <f t="shared" si="43"/>
        <v>6</v>
      </c>
      <c r="P194" t="s">
        <v>101</v>
      </c>
      <c r="Q194" t="str">
        <f t="shared" si="29"/>
        <v>MAIMARA MAXIKIOSCOJUNIO 23</v>
      </c>
      <c r="R194" t="str">
        <f t="shared" si="23"/>
        <v>MAIMARA MAXIKIOSCO6</v>
      </c>
      <c r="S194" t="str">
        <f>+R194&amp;COUNTIF($R$2:R194,R194)</f>
        <v>MAIMARA MAXIKIOSCO62</v>
      </c>
      <c r="T194" s="141">
        <f t="shared" si="44"/>
        <v>1835300</v>
      </c>
      <c r="U194" t="str">
        <f t="shared" si="24"/>
        <v>0714</v>
      </c>
      <c r="V194" t="str">
        <f t="shared" si="25"/>
        <v>MAIMARA MAXIKIOSCO636597464</v>
      </c>
      <c r="W194" t="str">
        <f>+V194&amp;COUNTIF($V$2:V194,V194)</f>
        <v>MAIMARA MAXIKIOSCO6365974641</v>
      </c>
    </row>
    <row r="195" spans="1:23" x14ac:dyDescent="0.25">
      <c r="A195" t="str">
        <f>Q195&amp;COUNTIF($Q$30:Q195,Q195)</f>
        <v>FULL TRACK S.R.L.JUNIO 231</v>
      </c>
      <c r="B195" t="s">
        <v>147</v>
      </c>
      <c r="C195" t="s">
        <v>98</v>
      </c>
      <c r="D195" t="s">
        <v>608</v>
      </c>
      <c r="E195" s="10">
        <v>45082</v>
      </c>
      <c r="F195" t="str">
        <f>+IFERROR(INDEX('AUX23'!$C$2:$D$60,MATCH(CARGAFACTURAS!C195,'AUX23'!$D$2:$D$70,0),1),"")</f>
        <v>30-71648081-6</v>
      </c>
      <c r="G195" s="243">
        <v>82650</v>
      </c>
      <c r="H195" s="141">
        <f>+IF(G195&lt;19999,0,IFERROR(VLOOKUP(C195,'AUX23'!$D$2:$K$70,3,0)*G195/100,0))</f>
        <v>0</v>
      </c>
      <c r="I195" s="141">
        <f>IF(G195&lt;9999,0,IFERROR(VLOOKUP(C195,'AUX23'!$D$2:$L$70,4,0)*G195/100,0))</f>
        <v>1239.75</v>
      </c>
      <c r="J195" s="141">
        <f>IF(G195&lt;9999,0,IFERROR(VLOOKUP(C195,'AUX23'!$D$2:$L$70,5,0)*G195/100,0))</f>
        <v>0</v>
      </c>
      <c r="K195" s="141">
        <f>IF(G195&lt;9999,0,IFERROR((G195-67170)*VLOOKUP(C195,'AUX23'!$D$2:$L$70,6,0)/100,0))</f>
        <v>309.60000000000002</v>
      </c>
      <c r="L195" s="141">
        <f>IF(G195&lt;9999,0,IFERROR((G195/1.21)*VLOOKUP(C195,'AUX23'!$D$2:$L$70,7,0)/100,0))</f>
        <v>683.05785123966939</v>
      </c>
      <c r="M195" s="141">
        <f t="shared" si="42"/>
        <v>80417.592148760319</v>
      </c>
      <c r="N195">
        <v>36597668</v>
      </c>
      <c r="O195">
        <f t="shared" si="43"/>
        <v>6</v>
      </c>
      <c r="P195" t="s">
        <v>165</v>
      </c>
      <c r="Q195" t="str">
        <f t="shared" si="29"/>
        <v>FULL TRACK S.R.L.JUNIO 23</v>
      </c>
      <c r="R195" t="str">
        <f t="shared" ref="R195:R233" si="45">+CLEAN(C195)&amp;CLEAN(O195)</f>
        <v>FULL TRACK S.R.L.6</v>
      </c>
      <c r="S195" t="str">
        <f>+R195&amp;COUNTIF($R$2:R195,R195)</f>
        <v>FULL TRACK S.R.L.61</v>
      </c>
      <c r="T195" s="141">
        <f t="shared" si="44"/>
        <v>1752650</v>
      </c>
      <c r="U195" t="str">
        <f t="shared" ref="U195:U233" si="46">+RIGHT(D195,4)</f>
        <v>0045</v>
      </c>
      <c r="V195" t="str">
        <f t="shared" ref="V195:V258" si="47">+R195&amp;N195</f>
        <v>FULL TRACK S.R.L.636597668</v>
      </c>
      <c r="W195" t="str">
        <f>+V195&amp;COUNTIF($V$2:V195,V195)</f>
        <v>FULL TRACK S.R.L.6365976681</v>
      </c>
    </row>
    <row r="196" spans="1:23" x14ac:dyDescent="0.25">
      <c r="A196" t="str">
        <f>Q196&amp;COUNTIF($Q$30:Q196,Q196)</f>
        <v>JORGE ROLANDO FRIAS (JF SERV. INF.)JUNIO 231</v>
      </c>
      <c r="B196" t="s">
        <v>147</v>
      </c>
      <c r="C196" t="s">
        <v>59</v>
      </c>
      <c r="D196" t="s">
        <v>619</v>
      </c>
      <c r="E196" s="10">
        <v>45089</v>
      </c>
      <c r="F196" t="str">
        <f>+IFERROR(INDEX('AUX23'!$C$2:$D$60,MATCH(CARGAFACTURAS!C196,'AUX23'!$D$2:$D$70,0),1),"")</f>
        <v>20-22167463-5</v>
      </c>
      <c r="G196" s="243">
        <v>48200</v>
      </c>
      <c r="H196" s="141">
        <f>+IF(G196&lt;19999,0,IFERROR(VLOOKUP(C196,'AUX23'!$D$2:$K$70,3,0)*G196/100,0))</f>
        <v>0</v>
      </c>
      <c r="I196" s="141">
        <f>IF(G196&lt;9999,0,IFERROR(VLOOKUP(C196,'AUX23'!$D$2:$L$70,4,0)*G196/100,0))</f>
        <v>1205</v>
      </c>
      <c r="J196" s="141">
        <f>IF(G196&lt;9999,0,IFERROR(VLOOKUP(C196,'AUX23'!$D$2:$L$70,5,0)*G196/100,0))</f>
        <v>0</v>
      </c>
      <c r="K196" s="141">
        <f>IF(G196&lt;9999,0,IFERROR((G196-67170)*VLOOKUP(C196,'AUX23'!$D$2:$L$70,6,0)/100,0))</f>
        <v>0</v>
      </c>
      <c r="L196" s="141">
        <f>IF(G196&lt;9999,0,IFERROR((G196/1.21)*VLOOKUP(C196,'AUX23'!$D$2:$L$70,7,0)/100,0))</f>
        <v>0</v>
      </c>
      <c r="M196" s="141">
        <f t="shared" si="42"/>
        <v>46995</v>
      </c>
      <c r="N196">
        <v>36068207</v>
      </c>
      <c r="O196">
        <f t="shared" si="43"/>
        <v>6</v>
      </c>
      <c r="P196" t="s">
        <v>101</v>
      </c>
      <c r="Q196" t="str">
        <f t="shared" si="29"/>
        <v>JORGE ROLANDO FRIAS (JF SERV. INF.)JUNIO 23</v>
      </c>
      <c r="R196" t="str">
        <f t="shared" si="45"/>
        <v>JORGE ROLANDO FRIAS (JF SERV. INF.)6</v>
      </c>
      <c r="S196" t="str">
        <f>+R196&amp;COUNTIF($R$2:R196,R196)</f>
        <v>JORGE ROLANDO FRIAS (JF SERV. INF.)61</v>
      </c>
      <c r="T196" s="141">
        <f t="shared" si="44"/>
        <v>1704450</v>
      </c>
      <c r="U196" t="str">
        <f t="shared" si="46"/>
        <v>0152</v>
      </c>
      <c r="V196" t="str">
        <f t="shared" si="47"/>
        <v>JORGE ROLANDO FRIAS (JF SERV. INF.)636068207</v>
      </c>
      <c r="W196" t="str">
        <f>+V196&amp;COUNTIF($V$2:V196,V196)</f>
        <v>JORGE ROLANDO FRIAS (JF SERV. INF.)6360682071</v>
      </c>
    </row>
    <row r="197" spans="1:23" x14ac:dyDescent="0.25">
      <c r="A197" t="str">
        <f>Q197&amp;COUNTIF($Q$30:Q197,Q197)</f>
        <v>CEGE SRLJUNIO 231</v>
      </c>
      <c r="B197" t="s">
        <v>147</v>
      </c>
      <c r="C197" t="s">
        <v>50</v>
      </c>
      <c r="D197" t="s">
        <v>612</v>
      </c>
      <c r="E197" s="10">
        <v>45085</v>
      </c>
      <c r="F197" t="str">
        <f>+IFERROR(INDEX('AUX23'!$C$2:$D$60,MATCH(CARGAFACTURAS!C197,'AUX23'!$D$2:$D$70,0),1),"")</f>
        <v>30-65710669-7</v>
      </c>
      <c r="G197" s="243">
        <v>123890</v>
      </c>
      <c r="H197" s="141">
        <f>+IF(G197&lt;19999,0,IFERROR(VLOOKUP(C197,'AUX23'!$D$2:$K$70,3,0)*G197/100,0))</f>
        <v>3097.25</v>
      </c>
      <c r="I197" s="141">
        <f>IF(G197&lt;9999,0,IFERROR(VLOOKUP(C197,'AUX23'!$D$2:$L$70,4,0)*G197/100,0))</f>
        <v>6194.5</v>
      </c>
      <c r="J197" s="141">
        <f>IF(G197&lt;9999,0,IFERROR(VLOOKUP(C197,'AUX23'!$D$2:$L$70,5,0)*G197/100,0))</f>
        <v>0</v>
      </c>
      <c r="K197" s="141">
        <f>IF(G197&lt;9999,0,IFERROR((G197-67170)*VLOOKUP(C197,'AUX23'!$D$2:$L$70,6,0)/100,0))</f>
        <v>0</v>
      </c>
      <c r="L197" s="141">
        <f>IF(G197&lt;9999,0,IFERROR((G197/1.21)*VLOOKUP(C197,'AUX23'!$D$2:$L$70,7,0)/100,0))</f>
        <v>0</v>
      </c>
      <c r="M197" s="141">
        <f t="shared" si="42"/>
        <v>114598.25</v>
      </c>
      <c r="N197">
        <v>36597935</v>
      </c>
      <c r="O197">
        <f t="shared" si="43"/>
        <v>6</v>
      </c>
      <c r="P197" t="s">
        <v>101</v>
      </c>
      <c r="Q197" t="str">
        <f t="shared" si="29"/>
        <v>CEGE SRLJUNIO 23</v>
      </c>
      <c r="R197" t="str">
        <f t="shared" si="45"/>
        <v>CEGE SRL6</v>
      </c>
      <c r="S197" t="str">
        <f>+R197&amp;COUNTIF($R$2:R197,R197)</f>
        <v>CEGE SRL61</v>
      </c>
      <c r="T197" s="141">
        <f t="shared" si="44"/>
        <v>1580560</v>
      </c>
      <c r="U197" t="str">
        <f t="shared" si="46"/>
        <v>2810</v>
      </c>
      <c r="V197" t="str">
        <f t="shared" si="47"/>
        <v>CEGE SRL636597935</v>
      </c>
      <c r="W197" t="str">
        <f>+V197&amp;COUNTIF($V$2:V197,V197)</f>
        <v>CEGE SRL6365979351</v>
      </c>
    </row>
    <row r="198" spans="1:23" x14ac:dyDescent="0.25">
      <c r="A198" t="str">
        <f>Q198&amp;COUNTIF($Q$30:Q198,Q198)</f>
        <v>CLARO (AMX ARGENTINA)JUNIO 231</v>
      </c>
      <c r="B198" t="s">
        <v>147</v>
      </c>
      <c r="C198" t="s">
        <v>18</v>
      </c>
      <c r="D198" t="s">
        <v>622</v>
      </c>
      <c r="E198" s="10">
        <v>45092</v>
      </c>
      <c r="F198" t="str">
        <f>+IFERROR(INDEX('AUX23'!$C$2:$D$60,MATCH(CARGAFACTURAS!C198,'AUX23'!$D$2:$D$70,0),1),"")</f>
        <v>30-66328849-7</v>
      </c>
      <c r="G198" s="243">
        <v>901.91</v>
      </c>
      <c r="H198" s="141">
        <f>+IF(G198&lt;19999,0,IFERROR(VLOOKUP(C198,'AUX23'!$D$2:$K$70,3,0)*G198/100,0))</f>
        <v>0</v>
      </c>
      <c r="I198" s="141">
        <f>IF(G198&lt;9999,0,IFERROR(VLOOKUP(C198,'AUX23'!$D$2:$L$70,4,0)*G198/100,0))</f>
        <v>0</v>
      </c>
      <c r="J198" s="141">
        <f>IF(G198&lt;9999,0,IFERROR(VLOOKUP(C198,'AUX23'!$D$2:$L$70,5,0)*G198/100,0))</f>
        <v>0</v>
      </c>
      <c r="K198" s="141">
        <f>IF(G198&lt;9999,0,IFERROR((G198-67170)*VLOOKUP(C198,'AUX23'!$D$2:$L$70,6,0)/100,0))</f>
        <v>0</v>
      </c>
      <c r="L198" s="141">
        <f>IF(G198&lt;9999,0,IFERROR((G198/1.21)*VLOOKUP(C198,'AUX23'!$D$2:$L$70,7,0)/100,0))</f>
        <v>0</v>
      </c>
      <c r="M198" s="141">
        <f t="shared" si="42"/>
        <v>901.91</v>
      </c>
      <c r="N198">
        <v>37095487</v>
      </c>
      <c r="O198">
        <f t="shared" si="43"/>
        <v>6</v>
      </c>
      <c r="P198" t="s">
        <v>101</v>
      </c>
      <c r="Q198" t="str">
        <f t="shared" si="29"/>
        <v>CLARO (AMX ARGENTINA)JUNIO 23</v>
      </c>
      <c r="R198" t="str">
        <f t="shared" si="45"/>
        <v>CLARO (AMX ARGENTINA)6</v>
      </c>
      <c r="S198" t="str">
        <f>+R198&amp;COUNTIF($R$2:R198,R198)</f>
        <v>CLARO (AMX ARGENTINA)61</v>
      </c>
      <c r="T198" s="141">
        <f t="shared" si="44"/>
        <v>1579658.09</v>
      </c>
      <c r="U198" t="str">
        <f t="shared" si="46"/>
        <v>1830</v>
      </c>
      <c r="V198" t="str">
        <f t="shared" si="47"/>
        <v>CLARO (AMX ARGENTINA)637095487</v>
      </c>
      <c r="W198" t="str">
        <f>+V198&amp;COUNTIF($V$2:V198,V198)</f>
        <v>CLARO (AMX ARGENTINA)6370954871</v>
      </c>
    </row>
    <row r="199" spans="1:23" x14ac:dyDescent="0.25">
      <c r="A199" t="str">
        <f>Q199&amp;COUNTIF($Q$30:Q199,Q199)</f>
        <v>LIBRERÍA SAN PABLO SRLJUNIO 231</v>
      </c>
      <c r="B199" t="s">
        <v>147</v>
      </c>
      <c r="C199" t="s">
        <v>10</v>
      </c>
      <c r="D199" t="s">
        <v>609</v>
      </c>
      <c r="E199" s="10">
        <v>45085</v>
      </c>
      <c r="F199" t="str">
        <f>+IFERROR(INDEX('AUX23'!$C$2:$D$60,MATCH(CARGAFACTURAS!C199,'AUX23'!$D$2:$D$70,0),1),"")</f>
        <v>30-58351679-0</v>
      </c>
      <c r="G199" s="243">
        <v>70354.399999999994</v>
      </c>
      <c r="H199" s="141">
        <f>+IF(G199&lt;19999,0,IFERROR(VLOOKUP(C199,'AUX23'!$D$2:$K$70,3,0)*G199/100,0))</f>
        <v>879.43</v>
      </c>
      <c r="I199" s="141">
        <f>IF(G199&lt;9999,0,IFERROR(VLOOKUP(C199,'AUX23'!$D$2:$L$70,4,0)*G199/100,0))</f>
        <v>3517.72</v>
      </c>
      <c r="J199" s="141">
        <f>IF(G199&lt;9999,0,IFERROR(VLOOKUP(C199,'AUX23'!$D$2:$L$70,5,0)*G199/100,0))</f>
        <v>0</v>
      </c>
      <c r="K199" s="141">
        <f>IF(G199&lt;9999,0,IFERROR((G199-67170)*VLOOKUP(C199,'AUX23'!$D$2:$L$70,6,0)/100,0))</f>
        <v>0</v>
      </c>
      <c r="L199" s="141">
        <f>IF(G199&lt;9999,0,IFERROR((G199/1.21)*VLOOKUP(C199,'AUX23'!$D$2:$L$70,7,0)/100,0))</f>
        <v>0</v>
      </c>
      <c r="M199" s="141">
        <f t="shared" si="42"/>
        <v>65957.25</v>
      </c>
      <c r="N199">
        <v>36597738</v>
      </c>
      <c r="O199">
        <f t="shared" si="43"/>
        <v>6</v>
      </c>
      <c r="P199" t="s">
        <v>101</v>
      </c>
      <c r="Q199" t="str">
        <f t="shared" si="29"/>
        <v>LIBRERÍA SAN PABLO SRLJUNIO 23</v>
      </c>
      <c r="R199" t="str">
        <f t="shared" si="45"/>
        <v>LIBRERÍA SAN PABLO SRL6</v>
      </c>
      <c r="S199" t="str">
        <f>+R199&amp;COUNTIF($R$2:R199,R199)</f>
        <v>LIBRERÍA SAN PABLO SRL61</v>
      </c>
      <c r="T199" s="141">
        <f t="shared" si="44"/>
        <v>1509303.6900000002</v>
      </c>
      <c r="U199" t="str">
        <f t="shared" si="46"/>
        <v>1315</v>
      </c>
      <c r="V199" t="str">
        <f t="shared" si="47"/>
        <v>LIBRERÍA SAN PABLO SRL636597738</v>
      </c>
      <c r="W199" t="str">
        <f>+V199&amp;COUNTIF($V$2:V199,V199)</f>
        <v>LIBRERÍA SAN PABLO SRL6365977381</v>
      </c>
    </row>
    <row r="200" spans="1:23" x14ac:dyDescent="0.25">
      <c r="A200" t="str">
        <f>Q200&amp;COUNTIF($Q$30:Q200,Q200)</f>
        <v>LEON LUIS CESARJUNIO 231</v>
      </c>
      <c r="B200" t="s">
        <v>147</v>
      </c>
      <c r="C200" t="s">
        <v>109</v>
      </c>
      <c r="D200" t="s">
        <v>613</v>
      </c>
      <c r="E200" s="10">
        <v>45086</v>
      </c>
      <c r="F200" t="str">
        <f>+IFERROR(INDEX('AUX23'!$C$2:$D$60,MATCH(CARGAFACTURAS!C200,'AUX23'!$D$2:$D$70,0),1),"")</f>
        <v>20-13278210-6</v>
      </c>
      <c r="G200" s="243">
        <v>43117.77</v>
      </c>
      <c r="H200" s="141">
        <f>+IF(G200&lt;19999,0,IFERROR(VLOOKUP(C200,'AUX23'!$D$2:$K$70,3,0)*G200/100,0))</f>
        <v>538.97212499999989</v>
      </c>
      <c r="I200" s="141">
        <f>IF(G200&lt;9999,0,IFERROR(VLOOKUP(C200,'AUX23'!$D$2:$L$70,4,0)*G200/100,0))</f>
        <v>2155.8884999999996</v>
      </c>
      <c r="J200" s="141">
        <f>IF(G200&lt;9999,0,IFERROR(VLOOKUP(C200,'AUX23'!$D$2:$L$70,5,0)*G200/100,0))</f>
        <v>0</v>
      </c>
      <c r="K200" s="141">
        <f>IF(G200&lt;9999,0,IFERROR((G200-67170)*VLOOKUP(C200,'AUX23'!$D$2:$L$70,6,0)/100,0))</f>
        <v>0</v>
      </c>
      <c r="L200" s="141">
        <f>IF(G200&lt;9999,0,IFERROR((G200/1.21)*VLOOKUP(C200,'AUX23'!$D$2:$L$70,7,0)/100,0))</f>
        <v>0</v>
      </c>
      <c r="M200" s="141">
        <f t="shared" si="42"/>
        <v>40422.909374999996</v>
      </c>
      <c r="N200">
        <v>36598078</v>
      </c>
      <c r="O200">
        <f t="shared" si="43"/>
        <v>6</v>
      </c>
      <c r="P200" t="s">
        <v>101</v>
      </c>
      <c r="Q200" t="str">
        <f t="shared" si="29"/>
        <v>LEON LUIS CESARJUNIO 23</v>
      </c>
      <c r="R200" t="str">
        <f t="shared" si="45"/>
        <v>LEON LUIS CESAR6</v>
      </c>
      <c r="S200" t="str">
        <f>+R200&amp;COUNTIF($R$2:R200,R200)</f>
        <v>LEON LUIS CESAR61</v>
      </c>
      <c r="T200" s="141">
        <f t="shared" si="44"/>
        <v>1466185.9200000002</v>
      </c>
      <c r="U200" t="str">
        <f t="shared" si="46"/>
        <v>6402</v>
      </c>
      <c r="V200" t="str">
        <f t="shared" si="47"/>
        <v>LEON LUIS CESAR636598078</v>
      </c>
      <c r="W200" t="str">
        <f>+V200&amp;COUNTIF($V$2:V200,V200)</f>
        <v>LEON LUIS CESAR6365980781</v>
      </c>
    </row>
    <row r="201" spans="1:23" x14ac:dyDescent="0.25">
      <c r="A201" t="str">
        <f>Q201&amp;COUNTIF($Q$30:Q201,Q201)</f>
        <v>GOMEZ PARDO RAUL(LIMPLUS)JUNIO 231</v>
      </c>
      <c r="B201" t="s">
        <v>147</v>
      </c>
      <c r="C201" t="s">
        <v>114</v>
      </c>
      <c r="D201" t="s">
        <v>610</v>
      </c>
      <c r="E201" s="10">
        <v>45085</v>
      </c>
      <c r="F201" t="str">
        <f>+IFERROR(INDEX('AUX23'!$C$2:$D$60,MATCH(CARGAFACTURAS!C201,'AUX23'!$D$2:$D$70,0),1),"")</f>
        <v>20-34285327-8</v>
      </c>
      <c r="G201" s="243">
        <v>33291.800000000003</v>
      </c>
      <c r="H201" s="141">
        <f>+IF(G201&lt;19999,0,IFERROR(VLOOKUP(C201,'AUX23'!$D$2:$K$70,3,0)*G201/100,0))</f>
        <v>416.14749999999998</v>
      </c>
      <c r="I201" s="141">
        <f>IF(G201&lt;9999,0,IFERROR(VLOOKUP(C201,'AUX23'!$D$2:$L$70,4,0)*G201/100,0))</f>
        <v>1664.59</v>
      </c>
      <c r="J201" s="141">
        <f>IF(G201&lt;9999,0,IFERROR(VLOOKUP(C201,'AUX23'!$D$2:$L$70,5,0)*G201/100,0))</f>
        <v>0</v>
      </c>
      <c r="K201" s="141">
        <f>IF(G201&lt;9999,0,IFERROR((G201-67170)*VLOOKUP(C201,'AUX23'!$D$2:$L$70,6,0)/100,0))</f>
        <v>0</v>
      </c>
      <c r="L201" s="141">
        <f>IF(G201&lt;9999,0,IFERROR((G201/1.21)*VLOOKUP(C201,'AUX23'!$D$2:$L$70,7,0)/100,0))</f>
        <v>0</v>
      </c>
      <c r="M201" s="141">
        <f t="shared" si="42"/>
        <v>31211.062500000004</v>
      </c>
      <c r="N201">
        <v>36597807</v>
      </c>
      <c r="O201">
        <f t="shared" si="43"/>
        <v>6</v>
      </c>
      <c r="P201" t="s">
        <v>101</v>
      </c>
      <c r="Q201" t="str">
        <f t="shared" si="29"/>
        <v>GOMEZ PARDO RAUL(LIMPLUS)JUNIO 23</v>
      </c>
      <c r="R201" t="str">
        <f t="shared" si="45"/>
        <v>GOMEZ PARDO RAUL(LIMPLUS)6</v>
      </c>
      <c r="S201" t="str">
        <f>+R201&amp;COUNTIF($R$2:R201,R201)</f>
        <v>GOMEZ PARDO RAUL(LIMPLUS)61</v>
      </c>
      <c r="T201" s="141">
        <f t="shared" si="44"/>
        <v>1432894.12</v>
      </c>
      <c r="U201" t="str">
        <f t="shared" si="46"/>
        <v>1385</v>
      </c>
      <c r="V201" t="str">
        <f t="shared" si="47"/>
        <v>GOMEZ PARDO RAUL(LIMPLUS)636597807</v>
      </c>
      <c r="W201" t="str">
        <f>+V201&amp;COUNTIF($V$2:V201,V201)</f>
        <v>GOMEZ PARDO RAUL(LIMPLUS)6365978071</v>
      </c>
    </row>
    <row r="202" spans="1:23" x14ac:dyDescent="0.25">
      <c r="A202" t="str">
        <f>Q202&amp;COUNTIF($Q$30:Q202,Q202)</f>
        <v>ESCOBEDO LUCAS NICOLAS (PAPERTUC)JUNIO 231</v>
      </c>
      <c r="B202" t="s">
        <v>147</v>
      </c>
      <c r="C202" t="s">
        <v>104</v>
      </c>
      <c r="D202" t="s">
        <v>611</v>
      </c>
      <c r="E202" s="10">
        <v>45085</v>
      </c>
      <c r="F202" t="str">
        <f>+IFERROR(INDEX('AUX23'!$C$2:$D$60,MATCH(CARGAFACTURAS!C202,'AUX23'!$D$2:$D$70,0),1),"")</f>
        <v>20-31729103-6</v>
      </c>
      <c r="G202" s="243">
        <v>25605.3</v>
      </c>
      <c r="H202" s="141">
        <f>+IF(G202&lt;19999,0,IFERROR(VLOOKUP(C202,'AUX23'!$D$2:$K$70,3,0)*G202/100,0))</f>
        <v>320.06625000000003</v>
      </c>
      <c r="I202" s="141">
        <f>IF(G202&lt;9999,0,IFERROR(VLOOKUP(C202,'AUX23'!$D$2:$L$70,4,0)*G202/100,0))</f>
        <v>1280.2650000000001</v>
      </c>
      <c r="J202" s="141">
        <f>IF(G202&lt;9999,0,IFERROR(VLOOKUP(C202,'AUX23'!$D$2:$L$70,5,0)*G202/100,0))</f>
        <v>0</v>
      </c>
      <c r="K202" s="141">
        <f>IF(G202&lt;9999,0,IFERROR((G202-67170)*VLOOKUP(C202,'AUX23'!$D$2:$L$70,6,0)/100,0))</f>
        <v>0</v>
      </c>
      <c r="L202" s="141">
        <f>IF(G202&lt;9999,0,IFERROR((G202/1.21)*VLOOKUP(C202,'AUX23'!$D$2:$L$70,7,0)/100,0))</f>
        <v>0</v>
      </c>
      <c r="M202" s="141">
        <f t="shared" si="42"/>
        <v>24004.96875</v>
      </c>
      <c r="N202">
        <v>36597868</v>
      </c>
      <c r="O202">
        <f t="shared" si="43"/>
        <v>6</v>
      </c>
      <c r="P202" t="s">
        <v>101</v>
      </c>
      <c r="Q202" t="str">
        <f t="shared" si="29"/>
        <v>ESCOBEDO LUCAS NICOLAS (PAPERTUC)JUNIO 23</v>
      </c>
      <c r="R202" t="str">
        <f t="shared" si="45"/>
        <v>ESCOBEDO LUCAS NICOLAS (PAPERTUC)6</v>
      </c>
      <c r="S202" t="str">
        <f>+R202&amp;COUNTIF($R$2:R202,R202)</f>
        <v>ESCOBEDO LUCAS NICOLAS (PAPERTUC)61</v>
      </c>
      <c r="T202" s="141">
        <f t="shared" si="44"/>
        <v>1407288.82</v>
      </c>
      <c r="U202" t="str">
        <f t="shared" si="46"/>
        <v>0995</v>
      </c>
      <c r="V202" t="str">
        <f t="shared" si="47"/>
        <v>ESCOBEDO LUCAS NICOLAS (PAPERTUC)636597868</v>
      </c>
      <c r="W202" t="str">
        <f>+V202&amp;COUNTIF($V$2:V202,V202)</f>
        <v>ESCOBEDO LUCAS NICOLAS (PAPERTUC)6365978681</v>
      </c>
    </row>
    <row r="203" spans="1:23" x14ac:dyDescent="0.25">
      <c r="A203" t="str">
        <f>Q203&amp;COUNTIF($Q$30:Q203,Q203)</f>
        <v>SUCESION DE NUÑEZ CAMPERO MARIO ROBERTOJUNIO 231</v>
      </c>
      <c r="B203" t="s">
        <v>147</v>
      </c>
      <c r="C203" t="s">
        <v>560</v>
      </c>
      <c r="D203" t="s">
        <v>634</v>
      </c>
      <c r="E203" s="10">
        <v>45061</v>
      </c>
      <c r="F203" t="str">
        <f>+IFERROR(INDEX('AUX23'!$C$2:$D$60,MATCH(CARGAFACTURAS!C203,'AUX23'!$D$2:$D$70,0),1),"")</f>
        <v>20-16933019-1</v>
      </c>
      <c r="G203" s="243">
        <v>9690.64</v>
      </c>
      <c r="H203" s="141">
        <f>+IF(G203&lt;19999,0,IFERROR(VLOOKUP(C203,'AUX23'!$D$2:$K$70,3,0)*G203/100,0))</f>
        <v>0</v>
      </c>
      <c r="I203" s="141">
        <f>IF(G203&lt;9999,0,IFERROR(VLOOKUP(C203,'AUX23'!$D$2:$L$70,4,0)*G203/100,0))</f>
        <v>0</v>
      </c>
      <c r="J203" s="141">
        <f>IF(G203&lt;9999,0,IFERROR(VLOOKUP(C203,'AUX23'!$D$2:$L$70,5,0)*G203/100,0))</f>
        <v>0</v>
      </c>
      <c r="K203" s="141">
        <f>IF(G203&lt;9999,0,IFERROR((G203-67170)*VLOOKUP(C203,'AUX23'!$D$2:$L$70,6,0)/100,0))</f>
        <v>0</v>
      </c>
      <c r="L203" s="141">
        <f>IF(G203&lt;9999,0,IFERROR((G203/1.21)*VLOOKUP(C203,'AUX23'!$D$2:$L$70,7,0)/100,0))</f>
        <v>0</v>
      </c>
      <c r="M203" s="141">
        <f t="shared" si="42"/>
        <v>9690.64</v>
      </c>
      <c r="N203" t="str">
        <f t="shared" si="41"/>
        <v>CC</v>
      </c>
      <c r="O203">
        <f t="shared" si="43"/>
        <v>5</v>
      </c>
      <c r="P203" t="s">
        <v>101</v>
      </c>
      <c r="Q203" t="str">
        <f t="shared" si="29"/>
        <v>SUCESION DE NUÑEZ CAMPERO MARIO ROBERTOJUNIO 23</v>
      </c>
      <c r="R203" t="str">
        <f t="shared" si="45"/>
        <v>SUCESION DE NUÑEZ CAMPERO MARIO ROBERTO5</v>
      </c>
      <c r="S203" t="str">
        <f>+R203&amp;COUNTIF($R$2:R203,R203)</f>
        <v>SUCESION DE NUÑEZ CAMPERO MARIO ROBERTO51</v>
      </c>
      <c r="T203" s="141">
        <f t="shared" si="44"/>
        <v>1397598.1800000002</v>
      </c>
      <c r="U203" t="str">
        <f t="shared" si="46"/>
        <v>1700</v>
      </c>
      <c r="V203" t="str">
        <f t="shared" si="47"/>
        <v>SUCESION DE NUÑEZ CAMPERO MARIO ROBERTO5CC</v>
      </c>
      <c r="W203" t="str">
        <f>+V203&amp;COUNTIF($V$2:V203,V203)</f>
        <v>SUCESION DE NUÑEZ CAMPERO MARIO ROBERTO5CC1</v>
      </c>
    </row>
    <row r="204" spans="1:23" x14ac:dyDescent="0.25">
      <c r="A204" t="str">
        <f>Q204&amp;COUNTIF($Q$30:Q204,Q204)</f>
        <v>SUCESION DE NUÑEZ CAMPERO MARIO ROBERTOJUNIO 232</v>
      </c>
      <c r="B204" t="s">
        <v>147</v>
      </c>
      <c r="C204" t="s">
        <v>560</v>
      </c>
      <c r="D204" t="s">
        <v>614</v>
      </c>
      <c r="E204" s="10">
        <v>45086</v>
      </c>
      <c r="F204" t="str">
        <f>+IFERROR(INDEX('AUX23'!$C$2:$D$60,MATCH(CARGAFACTURAS!C204,'AUX23'!$D$2:$D$70,0),1),"")</f>
        <v>20-16933019-1</v>
      </c>
      <c r="G204" s="273">
        <v>2468.64</v>
      </c>
      <c r="H204" s="141">
        <f>+IF(G204&lt;19999,0,IFERROR(VLOOKUP(C204,'AUX23'!$D$2:$K$70,3,0)*G204/100,0))</f>
        <v>0</v>
      </c>
      <c r="I204" s="141">
        <f>IF(G204&lt;9999,0,IFERROR(VLOOKUP(C204,'AUX23'!$D$2:$L$70,4,0)*G204/100,0))</f>
        <v>0</v>
      </c>
      <c r="J204" s="141">
        <f>IF(G204&lt;9999,0,IFERROR(VLOOKUP(C204,'AUX23'!$D$2:$L$70,5,0)*G204/100,0))</f>
        <v>0</v>
      </c>
      <c r="K204" s="141">
        <f>IF(G204&lt;9999,0,IFERROR((G204-67170)*VLOOKUP(C204,'AUX23'!$D$2:$L$70,6,0)/100,0))</f>
        <v>0</v>
      </c>
      <c r="L204" s="141">
        <f>IF(G204&lt;9999,0,IFERROR((G204/1.21)*VLOOKUP(C204,'AUX23'!$D$2:$L$70,7,0)/100,0))</f>
        <v>0</v>
      </c>
      <c r="M204" s="141">
        <f t="shared" si="42"/>
        <v>2468.64</v>
      </c>
      <c r="N204">
        <v>36604937</v>
      </c>
      <c r="O204">
        <f t="shared" si="43"/>
        <v>6</v>
      </c>
      <c r="P204" t="s">
        <v>101</v>
      </c>
      <c r="Q204" t="str">
        <f t="shared" si="29"/>
        <v>SUCESION DE NUÑEZ CAMPERO MARIO ROBERTOJUNIO 23</v>
      </c>
      <c r="R204" t="str">
        <f t="shared" si="45"/>
        <v>SUCESION DE NUÑEZ CAMPERO MARIO ROBERTO6</v>
      </c>
      <c r="S204" t="str">
        <f>+R204&amp;COUNTIF($R$2:R204,R204)</f>
        <v>SUCESION DE NUÑEZ CAMPERO MARIO ROBERTO61</v>
      </c>
      <c r="T204" s="141">
        <f t="shared" si="44"/>
        <v>1395129.5400000003</v>
      </c>
      <c r="U204" t="str">
        <f t="shared" si="46"/>
        <v>1778</v>
      </c>
      <c r="V204" t="str">
        <f t="shared" si="47"/>
        <v>SUCESION DE NUÑEZ CAMPERO MARIO ROBERTO636604937</v>
      </c>
      <c r="W204" t="str">
        <f>+V204&amp;COUNTIF($V$2:V204,V204)</f>
        <v>SUCESION DE NUÑEZ CAMPERO MARIO ROBERTO6366049371</v>
      </c>
    </row>
    <row r="205" spans="1:23" x14ac:dyDescent="0.25">
      <c r="A205" t="str">
        <f>Q205&amp;COUNTIF($Q$30:Q205,Q205)</f>
        <v>GOMEZ PARDO RAUL(LIMPLUS)JUNIO 232</v>
      </c>
      <c r="B205" t="s">
        <v>147</v>
      </c>
      <c r="C205" t="s">
        <v>114</v>
      </c>
      <c r="D205" t="s">
        <v>623</v>
      </c>
      <c r="E205" s="10">
        <v>45089</v>
      </c>
      <c r="F205" t="str">
        <f>+IFERROR(INDEX('AUX23'!$C$2:$D$60,MATCH(CARGAFACTURAS!C205,'AUX23'!$D$2:$D$70,0),1),"")</f>
        <v>20-34285327-8</v>
      </c>
      <c r="G205" s="243">
        <v>3444.63</v>
      </c>
      <c r="H205" s="141">
        <f>+IF(G205&lt;19999,0,IFERROR(VLOOKUP(C205,'AUX23'!$D$2:$K$70,3,0)*G205/100,0))</f>
        <v>0</v>
      </c>
      <c r="I205" s="141">
        <f>IF(G205&lt;9999,0,IFERROR(VLOOKUP(C205,'AUX23'!$D$2:$L$70,4,0)*G205/100,0))</f>
        <v>0</v>
      </c>
      <c r="J205" s="141">
        <f>IF(G205&lt;9999,0,IFERROR(VLOOKUP(C205,'AUX23'!$D$2:$L$70,5,0)*G205/100,0))</f>
        <v>0</v>
      </c>
      <c r="K205" s="141">
        <f>IF(G205&lt;9999,0,IFERROR((G205-67170)*VLOOKUP(C205,'AUX23'!$D$2:$L$70,6,0)/100,0))</f>
        <v>0</v>
      </c>
      <c r="L205" s="141">
        <f>IF(G205&lt;9999,0,IFERROR((G205/1.21)*VLOOKUP(C205,'AUX23'!$D$2:$L$70,7,0)/100,0))</f>
        <v>0</v>
      </c>
      <c r="M205" s="141">
        <f t="shared" ref="M205:M206" si="48">G205-H205-I205-J205-K205-L205</f>
        <v>3444.63</v>
      </c>
      <c r="N205" t="str">
        <f t="shared" ref="N205:N206" si="49">+IF(G205&lt;9999,"CC","INGR. NUMERO")</f>
        <v>CC</v>
      </c>
      <c r="O205">
        <f t="shared" ref="O205:O206" si="50">+MONTH(E205)</f>
        <v>6</v>
      </c>
      <c r="P205" t="s">
        <v>101</v>
      </c>
      <c r="Q205" t="str">
        <f t="shared" si="29"/>
        <v>GOMEZ PARDO RAUL(LIMPLUS)JUNIO 23</v>
      </c>
      <c r="R205" t="str">
        <f t="shared" si="45"/>
        <v>GOMEZ PARDO RAUL(LIMPLUS)6</v>
      </c>
      <c r="S205" t="str">
        <f>+R205&amp;COUNTIF($R$2:R205,R205)</f>
        <v>GOMEZ PARDO RAUL(LIMPLUS)62</v>
      </c>
      <c r="T205" s="141">
        <f t="shared" si="44"/>
        <v>1391684.9100000004</v>
      </c>
      <c r="U205" t="str">
        <f t="shared" si="46"/>
        <v>8297</v>
      </c>
      <c r="V205" t="str">
        <f t="shared" si="47"/>
        <v>GOMEZ PARDO RAUL(LIMPLUS)6CC</v>
      </c>
      <c r="W205" t="str">
        <f>+V205&amp;COUNTIF($V$2:V205,V205)</f>
        <v>GOMEZ PARDO RAUL(LIMPLUS)6CC1</v>
      </c>
    </row>
    <row r="206" spans="1:23" x14ac:dyDescent="0.25">
      <c r="A206" t="str">
        <f>Q206&amp;COUNTIF($Q$30:Q206,Q206)</f>
        <v>LA GACETAJUNIO 231</v>
      </c>
      <c r="B206" t="s">
        <v>147</v>
      </c>
      <c r="C206" t="s">
        <v>540</v>
      </c>
      <c r="D206" t="s">
        <v>626</v>
      </c>
      <c r="E206" s="10">
        <v>45100</v>
      </c>
      <c r="F206" t="str">
        <f>+IFERROR(INDEX('AUX23'!$C$2:$D$60,MATCH(CARGAFACTURAS!C206,'AUX23'!$D$2:$D$70,0),1),"")</f>
        <v>30-50009071-1</v>
      </c>
      <c r="G206" s="243">
        <v>6230.02</v>
      </c>
      <c r="H206" s="141">
        <f>+IF(G206&lt;19999,0,IFERROR(VLOOKUP(C206,'AUX23'!$D$2:$K$70,3,0)*G206/100,0))</f>
        <v>0</v>
      </c>
      <c r="I206" s="141">
        <f>IF(G206&lt;9999,0,IFERROR(VLOOKUP(C206,'AUX23'!$D$2:$L$70,4,0)*G206/100,0))</f>
        <v>0</v>
      </c>
      <c r="J206" s="141">
        <f>IF(G206&lt;9999,0,IFERROR(VLOOKUP(C206,'AUX23'!$D$2:$L$70,5,0)*G206/100,0))</f>
        <v>0</v>
      </c>
      <c r="K206" s="141">
        <f>IF(G206&lt;9999,0,IFERROR((G206-67170)*VLOOKUP(C206,'AUX23'!$D$2:$L$70,6,0)/100,0))</f>
        <v>0</v>
      </c>
      <c r="L206" s="141">
        <f>IF(G206&lt;9999,0,IFERROR((G206/1.21)*VLOOKUP(C206,'AUX23'!$D$2:$L$70,7,0)/100,0))</f>
        <v>0</v>
      </c>
      <c r="M206" s="141">
        <f t="shared" si="48"/>
        <v>6230.02</v>
      </c>
      <c r="N206" t="str">
        <f t="shared" si="49"/>
        <v>CC</v>
      </c>
      <c r="O206">
        <f t="shared" si="50"/>
        <v>6</v>
      </c>
      <c r="P206" t="s">
        <v>101</v>
      </c>
      <c r="Q206" t="str">
        <f t="shared" si="29"/>
        <v>LA GACETAJUNIO 23</v>
      </c>
      <c r="R206" t="str">
        <f t="shared" si="45"/>
        <v>LA GACETA6</v>
      </c>
      <c r="S206" t="str">
        <f>+R206&amp;COUNTIF($R$2:R206,R206)</f>
        <v>LA GACETA61</v>
      </c>
      <c r="T206" s="141">
        <f t="shared" si="44"/>
        <v>1385454.8900000004</v>
      </c>
      <c r="U206" t="str">
        <f t="shared" si="46"/>
        <v>7948</v>
      </c>
      <c r="V206" t="str">
        <f t="shared" si="47"/>
        <v>LA GACETA6CC</v>
      </c>
      <c r="W206" t="str">
        <f>+V206&amp;COUNTIF($V$2:V206,V206)</f>
        <v>LA GACETA6CC1</v>
      </c>
    </row>
    <row r="207" spans="1:23" x14ac:dyDescent="0.25">
      <c r="A207" t="str">
        <f>Q207&amp;COUNTIF($Q$30:Q207,Q207)</f>
        <v>FULL TRACK S.R.L.JUNIO 232</v>
      </c>
      <c r="B207" t="s">
        <v>147</v>
      </c>
      <c r="C207" t="s">
        <v>98</v>
      </c>
      <c r="D207" t="s">
        <v>620</v>
      </c>
      <c r="E207" s="10">
        <v>45092</v>
      </c>
      <c r="F207" t="str">
        <f>+IFERROR(INDEX('AUX23'!$C$2:$D$60,MATCH(CARGAFACTURAS!C207,'AUX23'!$D$2:$D$70,0),1),"")</f>
        <v>30-71648081-6</v>
      </c>
      <c r="G207" s="243">
        <v>739700</v>
      </c>
      <c r="H207" s="141">
        <f>+IF(G207&lt;19999,0,IFERROR(VLOOKUP(C207,'AUX23'!$D$2:$K$70,3,0)*G207/100,0))</f>
        <v>0</v>
      </c>
      <c r="I207" s="141">
        <f>IF(G207&lt;9999,0,IFERROR(VLOOKUP(C207,'AUX23'!$D$2:$L$70,4,0)*G207/100,0))</f>
        <v>11095.5</v>
      </c>
      <c r="J207" s="141">
        <f>IF(G207&lt;9999,0,IFERROR(VLOOKUP(C207,'AUX23'!$D$2:$L$70,5,0)*G207/100,0))</f>
        <v>0</v>
      </c>
      <c r="K207" s="141">
        <f>IF(G207&lt;9999,0,IFERROR((G207-67170)*VLOOKUP(C207,'AUX23'!$D$2:$L$70,6,0)/100,0))</f>
        <v>13450.6</v>
      </c>
      <c r="L207" s="141">
        <f>IF(G207&lt;9999,0,IFERROR((G207/1.21)*VLOOKUP(C207,'AUX23'!$D$2:$L$70,7,0)/100,0))</f>
        <v>6113.2231404958675</v>
      </c>
      <c r="M207" s="141">
        <f t="shared" si="42"/>
        <v>709040.67685950419</v>
      </c>
      <c r="N207">
        <v>36919022</v>
      </c>
      <c r="O207">
        <f t="shared" si="43"/>
        <v>6</v>
      </c>
      <c r="P207" t="s">
        <v>124</v>
      </c>
      <c r="Q207" t="str">
        <f t="shared" si="29"/>
        <v>FULL TRACK S.R.L.JUNIO 23</v>
      </c>
      <c r="R207" t="str">
        <f t="shared" si="45"/>
        <v>FULL TRACK S.R.L.6</v>
      </c>
      <c r="S207" t="str">
        <f>+R207&amp;COUNTIF($R$2:R207,R207)</f>
        <v>FULL TRACK S.R.L.62</v>
      </c>
      <c r="T207" s="141">
        <f t="shared" si="44"/>
        <v>645754.89000000036</v>
      </c>
      <c r="U207" t="str">
        <f t="shared" si="46"/>
        <v>0051</v>
      </c>
      <c r="V207" t="str">
        <f t="shared" si="47"/>
        <v>FULL TRACK S.R.L.636919022</v>
      </c>
      <c r="W207" t="str">
        <f>+V207&amp;COUNTIF($V$2:V207,V207)</f>
        <v>FULL TRACK S.R.L.6369190221</v>
      </c>
    </row>
    <row r="208" spans="1:23" x14ac:dyDescent="0.25">
      <c r="A208" t="str">
        <f>Q208&amp;COUNTIF($Q$30:Q208,Q208)</f>
        <v>NAGLE JORGE ELIAS(FERRETERIA)JUNIO 231</v>
      </c>
      <c r="B208" t="s">
        <v>147</v>
      </c>
      <c r="C208" t="s">
        <v>340</v>
      </c>
      <c r="D208" t="s">
        <v>633</v>
      </c>
      <c r="E208" s="10">
        <v>45085</v>
      </c>
      <c r="F208" t="str">
        <f>+IFERROR(INDEX('AUX23'!$C$2:$D$60,MATCH(CARGAFACTURAS!C208,'AUX23'!$D$2:$D$70,0),1),"")</f>
        <v>20-39477352-3</v>
      </c>
      <c r="G208" s="273">
        <v>1680</v>
      </c>
      <c r="H208" s="141">
        <f>+IF(G208&lt;19999,0,IFERROR(VLOOKUP(C208,'AUX23'!$D$2:$K$70,3,0)*G208/100,0))</f>
        <v>0</v>
      </c>
      <c r="I208" s="141">
        <f>IF(G208&lt;9999,0,IFERROR(VLOOKUP(C208,'AUX23'!$D$2:$L$70,4,0)*G208/100,0))</f>
        <v>0</v>
      </c>
      <c r="J208" s="141">
        <f>IF(G208&lt;9999,0,IFERROR(VLOOKUP(C208,'AUX23'!$D$2:$L$70,5,0)*G208/100,0))</f>
        <v>0</v>
      </c>
      <c r="K208" s="141">
        <f>IF(G208&lt;9999,0,IFERROR((G208-67170)*VLOOKUP(C208,'AUX23'!$D$2:$L$70,6,0)/100,0))</f>
        <v>0</v>
      </c>
      <c r="L208" s="141">
        <f>IF(G208&lt;9999,0,IFERROR((G208/1.21)*VLOOKUP(C208,'AUX23'!$D$2:$L$70,7,0)/100,0))</f>
        <v>0</v>
      </c>
      <c r="M208" s="141">
        <f t="shared" si="42"/>
        <v>1680</v>
      </c>
      <c r="N208" t="str">
        <f t="shared" si="41"/>
        <v>CC</v>
      </c>
      <c r="O208">
        <f t="shared" si="43"/>
        <v>6</v>
      </c>
      <c r="P208" t="s">
        <v>101</v>
      </c>
      <c r="Q208" t="str">
        <f t="shared" si="29"/>
        <v>NAGLE JORGE ELIAS(FERRETERIA)JUNIO 23</v>
      </c>
      <c r="R208" t="str">
        <f t="shared" si="45"/>
        <v>NAGLE JORGE ELIAS(FERRETERIA)6</v>
      </c>
      <c r="S208" t="str">
        <f>+R208&amp;COUNTIF($R$2:R208,R208)</f>
        <v>NAGLE JORGE ELIAS(FERRETERIA)61</v>
      </c>
      <c r="T208" s="141">
        <f t="shared" si="44"/>
        <v>644074.89000000036</v>
      </c>
      <c r="U208" t="str">
        <f t="shared" si="46"/>
        <v>1642</v>
      </c>
      <c r="V208" t="str">
        <f t="shared" si="47"/>
        <v>NAGLE JORGE ELIAS(FERRETERIA)6CC</v>
      </c>
      <c r="W208" t="str">
        <f>+V208&amp;COUNTIF($V$2:V208,V208)</f>
        <v>NAGLE JORGE ELIAS(FERRETERIA)6CC1</v>
      </c>
    </row>
    <row r="209" spans="1:23" x14ac:dyDescent="0.25">
      <c r="A209" t="str">
        <f>Q209&amp;COUNTIF($Q$30:Q209,Q209)</f>
        <v>ROTTA FRANCISCO(COMPUMAQ)JUNIO 231</v>
      </c>
      <c r="B209" t="s">
        <v>147</v>
      </c>
      <c r="C209" t="s">
        <v>188</v>
      </c>
      <c r="D209" t="s">
        <v>637</v>
      </c>
      <c r="E209" s="10">
        <v>45037</v>
      </c>
      <c r="F209" t="str">
        <f>+IFERROR(INDEX('AUX23'!$C$2:$D$60,MATCH(CARGAFACTURAS!C209,'AUX23'!$D$2:$D$70,0),1),"")</f>
        <v>20-16216700-7</v>
      </c>
      <c r="G209" s="273">
        <v>4600</v>
      </c>
      <c r="H209" s="141">
        <f>+IF(G209&lt;19999,0,IFERROR(VLOOKUP(C209,'AUX23'!$D$2:$K$70,3,0)*G209/100,0))</f>
        <v>0</v>
      </c>
      <c r="I209" s="141">
        <f>IF(G209&lt;9999,0,IFERROR(VLOOKUP(C209,'AUX23'!$D$2:$L$70,4,0)*G209/100,0))</f>
        <v>0</v>
      </c>
      <c r="J209" s="141">
        <f>IF(G209&lt;9999,0,IFERROR(VLOOKUP(C209,'AUX23'!$D$2:$L$70,5,0)*G209/100,0))</f>
        <v>0</v>
      </c>
      <c r="K209" s="141">
        <f>IF(G209&lt;9999,0,IFERROR((G209-67170)*VLOOKUP(C209,'AUX23'!$D$2:$L$70,6,0)/100,0))</f>
        <v>0</v>
      </c>
      <c r="L209" s="141">
        <f>IF(G209&lt;9999,0,IFERROR((G209/1.21)*VLOOKUP(C209,'AUX23'!$D$2:$L$70,7,0)/100,0))</f>
        <v>0</v>
      </c>
      <c r="M209" s="141">
        <f t="shared" si="42"/>
        <v>4600</v>
      </c>
      <c r="N209" t="str">
        <f t="shared" si="41"/>
        <v>CC</v>
      </c>
      <c r="O209">
        <f t="shared" si="43"/>
        <v>4</v>
      </c>
      <c r="P209" t="s">
        <v>101</v>
      </c>
      <c r="Q209" t="str">
        <f t="shared" si="29"/>
        <v>ROTTA FRANCISCO(COMPUMAQ)JUNIO 23</v>
      </c>
      <c r="R209" t="str">
        <f t="shared" si="45"/>
        <v>ROTTA FRANCISCO(COMPUMAQ)4</v>
      </c>
      <c r="S209" t="str">
        <f>+R209&amp;COUNTIF($R$2:R209,R209)</f>
        <v>ROTTA FRANCISCO(COMPUMAQ)42</v>
      </c>
      <c r="T209" s="141">
        <f t="shared" si="44"/>
        <v>639474.89000000036</v>
      </c>
      <c r="U209" t="str">
        <f t="shared" si="46"/>
        <v>2434</v>
      </c>
      <c r="V209" t="str">
        <f t="shared" si="47"/>
        <v>ROTTA FRANCISCO(COMPUMAQ)4CC</v>
      </c>
      <c r="W209" t="str">
        <f>+V209&amp;COUNTIF($V$2:V209,V209)</f>
        <v>ROTTA FRANCISCO(COMPUMAQ)4CC2</v>
      </c>
    </row>
    <row r="210" spans="1:23" x14ac:dyDescent="0.25">
      <c r="A210" t="str">
        <f>Q210&amp;COUNTIF($Q$30:Q210,Q210)</f>
        <v>ANDRADA NICOLAS MATIASJUNIO 231</v>
      </c>
      <c r="B210" t="s">
        <v>147</v>
      </c>
      <c r="C210" t="s">
        <v>639</v>
      </c>
      <c r="D210" t="s">
        <v>646</v>
      </c>
      <c r="E210" s="10">
        <v>45107</v>
      </c>
      <c r="F210" t="str">
        <f>+IFERROR(INDEX('AUX23'!$C$2:$D$60,MATCH(CARGAFACTURAS!C210,'AUX23'!$D$2:$D$70,0),1),"")</f>
        <v>20-36867900-4</v>
      </c>
      <c r="G210" s="243">
        <v>6200</v>
      </c>
      <c r="H210" s="141">
        <f>+IF(G210&lt;19999,0,IFERROR(VLOOKUP(C210,'AUX23'!$D$2:$K$70,3,0)*G210/100,0))</f>
        <v>0</v>
      </c>
      <c r="I210" s="141">
        <f>IF(G210&lt;9999,0,IFERROR(VLOOKUP(C210,'AUX23'!$D$2:$L$70,4,0)*G210/100,0))</f>
        <v>0</v>
      </c>
      <c r="J210" s="141">
        <f>IF(G210&lt;9999,0,IFERROR(VLOOKUP(C210,'AUX23'!$D$2:$L$70,5,0)*G210/100,0))</f>
        <v>0</v>
      </c>
      <c r="K210" s="141">
        <f>IF(G210&lt;9999,0,IFERROR((G210-67170)*VLOOKUP(C210,'AUX23'!$D$2:$L$70,6,0)/100,0))</f>
        <v>0</v>
      </c>
      <c r="L210" s="141">
        <f>IF(G210&lt;9999,0,IFERROR((G210/1.21)*VLOOKUP(C210,'AUX23'!$D$2:$L$70,7,0)/100,0))</f>
        <v>0</v>
      </c>
      <c r="M210" s="141">
        <f t="shared" si="42"/>
        <v>6200</v>
      </c>
      <c r="N210" t="str">
        <f t="shared" si="41"/>
        <v>CC</v>
      </c>
      <c r="O210">
        <f t="shared" si="43"/>
        <v>6</v>
      </c>
      <c r="P210" t="s">
        <v>101</v>
      </c>
      <c r="Q210" t="str">
        <f t="shared" si="29"/>
        <v>ANDRADA NICOLAS MATIASJUNIO 23</v>
      </c>
      <c r="R210" t="str">
        <f t="shared" si="45"/>
        <v>ANDRADA NICOLAS MATIAS6</v>
      </c>
      <c r="S210" t="str">
        <f>+R210&amp;COUNTIF($R$2:R210,R210)</f>
        <v>ANDRADA NICOLAS MATIAS61</v>
      </c>
      <c r="T210" s="141">
        <f t="shared" si="44"/>
        <v>633274.89000000036</v>
      </c>
      <c r="U210" t="str">
        <f t="shared" si="46"/>
        <v>7338</v>
      </c>
      <c r="V210" t="str">
        <f t="shared" si="47"/>
        <v>ANDRADA NICOLAS MATIAS6CC</v>
      </c>
      <c r="W210" t="str">
        <f>+V210&amp;COUNTIF($V$2:V210,V210)</f>
        <v>ANDRADA NICOLAS MATIAS6CC1</v>
      </c>
    </row>
    <row r="211" spans="1:23" x14ac:dyDescent="0.25">
      <c r="A211" t="str">
        <f>Q211&amp;COUNTIF($Q$30:Q211,Q211)</f>
        <v>MAIMARA MAXIKIOSCOJUNIO 232</v>
      </c>
      <c r="B211" t="s">
        <v>147</v>
      </c>
      <c r="C211" t="s">
        <v>82</v>
      </c>
      <c r="D211" t="s">
        <v>663</v>
      </c>
      <c r="E211" s="10">
        <v>45114</v>
      </c>
      <c r="F211" t="str">
        <f>+IFERROR(INDEX('AUX23'!$C$2:$D$60,MATCH(CARGAFACTURAS!C211,'AUX23'!$D$2:$D$70,0),1),"")</f>
        <v>20-30068293-2</v>
      </c>
      <c r="G211" s="243">
        <v>1474.98</v>
      </c>
      <c r="H211" s="141">
        <f>+IF(G211&lt;19999,0,IFERROR(VLOOKUP(C211,'AUX23'!$D$2:$K$70,3,0)*G211/100,0))</f>
        <v>0</v>
      </c>
      <c r="I211" s="141">
        <f>IF(G211&lt;9999,0,IFERROR(VLOOKUP(C211,'AUX23'!$D$2:$L$70,4,0)*G211/100,0))</f>
        <v>0</v>
      </c>
      <c r="J211" s="141">
        <f>IF(G211&lt;9999,0,IFERROR(VLOOKUP(C211,'AUX23'!$D$2:$L$70,5,0)*G211/100,0))</f>
        <v>0</v>
      </c>
      <c r="K211" s="141">
        <f>IF(G211&lt;9999,0,IFERROR((G211-67170)*VLOOKUP(C211,'AUX23'!$D$2:$L$70,6,0)/100,0))</f>
        <v>0</v>
      </c>
      <c r="L211" s="141">
        <f>IF(G211&lt;9999,0,IFERROR((G211/1.21)*VLOOKUP(C211,'AUX23'!$D$2:$L$70,7,0)/100,0))</f>
        <v>0</v>
      </c>
      <c r="M211" s="141">
        <f t="shared" si="42"/>
        <v>1474.98</v>
      </c>
      <c r="N211" t="str">
        <f t="shared" si="41"/>
        <v>CC</v>
      </c>
      <c r="O211">
        <f t="shared" si="43"/>
        <v>7</v>
      </c>
      <c r="P211" t="s">
        <v>101</v>
      </c>
      <c r="Q211" t="str">
        <f t="shared" si="29"/>
        <v>MAIMARA MAXIKIOSCOJUNIO 23</v>
      </c>
      <c r="R211" t="str">
        <f t="shared" si="45"/>
        <v>MAIMARA MAXIKIOSCO7</v>
      </c>
      <c r="S211" t="str">
        <f>+R211&amp;COUNTIF($R$2:R211,R211)</f>
        <v>MAIMARA MAXIKIOSCO71</v>
      </c>
      <c r="T211" s="141">
        <f t="shared" si="44"/>
        <v>631799.91000000038</v>
      </c>
      <c r="U211" t="str">
        <f t="shared" si="46"/>
        <v>0742</v>
      </c>
      <c r="V211" t="str">
        <f t="shared" si="47"/>
        <v>MAIMARA MAXIKIOSCO7CC</v>
      </c>
      <c r="W211" t="str">
        <f>+V211&amp;COUNTIF($V$2:V211,V211)</f>
        <v>MAIMARA MAXIKIOSCO7CC1</v>
      </c>
    </row>
    <row r="212" spans="1:23" x14ac:dyDescent="0.25">
      <c r="A212" t="str">
        <f>Q212&amp;COUNTIF($Q$30:Q212,Q212)</f>
        <v>FULL TRACK S.R.L.JUNIO 233</v>
      </c>
      <c r="B212" t="s">
        <v>147</v>
      </c>
      <c r="C212" t="s">
        <v>98</v>
      </c>
      <c r="D212" t="s">
        <v>647</v>
      </c>
      <c r="E212" s="10">
        <v>45107</v>
      </c>
      <c r="F212" t="str">
        <f>+IFERROR(INDEX('AUX23'!$C$2:$D$60,MATCH(CARGAFACTURAS!C212,'AUX23'!$D$2:$D$70,0),1),"")</f>
        <v>30-71648081-6</v>
      </c>
      <c r="G212" s="243">
        <v>512200</v>
      </c>
      <c r="H212" s="141">
        <f>+IF(G212&lt;19999,0,IFERROR(VLOOKUP(C212,'AUX23'!$D$2:$K$70,3,0)*G212/100,0))</f>
        <v>0</v>
      </c>
      <c r="I212" s="141">
        <f>IF(G212&lt;9999,0,IFERROR(VLOOKUP(C212,'AUX23'!$D$2:$L$70,4,0)*G212/100,0))</f>
        <v>7683</v>
      </c>
      <c r="J212" s="141">
        <f>IF(G212&lt;9999,0,IFERROR(VLOOKUP(C212,'AUX23'!$D$2:$L$70,5,0)*G212/100,0))</f>
        <v>0</v>
      </c>
      <c r="K212" s="141">
        <f>IF(G212&lt;9999,0,IFERROR((G212-67170)*VLOOKUP(C212,'AUX23'!$D$2:$L$70,6,0)/100,0))</f>
        <v>8900.6</v>
      </c>
      <c r="L212" s="141">
        <f>IF(G212&lt;9999,0,IFERROR((G212/1.21)*VLOOKUP(C212,'AUX23'!$D$2:$L$70,7,0)/100,0))</f>
        <v>4233.0578512396696</v>
      </c>
      <c r="M212" s="141">
        <f t="shared" ref="M212:M213" si="51">G212-H212-I212-J212-K212-L212</f>
        <v>491383.34214876033</v>
      </c>
      <c r="N212">
        <v>37606821</v>
      </c>
      <c r="O212">
        <f t="shared" ref="O212:O213" si="52">+MONTH(E212)</f>
        <v>6</v>
      </c>
      <c r="P212" t="s">
        <v>124</v>
      </c>
      <c r="Q212" t="str">
        <f t="shared" si="29"/>
        <v>FULL TRACK S.R.L.JUNIO 23</v>
      </c>
      <c r="R212" t="str">
        <f t="shared" si="45"/>
        <v>FULL TRACK S.R.L.6</v>
      </c>
      <c r="S212" t="str">
        <f>+R212&amp;COUNTIF($R$2:R212,R212)</f>
        <v>FULL TRACK S.R.L.63</v>
      </c>
      <c r="T212" s="141">
        <f t="shared" si="44"/>
        <v>119599.91000000038</v>
      </c>
      <c r="U212" t="str">
        <f t="shared" si="46"/>
        <v>0052</v>
      </c>
      <c r="V212" t="str">
        <f t="shared" si="47"/>
        <v>FULL TRACK S.R.L.637606821</v>
      </c>
      <c r="W212" t="str">
        <f>+V212&amp;COUNTIF($V$2:V212,V212)</f>
        <v>FULL TRACK S.R.L.6376068211</v>
      </c>
    </row>
    <row r="213" spans="1:23" x14ac:dyDescent="0.25">
      <c r="A213" t="str">
        <f>Q213&amp;COUNTIF($Q$30:Q213,Q213)</f>
        <v>COOPPERATIVA LA CAÑADA SOLUCIONES LIMITADAJUNIO 231</v>
      </c>
      <c r="B213" t="s">
        <v>147</v>
      </c>
      <c r="C213" t="s">
        <v>616</v>
      </c>
      <c r="D213" t="s">
        <v>648</v>
      </c>
      <c r="E213" s="10">
        <v>45106</v>
      </c>
      <c r="F213" t="str">
        <f>+IFERROR(INDEX('AUX23'!$C$2:$D$60,MATCH(CARGAFACTURAS!C213,'AUX23'!$D$2:$D$70,0),1),"")</f>
        <v>30-71787724-8</v>
      </c>
      <c r="G213" s="243">
        <v>35000</v>
      </c>
      <c r="H213" s="141">
        <f>+IF(G213&lt;19999,0,IFERROR(VLOOKUP(C213,'AUX23'!$D$2:$K$70,3,0)*G213/100,0))</f>
        <v>875</v>
      </c>
      <c r="I213" s="141">
        <f>IF(G213&lt;9999,0,IFERROR(VLOOKUP(C213,'AUX23'!$D$2:$L$70,4,0)*G213/100,0))</f>
        <v>875</v>
      </c>
      <c r="J213" s="141">
        <f>IF(G213&lt;9999,0,IFERROR(VLOOKUP(C213,'AUX23'!$D$2:$L$70,5,0)*G213/100,0))</f>
        <v>0</v>
      </c>
      <c r="K213" s="141">
        <f>IF(G213&lt;9999,0,IFERROR((G213-67170)*VLOOKUP(C213,'AUX23'!$D$2:$L$70,6,0)/100,0))</f>
        <v>0</v>
      </c>
      <c r="L213" s="141">
        <f>IF(G213&lt;9999,0,IFERROR((G213/1.21)*VLOOKUP(C213,'AUX23'!$D$2:$L$70,7,0)/100,0))</f>
        <v>0</v>
      </c>
      <c r="M213" s="141">
        <f t="shared" si="51"/>
        <v>33250</v>
      </c>
      <c r="N213">
        <v>37302091</v>
      </c>
      <c r="O213">
        <f t="shared" si="52"/>
        <v>6</v>
      </c>
      <c r="P213" t="s">
        <v>101</v>
      </c>
      <c r="Q213" t="str">
        <f t="shared" si="29"/>
        <v>COOPPERATIVA LA CAÑADA SOLUCIONES LIMITADAJUNIO 23</v>
      </c>
      <c r="R213" t="str">
        <f t="shared" si="45"/>
        <v>COOPPERATIVA LA CAÑADA SOLUCIONES LIMITADA6</v>
      </c>
      <c r="S213" t="str">
        <f>+R213&amp;COUNTIF($R$2:R213,R213)</f>
        <v>COOPPERATIVA LA CAÑADA SOLUCIONES LIMITADA61</v>
      </c>
      <c r="T213" s="141">
        <f t="shared" si="44"/>
        <v>84599.910000000382</v>
      </c>
      <c r="U213" t="str">
        <f t="shared" si="46"/>
        <v>0001</v>
      </c>
      <c r="V213" t="str">
        <f t="shared" si="47"/>
        <v>COOPPERATIVA LA CAÑADA SOLUCIONES LIMITADA637302091</v>
      </c>
      <c r="W213" t="str">
        <f>+V213&amp;COUNTIF($V$2:V213,V213)</f>
        <v>COOPPERATIVA LA CAÑADA SOLUCIONES LIMITADA6373020911</v>
      </c>
    </row>
    <row r="214" spans="1:23" x14ac:dyDescent="0.25">
      <c r="A214" t="str">
        <f>Q214&amp;COUNTIF($Q$30:Q214,Q214)</f>
        <v>WATERLIFE (VARONA CARLOS JOSE)JUNIO 232</v>
      </c>
      <c r="B214" t="s">
        <v>147</v>
      </c>
      <c r="C214" t="s">
        <v>20</v>
      </c>
      <c r="D214" t="s">
        <v>667</v>
      </c>
      <c r="E214" s="10">
        <v>45108</v>
      </c>
      <c r="F214" t="str">
        <f>+IFERROR(INDEX('AUX23'!$C$2:$D$60,MATCH(CARGAFACTURAS!C214,'AUX23'!$D$2:$D$70,0),1),"")</f>
        <v>20-22414023-2</v>
      </c>
      <c r="G214" s="243">
        <v>69600</v>
      </c>
      <c r="H214" s="141">
        <f>+IF(G214&lt;19999,0,IFERROR(VLOOKUP(C214,'AUX23'!$D$2:$K$70,3,0)*G214/100,0))</f>
        <v>0</v>
      </c>
      <c r="I214" s="141">
        <f>IF(G214&lt;9999,0,IFERROR(VLOOKUP(C214,'AUX23'!$D$2:$L$70,4,0)*G214/100,0))</f>
        <v>1740</v>
      </c>
      <c r="J214" s="141">
        <f>IF(G214&lt;9999,0,IFERROR(VLOOKUP(C214,'AUX23'!$D$2:$L$70,5,0)*G214/100,0))</f>
        <v>0</v>
      </c>
      <c r="K214" s="141">
        <f>IF(G214&lt;9999,0,IFERROR((G214-67170)*VLOOKUP(C214,'AUX23'!$D$2:$L$70,6,0)/100,0))</f>
        <v>0</v>
      </c>
      <c r="L214" s="141">
        <f>IF(G214&lt;9999,0,IFERROR((G214/1.21)*VLOOKUP(C214,'AUX23'!$D$2:$L$70,7,0)/100,0))</f>
        <v>0</v>
      </c>
      <c r="M214" s="141">
        <f t="shared" ref="M214:M216" si="53">G214-H214-I214-J214-K214-L214</f>
        <v>67860</v>
      </c>
      <c r="N214">
        <v>37607189</v>
      </c>
      <c r="O214">
        <f t="shared" ref="O214:O216" si="54">+MONTH(E214)</f>
        <v>7</v>
      </c>
      <c r="P214" t="s">
        <v>101</v>
      </c>
      <c r="Q214" t="str">
        <f t="shared" si="29"/>
        <v>WATERLIFE (VARONA CARLOS JOSE)JUNIO 23</v>
      </c>
      <c r="R214" t="str">
        <f t="shared" si="45"/>
        <v>WATERLIFE (VARONA CARLOS JOSE)7</v>
      </c>
      <c r="S214" t="str">
        <f>+R214&amp;COUNTIF($R$2:R214,R214)</f>
        <v>WATERLIFE (VARONA CARLOS JOSE)71</v>
      </c>
      <c r="T214" s="141">
        <f t="shared" si="44"/>
        <v>14999.910000000382</v>
      </c>
      <c r="U214" t="str">
        <f t="shared" si="46"/>
        <v>4903</v>
      </c>
      <c r="V214" t="str">
        <f t="shared" si="47"/>
        <v>WATERLIFE (VARONA CARLOS JOSE)737607189</v>
      </c>
      <c r="W214" t="str">
        <f>+V214&amp;COUNTIF($V$2:V214,V214)</f>
        <v>WATERLIFE (VARONA CARLOS JOSE)7376071891</v>
      </c>
    </row>
    <row r="215" spans="1:23" x14ac:dyDescent="0.25">
      <c r="A215" t="str">
        <f>Q215&amp;COUNTIF($Q$30:Q215,Q215)</f>
        <v>COOPPERATIVA LA CAÑADA SOLUCIONES LIMITADAJUNIO 232</v>
      </c>
      <c r="B215" t="s">
        <v>147</v>
      </c>
      <c r="C215" t="s">
        <v>616</v>
      </c>
      <c r="D215" t="s">
        <v>649</v>
      </c>
      <c r="E215" s="10">
        <v>45111</v>
      </c>
      <c r="F215" t="str">
        <f>+IFERROR(INDEX('AUX23'!$C$2:$D$60,MATCH(CARGAFACTURAS!C215,'AUX23'!$D$2:$D$70,0),1),"")</f>
        <v>30-71787724-8</v>
      </c>
      <c r="G215" s="243">
        <v>15000</v>
      </c>
      <c r="H215" s="141">
        <f>+IF(G215&lt;19999,0,IFERROR(VLOOKUP(C215,'AUX23'!$D$2:$K$70,3,0)*G215/100,0))</f>
        <v>0</v>
      </c>
      <c r="I215" s="141">
        <f>IF(G215&lt;9999,0,IFERROR(VLOOKUP(C215,'AUX23'!$D$2:$L$70,4,0)*G215/100,0))</f>
        <v>375</v>
      </c>
      <c r="J215" s="141">
        <f>IF(G215&lt;9999,0,IFERROR(VLOOKUP(C215,'AUX23'!$D$2:$L$70,5,0)*G215/100,0))</f>
        <v>0</v>
      </c>
      <c r="K215" s="141">
        <f>IF(G215&lt;9999,0,IFERROR((G215-67170)*VLOOKUP(C215,'AUX23'!$D$2:$L$70,6,0)/100,0))</f>
        <v>0</v>
      </c>
      <c r="L215" s="141">
        <f>IF(G215&lt;9999,0,IFERROR((G215/1.21)*VLOOKUP(C215,'AUX23'!$D$2:$L$70,7,0)/100,0))</f>
        <v>0</v>
      </c>
      <c r="M215" s="141">
        <f t="shared" si="53"/>
        <v>14625</v>
      </c>
      <c r="N215">
        <v>37606936</v>
      </c>
      <c r="O215">
        <f t="shared" si="54"/>
        <v>7</v>
      </c>
      <c r="P215" t="s">
        <v>101</v>
      </c>
      <c r="Q215" t="str">
        <f t="shared" si="29"/>
        <v>COOPPERATIVA LA CAÑADA SOLUCIONES LIMITADAJUNIO 23</v>
      </c>
      <c r="R215" t="str">
        <f t="shared" si="45"/>
        <v>COOPPERATIVA LA CAÑADA SOLUCIONES LIMITADA7</v>
      </c>
      <c r="S215" t="str">
        <f>+R215&amp;COUNTIF($R$2:R215,R215)</f>
        <v>COOPPERATIVA LA CAÑADA SOLUCIONES LIMITADA71</v>
      </c>
      <c r="T215" s="141">
        <f t="shared" si="44"/>
        <v>-8.9999999618157744E-2</v>
      </c>
      <c r="U215" t="str">
        <f t="shared" si="46"/>
        <v>0002</v>
      </c>
      <c r="V215" t="str">
        <f t="shared" si="47"/>
        <v>COOPPERATIVA LA CAÑADA SOLUCIONES LIMITADA737606936</v>
      </c>
      <c r="W215" t="str">
        <f>+V215&amp;COUNTIF($V$2:V215,V215)</f>
        <v>COOPPERATIVA LA CAÑADA SOLUCIONES LIMITADA7376069361</v>
      </c>
    </row>
    <row r="216" spans="1:23" x14ac:dyDescent="0.25">
      <c r="A216" t="str">
        <f>Q216&amp;COUNTIF($Q$30:Q216,Q216)</f>
        <v>JUNIO 231</v>
      </c>
      <c r="B216" t="s">
        <v>147</v>
      </c>
      <c r="F216" t="str">
        <f>+IFERROR(INDEX('AUX23'!$C$2:$D$60,MATCH(CARGAFACTURAS!C216,'AUX23'!$D$2:$D$70,0),1),"")</f>
        <v/>
      </c>
      <c r="G216" s="243"/>
      <c r="H216" s="141">
        <f>+IF(G216&lt;19999,0,IFERROR(VLOOKUP(C216,'AUX23'!$D$2:$K$70,3,0)*G216/100,0))</f>
        <v>0</v>
      </c>
      <c r="I216" s="141">
        <f>IF(G216&lt;9999,0,IFERROR(VLOOKUP(C216,'AUX23'!$D$2:$L$70,4,0)*G216/100,0))</f>
        <v>0</v>
      </c>
      <c r="J216" s="141">
        <f>IF(G216&lt;9999,0,IFERROR(VLOOKUP(C216,'AUX23'!$D$2:$L$70,5,0)*G216/100,0))</f>
        <v>0</v>
      </c>
      <c r="K216" s="141">
        <f>IF(G216&lt;9999,0,IFERROR((G216-67170)*VLOOKUP(C216,'AUX23'!$D$2:$L$70,6,0)/100,0))</f>
        <v>0</v>
      </c>
      <c r="L216" s="141">
        <f>IF(G216&lt;9999,0,IFERROR((G216/1.21)*VLOOKUP(C216,'AUX23'!$D$2:$L$70,7,0)/100,0))</f>
        <v>0</v>
      </c>
      <c r="M216" s="141">
        <f t="shared" si="53"/>
        <v>0</v>
      </c>
      <c r="N216" t="str">
        <f t="shared" ref="N216" si="55">+IF(G216&lt;9999,"CC","INGR. NUMERO")</f>
        <v>CC</v>
      </c>
      <c r="O216">
        <f t="shared" si="54"/>
        <v>1</v>
      </c>
      <c r="Q216" t="str">
        <f t="shared" si="29"/>
        <v>JUNIO 23</v>
      </c>
      <c r="R216" t="str">
        <f t="shared" si="45"/>
        <v>1</v>
      </c>
      <c r="S216" t="str">
        <f>+R216&amp;COUNTIF($R$2:R216,R216)</f>
        <v>120</v>
      </c>
      <c r="T216" s="141">
        <f t="shared" si="44"/>
        <v>-8.9999999618157744E-2</v>
      </c>
      <c r="U216" t="str">
        <f t="shared" si="46"/>
        <v/>
      </c>
      <c r="V216" t="str">
        <f t="shared" si="47"/>
        <v>1CC</v>
      </c>
      <c r="W216" t="str">
        <f>+V216&amp;COUNTIF($V$2:V216,V216)</f>
        <v>1CC20</v>
      </c>
    </row>
    <row r="217" spans="1:23" x14ac:dyDescent="0.25">
      <c r="A217" t="str">
        <f>Q217&amp;COUNTIF($Q$30:Q217,Q217)</f>
        <v>ACREDITACION SIPROSA RFJUNIO 231</v>
      </c>
      <c r="B217" t="s">
        <v>147</v>
      </c>
      <c r="C217" t="s">
        <v>411</v>
      </c>
      <c r="F217" t="str">
        <f>+IFERROR(INDEX('AUX23'!$C$2:$D$60,MATCH(CARGAFACTURAS!C217,'AUX23'!$D$2:$D$70,0),1),"")</f>
        <v/>
      </c>
      <c r="G217" s="243">
        <v>150000</v>
      </c>
      <c r="H217" s="141">
        <f>+IF(G217&lt;19999,0,IFERROR(VLOOKUP(C217,'AUX23'!$D$2:$K$70,3,0)*G217/100,0))</f>
        <v>0</v>
      </c>
      <c r="I217" s="141">
        <f>IF(G217&lt;9999,0,IFERROR(VLOOKUP(C217,'AUX23'!$D$2:$L$70,4,0)*G217/100,0))</f>
        <v>0</v>
      </c>
      <c r="J217" s="141">
        <f>IF(G217&lt;9999,0,IFERROR(VLOOKUP(C217,'AUX23'!$D$2:$L$70,5,0)*G217/100,0))</f>
        <v>0</v>
      </c>
      <c r="K217" s="141">
        <f>IF(G217&lt;9999,0,IFERROR((G217-67170)*VLOOKUP(C217,'AUX23'!$D$2:$L$70,6,0)/100,0))</f>
        <v>0</v>
      </c>
      <c r="L217" s="141">
        <f>IF(G217&lt;9999,0,IFERROR((G217/1.21)*VLOOKUP(C217,'AUX23'!$D$2:$L$70,7,0)/100,0))</f>
        <v>0</v>
      </c>
      <c r="M217" s="141">
        <f t="shared" ref="M217:M229" si="56">G217-H217-I217-J217-K217-L217</f>
        <v>150000</v>
      </c>
      <c r="N217">
        <v>36488247</v>
      </c>
      <c r="O217">
        <f t="shared" ref="O217:O229" si="57">+MONTH(E217)</f>
        <v>1</v>
      </c>
      <c r="Q217" t="str">
        <f t="shared" ref="Q217:Q229" si="58">+C217&amp;B217</f>
        <v>ACREDITACION SIPROSA RFJUNIO 23</v>
      </c>
      <c r="R217" t="str">
        <f t="shared" ref="R217:R229" si="59">+CLEAN(C217)&amp;CLEAN(O217)</f>
        <v>ACREDITACION SIPROSA RF1</v>
      </c>
      <c r="S217" t="str">
        <f>+R217&amp;COUNTIF($R$2:R217,R217)</f>
        <v>ACREDITACION SIPROSA RF13</v>
      </c>
      <c r="T217" s="141">
        <f>+T216-G217+G217*2</f>
        <v>149999.91000000038</v>
      </c>
      <c r="U217" t="str">
        <f t="shared" si="46"/>
        <v/>
      </c>
      <c r="V217" t="str">
        <f t="shared" si="47"/>
        <v>ACREDITACION SIPROSA RF136488247</v>
      </c>
      <c r="W217" t="str">
        <f>+V217&amp;COUNTIF($V$2:V217,V217)</f>
        <v>ACREDITACION SIPROSA RF1364882471</v>
      </c>
    </row>
    <row r="218" spans="1:23" x14ac:dyDescent="0.25">
      <c r="A218" t="str">
        <f>Q218&amp;COUNTIF($Q$30:Q218,Q218)</f>
        <v>SG IMPRESIONESJUNIO 231</v>
      </c>
      <c r="B218" t="s">
        <v>147</v>
      </c>
      <c r="C218" t="s">
        <v>207</v>
      </c>
      <c r="D218" t="s">
        <v>659</v>
      </c>
      <c r="E218" s="10">
        <v>45093</v>
      </c>
      <c r="F218" t="str">
        <f>+IFERROR(INDEX('AUX23'!$C$2:$D$60,MATCH(CARGAFACTURAS!C218,'AUX23'!$D$2:$D$70,0),1),"")</f>
        <v>30-71784900-7</v>
      </c>
      <c r="G218" s="243">
        <v>148055.6</v>
      </c>
      <c r="H218" s="141">
        <f>+IF(G218&lt;19999,0,IFERROR(VLOOKUP(C218,'AUX23'!$D$2:$K$70,3,0)*G218/100,0))</f>
        <v>3701.39</v>
      </c>
      <c r="I218" s="141">
        <f>IF(G218&lt;9999,0,IFERROR(VLOOKUP(C218,'AUX23'!$D$2:$L$70,4,0)*G218/100,0))</f>
        <v>7402.78</v>
      </c>
      <c r="J218" s="141">
        <f>IF(G218&lt;9999,0,IFERROR(VLOOKUP(C218,'AUX23'!$D$2:$L$70,5,0)*G218/100,0))</f>
        <v>0</v>
      </c>
      <c r="K218" s="141">
        <v>274.32</v>
      </c>
      <c r="L218" s="141">
        <f>IF(G218&lt;9999,0,IFERROR((G218/1.21)*VLOOKUP(C218,'AUX23'!$D$2:$L$70,7,0)/100,0))</f>
        <v>1223.6000000000001</v>
      </c>
      <c r="M218" s="141">
        <f t="shared" si="56"/>
        <v>135453.50999999998</v>
      </c>
      <c r="N218" t="s">
        <v>660</v>
      </c>
      <c r="O218">
        <f t="shared" si="57"/>
        <v>6</v>
      </c>
      <c r="P218" t="s">
        <v>202</v>
      </c>
      <c r="Q218" t="str">
        <f t="shared" si="58"/>
        <v>SG IMPRESIONESJUNIO 23</v>
      </c>
      <c r="R218" t="str">
        <f t="shared" si="59"/>
        <v>SG IMPRESIONES6</v>
      </c>
      <c r="S218" t="str">
        <f>+R218&amp;COUNTIF($R$2:R218,R218)</f>
        <v>SG IMPRESIONES61</v>
      </c>
      <c r="T218" s="141">
        <f t="shared" ref="T218:T219" si="60">+T217-G218</f>
        <v>1944.310000000376</v>
      </c>
      <c r="U218" t="str">
        <f t="shared" si="46"/>
        <v>0119</v>
      </c>
      <c r="V218" t="str">
        <f t="shared" si="47"/>
        <v>SG IMPRESIONES636919029-37095820</v>
      </c>
      <c r="W218" t="str">
        <f>+V218&amp;COUNTIF($V$2:V218,V218)</f>
        <v>SG IMPRESIONES636919029-370958201</v>
      </c>
    </row>
    <row r="219" spans="1:23" x14ac:dyDescent="0.25">
      <c r="A219" t="str">
        <f>Q219&amp;COUNTIF($Q$30:Q219,Q219)</f>
        <v>JUNIO 232</v>
      </c>
      <c r="B219" t="s">
        <v>147</v>
      </c>
      <c r="F219" t="str">
        <f>+IFERROR(INDEX('AUX23'!$C$2:$D$60,MATCH(CARGAFACTURAS!C219,'AUX23'!$D$2:$D$70,0),1),"")</f>
        <v/>
      </c>
      <c r="G219" s="243"/>
      <c r="H219" s="141">
        <f>+IF(G219&lt;19999,0,IFERROR(VLOOKUP(C219,'AUX23'!$D$2:$K$70,3,0)*G219/100,0))</f>
        <v>0</v>
      </c>
      <c r="I219" s="141">
        <f>IF(G219&lt;9999,0,IFERROR(VLOOKUP(C219,'AUX23'!$D$2:$L$70,4,0)*G219/100,0))</f>
        <v>0</v>
      </c>
      <c r="J219" s="141">
        <f>IF(G219&lt;9999,0,IFERROR(VLOOKUP(C219,'AUX23'!$D$2:$L$70,5,0)*G219/100,0))</f>
        <v>0</v>
      </c>
      <c r="K219" s="141">
        <f>IF(G219&lt;9999,0,IFERROR((G219-67170)*VLOOKUP(C219,'AUX23'!$D$2:$L$70,6,0)/100,0))</f>
        <v>0</v>
      </c>
      <c r="L219" s="141">
        <f>IF(G219&lt;9999,0,IFERROR((G219/1.21)*VLOOKUP(C219,'AUX23'!$D$2:$L$70,7,0)/100,0))</f>
        <v>0</v>
      </c>
      <c r="M219" s="141">
        <f t="shared" si="56"/>
        <v>0</v>
      </c>
      <c r="N219" t="str">
        <f t="shared" ref="N219:N222" si="61">+IF(G219&lt;9999,"CC","INGR. NUMERO")</f>
        <v>CC</v>
      </c>
      <c r="O219">
        <f t="shared" si="57"/>
        <v>1</v>
      </c>
      <c r="Q219" t="str">
        <f t="shared" si="58"/>
        <v>JUNIO 23</v>
      </c>
      <c r="R219" t="str">
        <f t="shared" si="59"/>
        <v>1</v>
      </c>
      <c r="S219" t="str">
        <f>+R219&amp;COUNTIF($R$2:R219,R219)</f>
        <v>121</v>
      </c>
      <c r="T219" s="141">
        <f t="shared" si="60"/>
        <v>1944.310000000376</v>
      </c>
      <c r="U219" t="str">
        <f t="shared" si="46"/>
        <v/>
      </c>
      <c r="V219" t="str">
        <f t="shared" si="47"/>
        <v>1CC</v>
      </c>
      <c r="W219" t="str">
        <f>+V219&amp;COUNTIF($V$2:V219,V219)</f>
        <v>1CC21</v>
      </c>
    </row>
    <row r="220" spans="1:23" x14ac:dyDescent="0.25">
      <c r="A220" t="str">
        <f>Q220&amp;COUNTIF($Q$30:Q220,Q220)</f>
        <v>DEVOLUCION RF SIPROSAJUNIO 231</v>
      </c>
      <c r="B220" t="s">
        <v>147</v>
      </c>
      <c r="C220" t="s">
        <v>397</v>
      </c>
      <c r="D220" t="s">
        <v>635</v>
      </c>
      <c r="F220" t="str">
        <f>+IFERROR(INDEX('AUX23'!$C$2:$D$60,MATCH(CARGAFACTURAS!C220,'AUX23'!$D$2:$D$70,0),1),"")</f>
        <v/>
      </c>
      <c r="G220" s="243">
        <f>+G217-G218-G219</f>
        <v>1944.3999999999942</v>
      </c>
      <c r="H220" s="141">
        <f>+IF(G220&lt;19999,0,IFERROR(VLOOKUP(C220,'AUX23'!$D$2:$K$70,3,0)*G220/100,0))</f>
        <v>0</v>
      </c>
      <c r="I220" s="141">
        <f>IF(G220&lt;9999,0,IFERROR(VLOOKUP(C220,'AUX23'!$D$2:$L$70,4,0)*G220/100,0))</f>
        <v>0</v>
      </c>
      <c r="J220" s="141">
        <f>IF(G220&lt;9999,0,IFERROR(VLOOKUP(C220,'AUX23'!$D$2:$L$70,5,0)*G220/100,0))</f>
        <v>0</v>
      </c>
      <c r="K220" s="141">
        <f>IF(G220&lt;9999,0,IFERROR((G220-67170)*VLOOKUP(C220,'AUX23'!$D$2:$L$70,6,0)/100,0))</f>
        <v>0</v>
      </c>
      <c r="L220" s="141">
        <f>IF(G220&lt;9999,0,IFERROR((G220/1.21)*VLOOKUP(C220,'AUX23'!$D$2:$L$70,7,0)/100,0))</f>
        <v>0</v>
      </c>
      <c r="M220" s="141">
        <f t="shared" si="56"/>
        <v>1944.3999999999942</v>
      </c>
      <c r="N220" t="str">
        <f t="shared" si="61"/>
        <v>CC</v>
      </c>
      <c r="O220">
        <f t="shared" si="57"/>
        <v>1</v>
      </c>
      <c r="P220" t="s">
        <v>202</v>
      </c>
      <c r="Q220" t="str">
        <f t="shared" si="58"/>
        <v>DEVOLUCION RF SIPROSAJUNIO 23</v>
      </c>
      <c r="R220" t="str">
        <f t="shared" si="59"/>
        <v>DEVOLUCION RF SIPROSA1</v>
      </c>
      <c r="S220" t="str">
        <f>+R220&amp;COUNTIF($R$2:R220,R220)</f>
        <v>DEVOLUCION RF SIPROSA11</v>
      </c>
      <c r="T220" s="141">
        <f>+T219-G220</f>
        <v>-8.9999999618157744E-2</v>
      </c>
      <c r="U220" t="str">
        <f t="shared" si="46"/>
        <v>DEV</v>
      </c>
      <c r="V220" t="str">
        <f t="shared" si="47"/>
        <v>DEVOLUCION RF SIPROSA1CC</v>
      </c>
      <c r="W220" t="str">
        <f>+V220&amp;COUNTIF($V$2:V220,V220)</f>
        <v>DEVOLUCION RF SIPROSA1CC1</v>
      </c>
    </row>
    <row r="221" spans="1:23" x14ac:dyDescent="0.25">
      <c r="A221" t="str">
        <f>Q221&amp;COUNTIF($Q$30:Q221,Q221)</f>
        <v>ACREDITACION SIPROSA RFJUNIO 232</v>
      </c>
      <c r="B221" t="s">
        <v>147</v>
      </c>
      <c r="C221" t="s">
        <v>411</v>
      </c>
      <c r="F221" t="str">
        <f>+IFERROR(INDEX('AUX23'!$C$2:$D$60,MATCH(CARGAFACTURAS!C221,'AUX23'!$D$2:$D$70,0),1),"")</f>
        <v/>
      </c>
      <c r="G221" s="243">
        <v>20000</v>
      </c>
      <c r="H221" s="141">
        <f>+IF(G221&lt;19999,0,IFERROR(VLOOKUP(C221,'AUX23'!$D$2:$K$70,3,0)*G221/100,0))</f>
        <v>0</v>
      </c>
      <c r="I221" s="141">
        <f>IF(G221&lt;9999,0,IFERROR(VLOOKUP(C221,'AUX23'!$D$2:$L$70,4,0)*G221/100,0))</f>
        <v>0</v>
      </c>
      <c r="J221" s="141">
        <f>IF(G221&lt;9999,0,IFERROR(VLOOKUP(C221,'AUX23'!$D$2:$L$70,5,0)*G221/100,0))</f>
        <v>0</v>
      </c>
      <c r="K221" s="141">
        <f>IF(G221&lt;9999,0,IFERROR((G221-67170)*VLOOKUP(C221,'AUX23'!$D$2:$L$70,6,0)/100,0))</f>
        <v>0</v>
      </c>
      <c r="L221" s="141">
        <f>IF(G221&lt;9999,0,IFERROR((G221/1.21)*VLOOKUP(C221,'AUX23'!$D$2:$L$70,7,0)/100,0))</f>
        <v>0</v>
      </c>
      <c r="M221" s="141">
        <f t="shared" si="56"/>
        <v>20000</v>
      </c>
      <c r="N221">
        <v>36736647</v>
      </c>
      <c r="O221">
        <f t="shared" si="57"/>
        <v>1</v>
      </c>
      <c r="Q221" t="str">
        <f t="shared" si="58"/>
        <v>ACREDITACION SIPROSA RFJUNIO 23</v>
      </c>
      <c r="R221" t="str">
        <f t="shared" si="59"/>
        <v>ACREDITACION SIPROSA RF1</v>
      </c>
      <c r="S221" t="str">
        <f>+R221&amp;COUNTIF($R$2:R221,R221)</f>
        <v>ACREDITACION SIPROSA RF14</v>
      </c>
      <c r="T221" s="141">
        <f>+T220-G221+G221*2</f>
        <v>19999.910000000382</v>
      </c>
      <c r="U221" t="str">
        <f t="shared" si="46"/>
        <v/>
      </c>
      <c r="V221" t="str">
        <f t="shared" si="47"/>
        <v>ACREDITACION SIPROSA RF136736647</v>
      </c>
      <c r="W221" t="str">
        <f>+V221&amp;COUNTIF($V$2:V221,V221)</f>
        <v>ACREDITACION SIPROSA RF1367366471</v>
      </c>
    </row>
    <row r="222" spans="1:23" x14ac:dyDescent="0.25">
      <c r="A222" t="str">
        <f>Q222&amp;COUNTIF($Q$30:Q222,Q222)</f>
        <v>CARREFOURJUNIO 231</v>
      </c>
      <c r="B222" t="s">
        <v>147</v>
      </c>
      <c r="C222" t="s">
        <v>117</v>
      </c>
      <c r="D222" t="s">
        <v>615</v>
      </c>
      <c r="E222" s="10">
        <v>45089</v>
      </c>
      <c r="F222" t="str">
        <f>+IFERROR(INDEX('AUX23'!$C$2:$D$60,MATCH(CARGAFACTURAS!C222,'AUX23'!$D$2:$D$70,0),1),"")</f>
        <v>30-68731043-4</v>
      </c>
      <c r="G222" s="243">
        <v>5370</v>
      </c>
      <c r="H222" s="141">
        <f>+IF(G222&lt;19999,0,IFERROR(VLOOKUP(C222,'AUX23'!$D$2:$K$70,3,0)*G222/100,0))</f>
        <v>0</v>
      </c>
      <c r="I222" s="141">
        <f>IF(G222&lt;9999,0,IFERROR(VLOOKUP(C222,'AUX23'!$D$2:$L$70,4,0)*G222/100,0))</f>
        <v>0</v>
      </c>
      <c r="J222" s="141">
        <f>IF(G222&lt;9999,0,IFERROR(VLOOKUP(C222,'AUX23'!$D$2:$L$70,5,0)*G222/100,0))</f>
        <v>0</v>
      </c>
      <c r="K222" s="141">
        <f>IF(G222&lt;9999,0,IFERROR((G222-67170)*VLOOKUP(C222,'AUX23'!$D$2:$L$70,6,0)/100,0))</f>
        <v>0</v>
      </c>
      <c r="L222" s="141">
        <f>IF(G222&lt;9999,0,IFERROR((G222/1.21)*VLOOKUP(C222,'AUX23'!$D$2:$L$70,7,0)/100,0))</f>
        <v>0</v>
      </c>
      <c r="M222" s="141">
        <f t="shared" si="56"/>
        <v>5370</v>
      </c>
      <c r="N222" t="str">
        <f t="shared" si="61"/>
        <v>CC</v>
      </c>
      <c r="O222">
        <f t="shared" si="57"/>
        <v>6</v>
      </c>
      <c r="P222" t="s">
        <v>202</v>
      </c>
      <c r="Q222" t="str">
        <f t="shared" si="58"/>
        <v>CARREFOURJUNIO 23</v>
      </c>
      <c r="R222" t="str">
        <f t="shared" si="59"/>
        <v>CARREFOUR6</v>
      </c>
      <c r="S222" t="str">
        <f>+R222&amp;COUNTIF($R$2:R222,R222)</f>
        <v>CARREFOUR61</v>
      </c>
      <c r="T222" s="141">
        <f t="shared" ref="T222:T229" si="62">+T221-G222</f>
        <v>14629.910000000382</v>
      </c>
      <c r="U222" t="str">
        <f t="shared" si="46"/>
        <v>4952</v>
      </c>
      <c r="V222" t="str">
        <f t="shared" si="47"/>
        <v>CARREFOUR6CC</v>
      </c>
      <c r="W222" t="str">
        <f>+V222&amp;COUNTIF($V$2:V222,V222)</f>
        <v>CARREFOUR6CC1</v>
      </c>
    </row>
    <row r="223" spans="1:23" x14ac:dyDescent="0.25">
      <c r="A223" t="str">
        <f>Q223&amp;COUNTIF($Q$30:Q223,Q223)</f>
        <v>LAMAS MONICA GABRIELAJUNIO 231</v>
      </c>
      <c r="B223" t="s">
        <v>147</v>
      </c>
      <c r="C223" t="s">
        <v>315</v>
      </c>
      <c r="D223" t="s">
        <v>621</v>
      </c>
      <c r="E223" s="10">
        <v>45092</v>
      </c>
      <c r="F223" t="str">
        <f>+IFERROR(INDEX('AUX23'!$C$2:$D$60,MATCH(CARGAFACTURAS!C223,'AUX23'!$D$2:$D$70,0),1),"")</f>
        <v>27-27493596-6</v>
      </c>
      <c r="G223" s="243">
        <v>9100</v>
      </c>
      <c r="H223" s="141">
        <f>+IF(G223&lt;19999,0,IFERROR(VLOOKUP(C223,'AUX23'!$D$2:$K$70,3,0)*G223/100,0))</f>
        <v>0</v>
      </c>
      <c r="I223" s="141">
        <f>IF(G223&lt;9999,0,IFERROR(VLOOKUP(C223,'AUX23'!$D$2:$L$70,4,0)*G223/100,0))</f>
        <v>0</v>
      </c>
      <c r="J223" s="141">
        <f>IF(G223&lt;9999,0,IFERROR(VLOOKUP(C223,'AUX23'!$D$2:$L$70,5,0)*G223/100,0))</f>
        <v>0</v>
      </c>
      <c r="K223" s="141">
        <f>IF(G223&lt;9999,0,IFERROR((G223-67170)*VLOOKUP(C223,'AUX23'!$D$2:$L$70,6,0)/100,0))</f>
        <v>0</v>
      </c>
      <c r="L223" s="141">
        <f>IF(G223&lt;9999,0,IFERROR((G223/1.21)*VLOOKUP(C223,'AUX23'!$D$2:$L$70,7,0)/100,0))</f>
        <v>0</v>
      </c>
      <c r="M223" s="141">
        <f t="shared" si="56"/>
        <v>9100</v>
      </c>
      <c r="N223">
        <v>36919017</v>
      </c>
      <c r="O223">
        <f t="shared" si="57"/>
        <v>6</v>
      </c>
      <c r="P223" t="s">
        <v>202</v>
      </c>
      <c r="Q223" t="str">
        <f t="shared" si="58"/>
        <v>LAMAS MONICA GABRIELAJUNIO 23</v>
      </c>
      <c r="R223" t="str">
        <f t="shared" si="59"/>
        <v>LAMAS MONICA GABRIELA6</v>
      </c>
      <c r="S223" t="str">
        <f>+R223&amp;COUNTIF($R$2:R223,R223)</f>
        <v>LAMAS MONICA GABRIELA61</v>
      </c>
      <c r="T223" s="141">
        <f t="shared" si="62"/>
        <v>5529.9100000003818</v>
      </c>
      <c r="U223" t="str">
        <f t="shared" si="46"/>
        <v>0148</v>
      </c>
      <c r="V223" t="str">
        <f t="shared" si="47"/>
        <v>LAMAS MONICA GABRIELA636919017</v>
      </c>
      <c r="W223" t="str">
        <f>+V223&amp;COUNTIF($V$2:V223,V223)</f>
        <v>LAMAS MONICA GABRIELA6369190171</v>
      </c>
    </row>
    <row r="224" spans="1:23" x14ac:dyDescent="0.25">
      <c r="A224" t="str">
        <f>Q224&amp;COUNTIF($Q$30:Q224,Q224)</f>
        <v>CYCOMAT SRLJUNIO 231</v>
      </c>
      <c r="B224" t="s">
        <v>147</v>
      </c>
      <c r="C224" t="s">
        <v>624</v>
      </c>
      <c r="D224" t="s">
        <v>630</v>
      </c>
      <c r="E224" s="10">
        <v>45100</v>
      </c>
      <c r="F224" t="str">
        <f>+IFERROR(INDEX('AUX23'!$C$2:$D$60,MATCH(CARGAFACTURAS!C224,'AUX23'!$D$2:$D$70,0),1),"")</f>
        <v>33-60125460-9</v>
      </c>
      <c r="G224" s="243">
        <v>2560</v>
      </c>
      <c r="H224" s="141">
        <f>+IF(G224&lt;19999,0,IFERROR(VLOOKUP(C224,'AUX23'!$D$2:$K$70,3,0)*G224/100,0))</f>
        <v>0</v>
      </c>
      <c r="I224" s="141">
        <f>IF(G224&lt;9999,0,IFERROR(VLOOKUP(C224,'AUX23'!$D$2:$L$70,4,0)*G224/100,0))</f>
        <v>0</v>
      </c>
      <c r="J224" s="141">
        <f>IF(G224&lt;9999,0,IFERROR(VLOOKUP(C224,'AUX23'!$D$2:$L$70,5,0)*G224/100,0))</f>
        <v>0</v>
      </c>
      <c r="K224" s="141">
        <f>IF(G224&lt;9999,0,IFERROR((G224-67170)*VLOOKUP(C224,'AUX23'!$D$2:$L$70,6,0)/100,0))</f>
        <v>0</v>
      </c>
      <c r="L224" s="141">
        <f>IF(G224&lt;9999,0,IFERROR((G224/1.21)*VLOOKUP(C224,'AUX23'!$D$2:$L$70,7,0)/100,0))</f>
        <v>0</v>
      </c>
      <c r="M224" s="141">
        <f t="shared" si="56"/>
        <v>2560</v>
      </c>
      <c r="N224">
        <v>37095946</v>
      </c>
      <c r="O224">
        <f t="shared" si="57"/>
        <v>6</v>
      </c>
      <c r="P224" t="s">
        <v>202</v>
      </c>
      <c r="Q224" t="str">
        <f t="shared" si="58"/>
        <v>CYCOMAT SRLJUNIO 23</v>
      </c>
      <c r="R224" t="str">
        <f t="shared" si="59"/>
        <v>CYCOMAT SRL6</v>
      </c>
      <c r="S224" t="str">
        <f>+R224&amp;COUNTIF($R$2:R224,R224)</f>
        <v>CYCOMAT SRL61</v>
      </c>
      <c r="T224" s="141">
        <f t="shared" si="62"/>
        <v>2969.9100000003818</v>
      </c>
      <c r="U224" t="str">
        <f t="shared" si="46"/>
        <v>6461</v>
      </c>
      <c r="V224" t="str">
        <f t="shared" si="47"/>
        <v>CYCOMAT SRL637095946</v>
      </c>
      <c r="W224" t="str">
        <f>+V224&amp;COUNTIF($V$2:V224,V224)</f>
        <v>CYCOMAT SRL6370959461</v>
      </c>
    </row>
    <row r="225" spans="1:23" x14ac:dyDescent="0.25">
      <c r="A225" t="str">
        <f>Q225&amp;COUNTIF($Q$30:Q225,Q225)</f>
        <v>PUERTAS RUBEN ALBERTO(PLASTINORT)JUNIO 231</v>
      </c>
      <c r="B225" t="s">
        <v>147</v>
      </c>
      <c r="C225" t="s">
        <v>107</v>
      </c>
      <c r="D225" t="s">
        <v>631</v>
      </c>
      <c r="E225" s="10">
        <v>45103</v>
      </c>
      <c r="F225" t="str">
        <f>+IFERROR(INDEX('AUX23'!$C$2:$D$60,MATCH(CARGAFACTURAS!C225,'AUX23'!$D$2:$D$70,0),1),"")</f>
        <v>20-12576284-1</v>
      </c>
      <c r="G225" s="243">
        <v>2700</v>
      </c>
      <c r="H225" s="141">
        <f>+IF(G225&lt;19999,0,IFERROR(VLOOKUP(C225,'AUX23'!$D$2:$K$70,3,0)*G225/100,0))</f>
        <v>0</v>
      </c>
      <c r="I225" s="141">
        <f>IF(G225&lt;9999,0,IFERROR(VLOOKUP(C225,'AUX23'!$D$2:$L$70,4,0)*G225/100,0))</f>
        <v>0</v>
      </c>
      <c r="J225" s="141">
        <f>IF(G225&lt;9999,0,IFERROR(VLOOKUP(C225,'AUX23'!$D$2:$L$70,5,0)*G225/100,0))</f>
        <v>0</v>
      </c>
      <c r="K225" s="141">
        <f>IF(G225&lt;9999,0,IFERROR((G225-67170)*VLOOKUP(C225,'AUX23'!$D$2:$L$70,6,0)/100,0))</f>
        <v>0</v>
      </c>
      <c r="L225" s="141">
        <f>IF(G225&lt;9999,0,IFERROR((G225/1.21)*VLOOKUP(C225,'AUX23'!$D$2:$L$70,7,0)/100,0))</f>
        <v>0</v>
      </c>
      <c r="M225" s="141">
        <f t="shared" si="56"/>
        <v>2700</v>
      </c>
      <c r="N225" t="str">
        <f t="shared" ref="N225:N229" si="63">+IF(G225&lt;9999,"CC","INGR. NUMERO")</f>
        <v>CC</v>
      </c>
      <c r="O225">
        <f t="shared" si="57"/>
        <v>6</v>
      </c>
      <c r="P225" t="s">
        <v>202</v>
      </c>
      <c r="Q225" t="str">
        <f t="shared" si="58"/>
        <v>PUERTAS RUBEN ALBERTO(PLASTINORT)JUNIO 23</v>
      </c>
      <c r="R225" t="str">
        <f t="shared" si="59"/>
        <v>PUERTAS RUBEN ALBERTO(PLASTINORT)6</v>
      </c>
      <c r="S225" t="str">
        <f>+R225&amp;COUNTIF($R$2:R225,R225)</f>
        <v>PUERTAS RUBEN ALBERTO(PLASTINORT)61</v>
      </c>
      <c r="T225" s="141">
        <f t="shared" si="62"/>
        <v>269.91000000038184</v>
      </c>
      <c r="U225" t="str">
        <f t="shared" si="46"/>
        <v>1912</v>
      </c>
      <c r="V225" t="str">
        <f t="shared" si="47"/>
        <v>PUERTAS RUBEN ALBERTO(PLASTINORT)6CC</v>
      </c>
      <c r="W225" t="str">
        <f>+V225&amp;COUNTIF($V$2:V225,V225)</f>
        <v>PUERTAS RUBEN ALBERTO(PLASTINORT)6CC1</v>
      </c>
    </row>
    <row r="226" spans="1:23" x14ac:dyDescent="0.25">
      <c r="A226" t="str">
        <f>Q226&amp;COUNTIF($Q$30:Q226,Q226)</f>
        <v>DEVOLUCION RF SIPROSAJUNIO 232</v>
      </c>
      <c r="B226" t="s">
        <v>147</v>
      </c>
      <c r="C226" t="s">
        <v>397</v>
      </c>
      <c r="D226" t="s">
        <v>635</v>
      </c>
      <c r="F226" t="str">
        <f>+IFERROR(INDEX('AUX23'!$C$2:$D$60,MATCH(CARGAFACTURAS!C226,'AUX23'!$D$2:$D$70,0),1),"")</f>
        <v/>
      </c>
      <c r="G226" s="243">
        <f>+G221-G222-G223-G224-G225</f>
        <v>270</v>
      </c>
      <c r="H226" s="141">
        <f>+IF(G226&lt;19999,0,IFERROR(VLOOKUP(C226,'AUX23'!$D$2:$K$70,3,0)*G226/100,0))</f>
        <v>0</v>
      </c>
      <c r="I226" s="141">
        <f>IF(G226&lt;9999,0,IFERROR(VLOOKUP(C226,'AUX23'!$D$2:$L$70,4,0)*G226/100,0))</f>
        <v>0</v>
      </c>
      <c r="J226" s="141">
        <f>IF(G226&lt;9999,0,IFERROR(VLOOKUP(C226,'AUX23'!$D$2:$L$70,5,0)*G226/100,0))</f>
        <v>0</v>
      </c>
      <c r="K226" s="141">
        <f>IF(G226&lt;9999,0,IFERROR((G226-67170)*VLOOKUP(C226,'AUX23'!$D$2:$L$70,6,0)/100,0))</f>
        <v>0</v>
      </c>
      <c r="L226" s="141">
        <f>IF(G226&lt;9999,0,IFERROR((G226/1.21)*VLOOKUP(C226,'AUX23'!$D$2:$L$70,7,0)/100,0))</f>
        <v>0</v>
      </c>
      <c r="M226" s="141">
        <f t="shared" si="56"/>
        <v>270</v>
      </c>
      <c r="N226" t="str">
        <f t="shared" si="63"/>
        <v>CC</v>
      </c>
      <c r="O226">
        <f t="shared" si="57"/>
        <v>1</v>
      </c>
      <c r="P226" t="s">
        <v>202</v>
      </c>
      <c r="Q226" t="str">
        <f t="shared" si="58"/>
        <v>DEVOLUCION RF SIPROSAJUNIO 23</v>
      </c>
      <c r="R226" t="str">
        <f t="shared" si="59"/>
        <v>DEVOLUCION RF SIPROSA1</v>
      </c>
      <c r="S226" t="str">
        <f>+R226&amp;COUNTIF($R$2:R226,R226)</f>
        <v>DEVOLUCION RF SIPROSA12</v>
      </c>
      <c r="T226" s="141">
        <f t="shared" si="62"/>
        <v>-8.9999999618157744E-2</v>
      </c>
      <c r="U226" t="str">
        <f t="shared" si="46"/>
        <v>DEV</v>
      </c>
      <c r="V226" t="str">
        <f t="shared" si="47"/>
        <v>DEVOLUCION RF SIPROSA1CC</v>
      </c>
      <c r="W226" t="str">
        <f>+V226&amp;COUNTIF($V$2:V226,V226)</f>
        <v>DEVOLUCION RF SIPROSA1CC2</v>
      </c>
    </row>
    <row r="227" spans="1:23" ht="17.25" x14ac:dyDescent="0.4">
      <c r="A227" t="str">
        <f>Q227&amp;COUNTIF($Q$30:Q227,Q227)</f>
        <v>JUNIO 233</v>
      </c>
      <c r="B227" t="s">
        <v>147</v>
      </c>
      <c r="F227" t="str">
        <f>+IFERROR(INDEX('AUX23'!$C$2:$D$60,MATCH(CARGAFACTURAS!C227,'AUX23'!$D$2:$D$70,0),1),"")</f>
        <v/>
      </c>
      <c r="G227" s="274"/>
      <c r="H227" s="141">
        <f>+IF(G227&lt;19999,0,IFERROR(VLOOKUP(C227,'AUX23'!$D$2:$K$70,3,0)*G227/100,0))</f>
        <v>0</v>
      </c>
      <c r="I227" s="141">
        <f>IF(G227&lt;9999,0,IFERROR(VLOOKUP(C227,'AUX23'!$D$2:$L$70,4,0)*G227/100,0))</f>
        <v>0</v>
      </c>
      <c r="J227" s="141">
        <f>IF(G227&lt;9999,0,IFERROR(VLOOKUP(C227,'AUX23'!$D$2:$L$70,5,0)*G227/100,0))</f>
        <v>0</v>
      </c>
      <c r="K227" s="141">
        <f>IF(G227&lt;9999,0,IFERROR((G227-67170)*VLOOKUP(C227,'AUX23'!$D$2:$L$70,6,0)/100,0))</f>
        <v>0</v>
      </c>
      <c r="L227" s="141">
        <f>IF(G227&lt;9999,0,IFERROR((G227/1.21)*VLOOKUP(C227,'AUX23'!$D$2:$L$70,7,0)/100,0))</f>
        <v>0</v>
      </c>
      <c r="M227" s="141">
        <f t="shared" si="56"/>
        <v>0</v>
      </c>
      <c r="N227" t="str">
        <f t="shared" si="63"/>
        <v>CC</v>
      </c>
      <c r="O227">
        <f t="shared" si="57"/>
        <v>1</v>
      </c>
      <c r="Q227" t="str">
        <f t="shared" si="58"/>
        <v>JUNIO 23</v>
      </c>
      <c r="R227" t="str">
        <f t="shared" si="59"/>
        <v>1</v>
      </c>
      <c r="S227" t="str">
        <f>+R227&amp;COUNTIF($R$2:R227,R227)</f>
        <v>122</v>
      </c>
      <c r="T227" s="141">
        <f t="shared" si="62"/>
        <v>-8.9999999618157744E-2</v>
      </c>
      <c r="U227" t="str">
        <f t="shared" si="46"/>
        <v/>
      </c>
      <c r="V227" t="str">
        <f t="shared" si="47"/>
        <v>1CC</v>
      </c>
      <c r="W227" t="str">
        <f>+V227&amp;COUNTIF($V$2:V227,V227)</f>
        <v>1CC22</v>
      </c>
    </row>
    <row r="228" spans="1:23" x14ac:dyDescent="0.25">
      <c r="A228" t="str">
        <f>Q228&amp;COUNTIF($Q$30:Q228,Q228)</f>
        <v>JUNIO 234</v>
      </c>
      <c r="B228" t="s">
        <v>147</v>
      </c>
      <c r="F228" t="str">
        <f>+IFERROR(INDEX('AUX23'!$C$2:$D$60,MATCH(CARGAFACTURAS!C228,'AUX23'!$D$2:$D$70,0),1),"")</f>
        <v/>
      </c>
      <c r="G228" s="141"/>
      <c r="H228" s="141">
        <f>+IF(G228&lt;19999,0,IFERROR(VLOOKUP(C228,'AUX23'!$D$2:$K$70,3,0)*G228/100,0))</f>
        <v>0</v>
      </c>
      <c r="I228" s="141">
        <f>IF(G228&lt;9999,0,IFERROR(VLOOKUP(C228,'AUX23'!$D$2:$L$70,4,0)*G228/100,0))</f>
        <v>0</v>
      </c>
      <c r="J228" s="141">
        <f>IF(G228&lt;9999,0,IFERROR(VLOOKUP(C228,'AUX23'!$D$2:$L$70,5,0)*G228/100,0))</f>
        <v>0</v>
      </c>
      <c r="K228" s="141">
        <v>0</v>
      </c>
      <c r="L228" s="141">
        <f>IF(G228&lt;9999,0,IFERROR((G228/1.21)*VLOOKUP(C228,'AUX23'!$D$2:$L$70,7,0)/100,0))</f>
        <v>0</v>
      </c>
      <c r="M228" s="141">
        <f t="shared" si="56"/>
        <v>0</v>
      </c>
      <c r="N228" t="str">
        <f t="shared" si="63"/>
        <v>CC</v>
      </c>
      <c r="O228">
        <f t="shared" si="57"/>
        <v>1</v>
      </c>
      <c r="Q228" t="str">
        <f t="shared" si="58"/>
        <v>JUNIO 23</v>
      </c>
      <c r="R228" t="str">
        <f t="shared" si="59"/>
        <v>1</v>
      </c>
      <c r="S228" t="str">
        <f>+R228&amp;COUNTIF($R$2:R228,R228)</f>
        <v>123</v>
      </c>
      <c r="T228" s="141">
        <f t="shared" si="62"/>
        <v>-8.9999999618157744E-2</v>
      </c>
      <c r="U228" t="str">
        <f t="shared" si="46"/>
        <v/>
      </c>
      <c r="V228" t="str">
        <f t="shared" si="47"/>
        <v>1CC</v>
      </c>
      <c r="W228" t="str">
        <f>+V228&amp;COUNTIF($V$2:V228,V228)</f>
        <v>1CC23</v>
      </c>
    </row>
    <row r="229" spans="1:23" x14ac:dyDescent="0.25">
      <c r="A229" t="str">
        <f>Q229&amp;COUNTIF($Q$30:Q229,Q229)</f>
        <v>JULIO 231</v>
      </c>
      <c r="B229" t="s">
        <v>148</v>
      </c>
      <c r="F229" t="str">
        <f>+IFERROR(INDEX('AUX23'!$C$2:$D$60,MATCH(CARGAFACTURAS!C229,'AUX23'!$D$2:$D$70,0),1),"")</f>
        <v/>
      </c>
      <c r="G229" s="141"/>
      <c r="H229" s="141">
        <f>+IF(G229&lt;19999,0,IFERROR(VLOOKUP(C229,'AUX23'!$D$2:$K$70,3,0)*G229/100,0))</f>
        <v>0</v>
      </c>
      <c r="I229" s="141">
        <f>IF(G229&lt;9999,0,IFERROR(VLOOKUP(C229,'AUX23'!$D$2:$L$70,4,0)*G229/100,0))</f>
        <v>0</v>
      </c>
      <c r="J229" s="141">
        <f>IF(G229&lt;9999,0,IFERROR(VLOOKUP(C229,'AUX23'!$D$2:$L$70,5,0)*G229/100,0))</f>
        <v>0</v>
      </c>
      <c r="K229" s="141">
        <v>0</v>
      </c>
      <c r="L229" s="141">
        <f>IF(G229&lt;9999,0,IFERROR((G229/1.21)*VLOOKUP(C229,'AUX23'!$D$2:$L$70,7,0)/100,0))</f>
        <v>0</v>
      </c>
      <c r="M229" s="141">
        <f t="shared" si="56"/>
        <v>0</v>
      </c>
      <c r="N229" t="str">
        <f t="shared" si="63"/>
        <v>CC</v>
      </c>
      <c r="O229">
        <f t="shared" si="57"/>
        <v>1</v>
      </c>
      <c r="Q229" t="str">
        <f t="shared" si="58"/>
        <v>JULIO 23</v>
      </c>
      <c r="R229" t="str">
        <f t="shared" si="59"/>
        <v>1</v>
      </c>
      <c r="S229" t="str">
        <f>+R229&amp;COUNTIF($R$2:R229,R229)</f>
        <v>124</v>
      </c>
      <c r="T229" s="141">
        <f t="shared" si="62"/>
        <v>-8.9999999618157744E-2</v>
      </c>
      <c r="U229" t="str">
        <f t="shared" si="46"/>
        <v/>
      </c>
      <c r="V229" t="str">
        <f t="shared" si="47"/>
        <v>1CC</v>
      </c>
      <c r="W229" t="str">
        <f>+V229&amp;COUNTIF($V$2:V229,V229)</f>
        <v>1CC24</v>
      </c>
    </row>
    <row r="230" spans="1:23" x14ac:dyDescent="0.25">
      <c r="A230" t="str">
        <f>Q230&amp;COUNTIF($Q$30:Q230,Q230)</f>
        <v>JULIO 232</v>
      </c>
      <c r="B230" t="s">
        <v>148</v>
      </c>
      <c r="F230" t="str">
        <f>+IFERROR(INDEX('AUX23'!$C$2:$D$60,MATCH(CARGAFACTURAS!C230,'AUX23'!$D$2:$D$70,0),1),"")</f>
        <v/>
      </c>
      <c r="G230" s="141"/>
      <c r="H230" s="141">
        <f>+IF(G230&lt;19999,0,IFERROR(VLOOKUP(C230,'AUX23'!$D$2:$K$70,3,0)*G230/100,0))</f>
        <v>0</v>
      </c>
      <c r="I230" s="141">
        <f>IF(G230&lt;9999,0,IFERROR(VLOOKUP(C230,'AUX23'!$D$2:$L$70,4,0)*G230/100,0))</f>
        <v>0</v>
      </c>
      <c r="J230" s="141">
        <f>IF(G230&lt;9999,0,IFERROR(VLOOKUP(C230,'AUX23'!$D$2:$L$70,5,0)*G230/100,0))</f>
        <v>0</v>
      </c>
      <c r="K230" s="141">
        <f>IF(G230&lt;9999,0,IFERROR((G230-67170)*VLOOKUP(C230,'AUX23'!$D$2:$L$70,6,0)/100,0))</f>
        <v>0</v>
      </c>
      <c r="L230" s="141">
        <f>IF(G230&lt;9999,0,IFERROR((G230/1.21)*VLOOKUP(C230,'AUX23'!$D$2:$L$70,7,0)/100,0))</f>
        <v>0</v>
      </c>
      <c r="M230" s="141">
        <f t="shared" si="42"/>
        <v>0</v>
      </c>
      <c r="N230" t="str">
        <f t="shared" si="41"/>
        <v>CC</v>
      </c>
      <c r="O230">
        <f t="shared" si="43"/>
        <v>1</v>
      </c>
      <c r="Q230" t="str">
        <f t="shared" ref="Q230:Q233" si="64">+C230&amp;B230</f>
        <v>JULIO 23</v>
      </c>
      <c r="R230" t="str">
        <f t="shared" si="45"/>
        <v>1</v>
      </c>
      <c r="S230" t="str">
        <f>+R230&amp;COUNTIF($R$2:R230,R230)</f>
        <v>125</v>
      </c>
      <c r="T230" s="141">
        <f t="shared" ref="T230:T233" si="65">+T229-G230</f>
        <v>-8.9999999618157744E-2</v>
      </c>
      <c r="U230" t="str">
        <f t="shared" si="46"/>
        <v/>
      </c>
      <c r="V230" t="str">
        <f t="shared" si="47"/>
        <v>1CC</v>
      </c>
      <c r="W230" t="str">
        <f>+V230&amp;COUNTIF($V$2:V230,V230)</f>
        <v>1CC25</v>
      </c>
    </row>
    <row r="231" spans="1:23" x14ac:dyDescent="0.25">
      <c r="A231" t="str">
        <f>Q231&amp;COUNTIF($Q$30:Q231,Q231)</f>
        <v>ACREDITACION SIPROSAJULIO 231</v>
      </c>
      <c r="B231" t="s">
        <v>148</v>
      </c>
      <c r="C231" t="s">
        <v>398</v>
      </c>
      <c r="F231" t="str">
        <f>+IFERROR(INDEX('AUX23'!$C$2:$D$60,MATCH(CARGAFACTURAS!C231,'AUX23'!$D$2:$D$70,0),1),"")</f>
        <v/>
      </c>
      <c r="G231" s="141">
        <v>3305761.98</v>
      </c>
      <c r="H231" s="141">
        <f>+IF(G231&lt;19999,0,IFERROR(VLOOKUP(C231,'AUX23'!$D$2:$K$70,3,0)*G231/100,0))</f>
        <v>0</v>
      </c>
      <c r="I231" s="141">
        <f>IF(G231&lt;9999,0,IFERROR(VLOOKUP(C231,'AUX23'!$D$2:$L$70,4,0)*G231/100,0))</f>
        <v>0</v>
      </c>
      <c r="J231" s="141">
        <f>IF(G231&lt;9999,0,IFERROR(VLOOKUP(C231,'AUX23'!$D$2:$L$70,5,0)*G231/100,0))</f>
        <v>0</v>
      </c>
      <c r="K231" s="141">
        <v>0</v>
      </c>
      <c r="L231" s="141">
        <f>IF(G231&lt;9999,0,IFERROR((G231/1.21)*VLOOKUP(C231,'AUX23'!$D$2:$L$70,7,0)/100,0))</f>
        <v>0</v>
      </c>
      <c r="M231" s="141">
        <f t="shared" si="42"/>
        <v>3305761.98</v>
      </c>
      <c r="N231">
        <v>19612311</v>
      </c>
      <c r="O231">
        <f t="shared" si="43"/>
        <v>1</v>
      </c>
      <c r="Q231" t="str">
        <f t="shared" si="64"/>
        <v>ACREDITACION SIPROSAJULIO 23</v>
      </c>
      <c r="R231" t="str">
        <f t="shared" si="45"/>
        <v>ACREDITACION SIPROSA1</v>
      </c>
      <c r="S231" t="str">
        <f>+R231&amp;COUNTIF($R$2:R231,R231)</f>
        <v>ACREDITACION SIPROSA14</v>
      </c>
      <c r="T231" s="141">
        <f>+T230-G231+G231*2</f>
        <v>3305761.8900000006</v>
      </c>
      <c r="U231" t="str">
        <f t="shared" si="46"/>
        <v/>
      </c>
      <c r="V231" t="str">
        <f t="shared" si="47"/>
        <v>ACREDITACION SIPROSA119612311</v>
      </c>
      <c r="W231" t="str">
        <f>+V231&amp;COUNTIF($V$2:V231,V231)</f>
        <v>ACREDITACION SIPROSA1196123111</v>
      </c>
    </row>
    <row r="232" spans="1:23" x14ac:dyDescent="0.25">
      <c r="A232" t="str">
        <f>Q232&amp;COUNTIF($Q$30:Q232,Q232)</f>
        <v>LA PROVIDENCIA DEL NOA SRLJULIO 231</v>
      </c>
      <c r="B232" t="s">
        <v>148</v>
      </c>
      <c r="C232" t="s">
        <v>11</v>
      </c>
      <c r="D232" t="s">
        <v>651</v>
      </c>
      <c r="E232" s="10">
        <v>45110</v>
      </c>
      <c r="F232" t="str">
        <f>+IFERROR(INDEX('AUX23'!$C$2:$D$60,MATCH(CARGAFACTURAS!C232,'AUX23'!$D$2:$D$70,0),1),"")</f>
        <v>30-68568395-0</v>
      </c>
      <c r="G232" s="243">
        <v>583355.55200000003</v>
      </c>
      <c r="H232" s="141">
        <f>+IF(G232&lt;19999,0,IFERROR(VLOOKUP(C232,'AUX23'!$D$2:$K$70,3,0)*G232/100,0))</f>
        <v>7291.9444000000003</v>
      </c>
      <c r="I232" s="141">
        <f>IF(G232&lt;9999,0,IFERROR(VLOOKUP(C232,'AUX23'!$D$2:$L$70,4,0)*G232/100,0))</f>
        <v>29167.777600000001</v>
      </c>
      <c r="J232" s="141">
        <f>IF(G232&lt;9999,0,IFERROR(VLOOKUP(C232,'AUX23'!$D$2:$L$70,5,0)*G232/100,0))</f>
        <v>50635.261913599999</v>
      </c>
      <c r="K232" s="141">
        <f>IF(G232&lt;9999,0,IFERROR((G232-67170)*VLOOKUP(C232,'AUX23'!$D$2:$L$70,6,0)/100,0))</f>
        <v>10323.71104</v>
      </c>
      <c r="L232" s="141">
        <f>IF(G232&lt;9999,0,IFERROR((G232/1.21)*VLOOKUP(C232,'AUX23'!$D$2:$L$70,7,0)/100,0))</f>
        <v>4821.1202644628102</v>
      </c>
      <c r="M232" s="141">
        <f t="shared" si="42"/>
        <v>481115.73678193707</v>
      </c>
      <c r="N232">
        <v>36068216</v>
      </c>
      <c r="O232">
        <f t="shared" si="43"/>
        <v>7</v>
      </c>
      <c r="P232" t="s">
        <v>102</v>
      </c>
      <c r="Q232" t="str">
        <f t="shared" si="64"/>
        <v>LA PROVIDENCIA DEL NOA SRLJULIO 23</v>
      </c>
      <c r="R232" t="str">
        <f t="shared" si="45"/>
        <v>LA PROVIDENCIA DEL NOA SRL7</v>
      </c>
      <c r="S232" t="str">
        <f>+R232&amp;COUNTIF($R$2:R232,R232)</f>
        <v>LA PROVIDENCIA DEL NOA SRL71</v>
      </c>
      <c r="T232" s="141">
        <f t="shared" si="65"/>
        <v>2722406.3380000005</v>
      </c>
      <c r="U232" t="str">
        <f t="shared" si="46"/>
        <v>6007</v>
      </c>
      <c r="V232" t="str">
        <f t="shared" si="47"/>
        <v>LA PROVIDENCIA DEL NOA SRL736068216</v>
      </c>
      <c r="W232" t="str">
        <f>+V232&amp;COUNTIF($V$2:V232,V232)</f>
        <v>LA PROVIDENCIA DEL NOA SRL7360682161</v>
      </c>
    </row>
    <row r="233" spans="1:23" x14ac:dyDescent="0.25">
      <c r="A233" t="str">
        <f>Q233&amp;COUNTIF($Q$30:Q233,Q233)</f>
        <v>LA PROVIDENCIA DEL NOA SRLJULIO 232</v>
      </c>
      <c r="B233" t="s">
        <v>148</v>
      </c>
      <c r="C233" t="s">
        <v>11</v>
      </c>
      <c r="D233" t="s">
        <v>652</v>
      </c>
      <c r="E233" s="10">
        <v>45110</v>
      </c>
      <c r="F233" t="str">
        <f>+IFERROR(INDEX('AUX23'!$C$2:$D$60,MATCH(CARGAFACTURAS!C233,'AUX23'!$D$2:$D$70,0),1),"")</f>
        <v>30-68568395-0</v>
      </c>
      <c r="G233" s="243">
        <v>212129.28</v>
      </c>
      <c r="H233" s="141">
        <f>+IF(G233&lt;19999,0,IFERROR(VLOOKUP(C233,'AUX23'!$D$2:$K$70,3,0)*G233/100,0))</f>
        <v>2651.616</v>
      </c>
      <c r="I233" s="141">
        <f>IF(G233&lt;9999,0,IFERROR(VLOOKUP(C233,'AUX23'!$D$2:$L$70,4,0)*G233/100,0))</f>
        <v>10606.464</v>
      </c>
      <c r="J233" s="141">
        <f>IF(G233&lt;9999,0,IFERROR(VLOOKUP(C233,'AUX23'!$D$2:$L$70,5,0)*G233/100,0))</f>
        <v>18412.821504</v>
      </c>
      <c r="K233" s="141">
        <f>IF(G233&lt;9999,0,IFERROR((G233-67170)*VLOOKUP(C233,'AUX23'!$D$2:$L$70,6,0)/100,0))</f>
        <v>2899.1855999999998</v>
      </c>
      <c r="L233" s="141">
        <f>IF(G233&lt;9999,0,IFERROR((G233/1.21)*VLOOKUP(C233,'AUX23'!$D$2:$L$70,7,0)/100,0))</f>
        <v>1753.1345454545456</v>
      </c>
      <c r="M233" s="141">
        <f t="shared" si="42"/>
        <v>175806.05835054544</v>
      </c>
      <c r="N233">
        <v>36068216</v>
      </c>
      <c r="O233">
        <f t="shared" si="43"/>
        <v>7</v>
      </c>
      <c r="P233" t="s">
        <v>102</v>
      </c>
      <c r="Q233" t="str">
        <f t="shared" si="64"/>
        <v>LA PROVIDENCIA DEL NOA SRLJULIO 23</v>
      </c>
      <c r="R233" t="str">
        <f t="shared" si="45"/>
        <v>LA PROVIDENCIA DEL NOA SRL7</v>
      </c>
      <c r="S233" t="str">
        <f>+R233&amp;COUNTIF($R$2:R233,R233)</f>
        <v>LA PROVIDENCIA DEL NOA SRL72</v>
      </c>
      <c r="T233" s="141">
        <f t="shared" si="65"/>
        <v>2510277.0580000007</v>
      </c>
      <c r="U233" t="str">
        <f t="shared" si="46"/>
        <v>6008</v>
      </c>
      <c r="V233" t="str">
        <f t="shared" si="47"/>
        <v>LA PROVIDENCIA DEL NOA SRL736068216</v>
      </c>
      <c r="W233" t="str">
        <f>+V233&amp;COUNTIF($V$2:V233,V233)</f>
        <v>LA PROVIDENCIA DEL NOA SRL7360682162</v>
      </c>
    </row>
    <row r="234" spans="1:23" x14ac:dyDescent="0.25">
      <c r="A234" t="str">
        <f>Q234&amp;COUNTIF($Q$30:Q234,Q234)</f>
        <v>COOP. DE TRAB. SAN LORENZO M JULIO 231</v>
      </c>
      <c r="B234" t="s">
        <v>148</v>
      </c>
      <c r="C234" t="s">
        <v>92</v>
      </c>
      <c r="D234" t="s">
        <v>653</v>
      </c>
      <c r="E234" s="10">
        <v>45107</v>
      </c>
      <c r="F234" t="str">
        <f>+IFERROR(INDEX('AUX23'!$C$2:$D$60,MATCH(CARGAFACTURAS!C234,'AUX23'!$D$2:$D$70,0),1),"")</f>
        <v>30-70895858-8</v>
      </c>
      <c r="G234" s="243">
        <v>200618.12</v>
      </c>
      <c r="H234" s="141">
        <f>+IF(G234&lt;19999,0,IFERROR(VLOOKUP(C234,'AUX23'!$D$2:$K$70,3,0)*G234/100,0))</f>
        <v>0</v>
      </c>
      <c r="I234" s="141">
        <f>IF(G234&lt;9999,0,IFERROR(VLOOKUP(C234,'AUX23'!$D$2:$L$70,4,0)*G234/100,0))</f>
        <v>0</v>
      </c>
      <c r="J234" s="141">
        <f>IF(G234&lt;9999,0,IFERROR(VLOOKUP(C234,'AUX23'!$D$2:$L$70,5,0)*G234/100,0))</f>
        <v>0</v>
      </c>
      <c r="K234" s="141">
        <f>IF(G234&lt;9999,0,IFERROR((G234-67170)*VLOOKUP(C234,'AUX23'!$D$2:$L$70,6,0)/100,0))</f>
        <v>0</v>
      </c>
      <c r="L234" s="141">
        <f>IF(G234&lt;9999,0,IFERROR((G234/1.21)*VLOOKUP(C234,'AUX23'!$D$2:$L$70,7,0)/100,0))</f>
        <v>0</v>
      </c>
      <c r="M234" s="141">
        <f t="shared" ref="M234:M291" si="66">G234-H234-I234-J234-K234-L234</f>
        <v>200618.12</v>
      </c>
      <c r="N234">
        <v>37607271</v>
      </c>
      <c r="O234">
        <f t="shared" ref="O234:O291" si="67">+MONTH(E234)</f>
        <v>6</v>
      </c>
      <c r="P234" t="s">
        <v>164</v>
      </c>
      <c r="Q234" t="str">
        <f t="shared" ref="Q234:Q297" si="68">+C234&amp;B234</f>
        <v>COOP. DE TRAB. SAN LORENZO M JULIO 23</v>
      </c>
      <c r="R234" t="str">
        <f t="shared" ref="R234:R297" si="69">+CLEAN(C234)&amp;CLEAN(O234)</f>
        <v>COOP. DE TRAB. SAN LORENZO M 6</v>
      </c>
      <c r="S234" t="str">
        <f>+R234&amp;COUNTIF($R$2:R234,R234)</f>
        <v>COOP. DE TRAB. SAN LORENZO M 61</v>
      </c>
      <c r="T234" s="141">
        <f t="shared" ref="T234:T297" si="70">+T233-G234</f>
        <v>2309658.9380000005</v>
      </c>
      <c r="U234" t="str">
        <f t="shared" ref="U234:U297" si="71">+RIGHT(D234,4)</f>
        <v>4947</v>
      </c>
      <c r="V234" t="str">
        <f t="shared" si="47"/>
        <v>COOP. DE TRAB. SAN LORENZO M 637607271</v>
      </c>
      <c r="W234" t="str">
        <f>+V234&amp;COUNTIF($V$2:V234,V234)</f>
        <v>COOP. DE TRAB. SAN LORENZO M 6376072711</v>
      </c>
    </row>
    <row r="235" spans="1:23" x14ac:dyDescent="0.25">
      <c r="A235" t="str">
        <f>Q235&amp;COUNTIF($Q$30:Q235,Q235)</f>
        <v>COOP. DE TRAB. SAN LORENZO M JULIO 232</v>
      </c>
      <c r="B235" t="s">
        <v>148</v>
      </c>
      <c r="C235" t="s">
        <v>92</v>
      </c>
      <c r="D235" t="s">
        <v>654</v>
      </c>
      <c r="E235" s="10">
        <v>45107</v>
      </c>
      <c r="F235" t="str">
        <f>+IFERROR(INDEX('AUX23'!$C$2:$D$60,MATCH(CARGAFACTURAS!C235,'AUX23'!$D$2:$D$70,0),1),"")</f>
        <v>30-70895858-8</v>
      </c>
      <c r="G235" s="243">
        <v>100309.06</v>
      </c>
      <c r="H235" s="141">
        <f>+IF(G235&lt;19999,0,IFERROR(VLOOKUP(C235,'AUX23'!$D$2:$K$70,3,0)*G235/100,0))</f>
        <v>0</v>
      </c>
      <c r="I235" s="141">
        <f>IF(G235&lt;9999,0,IFERROR(VLOOKUP(C235,'AUX23'!$D$2:$L$70,4,0)*G235/100,0))</f>
        <v>0</v>
      </c>
      <c r="J235" s="141">
        <f>IF(G235&lt;9999,0,IFERROR(VLOOKUP(C235,'AUX23'!$D$2:$L$70,5,0)*G235/100,0))</f>
        <v>0</v>
      </c>
      <c r="K235" s="141">
        <v>0</v>
      </c>
      <c r="L235" s="141">
        <f>IF(G235&lt;9999,0,IFERROR((G235/1.21)*VLOOKUP(C235,'AUX23'!$D$2:$L$70,7,0)/100,0))</f>
        <v>0</v>
      </c>
      <c r="M235" s="141">
        <f t="shared" si="66"/>
        <v>100309.06</v>
      </c>
      <c r="N235">
        <v>37607271</v>
      </c>
      <c r="O235">
        <f t="shared" si="67"/>
        <v>6</v>
      </c>
      <c r="P235" t="s">
        <v>164</v>
      </c>
      <c r="Q235" t="str">
        <f t="shared" si="68"/>
        <v>COOP. DE TRAB. SAN LORENZO M JULIO 23</v>
      </c>
      <c r="R235" t="str">
        <f t="shared" si="69"/>
        <v>COOP. DE TRAB. SAN LORENZO M 6</v>
      </c>
      <c r="S235" t="str">
        <f>+R235&amp;COUNTIF($R$2:R235,R235)</f>
        <v>COOP. DE TRAB. SAN LORENZO M 62</v>
      </c>
      <c r="T235" s="141">
        <f t="shared" si="70"/>
        <v>2209349.8780000005</v>
      </c>
      <c r="U235" t="str">
        <f t="shared" si="71"/>
        <v>4950</v>
      </c>
      <c r="V235" t="str">
        <f t="shared" si="47"/>
        <v>COOP. DE TRAB. SAN LORENZO M 637607271</v>
      </c>
      <c r="W235" t="str">
        <f>+V235&amp;COUNTIF($V$2:V235,V235)</f>
        <v>COOP. DE TRAB. SAN LORENZO M 6376072712</v>
      </c>
    </row>
    <row r="236" spans="1:23" x14ac:dyDescent="0.25">
      <c r="A236" t="str">
        <f>Q236&amp;COUNTIF($Q$30:Q236,Q236)</f>
        <v>CLARO (AMX ARGENTINA)JULIO 231</v>
      </c>
      <c r="B236" t="s">
        <v>148</v>
      </c>
      <c r="C236" t="s">
        <v>18</v>
      </c>
      <c r="D236" t="s">
        <v>734</v>
      </c>
      <c r="E236" s="10">
        <v>45122</v>
      </c>
      <c r="F236" t="str">
        <f>+IFERROR(INDEX('AUX23'!$C$2:$D$60,MATCH(CARGAFACTURAS!C236,'AUX23'!$D$2:$D$70,0),1),"")</f>
        <v>30-66328849-7</v>
      </c>
      <c r="G236" s="243">
        <v>22901.67</v>
      </c>
      <c r="H236" s="141">
        <f>+IF(G236&lt;19999,0,IFERROR(VLOOKUP(C236,'AUX23'!$D$2:$K$70,3,0)*G236/100,0))</f>
        <v>0</v>
      </c>
      <c r="I236" s="141">
        <f>IF(G236&lt;9999,0,IFERROR(VLOOKUP(C236,'AUX23'!$D$2:$L$70,4,0)*G236/100,0))</f>
        <v>0</v>
      </c>
      <c r="J236" s="141">
        <f>IF(G236&lt;9999,0,IFERROR(VLOOKUP(C236,'AUX23'!$D$2:$L$70,5,0)*G236/100,0))</f>
        <v>0</v>
      </c>
      <c r="K236" s="141">
        <v>0</v>
      </c>
      <c r="L236" s="141">
        <f>IF(G236&lt;9999,0,IFERROR((G236/1.21)*VLOOKUP(C236,'AUX23'!$D$2:$L$70,7,0)/100,0))</f>
        <v>0</v>
      </c>
      <c r="M236" s="141">
        <f t="shared" ref="M236" si="72">G236-H236-I236-J236-K236-L236</f>
        <v>22901.67</v>
      </c>
      <c r="N236">
        <v>38338688</v>
      </c>
      <c r="O236">
        <f t="shared" si="67"/>
        <v>7</v>
      </c>
      <c r="P236" t="s">
        <v>101</v>
      </c>
      <c r="Q236" t="str">
        <f t="shared" si="68"/>
        <v>CLARO (AMX ARGENTINA)JULIO 23</v>
      </c>
      <c r="R236" t="str">
        <f t="shared" si="69"/>
        <v>CLARO (AMX ARGENTINA)7</v>
      </c>
      <c r="S236" t="str">
        <f>+R236&amp;COUNTIF($R$2:R236,R236)</f>
        <v>CLARO (AMX ARGENTINA)71</v>
      </c>
      <c r="T236" s="141">
        <f t="shared" si="70"/>
        <v>2186448.2080000006</v>
      </c>
      <c r="U236" t="str">
        <f t="shared" si="71"/>
        <v>7060</v>
      </c>
      <c r="V236" t="str">
        <f t="shared" si="47"/>
        <v>CLARO (AMX ARGENTINA)738338688</v>
      </c>
      <c r="W236" t="str">
        <f>+V236&amp;COUNTIF($V$2:V236,V236)</f>
        <v>CLARO (AMX ARGENTINA)7383386881</v>
      </c>
    </row>
    <row r="237" spans="1:23" x14ac:dyDescent="0.25">
      <c r="A237" t="str">
        <f>Q237&amp;COUNTIF($Q$30:Q237,Q237)</f>
        <v>MOLINA GONZALO RAULJULIO 231</v>
      </c>
      <c r="B237" t="s">
        <v>148</v>
      </c>
      <c r="C237" t="s">
        <v>643</v>
      </c>
      <c r="D237" t="s">
        <v>650</v>
      </c>
      <c r="E237" s="10">
        <v>45112</v>
      </c>
      <c r="F237" t="str">
        <f>+IFERROR(INDEX('AUX23'!$C$2:$D$60,MATCH(CARGAFACTURAS!C237,'AUX23'!$D$2:$D$70,0),1),"")</f>
        <v>24-31254109-9</v>
      </c>
      <c r="G237" s="243">
        <v>7800</v>
      </c>
      <c r="H237" s="141">
        <f>+IF(G237&lt;19999,0,IFERROR(VLOOKUP(C237,'AUX23'!$D$2:$K$70,3,0)*G237/100,0))</f>
        <v>0</v>
      </c>
      <c r="I237" s="141">
        <f>IF(G237&lt;9999,0,IFERROR(VLOOKUP(C237,'AUX23'!$D$2:$L$70,4,0)*G237/100,0))</f>
        <v>0</v>
      </c>
      <c r="J237" s="141">
        <f>IF(G237&lt;9999,0,IFERROR(VLOOKUP(C237,'AUX23'!$D$2:$L$70,5,0)*G237/100,0))</f>
        <v>0</v>
      </c>
      <c r="K237" s="141">
        <f>IF(G237&lt;9999,0,IFERROR((G237-67170)*VLOOKUP(C237,'AUX23'!$D$2:$L$70,6,0)/100,0))</f>
        <v>0</v>
      </c>
      <c r="L237" s="141">
        <f>IF(G237&lt;9999,0,IFERROR((G237/1.21)*VLOOKUP(C237,'AUX23'!$D$2:$L$70,7,0)/100,0))</f>
        <v>0</v>
      </c>
      <c r="M237" s="141">
        <f t="shared" si="66"/>
        <v>7800</v>
      </c>
      <c r="N237" t="str">
        <f t="shared" ref="N237:N291" si="73">+IF(G237&lt;9999,"CC","INGR. NUMERO")</f>
        <v>CC</v>
      </c>
      <c r="O237">
        <f t="shared" si="67"/>
        <v>7</v>
      </c>
      <c r="P237" t="s">
        <v>101</v>
      </c>
      <c r="Q237" t="str">
        <f t="shared" si="68"/>
        <v>MOLINA GONZALO RAULJULIO 23</v>
      </c>
      <c r="R237" t="str">
        <f t="shared" si="69"/>
        <v>MOLINA GONZALO RAUL7</v>
      </c>
      <c r="S237" t="str">
        <f>+R237&amp;COUNTIF($R$2:R237,R237)</f>
        <v>MOLINA GONZALO RAUL71</v>
      </c>
      <c r="T237" s="141">
        <f t="shared" si="70"/>
        <v>2178648.2080000006</v>
      </c>
      <c r="U237" t="str">
        <f t="shared" si="71"/>
        <v>0204</v>
      </c>
      <c r="V237" t="str">
        <f t="shared" si="47"/>
        <v>MOLINA GONZALO RAUL7CC</v>
      </c>
      <c r="W237" t="str">
        <f>+V237&amp;COUNTIF($V$2:V237,V237)</f>
        <v>MOLINA GONZALO RAUL7CC1</v>
      </c>
    </row>
    <row r="238" spans="1:23" x14ac:dyDescent="0.25">
      <c r="A238" t="str">
        <f>Q238&amp;COUNTIF($Q$30:Q238,Q238)</f>
        <v>LIBRERÍA SAN PABLO SRLJULIO 231</v>
      </c>
      <c r="B238" t="s">
        <v>148</v>
      </c>
      <c r="C238" t="s">
        <v>10</v>
      </c>
      <c r="D238" t="s">
        <v>655</v>
      </c>
      <c r="E238" s="10">
        <v>45113</v>
      </c>
      <c r="F238" t="str">
        <f>+IFERROR(INDEX('AUX23'!$C$2:$D$60,MATCH(CARGAFACTURAS!C238,'AUX23'!$D$2:$D$70,0),1),"")</f>
        <v>30-58351679-0</v>
      </c>
      <c r="G238" s="243">
        <v>19868.77</v>
      </c>
      <c r="H238" s="141">
        <f>+IF(G238&lt;19999,0,IFERROR(VLOOKUP(C238,'AUX23'!$D$2:$K$70,3,0)*G238/100,0))</f>
        <v>0</v>
      </c>
      <c r="I238" s="141">
        <f>IF(G238&lt;9999,0,IFERROR(VLOOKUP(C238,'AUX23'!$D$2:$L$70,4,0)*G238/100,0))</f>
        <v>993.43850000000009</v>
      </c>
      <c r="J238" s="141">
        <f>IF(G238&lt;9999,0,IFERROR(VLOOKUP(C238,'AUX23'!$D$2:$L$70,5,0)*G238/100,0))</f>
        <v>0</v>
      </c>
      <c r="K238" s="141">
        <f>IF(G238&lt;9999,0,IFERROR((G238-67170)*VLOOKUP(C238,'AUX23'!$D$2:$L$70,6,0)/100,0))</f>
        <v>0</v>
      </c>
      <c r="L238" s="141">
        <f>IF(G238&lt;9999,0,IFERROR((G238/1.21)*VLOOKUP(C238,'AUX23'!$D$2:$L$70,7,0)/100,0))</f>
        <v>0</v>
      </c>
      <c r="M238" s="141">
        <f t="shared" si="66"/>
        <v>18875.3315</v>
      </c>
      <c r="N238">
        <v>37607313</v>
      </c>
      <c r="O238">
        <f t="shared" si="67"/>
        <v>7</v>
      </c>
      <c r="P238" t="s">
        <v>101</v>
      </c>
      <c r="Q238" t="str">
        <f t="shared" si="68"/>
        <v>LIBRERÍA SAN PABLO SRLJULIO 23</v>
      </c>
      <c r="R238" t="str">
        <f t="shared" si="69"/>
        <v>LIBRERÍA SAN PABLO SRL7</v>
      </c>
      <c r="S238" t="str">
        <f>+R238&amp;COUNTIF($R$2:R238,R238)</f>
        <v>LIBRERÍA SAN PABLO SRL71</v>
      </c>
      <c r="T238" s="141">
        <f t="shared" si="70"/>
        <v>2158779.4380000005</v>
      </c>
      <c r="U238" t="str">
        <f t="shared" si="71"/>
        <v>1789</v>
      </c>
      <c r="V238" t="str">
        <f t="shared" si="47"/>
        <v>LIBRERÍA SAN PABLO SRL737607313</v>
      </c>
      <c r="W238" t="str">
        <f>+V238&amp;COUNTIF($V$2:V238,V238)</f>
        <v>LIBRERÍA SAN PABLO SRL7376073131</v>
      </c>
    </row>
    <row r="239" spans="1:23" x14ac:dyDescent="0.25">
      <c r="A239" t="str">
        <f>Q239&amp;COUNTIF($Q$30:Q239,Q239)</f>
        <v>LIBRERÍA SAN PABLO SRLJULIO 232</v>
      </c>
      <c r="B239" t="s">
        <v>148</v>
      </c>
      <c r="C239" t="s">
        <v>10</v>
      </c>
      <c r="D239" t="s">
        <v>656</v>
      </c>
      <c r="E239" s="10">
        <v>45113</v>
      </c>
      <c r="F239" t="str">
        <f>+IFERROR(INDEX('AUX23'!$C$2:$D$60,MATCH(CARGAFACTURAS!C239,'AUX23'!$D$2:$D$70,0),1),"")</f>
        <v>30-58351679-0</v>
      </c>
      <c r="G239" s="243">
        <v>6485.03</v>
      </c>
      <c r="H239" s="141">
        <f>+IF(G239&lt;19999,0,IFERROR(VLOOKUP(C239,'AUX23'!$D$2:$K$70,3,0)*G239/100,0))</f>
        <v>0</v>
      </c>
      <c r="I239" s="141">
        <f>IF(G239&lt;9999,0,IFERROR(VLOOKUP(C239,'AUX23'!$D$2:$L$70,4,0)*G239/100,0))</f>
        <v>0</v>
      </c>
      <c r="J239" s="141">
        <f>IF(G239&lt;9999,0,IFERROR(VLOOKUP(C239,'AUX23'!$D$2:$L$70,5,0)*G239/100,0))</f>
        <v>0</v>
      </c>
      <c r="K239" s="141">
        <f>IF(G239&lt;9999,0,IFERROR((G239-67170)*VLOOKUP(C239,'AUX23'!$D$2:$L$70,6,0)/100,0))</f>
        <v>0</v>
      </c>
      <c r="L239" s="141">
        <f>IF(G239&lt;9999,0,IFERROR((G239/1.21)*VLOOKUP(C239,'AUX23'!$D$2:$L$70,7,0)/100,0))</f>
        <v>0</v>
      </c>
      <c r="M239" s="141">
        <f t="shared" si="66"/>
        <v>6485.03</v>
      </c>
      <c r="N239">
        <v>37607357</v>
      </c>
      <c r="O239">
        <f t="shared" si="67"/>
        <v>7</v>
      </c>
      <c r="P239" t="s">
        <v>101</v>
      </c>
      <c r="Q239" t="str">
        <f t="shared" si="68"/>
        <v>LIBRERÍA SAN PABLO SRLJULIO 23</v>
      </c>
      <c r="R239" t="str">
        <f t="shared" si="69"/>
        <v>LIBRERÍA SAN PABLO SRL7</v>
      </c>
      <c r="S239" t="str">
        <f>+R239&amp;COUNTIF($R$2:R239,R239)</f>
        <v>LIBRERÍA SAN PABLO SRL72</v>
      </c>
      <c r="T239" s="141">
        <f t="shared" si="70"/>
        <v>2152294.4080000008</v>
      </c>
      <c r="U239" t="str">
        <f t="shared" si="71"/>
        <v>1788</v>
      </c>
      <c r="V239" t="str">
        <f t="shared" si="47"/>
        <v>LIBRERÍA SAN PABLO SRL737607357</v>
      </c>
      <c r="W239" t="str">
        <f>+V239&amp;COUNTIF($V$2:V239,V239)</f>
        <v>LIBRERÍA SAN PABLO SRL7376073571</v>
      </c>
    </row>
    <row r="240" spans="1:23" x14ac:dyDescent="0.25">
      <c r="A240" t="str">
        <f>Q240&amp;COUNTIF($Q$30:Q240,Q240)</f>
        <v>FULL TRACK S.R.L.JULIO 231</v>
      </c>
      <c r="B240" t="s">
        <v>148</v>
      </c>
      <c r="C240" t="s">
        <v>98</v>
      </c>
      <c r="D240" t="s">
        <v>657</v>
      </c>
      <c r="E240" s="10">
        <v>45110</v>
      </c>
      <c r="F240" t="str">
        <f>+IFERROR(INDEX('AUX23'!$C$2:$D$60,MATCH(CARGAFACTURAS!C240,'AUX23'!$D$2:$D$70,0),1),"")</f>
        <v>30-71648081-6</v>
      </c>
      <c r="G240" s="243">
        <v>89700</v>
      </c>
      <c r="H240" s="141">
        <f>+IF(G240&lt;19999,0,IFERROR(VLOOKUP(C240,'AUX23'!$D$2:$K$70,3,0)*G240/100,0))</f>
        <v>0</v>
      </c>
      <c r="I240" s="141">
        <f>IF(G240&lt;9999,0,IFERROR(VLOOKUP(C240,'AUX23'!$D$2:$L$70,4,0)*G240/100,0))</f>
        <v>1345.5</v>
      </c>
      <c r="J240" s="141">
        <f>IF(G240&lt;9999,0,IFERROR(VLOOKUP(C240,'AUX23'!$D$2:$L$70,5,0)*G240/100,0))</f>
        <v>0</v>
      </c>
      <c r="K240" s="141">
        <f>IF(G240&lt;9999,0,IFERROR((G240-67170)*VLOOKUP(C240,'AUX23'!$D$2:$L$70,6,0)/100,0))</f>
        <v>450.6</v>
      </c>
      <c r="L240" s="141">
        <f>IF(G240&lt;9999,0,IFERROR((G240/1.21)*VLOOKUP(C240,'AUX23'!$D$2:$L$70,7,0)/100,0))</f>
        <v>741.32231404958691</v>
      </c>
      <c r="M240" s="141">
        <f t="shared" si="66"/>
        <v>87162.577685950411</v>
      </c>
      <c r="N240">
        <v>37607407</v>
      </c>
      <c r="O240">
        <f t="shared" si="67"/>
        <v>7</v>
      </c>
      <c r="P240" t="s">
        <v>165</v>
      </c>
      <c r="Q240" t="str">
        <f t="shared" si="68"/>
        <v>FULL TRACK S.R.L.JULIO 23</v>
      </c>
      <c r="R240" t="str">
        <f t="shared" si="69"/>
        <v>FULL TRACK S.R.L.7</v>
      </c>
      <c r="S240" t="str">
        <f>+R240&amp;COUNTIF($R$2:R240,R240)</f>
        <v>FULL TRACK S.R.L.71</v>
      </c>
      <c r="T240" s="141">
        <f t="shared" si="70"/>
        <v>2062594.4080000008</v>
      </c>
      <c r="U240" t="str">
        <f t="shared" si="71"/>
        <v>0053</v>
      </c>
      <c r="V240" t="str">
        <f t="shared" si="47"/>
        <v>FULL TRACK S.R.L.737607407</v>
      </c>
      <c r="W240" t="str">
        <f>+V240&amp;COUNTIF($V$2:V240,V240)</f>
        <v>FULL TRACK S.R.L.7376074071</v>
      </c>
    </row>
    <row r="241" spans="1:23" x14ac:dyDescent="0.25">
      <c r="A241" t="str">
        <f>Q241&amp;COUNTIF($Q$30:Q241,Q241)</f>
        <v>TUMBURUS PEDRO RUBENJULIO 231</v>
      </c>
      <c r="B241" t="s">
        <v>148</v>
      </c>
      <c r="C241" t="s">
        <v>442</v>
      </c>
      <c r="D241" t="s">
        <v>658</v>
      </c>
      <c r="E241" s="10">
        <v>45113</v>
      </c>
      <c r="F241" t="str">
        <f>+IFERROR(INDEX('AUX23'!$C$2:$D$60,MATCH(CARGAFACTURAS!C241,'AUX23'!$D$2:$D$70,0),1),"")</f>
        <v>20-13628911-0</v>
      </c>
      <c r="G241" s="243">
        <v>11800.11</v>
      </c>
      <c r="H241" s="141">
        <f>+IF(G241&lt;19999,0,IFERROR(VLOOKUP(C241,'AUX23'!$D$2:$K$70,3,0)*G241/100,0))</f>
        <v>0</v>
      </c>
      <c r="I241" s="141">
        <f>IF(G241&lt;9999,0,IFERROR(VLOOKUP(C241,'AUX23'!$D$2:$L$70,4,0)*G241/100,0))</f>
        <v>413.00385</v>
      </c>
      <c r="J241" s="141">
        <f>IF(G241&lt;9999,0,IFERROR(VLOOKUP(C241,'AUX23'!$D$2:$L$70,5,0)*G241/100,0))</f>
        <v>0</v>
      </c>
      <c r="K241" s="141">
        <f>IF(G241&lt;9999,0,IFERROR((G241-67170)*VLOOKUP(C241,'AUX23'!$D$2:$L$70,6,0)/100,0))</f>
        <v>0</v>
      </c>
      <c r="L241" s="141">
        <f>IF(G241&lt;9999,0,IFERROR((G241/1.21)*VLOOKUP(C241,'AUX23'!$D$2:$L$70,7,0)/100,0))</f>
        <v>0</v>
      </c>
      <c r="M241" s="141">
        <f t="shared" si="66"/>
        <v>11387.106150000001</v>
      </c>
      <c r="N241">
        <v>37607467</v>
      </c>
      <c r="O241">
        <f t="shared" si="67"/>
        <v>7</v>
      </c>
      <c r="P241" t="s">
        <v>101</v>
      </c>
      <c r="Q241" t="str">
        <f t="shared" si="68"/>
        <v>TUMBURUS PEDRO RUBENJULIO 23</v>
      </c>
      <c r="R241" t="str">
        <f t="shared" si="69"/>
        <v>TUMBURUS PEDRO RUBEN7</v>
      </c>
      <c r="S241" t="str">
        <f>+R241&amp;COUNTIF($R$2:R241,R241)</f>
        <v>TUMBURUS PEDRO RUBEN71</v>
      </c>
      <c r="T241" s="141">
        <f t="shared" si="70"/>
        <v>2050794.2980000007</v>
      </c>
      <c r="U241" t="str">
        <f t="shared" si="71"/>
        <v>1730</v>
      </c>
      <c r="V241" t="str">
        <f t="shared" si="47"/>
        <v>TUMBURUS PEDRO RUBEN737607467</v>
      </c>
      <c r="W241" t="str">
        <f>+V241&amp;COUNTIF($V$2:V241,V241)</f>
        <v>TUMBURUS PEDRO RUBEN7376074671</v>
      </c>
    </row>
    <row r="242" spans="1:23" x14ac:dyDescent="0.25">
      <c r="A242" t="str">
        <f>Q242&amp;COUNTIF($Q$30:Q242,Q242)</f>
        <v>MOLINA GONZALO RAULJULIO 232</v>
      </c>
      <c r="B242" t="s">
        <v>148</v>
      </c>
      <c r="C242" t="s">
        <v>643</v>
      </c>
      <c r="D242" t="s">
        <v>645</v>
      </c>
      <c r="E242" s="10">
        <v>45110</v>
      </c>
      <c r="F242" t="str">
        <f>+IFERROR(INDEX('AUX23'!$C$2:$D$60,MATCH(CARGAFACTURAS!C242,'AUX23'!$D$2:$D$70,0),1),"")</f>
        <v>24-31254109-9</v>
      </c>
      <c r="G242" s="243">
        <v>9000</v>
      </c>
      <c r="H242" s="141">
        <f>+IF(G242&lt;19999,0,IFERROR(VLOOKUP(C242,'AUX23'!$D$2:$K$70,3,0)*G242/100,0))</f>
        <v>0</v>
      </c>
      <c r="I242" s="141">
        <f>IF(G242&lt;9999,0,IFERROR(VLOOKUP(C242,'AUX23'!$D$2:$L$70,4,0)*G242/100,0))</f>
        <v>0</v>
      </c>
      <c r="J242" s="141">
        <f>IF(G242&lt;9999,0,IFERROR(VLOOKUP(C242,'AUX23'!$D$2:$L$70,5,0)*G242/100,0))</f>
        <v>0</v>
      </c>
      <c r="K242" s="141">
        <f>IF(G242&lt;9999,0,IFERROR((G242-67170)*VLOOKUP(C242,'AUX23'!$D$2:$L$70,6,0)/100,0))</f>
        <v>0</v>
      </c>
      <c r="L242" s="141">
        <f>IF(G242&lt;9999,0,IFERROR((G242/1.21)*VLOOKUP(C242,'AUX23'!$D$2:$L$70,7,0)/100,0))</f>
        <v>0</v>
      </c>
      <c r="M242" s="141">
        <f t="shared" si="66"/>
        <v>9000</v>
      </c>
      <c r="N242" t="str">
        <f t="shared" si="73"/>
        <v>CC</v>
      </c>
      <c r="O242">
        <f t="shared" si="67"/>
        <v>7</v>
      </c>
      <c r="P242" t="s">
        <v>101</v>
      </c>
      <c r="Q242" t="str">
        <f t="shared" si="68"/>
        <v>MOLINA GONZALO RAULJULIO 23</v>
      </c>
      <c r="R242" t="str">
        <f t="shared" si="69"/>
        <v>MOLINA GONZALO RAUL7</v>
      </c>
      <c r="S242" t="str">
        <f>+R242&amp;COUNTIF($R$2:R242,R242)</f>
        <v>MOLINA GONZALO RAUL72</v>
      </c>
      <c r="T242" s="141">
        <f t="shared" si="70"/>
        <v>2041794.2980000007</v>
      </c>
      <c r="U242" t="str">
        <f t="shared" si="71"/>
        <v>0201</v>
      </c>
      <c r="V242" t="str">
        <f t="shared" si="47"/>
        <v>MOLINA GONZALO RAUL7CC</v>
      </c>
      <c r="W242" t="str">
        <f>+V242&amp;COUNTIF($V$2:V242,V242)</f>
        <v>MOLINA GONZALO RAUL7CC2</v>
      </c>
    </row>
    <row r="243" spans="1:23" x14ac:dyDescent="0.25">
      <c r="A243" t="str">
        <f>Q243&amp;COUNTIF($Q$30:Q243,Q243)</f>
        <v>MAIMARA MAXIKIOSCOJULIO 231</v>
      </c>
      <c r="B243" t="s">
        <v>148</v>
      </c>
      <c r="C243" t="s">
        <v>82</v>
      </c>
      <c r="D243" t="s">
        <v>661</v>
      </c>
      <c r="E243" s="10">
        <v>45114</v>
      </c>
      <c r="F243" t="str">
        <f>+IFERROR(INDEX('AUX23'!$C$2:$D$60,MATCH(CARGAFACTURAS!C243,'AUX23'!$D$2:$D$70,0),1),"")</f>
        <v>20-30068293-2</v>
      </c>
      <c r="G243" s="243">
        <v>2000</v>
      </c>
      <c r="H243" s="141">
        <f>+IF(G243&lt;19999,0,IFERROR(VLOOKUP(C243,'AUX23'!$D$2:$K$70,3,0)*G243/100,0))</f>
        <v>0</v>
      </c>
      <c r="I243" s="141">
        <f>IF(G243&lt;9999,0,IFERROR(VLOOKUP(C243,'AUX23'!$D$2:$L$70,4,0)*G243/100,0))</f>
        <v>0</v>
      </c>
      <c r="J243" s="141">
        <f>IF(G243&lt;9999,0,IFERROR(VLOOKUP(C243,'AUX23'!$D$2:$L$70,5,0)*G243/100,0))</f>
        <v>0</v>
      </c>
      <c r="K243" s="141">
        <f>IF(G243&lt;9999,0,IFERROR((G243-67170)*VLOOKUP(C243,'AUX23'!$D$2:$L$70,6,0)/100,0))</f>
        <v>0</v>
      </c>
      <c r="L243" s="141">
        <f>IF(G243&lt;9999,0,IFERROR((G243/1.21)*VLOOKUP(C243,'AUX23'!$D$2:$L$70,7,0)/100,0))</f>
        <v>0</v>
      </c>
      <c r="M243" s="141">
        <f t="shared" si="66"/>
        <v>2000</v>
      </c>
      <c r="N243" t="str">
        <f t="shared" si="73"/>
        <v>CC</v>
      </c>
      <c r="O243">
        <f t="shared" si="67"/>
        <v>7</v>
      </c>
      <c r="P243" t="s">
        <v>101</v>
      </c>
      <c r="Q243" t="str">
        <f t="shared" si="68"/>
        <v>MAIMARA MAXIKIOSCOJULIO 23</v>
      </c>
      <c r="R243" t="str">
        <f t="shared" si="69"/>
        <v>MAIMARA MAXIKIOSCO7</v>
      </c>
      <c r="S243" t="str">
        <f>+R243&amp;COUNTIF($R$2:R243,R243)</f>
        <v>MAIMARA MAXIKIOSCO72</v>
      </c>
      <c r="T243" s="141">
        <f t="shared" si="70"/>
        <v>2039794.2980000007</v>
      </c>
      <c r="U243" t="str">
        <f t="shared" si="71"/>
        <v>0741</v>
      </c>
      <c r="V243" t="str">
        <f t="shared" si="47"/>
        <v>MAIMARA MAXIKIOSCO7CC</v>
      </c>
      <c r="W243" t="str">
        <f>+V243&amp;COUNTIF($V$2:V243,V243)</f>
        <v>MAIMARA MAXIKIOSCO7CC2</v>
      </c>
    </row>
    <row r="244" spans="1:23" x14ac:dyDescent="0.25">
      <c r="A244" t="str">
        <f>Q244&amp;COUNTIF($Q$30:Q244,Q244)</f>
        <v>CEGE SRLJULIO 231</v>
      </c>
      <c r="B244" t="s">
        <v>148</v>
      </c>
      <c r="C244" t="s">
        <v>50</v>
      </c>
      <c r="D244" t="s">
        <v>662</v>
      </c>
      <c r="E244" s="10">
        <v>45114</v>
      </c>
      <c r="F244" t="str">
        <f>+IFERROR(INDEX('AUX23'!$C$2:$D$60,MATCH(CARGAFACTURAS!C244,'AUX23'!$D$2:$D$70,0),1),"")</f>
        <v>30-65710669-7</v>
      </c>
      <c r="G244" s="243">
        <v>123890</v>
      </c>
      <c r="H244" s="141">
        <f>+IF(G244&lt;19999,0,IFERROR(VLOOKUP(C244,'AUX23'!$D$2:$K$70,3,0)*G244/100,0))</f>
        <v>3097.25</v>
      </c>
      <c r="I244" s="141">
        <f>IF(G244&lt;9999,0,IFERROR(VLOOKUP(C244,'AUX23'!$D$2:$L$70,4,0)*G244/100,0))</f>
        <v>6194.5</v>
      </c>
      <c r="J244" s="141">
        <f>IF(G244&lt;9999,0,IFERROR(VLOOKUP(C244,'AUX23'!$D$2:$L$70,5,0)*G244/100,0))</f>
        <v>0</v>
      </c>
      <c r="K244" s="141">
        <f>IF(G244&lt;9999,0,IFERROR((G244-67170)*VLOOKUP(C244,'AUX23'!$D$2:$L$70,6,0)/100,0))</f>
        <v>0</v>
      </c>
      <c r="L244" s="141">
        <f>IF(G244&lt;9999,0,IFERROR((G244/1.21)*VLOOKUP(C244,'AUX23'!$D$2:$L$70,7,0)/100,0))</f>
        <v>0</v>
      </c>
      <c r="M244" s="141">
        <f t="shared" si="66"/>
        <v>114598.25</v>
      </c>
      <c r="N244">
        <v>37861475</v>
      </c>
      <c r="O244">
        <f t="shared" si="67"/>
        <v>7</v>
      </c>
      <c r="P244" t="s">
        <v>101</v>
      </c>
      <c r="Q244" t="str">
        <f t="shared" si="68"/>
        <v>CEGE SRLJULIO 23</v>
      </c>
      <c r="R244" t="str">
        <f t="shared" si="69"/>
        <v>CEGE SRL7</v>
      </c>
      <c r="S244" t="str">
        <f>+R244&amp;COUNTIF($R$2:R244,R244)</f>
        <v>CEGE SRL71</v>
      </c>
      <c r="T244" s="141">
        <f t="shared" si="70"/>
        <v>1915904.2980000007</v>
      </c>
      <c r="U244" t="str">
        <f t="shared" si="71"/>
        <v>3003</v>
      </c>
      <c r="V244" t="str">
        <f t="shared" si="47"/>
        <v>CEGE SRL737861475</v>
      </c>
      <c r="W244" t="str">
        <f>+V244&amp;COUNTIF($V$2:V244,V244)</f>
        <v>CEGE SRL7378614751</v>
      </c>
    </row>
    <row r="245" spans="1:23" x14ac:dyDescent="0.25">
      <c r="A245" t="str">
        <f>Q245&amp;COUNTIF($Q$30:Q245,Q245)</f>
        <v>LIBRERÍA SAN PABLO SRLJULIO 233</v>
      </c>
      <c r="B245" t="s">
        <v>148</v>
      </c>
      <c r="C245" t="s">
        <v>10</v>
      </c>
      <c r="D245" t="s">
        <v>669</v>
      </c>
      <c r="E245" s="10">
        <v>45120</v>
      </c>
      <c r="F245" t="str">
        <f>+IFERROR(INDEX('AUX23'!$C$2:$D$60,MATCH(CARGAFACTURAS!C245,'AUX23'!$D$2:$D$70,0),1),"")</f>
        <v>30-58351679-0</v>
      </c>
      <c r="G245" s="243">
        <v>66307.47</v>
      </c>
      <c r="H245" s="141">
        <f>+IF(G245&lt;19999,0,IFERROR(VLOOKUP(C245,'AUX23'!$D$2:$K$70,3,0)*G245/100,0))</f>
        <v>828.84337499999992</v>
      </c>
      <c r="I245" s="141">
        <f>IF(G245&lt;9999,0,IFERROR(VLOOKUP(C245,'AUX23'!$D$2:$L$70,4,0)*G245/100,0))</f>
        <v>3315.3734999999997</v>
      </c>
      <c r="J245" s="141">
        <f>IF(G245&lt;9999,0,IFERROR(VLOOKUP(C245,'AUX23'!$D$2:$L$70,5,0)*G245/100,0))</f>
        <v>0</v>
      </c>
      <c r="K245" s="141">
        <f>IF(G245&lt;9999,0,IFERROR((G245-67170)*VLOOKUP(C245,'AUX23'!$D$2:$L$70,6,0)/100,0))</f>
        <v>0</v>
      </c>
      <c r="L245" s="141">
        <f>IF(G245&lt;9999,0,IFERROR((G245/1.21)*VLOOKUP(C245,'AUX23'!$D$2:$L$70,7,0)/100,0))</f>
        <v>0</v>
      </c>
      <c r="M245" s="141">
        <f t="shared" si="66"/>
        <v>62163.253125000003</v>
      </c>
      <c r="N245">
        <v>37861532</v>
      </c>
      <c r="O245">
        <f t="shared" si="67"/>
        <v>7</v>
      </c>
      <c r="P245" t="s">
        <v>101</v>
      </c>
      <c r="Q245" t="str">
        <f t="shared" si="68"/>
        <v>LIBRERÍA SAN PABLO SRLJULIO 23</v>
      </c>
      <c r="R245" t="str">
        <f t="shared" si="69"/>
        <v>LIBRERÍA SAN PABLO SRL7</v>
      </c>
      <c r="S245" t="str">
        <f>+R245&amp;COUNTIF($R$2:R245,R245)</f>
        <v>LIBRERÍA SAN PABLO SRL73</v>
      </c>
      <c r="T245" s="141">
        <f t="shared" si="70"/>
        <v>1849596.8280000007</v>
      </c>
      <c r="U245" t="str">
        <f t="shared" si="71"/>
        <v>1876</v>
      </c>
      <c r="V245" t="str">
        <f t="shared" si="47"/>
        <v>LIBRERÍA SAN PABLO SRL737861532</v>
      </c>
      <c r="W245" t="str">
        <f>+V245&amp;COUNTIF($V$2:V245,V245)</f>
        <v>LIBRERÍA SAN PABLO SRL7378615321</v>
      </c>
    </row>
    <row r="246" spans="1:23" x14ac:dyDescent="0.25">
      <c r="A246" t="str">
        <f>Q246&amp;COUNTIF($Q$30:Q246,Q246)</f>
        <v>GOMEZ PARDO RAUL(LIMPLUS)JULIO 231</v>
      </c>
      <c r="B246" t="s">
        <v>148</v>
      </c>
      <c r="C246" t="s">
        <v>114</v>
      </c>
      <c r="D246" t="s">
        <v>670</v>
      </c>
      <c r="E246" s="10">
        <v>45120</v>
      </c>
      <c r="F246" t="str">
        <f>+IFERROR(INDEX('AUX23'!$C$2:$D$60,MATCH(CARGAFACTURAS!C246,'AUX23'!$D$2:$D$70,0),1),"")</f>
        <v>20-34285327-8</v>
      </c>
      <c r="G246" s="243">
        <v>46788.27</v>
      </c>
      <c r="H246" s="141">
        <f>+IF(G246&lt;19999,0,IFERROR(VLOOKUP(C246,'AUX23'!$D$2:$K$70,3,0)*G246/100,0))</f>
        <v>584.85337499999991</v>
      </c>
      <c r="I246" s="141">
        <f>IF(G246&lt;9999,0,IFERROR(VLOOKUP(C246,'AUX23'!$D$2:$L$70,4,0)*G246/100,0))</f>
        <v>2339.4134999999997</v>
      </c>
      <c r="J246" s="141">
        <f>IF(G246&lt;9999,0,IFERROR(VLOOKUP(C246,'AUX23'!$D$2:$L$70,5,0)*G246/100,0))</f>
        <v>0</v>
      </c>
      <c r="K246" s="141">
        <f>IF(G246&lt;9999,0,IFERROR((G246-67170)*VLOOKUP(C246,'AUX23'!$D$2:$L$70,6,0)/100,0))</f>
        <v>0</v>
      </c>
      <c r="L246" s="141">
        <f>IF(G246&lt;9999,0,IFERROR((G246/1.21)*VLOOKUP(C246,'AUX23'!$D$2:$L$70,7,0)/100,0))</f>
        <v>0</v>
      </c>
      <c r="M246" s="141">
        <f t="shared" si="66"/>
        <v>43864.003124999996</v>
      </c>
      <c r="N246">
        <v>37861498</v>
      </c>
      <c r="O246">
        <f t="shared" si="67"/>
        <v>7</v>
      </c>
      <c r="P246" t="s">
        <v>101</v>
      </c>
      <c r="Q246" t="str">
        <f t="shared" si="68"/>
        <v>GOMEZ PARDO RAUL(LIMPLUS)JULIO 23</v>
      </c>
      <c r="R246" t="str">
        <f t="shared" si="69"/>
        <v>GOMEZ PARDO RAUL(LIMPLUS)7</v>
      </c>
      <c r="S246" t="str">
        <f>+R246&amp;COUNTIF($R$2:R246,R246)</f>
        <v>GOMEZ PARDO RAUL(LIMPLUS)71</v>
      </c>
      <c r="T246" s="141">
        <f t="shared" si="70"/>
        <v>1802808.5580000007</v>
      </c>
      <c r="U246" t="str">
        <f t="shared" si="71"/>
        <v>2372</v>
      </c>
      <c r="V246" t="str">
        <f t="shared" si="47"/>
        <v>GOMEZ PARDO RAUL(LIMPLUS)737861498</v>
      </c>
      <c r="W246" t="str">
        <f>+V246&amp;COUNTIF($V$2:V246,V246)</f>
        <v>GOMEZ PARDO RAUL(LIMPLUS)7378614981</v>
      </c>
    </row>
    <row r="247" spans="1:23" x14ac:dyDescent="0.25">
      <c r="A247" t="str">
        <f>Q247&amp;COUNTIF($Q$30:Q247,Q247)</f>
        <v>PUERTAS RUBEN ALBERTO(PLASTINORT)JULIO 231</v>
      </c>
      <c r="B247" t="s">
        <v>148</v>
      </c>
      <c r="C247" t="s">
        <v>107</v>
      </c>
      <c r="D247" t="s">
        <v>671</v>
      </c>
      <c r="E247" s="10">
        <v>45120</v>
      </c>
      <c r="F247" t="str">
        <f>+IFERROR(INDEX('AUX23'!$C$2:$D$60,MATCH(CARGAFACTURAS!C247,'AUX23'!$D$2:$D$70,0),1),"")</f>
        <v>20-12576284-1</v>
      </c>
      <c r="G247" s="243">
        <v>1500</v>
      </c>
      <c r="H247" s="141">
        <f>+IF(G247&lt;19999,0,IFERROR(VLOOKUP(C247,'AUX23'!$D$2:$K$70,3,0)*G247/100,0))</f>
        <v>0</v>
      </c>
      <c r="I247" s="141">
        <f>IF(G247&lt;9999,0,IFERROR(VLOOKUP(C247,'AUX23'!$D$2:$L$70,4,0)*G247/100,0))</f>
        <v>0</v>
      </c>
      <c r="J247" s="141">
        <f>IF(G247&lt;9999,0,IFERROR(VLOOKUP(C247,'AUX23'!$D$2:$L$70,5,0)*G247/100,0))</f>
        <v>0</v>
      </c>
      <c r="K247" s="141">
        <f>IF(G247&lt;9999,0,IFERROR((G247-67170)*VLOOKUP(C247,'AUX23'!$D$2:$L$70,6,0)/100,0))</f>
        <v>0</v>
      </c>
      <c r="L247" s="141">
        <f>IF(G247&lt;9999,0,IFERROR((G247/1.21)*VLOOKUP(C247,'AUX23'!$D$2:$L$70,7,0)/100,0))</f>
        <v>0</v>
      </c>
      <c r="M247" s="141">
        <f t="shared" si="66"/>
        <v>1500</v>
      </c>
      <c r="N247" t="str">
        <f t="shared" si="73"/>
        <v>CC</v>
      </c>
      <c r="O247">
        <f t="shared" si="67"/>
        <v>7</v>
      </c>
      <c r="P247" t="s">
        <v>101</v>
      </c>
      <c r="Q247" t="str">
        <f t="shared" si="68"/>
        <v>PUERTAS RUBEN ALBERTO(PLASTINORT)JULIO 23</v>
      </c>
      <c r="R247" t="str">
        <f t="shared" si="69"/>
        <v>PUERTAS RUBEN ALBERTO(PLASTINORT)7</v>
      </c>
      <c r="S247" t="str">
        <f>+R247&amp;COUNTIF($R$2:R247,R247)</f>
        <v>PUERTAS RUBEN ALBERTO(PLASTINORT)71</v>
      </c>
      <c r="T247" s="141">
        <f t="shared" si="70"/>
        <v>1801308.5580000007</v>
      </c>
      <c r="U247" t="str">
        <f t="shared" si="71"/>
        <v>2664</v>
      </c>
      <c r="V247" t="str">
        <f t="shared" si="47"/>
        <v>PUERTAS RUBEN ALBERTO(PLASTINORT)7CC</v>
      </c>
      <c r="W247" t="str">
        <f>+V247&amp;COUNTIF($V$2:V247,V247)</f>
        <v>PUERTAS RUBEN ALBERTO(PLASTINORT)7CC1</v>
      </c>
    </row>
    <row r="248" spans="1:23" x14ac:dyDescent="0.25">
      <c r="A248" t="str">
        <f>Q248&amp;COUNTIF($Q$30:Q248,Q248)</f>
        <v>ROTTA FRANCISCO(COMPUMAQ)JULIO 231</v>
      </c>
      <c r="B248" t="s">
        <v>148</v>
      </c>
      <c r="C248" t="s">
        <v>188</v>
      </c>
      <c r="D248" t="s">
        <v>672</v>
      </c>
      <c r="E248" s="10">
        <v>45120</v>
      </c>
      <c r="F248" t="str">
        <f>+IFERROR(INDEX('AUX23'!$C$2:$D$60,MATCH(CARGAFACTURAS!C248,'AUX23'!$D$2:$D$70,0),1),"")</f>
        <v>20-16216700-7</v>
      </c>
      <c r="G248" s="243">
        <v>26500</v>
      </c>
      <c r="H248" s="141">
        <f>+IF(G248&lt;19999,0,IFERROR(VLOOKUP(C248,'AUX23'!$D$2:$K$70,3,0)*G248/100,0))</f>
        <v>331.25</v>
      </c>
      <c r="I248" s="141">
        <f>IF(G248&lt;9999,0,IFERROR(VLOOKUP(C248,'AUX23'!$D$2:$L$70,4,0)*G248/100,0))</f>
        <v>1325</v>
      </c>
      <c r="J248" s="141">
        <f>IF(G248&lt;9999,0,IFERROR(VLOOKUP(C248,'AUX23'!$D$2:$L$70,5,0)*G248/100,0))</f>
        <v>0</v>
      </c>
      <c r="K248" s="141">
        <f>IF(G248&lt;9999,0,IFERROR((G248-67170)*VLOOKUP(C248,'AUX23'!$D$2:$L$70,6,0)/100,0))</f>
        <v>0</v>
      </c>
      <c r="L248" s="141">
        <f>IF(G248&lt;9999,0,IFERROR((G248/1.21)*VLOOKUP(C248,'AUX23'!$D$2:$L$70,7,0)/100,0))</f>
        <v>0</v>
      </c>
      <c r="M248" s="141">
        <f t="shared" si="66"/>
        <v>24843.75</v>
      </c>
      <c r="N248">
        <v>37861564</v>
      </c>
      <c r="O248">
        <f t="shared" si="67"/>
        <v>7</v>
      </c>
      <c r="P248" t="s">
        <v>101</v>
      </c>
      <c r="Q248" t="str">
        <f t="shared" si="68"/>
        <v>ROTTA FRANCISCO(COMPUMAQ)JULIO 23</v>
      </c>
      <c r="R248" t="str">
        <f t="shared" si="69"/>
        <v>ROTTA FRANCISCO(COMPUMAQ)7</v>
      </c>
      <c r="S248" t="str">
        <f>+R248&amp;COUNTIF($R$2:R248,R248)</f>
        <v>ROTTA FRANCISCO(COMPUMAQ)71</v>
      </c>
      <c r="T248" s="141">
        <f t="shared" si="70"/>
        <v>1774808.5580000007</v>
      </c>
      <c r="U248" t="str">
        <f t="shared" si="71"/>
        <v>2673</v>
      </c>
      <c r="V248" t="str">
        <f t="shared" si="47"/>
        <v>ROTTA FRANCISCO(COMPUMAQ)737861564</v>
      </c>
      <c r="W248" t="str">
        <f>+V248&amp;COUNTIF($V$2:V248,V248)</f>
        <v>ROTTA FRANCISCO(COMPUMAQ)7378615641</v>
      </c>
    </row>
    <row r="249" spans="1:23" x14ac:dyDescent="0.25">
      <c r="A249" t="str">
        <f>Q249&amp;COUNTIF($Q$30:Q249,Q249)</f>
        <v>MULTISHOP SASJULIO 231</v>
      </c>
      <c r="B249" t="s">
        <v>148</v>
      </c>
      <c r="C249" t="s">
        <v>673</v>
      </c>
      <c r="D249" t="s">
        <v>676</v>
      </c>
      <c r="E249" s="10">
        <v>45120</v>
      </c>
      <c r="F249" t="str">
        <f>+IFERROR(INDEX('AUX23'!$C$2:$D$60,MATCH(CARGAFACTURAS!C249,'AUX23'!$D$2:$D$70,0),1),"")</f>
        <v>33-71635571-9</v>
      </c>
      <c r="G249" s="243">
        <v>8400</v>
      </c>
      <c r="H249" s="141">
        <f>+IF(G249&lt;19999,0,IFERROR(VLOOKUP(C249,'AUX23'!$D$2:$K$70,3,0)*G249/100,0))</f>
        <v>0</v>
      </c>
      <c r="I249" s="141">
        <f>IF(G249&lt;9999,0,IFERROR(VLOOKUP(C249,'AUX23'!$D$2:$L$70,4,0)*G249/100,0))</f>
        <v>0</v>
      </c>
      <c r="J249" s="141">
        <f>IF(G249&lt;9999,0,IFERROR(VLOOKUP(C249,'AUX23'!$D$2:$L$70,5,0)*G249/100,0))</f>
        <v>0</v>
      </c>
      <c r="K249" s="141">
        <f>IF(G249&lt;9999,0,IFERROR((G249-67170)*VLOOKUP(C249,'AUX23'!$D$2:$L$70,6,0)/100,0))</f>
        <v>0</v>
      </c>
      <c r="L249" s="141">
        <f>IF(G249&lt;9999,0,IFERROR((G249/1.21)*VLOOKUP(C249,'AUX23'!$D$2:$L$70,7,0)/100,0))</f>
        <v>0</v>
      </c>
      <c r="M249" s="141">
        <f t="shared" si="66"/>
        <v>8400</v>
      </c>
      <c r="N249">
        <v>37861612</v>
      </c>
      <c r="O249">
        <f t="shared" si="67"/>
        <v>7</v>
      </c>
      <c r="P249" t="s">
        <v>101</v>
      </c>
      <c r="Q249" t="str">
        <f t="shared" si="68"/>
        <v>MULTISHOP SASJULIO 23</v>
      </c>
      <c r="R249" t="str">
        <f t="shared" si="69"/>
        <v>MULTISHOP SAS7</v>
      </c>
      <c r="S249" t="str">
        <f>+R249&amp;COUNTIF($R$2:R249,R249)</f>
        <v>MULTISHOP SAS71</v>
      </c>
      <c r="T249" s="141">
        <f t="shared" si="70"/>
        <v>1766408.5580000007</v>
      </c>
      <c r="U249" t="str">
        <f t="shared" si="71"/>
        <v>8769</v>
      </c>
      <c r="V249" t="str">
        <f t="shared" si="47"/>
        <v>MULTISHOP SAS737861612</v>
      </c>
      <c r="W249" t="str">
        <f>+V249&amp;COUNTIF($V$2:V249,V249)</f>
        <v>MULTISHOP SAS7378616121</v>
      </c>
    </row>
    <row r="250" spans="1:23" x14ac:dyDescent="0.25">
      <c r="A250" t="str">
        <f>Q250&amp;COUNTIF($Q$30:Q250,Q250)</f>
        <v>ESCOBEDO LUCAS NICOLAS (PAPERTUC)JULIO 231</v>
      </c>
      <c r="B250" t="s">
        <v>148</v>
      </c>
      <c r="C250" t="s">
        <v>104</v>
      </c>
      <c r="D250" t="s">
        <v>677</v>
      </c>
      <c r="E250" s="10">
        <v>45120</v>
      </c>
      <c r="F250" t="str">
        <f>+IFERROR(INDEX('AUX23'!$C$2:$D$60,MATCH(CARGAFACTURAS!C250,'AUX23'!$D$2:$D$70,0),1),"")</f>
        <v>20-31729103-6</v>
      </c>
      <c r="G250" s="243">
        <v>40562.199999999997</v>
      </c>
      <c r="H250" s="141">
        <f>+IF(G250&lt;19999,0,IFERROR(VLOOKUP(C250,'AUX23'!$D$2:$K$70,3,0)*G250/100,0))</f>
        <v>507.02749999999997</v>
      </c>
      <c r="I250" s="141">
        <f>IF(G250&lt;9999,0,IFERROR(VLOOKUP(C250,'AUX23'!$D$2:$L$70,4,0)*G250/100,0))</f>
        <v>2028.11</v>
      </c>
      <c r="J250" s="141">
        <f>IF(G250&lt;9999,0,IFERROR(VLOOKUP(C250,'AUX23'!$D$2:$L$70,5,0)*G250/100,0))</f>
        <v>0</v>
      </c>
      <c r="K250" s="141">
        <f>IF(G250&lt;9999,0,IFERROR((G250-67170)*VLOOKUP(C250,'AUX23'!$D$2:$L$70,6,0)/100,0))</f>
        <v>0</v>
      </c>
      <c r="L250" s="141">
        <f>IF(G250&lt;9999,0,IFERROR((G250/1.21)*VLOOKUP(C250,'AUX23'!$D$2:$L$70,7,0)/100,0))</f>
        <v>0</v>
      </c>
      <c r="M250" s="141">
        <f t="shared" si="66"/>
        <v>38027.0625</v>
      </c>
      <c r="N250">
        <v>37861661</v>
      </c>
      <c r="O250">
        <f t="shared" si="67"/>
        <v>7</v>
      </c>
      <c r="P250" t="s">
        <v>101</v>
      </c>
      <c r="Q250" t="str">
        <f t="shared" si="68"/>
        <v>ESCOBEDO LUCAS NICOLAS (PAPERTUC)JULIO 23</v>
      </c>
      <c r="R250" t="str">
        <f t="shared" si="69"/>
        <v>ESCOBEDO LUCAS NICOLAS (PAPERTUC)7</v>
      </c>
      <c r="S250" t="str">
        <f>+R250&amp;COUNTIF($R$2:R250,R250)</f>
        <v>ESCOBEDO LUCAS NICOLAS (PAPERTUC)71</v>
      </c>
      <c r="T250" s="141">
        <f t="shared" si="70"/>
        <v>1725846.3580000007</v>
      </c>
      <c r="U250" t="str">
        <f t="shared" si="71"/>
        <v>1012</v>
      </c>
      <c r="V250" t="str">
        <f t="shared" si="47"/>
        <v>ESCOBEDO LUCAS NICOLAS (PAPERTUC)737861661</v>
      </c>
      <c r="W250" t="str">
        <f>+V250&amp;COUNTIF($V$2:V250,V250)</f>
        <v>ESCOBEDO LUCAS NICOLAS (PAPERTUC)7378616611</v>
      </c>
    </row>
    <row r="251" spans="1:23" x14ac:dyDescent="0.25">
      <c r="A251" t="str">
        <f>Q251&amp;COUNTIF($Q$30:Q251,Q251)</f>
        <v>ROTTA FRANCISCO(COMPUMAQ)JULIO 232</v>
      </c>
      <c r="B251" t="s">
        <v>148</v>
      </c>
      <c r="C251" t="s">
        <v>188</v>
      </c>
      <c r="D251" t="s">
        <v>678</v>
      </c>
      <c r="E251" s="10">
        <v>45120</v>
      </c>
      <c r="F251" t="str">
        <f>+IFERROR(INDEX('AUX23'!$C$2:$D$60,MATCH(CARGAFACTURAS!C251,'AUX23'!$D$2:$D$70,0),1),"")</f>
        <v>20-16216700-7</v>
      </c>
      <c r="G251" s="243">
        <f>11500+14000</f>
        <v>25500</v>
      </c>
      <c r="H251" s="141">
        <f>+IF(G251&lt;19999,0,IFERROR(VLOOKUP(C251,'AUX23'!$D$2:$K$70,3,0)*G251/100,0))</f>
        <v>318.75</v>
      </c>
      <c r="I251" s="141">
        <f>IF(G251&lt;9999,0,IFERROR(VLOOKUP(C251,'AUX23'!$D$2:$L$70,4,0)*G251/100,0))</f>
        <v>1275</v>
      </c>
      <c r="J251" s="141">
        <f>IF(G251&lt;9999,0,IFERROR(VLOOKUP(C251,'AUX23'!$D$2:$L$70,5,0)*G251/100,0))</f>
        <v>0</v>
      </c>
      <c r="K251" s="141">
        <f>IF(G251&lt;9999,0,IFERROR((G251-67170)*VLOOKUP(C251,'AUX23'!$D$2:$L$70,6,0)/100,0))</f>
        <v>0</v>
      </c>
      <c r="L251" s="141">
        <f>IF(G251&lt;9999,0,IFERROR((G251/1.21)*VLOOKUP(C251,'AUX23'!$D$2:$L$70,7,0)/100,0))</f>
        <v>0</v>
      </c>
      <c r="M251" s="141">
        <f t="shared" si="66"/>
        <v>23906.25</v>
      </c>
      <c r="N251">
        <v>37861728</v>
      </c>
      <c r="O251">
        <f t="shared" si="67"/>
        <v>7</v>
      </c>
      <c r="P251" t="s">
        <v>101</v>
      </c>
      <c r="Q251" t="str">
        <f t="shared" si="68"/>
        <v>ROTTA FRANCISCO(COMPUMAQ)JULIO 23</v>
      </c>
      <c r="R251" t="str">
        <f t="shared" si="69"/>
        <v>ROTTA FRANCISCO(COMPUMAQ)7</v>
      </c>
      <c r="S251" t="str">
        <f>+R251&amp;COUNTIF($R$2:R251,R251)</f>
        <v>ROTTA FRANCISCO(COMPUMAQ)72</v>
      </c>
      <c r="T251" s="141">
        <f t="shared" si="70"/>
        <v>1700346.3580000007</v>
      </c>
      <c r="U251" t="str">
        <f t="shared" si="71"/>
        <v>2675</v>
      </c>
      <c r="V251" t="str">
        <f t="shared" si="47"/>
        <v>ROTTA FRANCISCO(COMPUMAQ)737861728</v>
      </c>
      <c r="W251" t="str">
        <f>+V251&amp;COUNTIF($V$2:V251,V251)</f>
        <v>ROTTA FRANCISCO(COMPUMAQ)7378617281</v>
      </c>
    </row>
    <row r="252" spans="1:23" x14ac:dyDescent="0.25">
      <c r="A252" t="str">
        <f>Q252&amp;COUNTIF($Q$30:Q252,Q252)</f>
        <v>ESCOBEDO LUCAS NICOLAS (PAPERTUC)JULIO 232</v>
      </c>
      <c r="B252" t="s">
        <v>148</v>
      </c>
      <c r="C252" t="s">
        <v>104</v>
      </c>
      <c r="D252" t="s">
        <v>679</v>
      </c>
      <c r="E252" s="10">
        <v>45120</v>
      </c>
      <c r="F252" t="str">
        <f>+IFERROR(INDEX('AUX23'!$C$2:$D$60,MATCH(CARGAFACTURAS!C252,'AUX23'!$D$2:$D$70,0),1),"")</f>
        <v>20-31729103-6</v>
      </c>
      <c r="G252" s="243">
        <v>5989.5</v>
      </c>
      <c r="H252" s="141">
        <f>+IF(G252&lt;19999,0,IFERROR(VLOOKUP(C252,'AUX23'!$D$2:$K$70,3,0)*G252/100,0))</f>
        <v>0</v>
      </c>
      <c r="I252" s="141">
        <f>IF(G252&lt;9999,0,IFERROR(VLOOKUP(C252,'AUX23'!$D$2:$L$70,4,0)*G252/100,0))</f>
        <v>0</v>
      </c>
      <c r="J252" s="141">
        <f>IF(G252&lt;9999,0,IFERROR(VLOOKUP(C252,'AUX23'!$D$2:$L$70,5,0)*G252/100,0))</f>
        <v>0</v>
      </c>
      <c r="K252" s="141">
        <f>IF(G252&lt;9999,0,IFERROR((G252-67170)*VLOOKUP(C252,'AUX23'!$D$2:$L$70,6,0)/100,0))</f>
        <v>0</v>
      </c>
      <c r="L252" s="141">
        <f>IF(G252&lt;9999,0,IFERROR((G252/1.21)*VLOOKUP(C252,'AUX23'!$D$2:$L$70,7,0)/100,0))</f>
        <v>0</v>
      </c>
      <c r="M252" s="141">
        <f t="shared" si="66"/>
        <v>5989.5</v>
      </c>
      <c r="N252">
        <v>37861830</v>
      </c>
      <c r="O252">
        <f t="shared" si="67"/>
        <v>7</v>
      </c>
      <c r="P252" t="s">
        <v>101</v>
      </c>
      <c r="Q252" t="str">
        <f t="shared" si="68"/>
        <v>ESCOBEDO LUCAS NICOLAS (PAPERTUC)JULIO 23</v>
      </c>
      <c r="R252" t="str">
        <f t="shared" si="69"/>
        <v>ESCOBEDO LUCAS NICOLAS (PAPERTUC)7</v>
      </c>
      <c r="S252" t="str">
        <f>+R252&amp;COUNTIF($R$2:R252,R252)</f>
        <v>ESCOBEDO LUCAS NICOLAS (PAPERTUC)72</v>
      </c>
      <c r="T252" s="141">
        <f t="shared" si="70"/>
        <v>1694356.8580000007</v>
      </c>
      <c r="U252" t="str">
        <f t="shared" si="71"/>
        <v>1013</v>
      </c>
      <c r="V252" t="str">
        <f t="shared" si="47"/>
        <v>ESCOBEDO LUCAS NICOLAS (PAPERTUC)737861830</v>
      </c>
      <c r="W252" t="str">
        <f>+V252&amp;COUNTIF($V$2:V252,V252)</f>
        <v>ESCOBEDO LUCAS NICOLAS (PAPERTUC)7378618301</v>
      </c>
    </row>
    <row r="253" spans="1:23" x14ac:dyDescent="0.25">
      <c r="A253" t="str">
        <f>Q253&amp;COUNTIF($Q$30:Q253,Q253)</f>
        <v>DOLSA SAJULIO 231</v>
      </c>
      <c r="B253" t="s">
        <v>148</v>
      </c>
      <c r="C253" t="s">
        <v>571</v>
      </c>
      <c r="D253" t="s">
        <v>680</v>
      </c>
      <c r="E253" s="10">
        <v>45120</v>
      </c>
      <c r="F253" t="str">
        <f>+IFERROR(INDEX('AUX23'!$C$2:$D$60,MATCH(CARGAFACTURAS!C253,'AUX23'!$D$2:$D$70,0),1),"")</f>
        <v>30-71162078-4</v>
      </c>
      <c r="G253" s="243">
        <v>28450.01</v>
      </c>
      <c r="H253" s="141">
        <f>+IF(G253&lt;19999,0,IFERROR(VLOOKUP(C253,'AUX23'!$D$2:$K$70,3,0)*G253/100,0))</f>
        <v>355.62512499999997</v>
      </c>
      <c r="I253" s="141">
        <f>IF(G253&lt;9999,0,IFERROR(VLOOKUP(C253,'AUX23'!$D$2:$L$70,4,0)*G253/100,0))</f>
        <v>1422.5004999999999</v>
      </c>
      <c r="J253" s="141">
        <f>IF(G253&lt;9999,0,IFERROR(VLOOKUP(C253,'AUX23'!$D$2:$L$70,5,0)*G253/100,0))</f>
        <v>0</v>
      </c>
      <c r="K253" s="141">
        <f>IF(G253&lt;9999,0,IFERROR((G253-67170)*VLOOKUP(C253,'AUX23'!$D$2:$L$70,6,0)/100,0))</f>
        <v>0</v>
      </c>
      <c r="L253" s="141">
        <f>IF(G253&lt;9999,0,IFERROR((G253/1.21)*VLOOKUP(C253,'AUX23'!$D$2:$L$70,7,0)/100,0))</f>
        <v>0</v>
      </c>
      <c r="M253" s="141">
        <f t="shared" si="66"/>
        <v>26671.884375000001</v>
      </c>
      <c r="N253">
        <v>37861887</v>
      </c>
      <c r="O253">
        <f t="shared" si="67"/>
        <v>7</v>
      </c>
      <c r="P253" t="s">
        <v>101</v>
      </c>
      <c r="Q253" t="str">
        <f t="shared" si="68"/>
        <v>DOLSA SAJULIO 23</v>
      </c>
      <c r="R253" t="str">
        <f t="shared" si="69"/>
        <v>DOLSA SA7</v>
      </c>
      <c r="S253" t="str">
        <f>+R253&amp;COUNTIF($R$2:R253,R253)</f>
        <v>DOLSA SA71</v>
      </c>
      <c r="T253" s="141">
        <f t="shared" si="70"/>
        <v>1665906.8480000007</v>
      </c>
      <c r="U253" t="str">
        <f t="shared" si="71"/>
        <v>6702</v>
      </c>
      <c r="V253" t="str">
        <f t="shared" si="47"/>
        <v>DOLSA SA737861887</v>
      </c>
      <c r="W253" t="str">
        <f>+V253&amp;COUNTIF($V$2:V253,V253)</f>
        <v>DOLSA SA7378618871</v>
      </c>
    </row>
    <row r="254" spans="1:23" x14ac:dyDescent="0.25">
      <c r="A254" t="str">
        <f>Q254&amp;COUNTIF($Q$30:Q254,Q254)</f>
        <v>LEON LUIS CESARJULIO 231</v>
      </c>
      <c r="B254" t="s">
        <v>148</v>
      </c>
      <c r="C254" t="s">
        <v>109</v>
      </c>
      <c r="D254" t="s">
        <v>683</v>
      </c>
      <c r="E254" s="10">
        <v>45121</v>
      </c>
      <c r="F254" t="str">
        <f>+IFERROR(INDEX('AUX23'!$C$2:$D$60,MATCH(CARGAFACTURAS!C254,'AUX23'!$D$2:$D$70,0),1),"")</f>
        <v>20-13278210-6</v>
      </c>
      <c r="G254" s="243">
        <v>22589.7</v>
      </c>
      <c r="H254" s="141">
        <f>+IF(G254&lt;19999,0,IFERROR(VLOOKUP(C254,'AUX23'!$D$2:$K$70,3,0)*G254/100,0))</f>
        <v>282.37124999999997</v>
      </c>
      <c r="I254" s="141">
        <f>IF(G254&lt;9999,0,IFERROR(VLOOKUP(C254,'AUX23'!$D$2:$L$70,4,0)*G254/100,0))</f>
        <v>1129.4849999999999</v>
      </c>
      <c r="J254" s="141">
        <f>IF(G254&lt;9999,0,IFERROR(VLOOKUP(C254,'AUX23'!$D$2:$L$70,5,0)*G254/100,0))</f>
        <v>0</v>
      </c>
      <c r="K254" s="141">
        <f>IF(G254&lt;9999,0,IFERROR((G254-67170)*VLOOKUP(C254,'AUX23'!$D$2:$L$70,6,0)/100,0))</f>
        <v>0</v>
      </c>
      <c r="L254" s="141">
        <f>IF(G254&lt;9999,0,IFERROR((G254/1.21)*VLOOKUP(C254,'AUX23'!$D$2:$L$70,7,0)/100,0))</f>
        <v>0</v>
      </c>
      <c r="M254" s="141">
        <f t="shared" si="66"/>
        <v>21177.84375</v>
      </c>
      <c r="N254">
        <v>37861925</v>
      </c>
      <c r="O254">
        <f t="shared" si="67"/>
        <v>7</v>
      </c>
      <c r="P254" t="s">
        <v>101</v>
      </c>
      <c r="Q254" t="str">
        <f t="shared" si="68"/>
        <v>LEON LUIS CESARJULIO 23</v>
      </c>
      <c r="R254" t="str">
        <f t="shared" si="69"/>
        <v>LEON LUIS CESAR7</v>
      </c>
      <c r="S254" t="str">
        <f>+R254&amp;COUNTIF($R$2:R254,R254)</f>
        <v>LEON LUIS CESAR71</v>
      </c>
      <c r="T254" s="141">
        <f t="shared" si="70"/>
        <v>1643317.1480000007</v>
      </c>
      <c r="U254" t="str">
        <f t="shared" si="71"/>
        <v>8315</v>
      </c>
      <c r="V254" t="str">
        <f t="shared" si="47"/>
        <v>LEON LUIS CESAR737861925</v>
      </c>
      <c r="W254" t="str">
        <f>+V254&amp;COUNTIF($V$2:V254,V254)</f>
        <v>LEON LUIS CESAR7378619251</v>
      </c>
    </row>
    <row r="255" spans="1:23" x14ac:dyDescent="0.25">
      <c r="A255" t="str">
        <f>Q255&amp;COUNTIF($Q$30:Q255,Q255)</f>
        <v>MAIMARA MAXIKIOSCOJULIO 232</v>
      </c>
      <c r="B255" t="s">
        <v>148</v>
      </c>
      <c r="C255" t="s">
        <v>82</v>
      </c>
      <c r="D255" t="s">
        <v>681</v>
      </c>
      <c r="E255" s="10">
        <v>45120</v>
      </c>
      <c r="F255" t="str">
        <f>+IFERROR(INDEX('AUX23'!$C$2:$D$60,MATCH(CARGAFACTURAS!C255,'AUX23'!$D$2:$D$70,0),1),"")</f>
        <v>20-30068293-2</v>
      </c>
      <c r="G255" s="243">
        <v>2000</v>
      </c>
      <c r="H255" s="141">
        <f>+IF(G255&lt;19999,0,IFERROR(VLOOKUP(C255,'AUX23'!$D$2:$K$70,3,0)*G255/100,0))</f>
        <v>0</v>
      </c>
      <c r="I255" s="141">
        <f>IF(G255&lt;9999,0,IFERROR(VLOOKUP(C255,'AUX23'!$D$2:$L$70,4,0)*G255/100,0))</f>
        <v>0</v>
      </c>
      <c r="J255" s="141">
        <f>IF(G255&lt;9999,0,IFERROR(VLOOKUP(C255,'AUX23'!$D$2:$L$70,5,0)*G255/100,0))</f>
        <v>0</v>
      </c>
      <c r="K255" s="141">
        <f>IF(G255&lt;9999,0,IFERROR((G255-67170)*VLOOKUP(C255,'AUX23'!$D$2:$L$70,6,0)/100,0))</f>
        <v>0</v>
      </c>
      <c r="L255" s="141">
        <f>IF(G255&lt;9999,0,IFERROR((G255/1.21)*VLOOKUP(C255,'AUX23'!$D$2:$L$70,7,0)/100,0))</f>
        <v>0</v>
      </c>
      <c r="M255" s="141">
        <f t="shared" si="66"/>
        <v>2000</v>
      </c>
      <c r="N255">
        <v>37861993</v>
      </c>
      <c r="O255">
        <f t="shared" si="67"/>
        <v>7</v>
      </c>
      <c r="P255" t="s">
        <v>101</v>
      </c>
      <c r="Q255" t="str">
        <f t="shared" si="68"/>
        <v>MAIMARA MAXIKIOSCOJULIO 23</v>
      </c>
      <c r="R255" t="str">
        <f t="shared" si="69"/>
        <v>MAIMARA MAXIKIOSCO7</v>
      </c>
      <c r="S255" t="str">
        <f>+R255&amp;COUNTIF($R$2:R255,R255)</f>
        <v>MAIMARA MAXIKIOSCO73</v>
      </c>
      <c r="T255" s="141">
        <f t="shared" si="70"/>
        <v>1641317.1480000007</v>
      </c>
      <c r="U255" t="str">
        <f t="shared" si="71"/>
        <v>0750</v>
      </c>
      <c r="V255" t="str">
        <f t="shared" si="47"/>
        <v>MAIMARA MAXIKIOSCO737861993</v>
      </c>
      <c r="W255" t="str">
        <f>+V255&amp;COUNTIF($V$2:V255,V255)</f>
        <v>MAIMARA MAXIKIOSCO7378619931</v>
      </c>
    </row>
    <row r="256" spans="1:23" x14ac:dyDescent="0.25">
      <c r="A256" t="str">
        <f>Q256&amp;COUNTIF($Q$30:Q256,Q256)</f>
        <v>MAIMARA MAXIKIOSCOJULIO 233</v>
      </c>
      <c r="B256" t="s">
        <v>148</v>
      </c>
      <c r="C256" t="s">
        <v>82</v>
      </c>
      <c r="D256" t="s">
        <v>696</v>
      </c>
      <c r="E256" s="10">
        <v>45120</v>
      </c>
      <c r="F256" t="str">
        <f>+IFERROR(INDEX('AUX23'!$C$2:$D$60,MATCH(CARGAFACTURAS!C256,'AUX23'!$D$2:$D$70,0),1),"")</f>
        <v>20-30068293-2</v>
      </c>
      <c r="G256" s="243">
        <v>2000</v>
      </c>
      <c r="H256" s="141">
        <f>+IF(G256&lt;19999,0,IFERROR(VLOOKUP(C256,'AUX23'!$D$2:$K$70,3,0)*G256/100,0))</f>
        <v>0</v>
      </c>
      <c r="I256" s="141">
        <f>IF(G256&lt;9999,0,IFERROR(VLOOKUP(C256,'AUX23'!$D$2:$L$70,4,0)*G256/100,0))</f>
        <v>0</v>
      </c>
      <c r="J256" s="141">
        <f>IF(G256&lt;9999,0,IFERROR(VLOOKUP(C256,'AUX23'!$D$2:$L$70,5,0)*G256/100,0))</f>
        <v>0</v>
      </c>
      <c r="K256" s="141">
        <f>IF(G256&lt;9999,0,IFERROR((G256-67170)*VLOOKUP(C256,'AUX23'!$D$2:$L$70,6,0)/100,0))</f>
        <v>0</v>
      </c>
      <c r="L256" s="141">
        <f>IF(G256&lt;9999,0,IFERROR((G256/1.21)*VLOOKUP(C256,'AUX23'!$D$2:$L$70,7,0)/100,0))</f>
        <v>0</v>
      </c>
      <c r="M256" s="141">
        <f t="shared" si="66"/>
        <v>2000</v>
      </c>
      <c r="N256" t="str">
        <f t="shared" si="73"/>
        <v>CC</v>
      </c>
      <c r="O256">
        <f t="shared" si="67"/>
        <v>7</v>
      </c>
      <c r="P256" t="s">
        <v>101</v>
      </c>
      <c r="Q256" t="str">
        <f t="shared" si="68"/>
        <v>MAIMARA MAXIKIOSCOJULIO 23</v>
      </c>
      <c r="R256" t="str">
        <f t="shared" si="69"/>
        <v>MAIMARA MAXIKIOSCO7</v>
      </c>
      <c r="S256" t="str">
        <f>+R256&amp;COUNTIF($R$2:R256,R256)</f>
        <v>MAIMARA MAXIKIOSCO74</v>
      </c>
      <c r="T256" s="141">
        <f t="shared" si="70"/>
        <v>1639317.1480000007</v>
      </c>
      <c r="U256" t="str">
        <f t="shared" si="71"/>
        <v>0749</v>
      </c>
      <c r="V256" t="str">
        <f t="shared" si="47"/>
        <v>MAIMARA MAXIKIOSCO7CC</v>
      </c>
      <c r="W256" t="str">
        <f>+V256&amp;COUNTIF($V$2:V256,V256)</f>
        <v>MAIMARA MAXIKIOSCO7CC3</v>
      </c>
    </row>
    <row r="257" spans="1:23" x14ac:dyDescent="0.25">
      <c r="A257" t="str">
        <f>Q257&amp;COUNTIF($Q$30:Q257,Q257)</f>
        <v>CANIVARES ANTONIO OTILIOJULIO 231</v>
      </c>
      <c r="B257" t="s">
        <v>148</v>
      </c>
      <c r="C257" t="s">
        <v>119</v>
      </c>
      <c r="D257" t="s">
        <v>682</v>
      </c>
      <c r="E257" s="10">
        <v>45120</v>
      </c>
      <c r="F257" t="str">
        <f>+IFERROR(INDEX('AUX23'!$C$2:$D$60,MATCH(CARGAFACTURAS!C257,'AUX23'!$D$2:$D$70,0),1),"")</f>
        <v>20-07067141-8</v>
      </c>
      <c r="G257" s="243">
        <v>19000</v>
      </c>
      <c r="H257" s="141">
        <f>+IF(G257&lt;19999,0,IFERROR(VLOOKUP(C257,'AUX23'!$D$2:$K$70,3,0)*G257/100,0))</f>
        <v>0</v>
      </c>
      <c r="I257" s="141">
        <f>IF(G257&lt;9999,0,IFERROR(VLOOKUP(C257,'AUX23'!$D$2:$L$70,4,0)*G257/100,0))</f>
        <v>285</v>
      </c>
      <c r="J257" s="141">
        <f>IF(G257&lt;9999,0,IFERROR(VLOOKUP(C257,'AUX23'!$D$2:$L$70,5,0)*G257/100,0))</f>
        <v>0</v>
      </c>
      <c r="K257" s="141">
        <f>IF(G257&lt;9999,0,IFERROR((G257-67170)*VLOOKUP(C257,'AUX23'!$D$2:$L$70,6,0)/100,0))</f>
        <v>0</v>
      </c>
      <c r="L257" s="141">
        <f>IF(G257&lt;9999,0,IFERROR((G257/1.21)*VLOOKUP(C257,'AUX23'!$D$2:$L$70,7,0)/100,0))</f>
        <v>0</v>
      </c>
      <c r="M257" s="141">
        <f t="shared" si="66"/>
        <v>18715</v>
      </c>
      <c r="N257">
        <v>37861822</v>
      </c>
      <c r="O257">
        <f t="shared" si="67"/>
        <v>7</v>
      </c>
      <c r="P257" t="s">
        <v>101</v>
      </c>
      <c r="Q257" t="str">
        <f t="shared" si="68"/>
        <v>CANIVARES ANTONIO OTILIOJULIO 23</v>
      </c>
      <c r="R257" t="str">
        <f t="shared" si="69"/>
        <v>CANIVARES ANTONIO OTILIO7</v>
      </c>
      <c r="S257" t="str">
        <f>+R257&amp;COUNTIF($R$2:R257,R257)</f>
        <v>CANIVARES ANTONIO OTILIO71</v>
      </c>
      <c r="T257" s="141">
        <f t="shared" si="70"/>
        <v>1620317.1480000007</v>
      </c>
      <c r="U257" t="str">
        <f t="shared" si="71"/>
        <v>0648</v>
      </c>
      <c r="V257" t="str">
        <f t="shared" si="47"/>
        <v>CANIVARES ANTONIO OTILIO737861822</v>
      </c>
      <c r="W257" t="str">
        <f>+V257&amp;COUNTIF($V$2:V257,V257)</f>
        <v>CANIVARES ANTONIO OTILIO7378618221</v>
      </c>
    </row>
    <row r="258" spans="1:23" x14ac:dyDescent="0.25">
      <c r="A258" t="str">
        <f>Q258&amp;COUNTIF($Q$30:Q258,Q258)</f>
        <v>FULL TRACK S.R.L.JULIO 232</v>
      </c>
      <c r="B258" t="s">
        <v>148</v>
      </c>
      <c r="C258" t="s">
        <v>98</v>
      </c>
      <c r="D258" t="s">
        <v>697</v>
      </c>
      <c r="E258" s="10">
        <v>45121</v>
      </c>
      <c r="F258" t="str">
        <f>+IFERROR(INDEX('AUX23'!$C$2:$D$60,MATCH(CARGAFACTURAS!C258,'AUX23'!$D$2:$D$70,0),1),"")</f>
        <v>30-71648081-6</v>
      </c>
      <c r="G258" s="243">
        <v>592800</v>
      </c>
      <c r="H258" s="141">
        <f>+IF(G258&lt;19999,0,IFERROR(VLOOKUP(C258,'AUX23'!$D$2:$K$70,3,0)*G258/100,0))</f>
        <v>0</v>
      </c>
      <c r="I258" s="141">
        <f>IF(G258&lt;9999,0,IFERROR(VLOOKUP(C258,'AUX23'!$D$2:$L$70,4,0)*G258/100,0))</f>
        <v>8892</v>
      </c>
      <c r="J258" s="141">
        <f>IF(G258&lt;9999,0,IFERROR(VLOOKUP(C258,'AUX23'!$D$2:$L$70,5,0)*G258/100,0))</f>
        <v>0</v>
      </c>
      <c r="K258" s="141">
        <f>IF(G258&lt;9999,0,IFERROR((G258-67170)*VLOOKUP(C258,'AUX23'!$D$2:$L$70,6,0)/100,0))</f>
        <v>10512.6</v>
      </c>
      <c r="L258" s="141">
        <f>IF(G258&lt;9999,0,IFERROR((G258/1.21)*VLOOKUP(C258,'AUX23'!$D$2:$L$70,7,0)/100,0))</f>
        <v>4899.1735537190079</v>
      </c>
      <c r="M258" s="141">
        <f t="shared" si="66"/>
        <v>568496.22644628107</v>
      </c>
      <c r="N258">
        <v>38123061</v>
      </c>
      <c r="O258">
        <f t="shared" si="67"/>
        <v>7</v>
      </c>
      <c r="P258" t="s">
        <v>124</v>
      </c>
      <c r="Q258" t="str">
        <f t="shared" si="68"/>
        <v>FULL TRACK S.R.L.JULIO 23</v>
      </c>
      <c r="R258" t="str">
        <f t="shared" si="69"/>
        <v>FULL TRACK S.R.L.7</v>
      </c>
      <c r="S258" t="str">
        <f>+R258&amp;COUNTIF($R$2:R258,R258)</f>
        <v>FULL TRACK S.R.L.72</v>
      </c>
      <c r="T258" s="141">
        <f t="shared" si="70"/>
        <v>1027517.1480000007</v>
      </c>
      <c r="U258" t="str">
        <f t="shared" si="71"/>
        <v>0054</v>
      </c>
      <c r="V258" t="str">
        <f t="shared" si="47"/>
        <v>FULL TRACK S.R.L.738123061</v>
      </c>
      <c r="W258" t="str">
        <f>+V258&amp;COUNTIF($V$2:V258,V258)</f>
        <v>FULL TRACK S.R.L.7381230611</v>
      </c>
    </row>
    <row r="259" spans="1:23" x14ac:dyDescent="0.25">
      <c r="A259" t="str">
        <f>Q259&amp;COUNTIF($Q$30:Q259,Q259)</f>
        <v>CANIVARE ROQUE JAVIERJULIO 231</v>
      </c>
      <c r="B259" t="s">
        <v>148</v>
      </c>
      <c r="C259" t="s">
        <v>698</v>
      </c>
      <c r="D259" t="s">
        <v>701</v>
      </c>
      <c r="E259" s="10">
        <v>45127</v>
      </c>
      <c r="F259" t="str">
        <f>+IFERROR(INDEX('AUX23'!$C$2:$D$60,MATCH(CARGAFACTURAS!C259,'AUX23'!$D$2:$D$70,0),1),"")</f>
        <v>20-16933464-2</v>
      </c>
      <c r="G259" s="243">
        <v>19000</v>
      </c>
      <c r="H259" s="141">
        <f>+IF(G259&lt;19999,0,IFERROR(VLOOKUP(C259,'AUX23'!$D$2:$K$70,3,0)*G259/100,0))</f>
        <v>0</v>
      </c>
      <c r="I259" s="141">
        <f>IF(G259&lt;9999,0,IFERROR(VLOOKUP(C259,'AUX23'!$D$2:$L$70,4,0)*G259/100,0))</f>
        <v>665</v>
      </c>
      <c r="J259" s="141">
        <f>IF(G259&lt;9999,0,IFERROR(VLOOKUP(C259,'AUX23'!$D$2:$L$70,5,0)*G259/100,0))</f>
        <v>0</v>
      </c>
      <c r="K259" s="141">
        <f>IF(G259&lt;9999,0,IFERROR((G259-67170)*VLOOKUP(C259,'AUX23'!$D$2:$L$70,6,0)/100,0))</f>
        <v>0</v>
      </c>
      <c r="L259" s="141">
        <f>IF(G259&lt;9999,0,IFERROR((G259/1.21)*VLOOKUP(C259,'AUX23'!$D$2:$L$70,7,0)/100,0))</f>
        <v>0</v>
      </c>
      <c r="M259" s="141">
        <f t="shared" si="66"/>
        <v>18335</v>
      </c>
      <c r="N259">
        <v>38123089</v>
      </c>
      <c r="O259">
        <f t="shared" si="67"/>
        <v>7</v>
      </c>
      <c r="P259" t="s">
        <v>101</v>
      </c>
      <c r="Q259" t="str">
        <f t="shared" si="68"/>
        <v>CANIVARE ROQUE JAVIERJULIO 23</v>
      </c>
      <c r="R259" t="str">
        <f t="shared" si="69"/>
        <v>CANIVARE ROQUE JAVIER7</v>
      </c>
      <c r="S259" t="str">
        <f>+R259&amp;COUNTIF($R$2:R259,R259)</f>
        <v>CANIVARE ROQUE JAVIER71</v>
      </c>
      <c r="T259" s="141">
        <f t="shared" si="70"/>
        <v>1008517.1480000007</v>
      </c>
      <c r="U259" t="str">
        <f t="shared" si="71"/>
        <v>0609</v>
      </c>
      <c r="V259" t="str">
        <f t="shared" ref="V259:V322" si="74">+R259&amp;N259</f>
        <v>CANIVARE ROQUE JAVIER738123089</v>
      </c>
      <c r="W259" t="str">
        <f>+V259&amp;COUNTIF($V$2:V259,V259)</f>
        <v>CANIVARE ROQUE JAVIER7381230891</v>
      </c>
    </row>
    <row r="260" spans="1:23" x14ac:dyDescent="0.25">
      <c r="A260" t="str">
        <f>Q260&amp;COUNTIF($Q$30:Q260,Q260)</f>
        <v>REINA ELECTRONICA SASJULIO 231</v>
      </c>
      <c r="B260" t="s">
        <v>148</v>
      </c>
      <c r="C260" t="s">
        <v>702</v>
      </c>
      <c r="D260" t="s">
        <v>705</v>
      </c>
      <c r="E260" s="10">
        <v>45128</v>
      </c>
      <c r="F260" t="str">
        <f>+IFERROR(INDEX('AUX23'!$C$2:$D$60,MATCH(CARGAFACTURAS!C260,'AUX23'!$D$2:$D$70,0),1),"")</f>
        <v>30-71779827-5</v>
      </c>
      <c r="G260" s="243">
        <v>6600</v>
      </c>
      <c r="H260" s="141">
        <f>+IF(G260&lt;19999,0,IFERROR(VLOOKUP(C260,'AUX23'!$D$2:$K$70,3,0)*G260/100,0))</f>
        <v>0</v>
      </c>
      <c r="I260" s="141">
        <f>IF(G260&lt;9999,0,IFERROR(VLOOKUP(C260,'AUX23'!$D$2:$L$70,4,0)*G260/100,0))</f>
        <v>0</v>
      </c>
      <c r="J260" s="141">
        <f>IF(G260&lt;9999,0,IFERROR(VLOOKUP(C260,'AUX23'!$D$2:$L$70,5,0)*G260/100,0))</f>
        <v>0</v>
      </c>
      <c r="K260" s="141">
        <f>IF(G260&lt;9999,0,IFERROR((G260-67170)*VLOOKUP(C260,'AUX23'!$D$2:$L$70,6,0)/100,0))</f>
        <v>0</v>
      </c>
      <c r="L260" s="141">
        <f>IF(G260&lt;9999,0,IFERROR((G260/1.21)*VLOOKUP(C260,'AUX23'!$D$2:$L$70,7,0)/100,0))</f>
        <v>0</v>
      </c>
      <c r="M260" s="141">
        <f t="shared" si="66"/>
        <v>6600</v>
      </c>
      <c r="N260" t="str">
        <f t="shared" si="73"/>
        <v>CC</v>
      </c>
      <c r="O260">
        <f t="shared" si="67"/>
        <v>7</v>
      </c>
      <c r="P260" t="s">
        <v>101</v>
      </c>
      <c r="Q260" t="str">
        <f t="shared" si="68"/>
        <v>REINA ELECTRONICA SASJULIO 23</v>
      </c>
      <c r="R260" t="str">
        <f t="shared" si="69"/>
        <v>REINA ELECTRONICA SAS7</v>
      </c>
      <c r="S260" t="str">
        <f>+R260&amp;COUNTIF($R$2:R260,R260)</f>
        <v>REINA ELECTRONICA SAS71</v>
      </c>
      <c r="T260" s="141">
        <f t="shared" si="70"/>
        <v>1001917.1480000007</v>
      </c>
      <c r="U260" t="str">
        <f t="shared" si="71"/>
        <v>0021</v>
      </c>
      <c r="V260" t="str">
        <f t="shared" si="74"/>
        <v>REINA ELECTRONICA SAS7CC</v>
      </c>
      <c r="W260" t="str">
        <f>+V260&amp;COUNTIF($V$2:V260,V260)</f>
        <v>REINA ELECTRONICA SAS7CC1</v>
      </c>
    </row>
    <row r="261" spans="1:23" x14ac:dyDescent="0.25">
      <c r="A261" t="str">
        <f>Q261&amp;COUNTIF($Q$30:Q261,Q261)</f>
        <v>REINA ELECTRONICA SASJULIO 232</v>
      </c>
      <c r="B261" t="s">
        <v>148</v>
      </c>
      <c r="C261" t="s">
        <v>702</v>
      </c>
      <c r="D261" t="s">
        <v>706</v>
      </c>
      <c r="E261" s="10">
        <v>45128</v>
      </c>
      <c r="F261" t="str">
        <f>+IFERROR(INDEX('AUX23'!$C$2:$D$60,MATCH(CARGAFACTURAS!C261,'AUX23'!$D$2:$D$70,0),1),"")</f>
        <v>30-71779827-5</v>
      </c>
      <c r="G261" s="243">
        <v>6600</v>
      </c>
      <c r="H261" s="141">
        <f>+IF(G261&lt;19999,0,IFERROR(VLOOKUP(C261,'AUX23'!$D$2:$K$70,3,0)*G261/100,0))</f>
        <v>0</v>
      </c>
      <c r="I261" s="141">
        <f>IF(G261&lt;9999,0,IFERROR(VLOOKUP(C261,'AUX23'!$D$2:$L$70,4,0)*G261/100,0))</f>
        <v>0</v>
      </c>
      <c r="J261" s="141">
        <f>IF(G261&lt;9999,0,IFERROR(VLOOKUP(C261,'AUX23'!$D$2:$L$70,5,0)*G261/100,0))</f>
        <v>0</v>
      </c>
      <c r="K261" s="141">
        <f>IF(G261&lt;9999,0,IFERROR((G261-67170)*VLOOKUP(C261,'AUX23'!$D$2:$L$70,6,0)/100,0))</f>
        <v>0</v>
      </c>
      <c r="L261" s="141">
        <f>IF(G261&lt;9999,0,IFERROR((G261/1.21)*VLOOKUP(C261,'AUX23'!$D$2:$L$70,7,0)/100,0))</f>
        <v>0</v>
      </c>
      <c r="M261" s="141">
        <f t="shared" si="66"/>
        <v>6600</v>
      </c>
      <c r="N261" t="str">
        <f t="shared" si="73"/>
        <v>CC</v>
      </c>
      <c r="O261">
        <f t="shared" si="67"/>
        <v>7</v>
      </c>
      <c r="P261" t="s">
        <v>101</v>
      </c>
      <c r="Q261" t="str">
        <f t="shared" si="68"/>
        <v>REINA ELECTRONICA SASJULIO 23</v>
      </c>
      <c r="R261" t="str">
        <f t="shared" si="69"/>
        <v>REINA ELECTRONICA SAS7</v>
      </c>
      <c r="S261" t="str">
        <f>+R261&amp;COUNTIF($R$2:R261,R261)</f>
        <v>REINA ELECTRONICA SAS72</v>
      </c>
      <c r="T261" s="141">
        <f t="shared" si="70"/>
        <v>995317.14800000074</v>
      </c>
      <c r="U261" t="str">
        <f t="shared" si="71"/>
        <v>0022</v>
      </c>
      <c r="V261" t="str">
        <f t="shared" si="74"/>
        <v>REINA ELECTRONICA SAS7CC</v>
      </c>
      <c r="W261" t="str">
        <f>+V261&amp;COUNTIF($V$2:V261,V261)</f>
        <v>REINA ELECTRONICA SAS7CC2</v>
      </c>
    </row>
    <row r="262" spans="1:23" x14ac:dyDescent="0.25">
      <c r="A262" t="str">
        <f>Q262&amp;COUNTIF($Q$30:Q262,Q262)</f>
        <v>MAIMARA MAXIKIOSCOJULIO 234</v>
      </c>
      <c r="B262" t="s">
        <v>148</v>
      </c>
      <c r="C262" t="s">
        <v>82</v>
      </c>
      <c r="D262" t="s">
        <v>741</v>
      </c>
      <c r="E262" s="10">
        <v>45140</v>
      </c>
      <c r="F262" t="str">
        <f>+IFERROR(INDEX('AUX23'!$C$2:$D$60,MATCH(CARGAFACTURAS!C262,'AUX23'!$D$2:$D$70,0),1),"")</f>
        <v>20-30068293-2</v>
      </c>
      <c r="G262" s="243">
        <v>3941.31</v>
      </c>
      <c r="H262" s="141">
        <f>+IF(G262&lt;19999,0,IFERROR(VLOOKUP(C262,'AUX23'!$D$2:$K$70,3,0)*G262/100,0))</f>
        <v>0</v>
      </c>
      <c r="I262" s="141">
        <f>IF(G262&lt;9999,0,IFERROR(VLOOKUP(C262,'AUX23'!$D$2:$L$70,4,0)*G262/100,0))</f>
        <v>0</v>
      </c>
      <c r="J262" s="141">
        <f>IF(G262&lt;9999,0,IFERROR(VLOOKUP(C262,'AUX23'!$D$2:$L$70,5,0)*G262/100,0))</f>
        <v>0</v>
      </c>
      <c r="K262" s="141">
        <f>IF(G262&lt;9999,0,IFERROR((G262-67170)*VLOOKUP(C262,'AUX23'!$D$2:$L$70,6,0)/100,0))</f>
        <v>0</v>
      </c>
      <c r="L262" s="141">
        <f>IF(G262&lt;9999,0,IFERROR((G262/1.21)*VLOOKUP(C262,'AUX23'!$D$2:$L$70,7,0)/100,0))</f>
        <v>0</v>
      </c>
      <c r="M262" s="141">
        <f t="shared" si="66"/>
        <v>3941.31</v>
      </c>
      <c r="N262">
        <v>38619753</v>
      </c>
      <c r="O262">
        <f t="shared" ref="O262:O263" si="75">+MONTH(E262)</f>
        <v>8</v>
      </c>
      <c r="P262" t="s">
        <v>101</v>
      </c>
      <c r="Q262" t="str">
        <f t="shared" si="68"/>
        <v>MAIMARA MAXIKIOSCOJULIO 23</v>
      </c>
      <c r="R262" t="str">
        <f t="shared" si="69"/>
        <v>MAIMARA MAXIKIOSCO8</v>
      </c>
      <c r="S262" t="str">
        <f>+R262&amp;COUNTIF($R$2:R262,R262)</f>
        <v>MAIMARA MAXIKIOSCO81</v>
      </c>
      <c r="T262" s="141">
        <f t="shared" si="70"/>
        <v>991375.83800000069</v>
      </c>
      <c r="U262" t="str">
        <f t="shared" si="71"/>
        <v>0765</v>
      </c>
      <c r="V262" t="str">
        <f t="shared" si="74"/>
        <v>MAIMARA MAXIKIOSCO838619753</v>
      </c>
      <c r="W262" t="str">
        <f>+V262&amp;COUNTIF($V$2:V262,V262)</f>
        <v>MAIMARA MAXIKIOSCO8386197531</v>
      </c>
    </row>
    <row r="263" spans="1:23" x14ac:dyDescent="0.25">
      <c r="A263" t="str">
        <f>Q263&amp;COUNTIF($Q$30:Q263,Q263)</f>
        <v>RODRIGUEZ ZELADA ROMULO FACUNDO(JOSULO)JULIO 231</v>
      </c>
      <c r="B263" t="s">
        <v>148</v>
      </c>
      <c r="C263" t="s">
        <v>720</v>
      </c>
      <c r="D263" t="s">
        <v>733</v>
      </c>
      <c r="E263" s="10">
        <v>45134</v>
      </c>
      <c r="F263" t="str">
        <f>+IFERROR(INDEX('AUX23'!$C$2:$D$60,MATCH(CARGAFACTURAS!C263,'AUX23'!$D$2:$D$70,0),1),"")</f>
        <v>20-29532277-3</v>
      </c>
      <c r="G263" s="243">
        <v>36300</v>
      </c>
      <c r="H263" s="141">
        <f>+IF(G263&lt;19999,0,IFERROR(VLOOKUP(C263,'AUX23'!$D$2:$K$70,3,0)*G263/100,0))</f>
        <v>453.75</v>
      </c>
      <c r="I263" s="141">
        <f>IF(G263&lt;9999,0,IFERROR(VLOOKUP(C263,'AUX23'!$D$2:$L$70,4,0)*G263/100,0))</f>
        <v>1270.5</v>
      </c>
      <c r="J263" s="141">
        <f>IF(G263&lt;9999,0,IFERROR(VLOOKUP(C263,'AUX23'!$D$2:$L$70,5,0)*G263/100,0))</f>
        <v>0</v>
      </c>
      <c r="K263" s="141">
        <f>IF(G263&lt;9999,0,IFERROR((G263-67170)*VLOOKUP(C263,'AUX23'!$D$2:$L$70,6,0)/100,0))</f>
        <v>0</v>
      </c>
      <c r="L263" s="141">
        <f>IF(G263&lt;9999,0,IFERROR((G263/1.21)*VLOOKUP(C263,'AUX23'!$D$2:$L$70,7,0)/100,0))</f>
        <v>0</v>
      </c>
      <c r="M263" s="141">
        <f t="shared" ref="M263" si="76">G263-H263-I263-J263-K263-L263</f>
        <v>34575.75</v>
      </c>
      <c r="N263">
        <v>3331977</v>
      </c>
      <c r="O263">
        <f t="shared" si="75"/>
        <v>7</v>
      </c>
      <c r="P263" t="s">
        <v>101</v>
      </c>
      <c r="Q263" t="str">
        <f t="shared" si="68"/>
        <v>RODRIGUEZ ZELADA ROMULO FACUNDO(JOSULO)JULIO 23</v>
      </c>
      <c r="R263" t="str">
        <f t="shared" si="69"/>
        <v>RODRIGUEZ ZELADA ROMULO FACUNDO(JOSULO)7</v>
      </c>
      <c r="S263" t="str">
        <f>+R263&amp;COUNTIF($R$2:R263,R263)</f>
        <v>RODRIGUEZ ZELADA ROMULO FACUNDO(JOSULO)71</v>
      </c>
      <c r="T263" s="141">
        <f t="shared" si="70"/>
        <v>955075.83800000069</v>
      </c>
      <c r="U263" t="str">
        <f t="shared" si="71"/>
        <v>0190</v>
      </c>
      <c r="V263" t="str">
        <f t="shared" si="74"/>
        <v>RODRIGUEZ ZELADA ROMULO FACUNDO(JOSULO)73331977</v>
      </c>
      <c r="W263" t="str">
        <f>+V263&amp;COUNTIF($V$2:V263,V263)</f>
        <v>RODRIGUEZ ZELADA ROMULO FACUNDO(JOSULO)733319771</v>
      </c>
    </row>
    <row r="264" spans="1:23" x14ac:dyDescent="0.25">
      <c r="A264" t="str">
        <f>Q264&amp;COUNTIF($Q$30:Q264,Q264)</f>
        <v>PANTHER DISTRIBUCIONES SRLJULIO 231</v>
      </c>
      <c r="B264" t="s">
        <v>148</v>
      </c>
      <c r="C264" t="s">
        <v>805</v>
      </c>
      <c r="D264" t="s">
        <v>732</v>
      </c>
      <c r="E264" s="10">
        <v>45132</v>
      </c>
      <c r="F264" t="str">
        <f>+IFERROR(INDEX('AUX23'!$C$2:$D$60,MATCH(CARGAFACTURAS!C264,'AUX23'!$D$2:$D$70,0),1),"")</f>
        <v>30-71639844-3</v>
      </c>
      <c r="G264" s="243">
        <v>40023.879999999997</v>
      </c>
      <c r="H264" s="141">
        <f>+IF(G264&lt;19999,0,IFERROR(VLOOKUP(C264,'AUX23'!$D$2:$K$70,3,0)*G264/100,0))</f>
        <v>1000.597</v>
      </c>
      <c r="I264" s="141">
        <f>IF(G264&lt;9999,0,IFERROR(VLOOKUP(C264,'AUX23'!$D$2:$L$70,4,0)*G264/100,0))</f>
        <v>2001.194</v>
      </c>
      <c r="J264" s="141">
        <f>IF(G264&lt;9999,0,IFERROR(VLOOKUP(C264,'AUX23'!$D$2:$L$70,5,0)*G264/100,0))</f>
        <v>0</v>
      </c>
      <c r="K264" s="141">
        <f>IF(G264&lt;9999,0,IFERROR((G264-67170)*VLOOKUP(C264,'AUX23'!$D$2:$L$70,6,0)/100,0))</f>
        <v>0</v>
      </c>
      <c r="L264" s="141">
        <f>IF(G264&lt;9999,0,IFERROR((G264/1.21)*VLOOKUP(C264,'AUX23'!$D$2:$L$70,7,0)/100,0))</f>
        <v>0</v>
      </c>
      <c r="M264" s="141">
        <f t="shared" si="66"/>
        <v>37022.088999999993</v>
      </c>
      <c r="N264">
        <v>38331954</v>
      </c>
      <c r="O264">
        <f t="shared" si="67"/>
        <v>7</v>
      </c>
      <c r="P264" t="s">
        <v>101</v>
      </c>
      <c r="Q264" t="str">
        <f t="shared" si="68"/>
        <v>PANTHER DISTRIBUCIONES SRLJULIO 23</v>
      </c>
      <c r="R264" t="str">
        <f t="shared" si="69"/>
        <v>PANTHER DISTRIBUCIONES SRL7</v>
      </c>
      <c r="S264" t="str">
        <f>+R264&amp;COUNTIF($R$2:R264,R264)</f>
        <v>PANTHER DISTRIBUCIONES SRL71</v>
      </c>
      <c r="T264" s="141">
        <f t="shared" si="70"/>
        <v>915051.95800000068</v>
      </c>
      <c r="U264" t="str">
        <f t="shared" si="71"/>
        <v>9940</v>
      </c>
      <c r="V264" t="str">
        <f t="shared" si="74"/>
        <v>PANTHER DISTRIBUCIONES SRL738331954</v>
      </c>
      <c r="W264" t="str">
        <f>+V264&amp;COUNTIF($V$2:V264,V264)</f>
        <v>PANTHER DISTRIBUCIONES SRL7383319541</v>
      </c>
    </row>
    <row r="265" spans="1:23" x14ac:dyDescent="0.25">
      <c r="A265" t="str">
        <f>Q265&amp;COUNTIF($Q$30:Q265,Q265)</f>
        <v>BERNIS ERNESTO FEDERICO(ALL TECH)JULIO 231</v>
      </c>
      <c r="B265" t="s">
        <v>148</v>
      </c>
      <c r="C265" t="s">
        <v>726</v>
      </c>
      <c r="D265" t="s">
        <v>731</v>
      </c>
      <c r="E265" s="10">
        <v>45134</v>
      </c>
      <c r="F265" t="str">
        <f>+IFERROR(INDEX('AUX23'!$C$2:$D$60,MATCH(CARGAFACTURAS!C265,'AUX23'!$D$2:$D$70,0),1),"")</f>
        <v>20-26782059-8</v>
      </c>
      <c r="G265" s="243">
        <v>36177</v>
      </c>
      <c r="H265" s="141">
        <f>+IF(G265&lt;19999,0,IFERROR(VLOOKUP(C265,'AUX23'!$D$2:$K$70,3,0)*G265/100,0))</f>
        <v>904.42499999999995</v>
      </c>
      <c r="I265" s="141">
        <f>IF(G265&lt;9999,0,IFERROR(VLOOKUP(C265,'AUX23'!$D$2:$L$70,4,0)*G265/100,0))</f>
        <v>1808.85</v>
      </c>
      <c r="J265" s="141">
        <f>IF(G265&lt;9999,0,IFERROR(VLOOKUP(C265,'AUX23'!$D$2:$L$70,5,0)*G265/100,0))</f>
        <v>0</v>
      </c>
      <c r="K265" s="141">
        <f>IF(G265&lt;9999,0,IFERROR((G265-67170)*VLOOKUP(C265,'AUX23'!$D$2:$L$70,6,0)/100,0))</f>
        <v>0</v>
      </c>
      <c r="L265" s="141">
        <f>IF(G265&lt;9999,0,IFERROR((G265/1.21)*VLOOKUP(C265,'AUX23'!$D$2:$L$70,7,0)/100,0))</f>
        <v>0</v>
      </c>
      <c r="M265" s="141">
        <f t="shared" si="66"/>
        <v>33463.724999999999</v>
      </c>
      <c r="N265">
        <v>38331999</v>
      </c>
      <c r="O265">
        <f t="shared" ref="O265:O267" si="77">+MONTH(E265)</f>
        <v>7</v>
      </c>
      <c r="P265" t="s">
        <v>101</v>
      </c>
      <c r="Q265" t="str">
        <f t="shared" si="68"/>
        <v>BERNIS ERNESTO FEDERICO(ALL TECH)JULIO 23</v>
      </c>
      <c r="R265" t="str">
        <f t="shared" si="69"/>
        <v>BERNIS ERNESTO FEDERICO(ALL TECH)7</v>
      </c>
      <c r="S265" t="str">
        <f>+R265&amp;COUNTIF($R$2:R265,R265)</f>
        <v>BERNIS ERNESTO FEDERICO(ALL TECH)71</v>
      </c>
      <c r="T265" s="141">
        <f t="shared" si="70"/>
        <v>878874.95800000068</v>
      </c>
      <c r="U265" t="str">
        <f t="shared" si="71"/>
        <v>0378</v>
      </c>
      <c r="V265" t="str">
        <f t="shared" si="74"/>
        <v>BERNIS ERNESTO FEDERICO(ALL TECH)738331999</v>
      </c>
      <c r="W265" t="str">
        <f>+V265&amp;COUNTIF($V$2:V265,V265)</f>
        <v>BERNIS ERNESTO FEDERICO(ALL TECH)7383319991</v>
      </c>
    </row>
    <row r="266" spans="1:23" x14ac:dyDescent="0.25">
      <c r="A266" t="str">
        <f>Q266&amp;COUNTIF($Q$30:Q266,Q266)</f>
        <v>MAIMARA MAXIKIOSCOJULIO 235</v>
      </c>
      <c r="B266" t="s">
        <v>148</v>
      </c>
      <c r="C266" t="s">
        <v>82</v>
      </c>
      <c r="D266" t="s">
        <v>738</v>
      </c>
      <c r="E266" s="10">
        <v>45140</v>
      </c>
      <c r="F266" t="str">
        <f>+IFERROR(INDEX('AUX23'!$C$2:$D$60,MATCH(CARGAFACTURAS!C266,'AUX23'!$D$2:$D$70,0),1),"")</f>
        <v>20-30068293-2</v>
      </c>
      <c r="G266" s="243">
        <v>5000</v>
      </c>
      <c r="H266" s="141">
        <f>+IF(G266&lt;19999,0,IFERROR(VLOOKUP(C266,'AUX23'!$D$2:$K$70,3,0)*G266/100,0))</f>
        <v>0</v>
      </c>
      <c r="I266" s="141">
        <f>IF(G266&lt;9999,0,IFERROR(VLOOKUP(C266,'AUX23'!$D$2:$L$70,4,0)*G266/100,0))</f>
        <v>0</v>
      </c>
      <c r="J266" s="141">
        <f>IF(G266&lt;9999,0,IFERROR(VLOOKUP(C266,'AUX23'!$D$2:$L$70,5,0)*G266/100,0))</f>
        <v>0</v>
      </c>
      <c r="K266" s="141">
        <f>IF(G266&lt;9999,0,IFERROR((G266-67170)*VLOOKUP(C266,'AUX23'!$D$2:$L$70,6,0)/100,0))</f>
        <v>0</v>
      </c>
      <c r="L266" s="141">
        <f>IF(G266&lt;9999,0,IFERROR((G266/1.21)*VLOOKUP(C266,'AUX23'!$D$2:$L$70,7,0)/100,0))</f>
        <v>0</v>
      </c>
      <c r="M266" s="141">
        <f t="shared" si="66"/>
        <v>5000</v>
      </c>
      <c r="N266" t="str">
        <f t="shared" si="73"/>
        <v>CC</v>
      </c>
      <c r="O266">
        <f t="shared" si="77"/>
        <v>8</v>
      </c>
      <c r="P266" t="s">
        <v>101</v>
      </c>
      <c r="Q266" t="str">
        <f t="shared" si="68"/>
        <v>MAIMARA MAXIKIOSCOJULIO 23</v>
      </c>
      <c r="R266" t="str">
        <f t="shared" si="69"/>
        <v>MAIMARA MAXIKIOSCO8</v>
      </c>
      <c r="S266" t="str">
        <f>+R266&amp;COUNTIF($R$2:R266,R266)</f>
        <v>MAIMARA MAXIKIOSCO82</v>
      </c>
      <c r="T266" s="141">
        <f t="shared" si="70"/>
        <v>873874.95800000068</v>
      </c>
      <c r="U266" t="str">
        <f t="shared" si="71"/>
        <v>0766</v>
      </c>
      <c r="V266" t="str">
        <f t="shared" si="74"/>
        <v>MAIMARA MAXIKIOSCO8CC</v>
      </c>
      <c r="W266" t="str">
        <f>+V266&amp;COUNTIF($V$2:V266,V266)</f>
        <v>MAIMARA MAXIKIOSCO8CC1</v>
      </c>
    </row>
    <row r="267" spans="1:23" x14ac:dyDescent="0.25">
      <c r="A267" t="str">
        <f>Q267&amp;COUNTIF($Q$30:Q267,Q267)</f>
        <v>ROTTA FRANCISCO(COMPUMAQ)JULIO 233</v>
      </c>
      <c r="B267" t="s">
        <v>148</v>
      </c>
      <c r="C267" t="s">
        <v>188</v>
      </c>
      <c r="D267" t="s">
        <v>770</v>
      </c>
      <c r="E267" s="10">
        <v>45142</v>
      </c>
      <c r="F267" t="str">
        <f>+IFERROR(INDEX('AUX23'!$C$2:$D$70,MATCH(CARGAFACTURAS!C267,'AUX23'!$D$2:$D$70,0),1),"")</f>
        <v>20-16216700-7</v>
      </c>
      <c r="G267" s="243">
        <v>10600</v>
      </c>
      <c r="H267" s="141">
        <f>+IF(G267&lt;19999,0,IFERROR(VLOOKUP(C267,'AUX23'!$D$2:$K$70,3,0)*G267/100,0))</f>
        <v>0</v>
      </c>
      <c r="I267" s="141">
        <f>IF(G267&lt;9999,0,IFERROR(VLOOKUP(C267,'AUX23'!$D$2:$L$70,4,0)*G267/100,0))</f>
        <v>530</v>
      </c>
      <c r="J267" s="141">
        <f>IF(G267&lt;9999,0,IFERROR(VLOOKUP(C267,'AUX23'!$D$2:$L$70,5,0)*G267/100,0))</f>
        <v>0</v>
      </c>
      <c r="K267" s="141">
        <f>IF(G267&lt;9999,0,IFERROR((G267-67170)*VLOOKUP(C267,'AUX23'!$D$2:$L$70,6,0)/100,0))</f>
        <v>0</v>
      </c>
      <c r="L267" s="141">
        <f>IF(G267&lt;9999,0,IFERROR((G267/1.21)*VLOOKUP(C267,'AUX23'!$D$2:$L$70,7,0)/100,0))</f>
        <v>0</v>
      </c>
      <c r="M267" s="141">
        <f t="shared" ref="M267" si="78">G267-H267-I267-J267-K267-L267</f>
        <v>10070</v>
      </c>
      <c r="N267">
        <v>38620250</v>
      </c>
      <c r="O267">
        <f t="shared" si="77"/>
        <v>8</v>
      </c>
      <c r="P267" t="s">
        <v>101</v>
      </c>
      <c r="Q267" t="str">
        <f t="shared" si="68"/>
        <v>ROTTA FRANCISCO(COMPUMAQ)JULIO 23</v>
      </c>
      <c r="R267" t="str">
        <f t="shared" si="69"/>
        <v>ROTTA FRANCISCO(COMPUMAQ)8</v>
      </c>
      <c r="S267" t="str">
        <f>+R267&amp;COUNTIF($R$2:R267,R267)</f>
        <v>ROTTA FRANCISCO(COMPUMAQ)81</v>
      </c>
      <c r="T267" s="141">
        <f t="shared" si="70"/>
        <v>863274.95800000068</v>
      </c>
      <c r="U267" t="str">
        <f t="shared" si="71"/>
        <v>2736</v>
      </c>
      <c r="V267" t="str">
        <f t="shared" si="74"/>
        <v>ROTTA FRANCISCO(COMPUMAQ)838620250</v>
      </c>
      <c r="W267" t="str">
        <f>+V267&amp;COUNTIF($V$2:V267,V267)</f>
        <v>ROTTA FRANCISCO(COMPUMAQ)8386202501</v>
      </c>
    </row>
    <row r="268" spans="1:23" x14ac:dyDescent="0.25">
      <c r="A268" t="str">
        <f>Q268&amp;COUNTIF($Q$30:Q268,Q268)</f>
        <v>PUERTAS RUBEN ALBERTO(PLASTINORT)JULIO 232</v>
      </c>
      <c r="B268" t="s">
        <v>148</v>
      </c>
      <c r="C268" t="s">
        <v>107</v>
      </c>
      <c r="D268" t="s">
        <v>740</v>
      </c>
      <c r="E268" s="10">
        <v>45139</v>
      </c>
      <c r="F268" t="str">
        <f>+IFERROR(INDEX('AUX23'!$C$2:$D$60,MATCH(CARGAFACTURAS!C268,'AUX23'!$D$2:$D$70,0),1),"")</f>
        <v>20-12576284-1</v>
      </c>
      <c r="G268" s="243">
        <v>4800</v>
      </c>
      <c r="H268" s="141">
        <f>+IF(G268&lt;19999,0,IFERROR(VLOOKUP(C268,'AUX23'!$D$2:$K$70,3,0)*G268/100,0))</f>
        <v>0</v>
      </c>
      <c r="I268" s="141">
        <f>IF(G268&lt;9999,0,IFERROR(VLOOKUP(C268,'AUX23'!$D$2:$L$70,4,0)*G268/100,0))</f>
        <v>0</v>
      </c>
      <c r="J268" s="141">
        <f>IF(G268&lt;9999,0,IFERROR(VLOOKUP(C268,'AUX23'!$D$2:$L$70,5,0)*G268/100,0))</f>
        <v>0</v>
      </c>
      <c r="K268" s="141">
        <f>IF(G268&lt;9999,0,IFERROR((G268-67170)*VLOOKUP(C268,'AUX23'!$D$2:$L$70,6,0)/100,0))</f>
        <v>0</v>
      </c>
      <c r="L268" s="141">
        <f>IF(G268&lt;9999,0,IFERROR((G268/1.21)*VLOOKUP(C268,'AUX23'!$D$2:$L$70,7,0)/100,0))</f>
        <v>0</v>
      </c>
      <c r="M268" s="141">
        <f t="shared" si="66"/>
        <v>4800</v>
      </c>
      <c r="N268" t="str">
        <f t="shared" si="73"/>
        <v>CC</v>
      </c>
      <c r="O268">
        <f t="shared" si="67"/>
        <v>8</v>
      </c>
      <c r="P268" t="s">
        <v>101</v>
      </c>
      <c r="Q268" t="str">
        <f t="shared" si="68"/>
        <v>PUERTAS RUBEN ALBERTO(PLASTINORT)JULIO 23</v>
      </c>
      <c r="R268" t="str">
        <f t="shared" si="69"/>
        <v>PUERTAS RUBEN ALBERTO(PLASTINORT)8</v>
      </c>
      <c r="S268" t="str">
        <f>+R268&amp;COUNTIF($R$2:R268,R268)</f>
        <v>PUERTAS RUBEN ALBERTO(PLASTINORT)81</v>
      </c>
      <c r="T268" s="141">
        <f t="shared" si="70"/>
        <v>858474.95800000068</v>
      </c>
      <c r="U268" t="str">
        <f t="shared" si="71"/>
        <v>3432</v>
      </c>
      <c r="V268" t="str">
        <f t="shared" si="74"/>
        <v>PUERTAS RUBEN ALBERTO(PLASTINORT)8CC</v>
      </c>
      <c r="W268" t="str">
        <f>+V268&amp;COUNTIF($V$2:V268,V268)</f>
        <v>PUERTAS RUBEN ALBERTO(PLASTINORT)8CC1</v>
      </c>
    </row>
    <row r="269" spans="1:23" x14ac:dyDescent="0.25">
      <c r="A269" t="str">
        <f>Q269&amp;COUNTIF($Q$30:Q269,Q269)</f>
        <v>NAGLE JORGE ELIAS(FERRETERIA)JULIO 231</v>
      </c>
      <c r="B269" t="s">
        <v>148</v>
      </c>
      <c r="C269" t="s">
        <v>340</v>
      </c>
      <c r="D269" t="s">
        <v>739</v>
      </c>
      <c r="E269" s="10">
        <v>45139</v>
      </c>
      <c r="F269" t="str">
        <f>+IFERROR(INDEX('AUX23'!$C$2:$D$60,MATCH(CARGAFACTURAS!C269,'AUX23'!$D$2:$D$70,0),1),"")</f>
        <v>20-39477352-3</v>
      </c>
      <c r="G269" s="243">
        <v>5260</v>
      </c>
      <c r="H269" s="141">
        <f>+IF(G269&lt;19999,0,IFERROR(VLOOKUP(C269,'AUX23'!$D$2:$K$70,3,0)*G269/100,0))</f>
        <v>0</v>
      </c>
      <c r="I269" s="141">
        <f>IF(G269&lt;9999,0,IFERROR(VLOOKUP(C269,'AUX23'!$D$2:$L$70,4,0)*G269/100,0))</f>
        <v>0</v>
      </c>
      <c r="J269" s="141">
        <f>IF(G269&lt;9999,0,IFERROR(VLOOKUP(C269,'AUX23'!$D$2:$L$70,5,0)*G269/100,0))</f>
        <v>0</v>
      </c>
      <c r="K269" s="141">
        <f>IF(G269&lt;9999,0,IFERROR((G269-67170)*VLOOKUP(C269,'AUX23'!$D$2:$L$70,6,0)/100,0))</f>
        <v>0</v>
      </c>
      <c r="L269" s="141">
        <f>IF(G269&lt;9999,0,IFERROR((G269/1.21)*VLOOKUP(C269,'AUX23'!$D$2:$L$70,7,0)/100,0))</f>
        <v>0</v>
      </c>
      <c r="M269" s="141">
        <f t="shared" ref="M269:M279" si="79">G269-H269-I269-J269-K269-L269</f>
        <v>5260</v>
      </c>
      <c r="N269" t="str">
        <f t="shared" ref="N269:N278" si="80">+IF(G269&lt;9999,"CC","INGR. NUMERO")</f>
        <v>CC</v>
      </c>
      <c r="O269">
        <f t="shared" ref="O269:O279" si="81">+MONTH(E269)</f>
        <v>8</v>
      </c>
      <c r="P269" t="s">
        <v>101</v>
      </c>
      <c r="Q269" t="str">
        <f t="shared" si="68"/>
        <v>NAGLE JORGE ELIAS(FERRETERIA)JULIO 23</v>
      </c>
      <c r="R269" t="str">
        <f t="shared" si="69"/>
        <v>NAGLE JORGE ELIAS(FERRETERIA)8</v>
      </c>
      <c r="S269" t="str">
        <f>+R269&amp;COUNTIF($R$2:R269,R269)</f>
        <v>NAGLE JORGE ELIAS(FERRETERIA)81</v>
      </c>
      <c r="T269" s="141">
        <f t="shared" si="70"/>
        <v>853214.95800000068</v>
      </c>
      <c r="U269" t="str">
        <f t="shared" si="71"/>
        <v>1796</v>
      </c>
      <c r="V269" t="str">
        <f t="shared" si="74"/>
        <v>NAGLE JORGE ELIAS(FERRETERIA)8CC</v>
      </c>
      <c r="W269" t="str">
        <f>+V269&amp;COUNTIF($V$2:V269,V269)</f>
        <v>NAGLE JORGE ELIAS(FERRETERIA)8CC1</v>
      </c>
    </row>
    <row r="270" spans="1:23" x14ac:dyDescent="0.25">
      <c r="A270" t="str">
        <f>Q270&amp;COUNTIF($Q$30:Q270,Q270)</f>
        <v>ACREDITACION SIPROSA RFJULIO 231</v>
      </c>
      <c r="B270" t="s">
        <v>148</v>
      </c>
      <c r="C270" t="s">
        <v>411</v>
      </c>
      <c r="E270" s="10">
        <v>45126</v>
      </c>
      <c r="F270" t="str">
        <f>+IFERROR(INDEX('AUX23'!$C$2:$D$60,MATCH(CARGAFACTURAS!C270,'AUX23'!$D$2:$D$70,0),1),"")</f>
        <v/>
      </c>
      <c r="G270" s="243">
        <v>600000</v>
      </c>
      <c r="H270" s="141">
        <f>+IF(G270&lt;19999,0,IFERROR(VLOOKUP(C270,'AUX23'!$D$2:$K$70,3,0)*G270/100,0))</f>
        <v>0</v>
      </c>
      <c r="I270" s="141">
        <f>IF(G270&lt;9999,0,IFERROR(VLOOKUP(C270,'AUX23'!$D$2:$L$70,4,0)*G270/100,0))</f>
        <v>0</v>
      </c>
      <c r="J270" s="141">
        <f>IF(G270&lt;9999,0,IFERROR(VLOOKUP(C270,'AUX23'!$D$2:$L$70,5,0)*G270/100,0))</f>
        <v>0</v>
      </c>
      <c r="K270" s="141">
        <f>IF(G270&lt;9999,0,IFERROR((G270-67170)*VLOOKUP(C270,'AUX23'!$D$2:$L$70,6,0)/100,0))</f>
        <v>0</v>
      </c>
      <c r="L270" s="141">
        <f>IF(G270&lt;9999,0,IFERROR((G270/1.21)*VLOOKUP(C270,'AUX23'!$D$2:$L$70,7,0)/100,0))</f>
        <v>0</v>
      </c>
      <c r="M270" s="141">
        <f t="shared" ref="M270:M272" si="82">G270-H270-I270-J270-K270-L270</f>
        <v>600000</v>
      </c>
      <c r="N270" t="str">
        <f t="shared" ref="N270" si="83">+IF(G270&lt;9999,"CC","INGR. NUMERO")</f>
        <v>INGR. NUMERO</v>
      </c>
      <c r="O270">
        <f t="shared" ref="O270:O272" si="84">+MONTH(E270)</f>
        <v>7</v>
      </c>
      <c r="Q270" t="str">
        <f t="shared" si="68"/>
        <v>ACREDITACION SIPROSA RFJULIO 23</v>
      </c>
      <c r="R270" t="str">
        <f t="shared" si="69"/>
        <v>ACREDITACION SIPROSA RF7</v>
      </c>
      <c r="S270" t="str">
        <f>+R270&amp;COUNTIF($R$2:R270,R270)</f>
        <v>ACREDITACION SIPROSA RF71</v>
      </c>
      <c r="T270" s="141">
        <f>+T269-G270+G270*2</f>
        <v>1453214.9580000006</v>
      </c>
      <c r="U270" t="str">
        <f t="shared" si="71"/>
        <v/>
      </c>
      <c r="V270" t="str">
        <f t="shared" si="74"/>
        <v>ACREDITACION SIPROSA RF7INGR. NUMERO</v>
      </c>
      <c r="W270" t="str">
        <f>+V270&amp;COUNTIF($V$2:V270,V270)</f>
        <v>ACREDITACION SIPROSA RF7INGR. NUMERO1</v>
      </c>
    </row>
    <row r="271" spans="1:23" x14ac:dyDescent="0.25">
      <c r="A271" t="str">
        <f>Q271&amp;COUNTIF($Q$30:Q271,Q271)</f>
        <v>SOCIEDAD DE OFTALMOLOGIA DE TUCUMANJULIO 231</v>
      </c>
      <c r="B271" t="s">
        <v>148</v>
      </c>
      <c r="C271" t="s">
        <v>743</v>
      </c>
      <c r="D271" t="s">
        <v>748</v>
      </c>
      <c r="E271" s="10">
        <v>45140</v>
      </c>
      <c r="F271" t="str">
        <f>+IFERROR(INDEX('AUX23'!$C$2:$D$60,MATCH(CARGAFACTURAS!C271,'AUX23'!$D$2:$D$70,0),1),"")</f>
        <v>30-70945940-2</v>
      </c>
      <c r="G271" s="243">
        <v>300000</v>
      </c>
      <c r="H271" s="141">
        <f>+IF(G271&lt;19999,0,IFERROR(VLOOKUP(C271,'AUX23'!$D$2:$K$70,3,0)*G271/100,0))</f>
        <v>7500</v>
      </c>
      <c r="I271" s="141">
        <f>IF(G271&lt;9999,0,IFERROR(VLOOKUP(C271,'AUX23'!$D$2:$L$70,4,0)*G271/100,0))</f>
        <v>0</v>
      </c>
      <c r="J271" s="141">
        <f>IF(G271&lt;9999,0,IFERROR(VLOOKUP(C271,'AUX23'!$D$2:$L$70,5,0)*G271/100,0))</f>
        <v>0</v>
      </c>
      <c r="K271" s="141">
        <f>IF(G271&lt;9999,0,IFERROR((G271-67170)*VLOOKUP(C271,'AUX23'!$D$2:$L$70,6,0)/100,0))</f>
        <v>4656.6000000000004</v>
      </c>
      <c r="L271" s="141">
        <f>IF(G271&lt;9999,0,IFERROR((G271/1.21)*VLOOKUP(C271,'AUX23'!$D$2:$L$70,7,0)/100,0))</f>
        <v>2479.3388429752067</v>
      </c>
      <c r="M271" s="141">
        <f t="shared" si="82"/>
        <v>285364.06115702481</v>
      </c>
      <c r="N271">
        <v>38619810</v>
      </c>
      <c r="O271">
        <f t="shared" si="84"/>
        <v>8</v>
      </c>
      <c r="P271" t="s">
        <v>202</v>
      </c>
      <c r="Q271" t="str">
        <f t="shared" ref="Q271" si="85">+C271&amp;B271</f>
        <v>SOCIEDAD DE OFTALMOLOGIA DE TUCUMANJULIO 23</v>
      </c>
      <c r="R271" t="str">
        <f t="shared" ref="R271" si="86">+CLEAN(C271)&amp;CLEAN(O271)</f>
        <v>SOCIEDAD DE OFTALMOLOGIA DE TUCUMAN8</v>
      </c>
      <c r="S271" t="str">
        <f>+R271&amp;COUNTIF($R$2:R271,R271)</f>
        <v>SOCIEDAD DE OFTALMOLOGIA DE TUCUMAN81</v>
      </c>
      <c r="T271" s="141">
        <f t="shared" si="70"/>
        <v>1153214.9580000006</v>
      </c>
      <c r="U271" t="str">
        <f t="shared" ref="U271" si="87">+RIGHT(D271,4)</f>
        <v>0130</v>
      </c>
      <c r="V271" t="str">
        <f t="shared" si="74"/>
        <v>SOCIEDAD DE OFTALMOLOGIA DE TUCUMAN838619810</v>
      </c>
      <c r="W271" t="str">
        <f>+V271&amp;COUNTIF($V$2:V271,V271)</f>
        <v>SOCIEDAD DE OFTALMOLOGIA DE TUCUMAN8386198101</v>
      </c>
    </row>
    <row r="272" spans="1:23" x14ac:dyDescent="0.25">
      <c r="A272" t="str">
        <f>Q272&amp;COUNTIF($Q$30:Q272,Q272)</f>
        <v>ASOCIACION CIVIL SOC. TUC. DE RADIOLOGIA SOTURAD JULIO 231</v>
      </c>
      <c r="B272" t="s">
        <v>148</v>
      </c>
      <c r="C272" t="s">
        <v>746</v>
      </c>
      <c r="D272" t="s">
        <v>749</v>
      </c>
      <c r="E272" s="10">
        <v>45140</v>
      </c>
      <c r="F272" t="str">
        <f>+IFERROR(INDEX('AUX23'!$C$2:$D$70,MATCH(CARGAFACTURAS!C272,'AUX23'!$D$2:$D$70,0),1),"")</f>
        <v>30-71481139-4</v>
      </c>
      <c r="G272" s="243">
        <v>300000</v>
      </c>
      <c r="H272" s="141">
        <f>+IF(G272&lt;19999,0,IFERROR(VLOOKUP(C272,'AUX23'!$D$2:$K$70,3,0)*G272/100,0))</f>
        <v>7500</v>
      </c>
      <c r="I272" s="141">
        <f>IF(G272&lt;9999,0,IFERROR(VLOOKUP(C272,'AUX23'!$D$2:$L$70,4,0)*G272/100,0))</f>
        <v>0</v>
      </c>
      <c r="J272" s="141">
        <f>IF(G272&lt;9999,0,IFERROR(VLOOKUP(C272,'AUX23'!$D$2:$L$70,5,0)*G272/100,0))</f>
        <v>0</v>
      </c>
      <c r="K272" s="141">
        <f>IF(G272&lt;9999,0,IFERROR((G272-67170)*VLOOKUP(C272,'AUX23'!$D$2:$L$70,6,0)/100,0))</f>
        <v>4656.6000000000004</v>
      </c>
      <c r="L272" s="141">
        <f>IF(G272&lt;9999,0,IFERROR((G272/1.21)*VLOOKUP(C272,'AUX23'!$D$2:$L$70,7,0)/100,0))</f>
        <v>2479.3388429752067</v>
      </c>
      <c r="M272" s="141">
        <f t="shared" si="82"/>
        <v>285364.06115702481</v>
      </c>
      <c r="N272">
        <v>38619878</v>
      </c>
      <c r="O272">
        <f t="shared" si="84"/>
        <v>8</v>
      </c>
      <c r="P272" t="s">
        <v>202</v>
      </c>
      <c r="Q272" t="str">
        <f t="shared" si="68"/>
        <v>ASOCIACION CIVIL SOC. TUC. DE RADIOLOGIA SOTURAD JULIO 23</v>
      </c>
      <c r="R272" t="str">
        <f t="shared" si="69"/>
        <v>ASOCIACION CIVIL SOC. TUC. DE RADIOLOGIA SOTURAD 8</v>
      </c>
      <c r="S272" t="str">
        <f>+R272&amp;COUNTIF($R$2:R272,R272)</f>
        <v>ASOCIACION CIVIL SOC. TUC. DE RADIOLOGIA SOTURAD 81</v>
      </c>
      <c r="T272" s="141">
        <f t="shared" si="70"/>
        <v>853214.95800000057</v>
      </c>
      <c r="U272" t="str">
        <f t="shared" si="71"/>
        <v>0026</v>
      </c>
      <c r="V272" t="str">
        <f t="shared" si="74"/>
        <v>ASOCIACION CIVIL SOC. TUC. DE RADIOLOGIA SOTURAD 838619878</v>
      </c>
      <c r="W272" t="str">
        <f>+V272&amp;COUNTIF($V$2:V272,V272)</f>
        <v>ASOCIACION CIVIL SOC. TUC. DE RADIOLOGIA SOTURAD 8386198781</v>
      </c>
    </row>
    <row r="273" spans="1:23" x14ac:dyDescent="0.25">
      <c r="A273" t="str">
        <f>Q273&amp;COUNTIF($Q$30:Q273,Q273)</f>
        <v>FULL TRACK S.R.L.JULIO 233</v>
      </c>
      <c r="B273" t="s">
        <v>148</v>
      </c>
      <c r="C273" t="s">
        <v>98</v>
      </c>
      <c r="D273" t="s">
        <v>750</v>
      </c>
      <c r="E273" s="10">
        <v>45138</v>
      </c>
      <c r="F273" t="str">
        <f>+IFERROR(INDEX('AUX23'!$C$2:$D$60,MATCH(CARGAFACTURAS!C273,'AUX23'!$D$2:$D$70,0),1),"")</f>
        <v>30-71648081-6</v>
      </c>
      <c r="G273" s="243">
        <v>54600</v>
      </c>
      <c r="H273" s="141">
        <f>+IF(G273&lt;19999,0,IFERROR(VLOOKUP(C273,'AUX23'!$D$2:$K$70,3,0)*G273/100,0))</f>
        <v>0</v>
      </c>
      <c r="I273" s="141">
        <f>IF(G273&lt;9999,0,IFERROR(VLOOKUP(C273,'AUX23'!$D$2:$L$70,4,0)*G273/100,0))</f>
        <v>819</v>
      </c>
      <c r="J273" s="141">
        <f>IF(G273&lt;9999,0,IFERROR(VLOOKUP(C273,'AUX23'!$D$2:$L$70,5,0)*G273/100,0))</f>
        <v>0</v>
      </c>
      <c r="K273" s="141">
        <v>0</v>
      </c>
      <c r="L273" s="141">
        <f>IF(G273&lt;9999,0,IFERROR((G273/1.21)*VLOOKUP(C273,'AUX23'!$D$2:$L$70,7,0)/100,0))</f>
        <v>451.23966942148763</v>
      </c>
      <c r="M273" s="141">
        <f t="shared" ref="M273" si="88">G273-H273-I273-J273-K273-L273</f>
        <v>53329.760330578516</v>
      </c>
      <c r="N273">
        <v>38619931</v>
      </c>
      <c r="O273">
        <f t="shared" ref="O273" si="89">+MONTH(E273)</f>
        <v>7</v>
      </c>
      <c r="P273" t="s">
        <v>124</v>
      </c>
      <c r="Q273" t="str">
        <f t="shared" si="68"/>
        <v>FULL TRACK S.R.L.JULIO 23</v>
      </c>
      <c r="R273" t="str">
        <f t="shared" si="69"/>
        <v>FULL TRACK S.R.L.7</v>
      </c>
      <c r="S273" t="str">
        <f>+R273&amp;COUNTIF($R$2:R273,R273)</f>
        <v>FULL TRACK S.R.L.73</v>
      </c>
      <c r="T273" s="141">
        <f t="shared" si="70"/>
        <v>798614.95800000057</v>
      </c>
      <c r="U273" t="str">
        <f t="shared" si="71"/>
        <v>0056</v>
      </c>
      <c r="V273" t="str">
        <f t="shared" si="74"/>
        <v>FULL TRACK S.R.L.738619931</v>
      </c>
      <c r="W273" t="str">
        <f>+V273&amp;COUNTIF($V$2:V273,V273)</f>
        <v>FULL TRACK S.R.L.7386199311</v>
      </c>
    </row>
    <row r="274" spans="1:23" x14ac:dyDescent="0.25">
      <c r="A274" t="str">
        <f>Q274&amp;COUNTIF($Q$30:Q274,Q274)</f>
        <v>FULL TRACK S.R.L.JULIO 234</v>
      </c>
      <c r="B274" t="s">
        <v>148</v>
      </c>
      <c r="C274" t="s">
        <v>98</v>
      </c>
      <c r="D274" t="s">
        <v>751</v>
      </c>
      <c r="E274" s="10">
        <v>45138</v>
      </c>
      <c r="F274" t="str">
        <f>+IFERROR(INDEX('AUX23'!$C$2:$D$60,MATCH(CARGAFACTURAS!C274,'AUX23'!$D$2:$D$70,0),1),"")</f>
        <v>30-71648081-6</v>
      </c>
      <c r="G274" s="243">
        <v>583700</v>
      </c>
      <c r="H274" s="141">
        <f>+IF(G274&lt;19999,0,IFERROR(VLOOKUP(C274,'AUX23'!$D$2:$K$70,3,0)*G274/100,0))</f>
        <v>0</v>
      </c>
      <c r="I274" s="141">
        <f>IF(G274&lt;9999,0,IFERROR(VLOOKUP(C274,'AUX23'!$D$2:$L$70,4,0)*G274/100,0))</f>
        <v>8755.5</v>
      </c>
      <c r="J274" s="141">
        <f>IF(G274&lt;9999,0,IFERROR(VLOOKUP(C274,'AUX23'!$D$2:$L$70,5,0)*G274/100,0))</f>
        <v>0</v>
      </c>
      <c r="K274" s="141">
        <f>IF(G274&lt;9999,0,IFERROR((G274-67170)*VLOOKUP(C274,'AUX23'!$D$2:$L$70,6,0)/100,0))</f>
        <v>10330.6</v>
      </c>
      <c r="L274" s="141">
        <f>IF(G274&lt;9999,0,IFERROR((G274/1.21)*VLOOKUP(C274,'AUX23'!$D$2:$L$70,7,0)/100,0))</f>
        <v>4823.9669421487606</v>
      </c>
      <c r="M274" s="141">
        <f t="shared" si="79"/>
        <v>559789.93305785127</v>
      </c>
      <c r="N274">
        <v>38620023</v>
      </c>
      <c r="O274">
        <f t="shared" si="81"/>
        <v>7</v>
      </c>
      <c r="P274" t="s">
        <v>124</v>
      </c>
      <c r="Q274" t="str">
        <f t="shared" si="68"/>
        <v>FULL TRACK S.R.L.JULIO 23</v>
      </c>
      <c r="R274" t="str">
        <f t="shared" si="69"/>
        <v>FULL TRACK S.R.L.7</v>
      </c>
      <c r="S274" t="str">
        <f>+R274&amp;COUNTIF($R$2:R274,R274)</f>
        <v>FULL TRACK S.R.L.74</v>
      </c>
      <c r="T274" s="141">
        <f t="shared" si="70"/>
        <v>214914.95800000057</v>
      </c>
      <c r="U274" t="str">
        <f t="shared" si="71"/>
        <v>0055</v>
      </c>
      <c r="V274" t="str">
        <f t="shared" si="74"/>
        <v>FULL TRACK S.R.L.738620023</v>
      </c>
      <c r="W274" t="str">
        <f>+V274&amp;COUNTIF($V$2:V274,V274)</f>
        <v>FULL TRACK S.R.L.7386200231</v>
      </c>
    </row>
    <row r="275" spans="1:23" x14ac:dyDescent="0.25">
      <c r="A275" t="str">
        <f>Q275&amp;COUNTIF($Q$30:Q275,Q275)</f>
        <v>WATERLIFE (VARONA CARLOS JOSE)JULIO 231</v>
      </c>
      <c r="B275" t="s">
        <v>148</v>
      </c>
      <c r="C275" t="s">
        <v>20</v>
      </c>
      <c r="D275" t="s">
        <v>752</v>
      </c>
      <c r="E275" s="10">
        <v>45139</v>
      </c>
      <c r="F275" t="str">
        <f>+IFERROR(INDEX('AUX23'!$C$2:$D$60,MATCH(CARGAFACTURAS!C275,'AUX23'!$D$2:$D$70,0),1),"")</f>
        <v>20-22414023-2</v>
      </c>
      <c r="G275" s="243">
        <v>63300</v>
      </c>
      <c r="H275" s="141">
        <f>+IF(G275&lt;19999,0,IFERROR(VLOOKUP(C275,'AUX23'!$D$2:$K$70,3,0)*G275/100,0))</f>
        <v>0</v>
      </c>
      <c r="I275" s="141">
        <f>IF(G275&lt;9999,0,IFERROR(VLOOKUP(C275,'AUX23'!$D$2:$L$70,4,0)*G275/100,0))</f>
        <v>1582.5</v>
      </c>
      <c r="J275" s="141">
        <f>IF(G275&lt;9999,0,IFERROR(VLOOKUP(C275,'AUX23'!$D$2:$L$70,5,0)*G275/100,0))</f>
        <v>0</v>
      </c>
      <c r="K275" s="141">
        <f>IF(G275&lt;9999,0,IFERROR((G275-67170)*VLOOKUP(C275,'AUX23'!$D$2:$L$70,6,0)/100,0))</f>
        <v>0</v>
      </c>
      <c r="L275" s="141">
        <f>IF(G275&lt;9999,0,IFERROR((G275/1.21)*VLOOKUP(C275,'AUX23'!$D$2:$L$70,7,0)/100,0))</f>
        <v>0</v>
      </c>
      <c r="M275" s="141">
        <f t="shared" si="79"/>
        <v>61717.5</v>
      </c>
      <c r="N275">
        <v>38620222</v>
      </c>
      <c r="O275">
        <f t="shared" si="81"/>
        <v>8</v>
      </c>
      <c r="P275" t="s">
        <v>101</v>
      </c>
      <c r="Q275" t="str">
        <f t="shared" si="68"/>
        <v>WATERLIFE (VARONA CARLOS JOSE)JULIO 23</v>
      </c>
      <c r="R275" t="str">
        <f t="shared" si="69"/>
        <v>WATERLIFE (VARONA CARLOS JOSE)8</v>
      </c>
      <c r="S275" t="str">
        <f>+R275&amp;COUNTIF($R$2:R275,R275)</f>
        <v>WATERLIFE (VARONA CARLOS JOSE)81</v>
      </c>
      <c r="T275" s="141">
        <f t="shared" si="70"/>
        <v>151614.95800000057</v>
      </c>
      <c r="U275" t="str">
        <f t="shared" si="71"/>
        <v>4962</v>
      </c>
      <c r="V275" t="str">
        <f t="shared" si="74"/>
        <v>WATERLIFE (VARONA CARLOS JOSE)838620222</v>
      </c>
      <c r="W275" t="str">
        <f>+V275&amp;COUNTIF($V$2:V275,V275)</f>
        <v>WATERLIFE (VARONA CARLOS JOSE)8386202221</v>
      </c>
    </row>
    <row r="276" spans="1:23" x14ac:dyDescent="0.25">
      <c r="A276" t="str">
        <f>Q276&amp;COUNTIF($Q$30:Q276,Q276)</f>
        <v>ALUNORT SRLJULIO 231</v>
      </c>
      <c r="B276" t="s">
        <v>148</v>
      </c>
      <c r="C276" t="s">
        <v>753</v>
      </c>
      <c r="D276" t="s">
        <v>756</v>
      </c>
      <c r="E276" s="10">
        <v>45139</v>
      </c>
      <c r="F276" t="str">
        <f>+IFERROR(INDEX('AUX23'!$C$2:$D$70,MATCH(CARGAFACTURAS!C276,'AUX23'!$D$2:$D$70,0),1),"")</f>
        <v>30-71342090-1</v>
      </c>
      <c r="G276" s="243">
        <v>7463.74</v>
      </c>
      <c r="H276" s="141">
        <f>+IF(G276&lt;19999,0,IFERROR(VLOOKUP(C276,'AUX23'!$D$2:$K$70,3,0)*G276/100,0))</f>
        <v>0</v>
      </c>
      <c r="I276" s="141">
        <f>IF(G276&lt;9999,0,IFERROR(VLOOKUP(C276,'AUX23'!$D$2:$L$70,4,0)*G276/100,0))</f>
        <v>0</v>
      </c>
      <c r="J276" s="141">
        <f>IF(G276&lt;9999,0,IFERROR(VLOOKUP(C276,'AUX23'!$D$2:$L$70,5,0)*G276/100,0))</f>
        <v>0</v>
      </c>
      <c r="K276" s="141">
        <f>IF(G276&lt;9999,0,IFERROR((G276-67170)*VLOOKUP(C276,'AUX23'!$D$2:$L$70,6,0)/100,0))</f>
        <v>0</v>
      </c>
      <c r="L276" s="141">
        <f>IF(G276&lt;9999,0,IFERROR((G276/1.21)*VLOOKUP(C276,'AUX23'!$D$2:$L$70,7,0)/100,0))</f>
        <v>0</v>
      </c>
      <c r="M276" s="141">
        <f t="shared" si="79"/>
        <v>7463.74</v>
      </c>
      <c r="N276" t="str">
        <f t="shared" si="80"/>
        <v>CC</v>
      </c>
      <c r="O276">
        <f t="shared" si="81"/>
        <v>8</v>
      </c>
      <c r="P276" t="s">
        <v>101</v>
      </c>
      <c r="Q276" t="str">
        <f t="shared" si="68"/>
        <v>ALUNORT SRLJULIO 23</v>
      </c>
      <c r="R276" t="str">
        <f t="shared" si="69"/>
        <v>ALUNORT SRL8</v>
      </c>
      <c r="S276" t="str">
        <f>+R276&amp;COUNTIF($R$2:R276,R276)</f>
        <v>ALUNORT SRL81</v>
      </c>
      <c r="T276" s="141">
        <f t="shared" si="70"/>
        <v>144151.21800000058</v>
      </c>
      <c r="U276" t="str">
        <f t="shared" si="71"/>
        <v>7997</v>
      </c>
      <c r="V276" t="str">
        <f t="shared" si="74"/>
        <v>ALUNORT SRL8CC</v>
      </c>
      <c r="W276" t="str">
        <f>+V276&amp;COUNTIF($V$2:V276,V276)</f>
        <v>ALUNORT SRL8CC1</v>
      </c>
    </row>
    <row r="277" spans="1:23" x14ac:dyDescent="0.25">
      <c r="A277" t="str">
        <f>Q277&amp;COUNTIF($Q$30:Q277,Q277)</f>
        <v>ALUNORT SRLJULIO 232</v>
      </c>
      <c r="B277" t="s">
        <v>148</v>
      </c>
      <c r="C277" t="s">
        <v>753</v>
      </c>
      <c r="D277" t="s">
        <v>757</v>
      </c>
      <c r="E277" s="10">
        <v>45139</v>
      </c>
      <c r="F277" t="str">
        <f>+IFERROR(INDEX('AUX23'!$C$2:$D$70,MATCH(CARGAFACTURAS!C277,'AUX23'!$D$2:$D$70,0),1),"")</f>
        <v>30-71342090-1</v>
      </c>
      <c r="G277" s="243">
        <v>7463.74</v>
      </c>
      <c r="H277" s="141">
        <f>+IF(G277&lt;19999,0,IFERROR(VLOOKUP(C277,'AUX23'!$D$2:$K$70,3,0)*G277/100,0))</f>
        <v>0</v>
      </c>
      <c r="I277" s="141">
        <f>IF(G277&lt;9999,0,IFERROR(VLOOKUP(C277,'AUX23'!$D$2:$L$70,4,0)*G277/100,0))</f>
        <v>0</v>
      </c>
      <c r="J277" s="141">
        <f>IF(G277&lt;9999,0,IFERROR(VLOOKUP(C277,'AUX23'!$D$2:$L$70,5,0)*G277/100,0))</f>
        <v>0</v>
      </c>
      <c r="K277" s="141">
        <f>IF(G277&lt;9999,0,IFERROR((G277-67170)*VLOOKUP(C277,'AUX23'!$D$2:$L$70,6,0)/100,0))</f>
        <v>0</v>
      </c>
      <c r="L277" s="141">
        <f>IF(G277&lt;9999,0,IFERROR((G277/1.21)*VLOOKUP(C277,'AUX23'!$D$2:$L$70,7,0)/100,0))</f>
        <v>0</v>
      </c>
      <c r="M277" s="141">
        <f t="shared" si="79"/>
        <v>7463.74</v>
      </c>
      <c r="N277" t="str">
        <f t="shared" si="80"/>
        <v>CC</v>
      </c>
      <c r="O277">
        <f t="shared" si="81"/>
        <v>8</v>
      </c>
      <c r="P277" t="s">
        <v>101</v>
      </c>
      <c r="Q277" t="str">
        <f t="shared" si="68"/>
        <v>ALUNORT SRLJULIO 23</v>
      </c>
      <c r="R277" t="str">
        <f t="shared" si="69"/>
        <v>ALUNORT SRL8</v>
      </c>
      <c r="S277" t="str">
        <f>+R277&amp;COUNTIF($R$2:R277,R277)</f>
        <v>ALUNORT SRL82</v>
      </c>
      <c r="T277" s="141">
        <f t="shared" si="70"/>
        <v>136687.47800000058</v>
      </c>
      <c r="U277" t="str">
        <f t="shared" si="71"/>
        <v>7998</v>
      </c>
      <c r="V277" t="str">
        <f t="shared" si="74"/>
        <v>ALUNORT SRL8CC</v>
      </c>
      <c r="W277" t="str">
        <f>+V277&amp;COUNTIF($V$2:V277,V277)</f>
        <v>ALUNORT SRL8CC2</v>
      </c>
    </row>
    <row r="278" spans="1:23" x14ac:dyDescent="0.25">
      <c r="A278" t="str">
        <f>Q278&amp;COUNTIF($Q$30:Q278,Q278)</f>
        <v>POTENTE SUSANA BEATRIZJULIO 231</v>
      </c>
      <c r="B278" t="s">
        <v>148</v>
      </c>
      <c r="C278" t="s">
        <v>758</v>
      </c>
      <c r="D278" t="s">
        <v>761</v>
      </c>
      <c r="E278" s="10">
        <v>45142</v>
      </c>
      <c r="F278" t="str">
        <f>+IFERROR(INDEX('AUX23'!$C$2:$D$70,MATCH(CARGAFACTURAS!C278,'AUX23'!$D$2:$D$70,0),1),"")</f>
        <v>27-05906888-7</v>
      </c>
      <c r="G278" s="243">
        <v>865</v>
      </c>
      <c r="H278" s="141">
        <f>+IF(G278&lt;19999,0,IFERROR(VLOOKUP(C278,'AUX23'!$D$2:$K$70,3,0)*G278/100,0))</f>
        <v>0</v>
      </c>
      <c r="I278" s="141">
        <f>IF(G278&lt;9999,0,IFERROR(VLOOKUP(C278,'AUX23'!$D$2:$L$70,4,0)*G278/100,0))</f>
        <v>0</v>
      </c>
      <c r="J278" s="141">
        <f>IF(G278&lt;9999,0,IFERROR(VLOOKUP(C278,'AUX23'!$D$2:$L$70,5,0)*G278/100,0))</f>
        <v>0</v>
      </c>
      <c r="K278" s="141">
        <f>IF(G278&lt;9999,0,IFERROR((G278-67170)*VLOOKUP(C278,'AUX23'!$D$2:$L$70,6,0)/100,0))</f>
        <v>0</v>
      </c>
      <c r="L278" s="141">
        <f>IF(G278&lt;9999,0,IFERROR((G278/1.21)*VLOOKUP(C278,'AUX23'!$D$2:$L$70,7,0)/100,0))</f>
        <v>0</v>
      </c>
      <c r="M278" s="141">
        <f t="shared" si="79"/>
        <v>865</v>
      </c>
      <c r="N278" t="str">
        <f t="shared" si="80"/>
        <v>CC</v>
      </c>
      <c r="O278">
        <f t="shared" si="81"/>
        <v>8</v>
      </c>
      <c r="P278" t="s">
        <v>101</v>
      </c>
      <c r="Q278" t="str">
        <f t="shared" si="68"/>
        <v>POTENTE SUSANA BEATRIZJULIO 23</v>
      </c>
      <c r="R278" t="str">
        <f t="shared" si="69"/>
        <v>POTENTE SUSANA BEATRIZ8</v>
      </c>
      <c r="S278" t="str">
        <f>+R278&amp;COUNTIF($R$2:R278,R278)</f>
        <v>POTENTE SUSANA BEATRIZ81</v>
      </c>
      <c r="T278" s="141">
        <f t="shared" si="70"/>
        <v>135822.47800000058</v>
      </c>
      <c r="U278" t="str">
        <f t="shared" si="71"/>
        <v>0320</v>
      </c>
      <c r="V278" t="str">
        <f t="shared" si="74"/>
        <v>POTENTE SUSANA BEATRIZ8CC</v>
      </c>
      <c r="W278" t="str">
        <f>+V278&amp;COUNTIF($V$2:V278,V278)</f>
        <v>POTENTE SUSANA BEATRIZ8CC1</v>
      </c>
    </row>
    <row r="279" spans="1:23" x14ac:dyDescent="0.25">
      <c r="A279" t="str">
        <f>Q279&amp;COUNTIF($Q$30:Q279,Q279)</f>
        <v>MULTISHOP SASJULIO 232</v>
      </c>
      <c r="B279" t="s">
        <v>148</v>
      </c>
      <c r="C279" t="s">
        <v>673</v>
      </c>
      <c r="D279" t="s">
        <v>768</v>
      </c>
      <c r="E279" s="10">
        <v>45142</v>
      </c>
      <c r="F279" t="str">
        <f>+IFERROR(INDEX('AUX23'!$C$2:$D$70,MATCH(CARGAFACTURAS!C279,'AUX23'!$D$2:$D$70,0),1),"")</f>
        <v>33-71635571-9</v>
      </c>
      <c r="G279" s="243">
        <v>24200</v>
      </c>
      <c r="H279" s="141">
        <f>+IF(G279&lt;19999,0,IFERROR(VLOOKUP(C279,'AUX23'!$D$2:$K$70,3,0)*G279/100,0))</f>
        <v>302.5</v>
      </c>
      <c r="I279" s="141">
        <f>IF(G279&lt;9999,0,IFERROR(VLOOKUP(C279,'AUX23'!$D$2:$L$70,4,0)*G279/100,0))</f>
        <v>1210</v>
      </c>
      <c r="J279" s="141">
        <f>IF(G279&lt;9999,0,IFERROR(VLOOKUP(C279,'AUX23'!$D$2:$L$70,5,0)*G279/100,0))</f>
        <v>0</v>
      </c>
      <c r="K279" s="141">
        <f>IF(G279&lt;9999,0,IFERROR((G279-67170)*VLOOKUP(C279,'AUX23'!$D$2:$L$70,6,0)/100,0))</f>
        <v>0</v>
      </c>
      <c r="L279" s="141">
        <f>IF(G279&lt;9999,0,IFERROR((G279/1.21)*VLOOKUP(C279,'AUX23'!$D$2:$L$70,7,0)/100,0))</f>
        <v>0</v>
      </c>
      <c r="M279" s="141">
        <f t="shared" si="79"/>
        <v>22687.5</v>
      </c>
      <c r="N279">
        <v>38620329</v>
      </c>
      <c r="O279">
        <f t="shared" si="81"/>
        <v>8</v>
      </c>
      <c r="P279" t="s">
        <v>101</v>
      </c>
      <c r="Q279" t="str">
        <f t="shared" si="68"/>
        <v>MULTISHOP SASJULIO 23</v>
      </c>
      <c r="R279" t="str">
        <f t="shared" si="69"/>
        <v>MULTISHOP SAS8</v>
      </c>
      <c r="S279" t="str">
        <f>+R279&amp;COUNTIF($R$2:R279,R279)</f>
        <v>MULTISHOP SAS81</v>
      </c>
      <c r="T279" s="141">
        <f t="shared" si="70"/>
        <v>111622.47800000058</v>
      </c>
      <c r="U279" t="str">
        <f t="shared" si="71"/>
        <v>9664</v>
      </c>
      <c r="V279" t="str">
        <f t="shared" si="74"/>
        <v>MULTISHOP SAS838620329</v>
      </c>
      <c r="W279" t="str">
        <f>+V279&amp;COUNTIF($V$2:V279,V279)</f>
        <v>MULTISHOP SAS8386203291</v>
      </c>
    </row>
    <row r="280" spans="1:23" x14ac:dyDescent="0.25">
      <c r="A280" t="str">
        <f>Q280&amp;COUNTIF($Q$30:Q280,Q280)</f>
        <v>LEON LUIS CESARJULIO 232</v>
      </c>
      <c r="B280" t="s">
        <v>148</v>
      </c>
      <c r="C280" t="s">
        <v>109</v>
      </c>
      <c r="D280" t="s">
        <v>794</v>
      </c>
      <c r="E280" s="10">
        <v>45149</v>
      </c>
      <c r="F280" t="str">
        <f>+IFERROR(INDEX('AUX23'!$C$2:$D$60,MATCH(CARGAFACTURAS!C280,'AUX23'!$D$2:$D$70,0),1),"")</f>
        <v>20-13278210-6</v>
      </c>
      <c r="G280" s="243">
        <v>66851.41</v>
      </c>
      <c r="H280" s="141">
        <f>+IF(G280&lt;19999,0,IFERROR(VLOOKUP(C280,'AUX23'!$D$2:$K$70,3,0)*G280/100,0))</f>
        <v>835.64262500000007</v>
      </c>
      <c r="I280" s="141">
        <f>IF(G280&lt;9999,0,IFERROR(VLOOKUP(C280,'AUX23'!$D$2:$L$70,4,0)*G280/100,0))</f>
        <v>3342.5705000000003</v>
      </c>
      <c r="J280" s="141">
        <f>IF(G280&lt;9999,0,IFERROR(VLOOKUP(C280,'AUX23'!$D$2:$L$70,5,0)*G280/100,0))</f>
        <v>0</v>
      </c>
      <c r="K280" s="141">
        <f>IF(G280&lt;9999,0,IFERROR((G280-67170)*VLOOKUP(C280,'AUX23'!$D$2:$L$70,6,0)/100,0))</f>
        <v>0</v>
      </c>
      <c r="L280" s="141">
        <f>IF(G280&lt;9999,0,IFERROR((G280/1.21)*VLOOKUP(C280,'AUX23'!$D$2:$L$70,7,0)/100,0))</f>
        <v>0</v>
      </c>
      <c r="M280" s="141">
        <f t="shared" si="66"/>
        <v>62673.196875000009</v>
      </c>
      <c r="N280">
        <v>38911771</v>
      </c>
      <c r="O280">
        <f t="shared" ref="O280:O284" si="90">+MONTH(E280)</f>
        <v>8</v>
      </c>
      <c r="P280" t="s">
        <v>101</v>
      </c>
      <c r="Q280" t="str">
        <f t="shared" si="68"/>
        <v>LEON LUIS CESARJULIO 23</v>
      </c>
      <c r="R280" t="str">
        <f t="shared" si="69"/>
        <v>LEON LUIS CESAR8</v>
      </c>
      <c r="S280" t="str">
        <f>+R280&amp;COUNTIF($R$2:R280,R280)</f>
        <v>LEON LUIS CESAR81</v>
      </c>
      <c r="T280" s="141">
        <f t="shared" si="70"/>
        <v>44771.068000000581</v>
      </c>
      <c r="U280" t="str">
        <f t="shared" si="71"/>
        <v>9724</v>
      </c>
      <c r="V280" t="str">
        <f t="shared" si="74"/>
        <v>LEON LUIS CESAR838911771</v>
      </c>
      <c r="W280" t="str">
        <f>+V280&amp;COUNTIF($V$2:V280,V280)</f>
        <v>LEON LUIS CESAR8389117711</v>
      </c>
    </row>
    <row r="281" spans="1:23" x14ac:dyDescent="0.25">
      <c r="A281" t="str">
        <f>Q281&amp;COUNTIF($Q$30:Q281,Q281)</f>
        <v>DOLSA SAJULIO 232</v>
      </c>
      <c r="B281" t="s">
        <v>148</v>
      </c>
      <c r="C281" t="s">
        <v>571</v>
      </c>
      <c r="D281" t="s">
        <v>769</v>
      </c>
      <c r="E281" s="10">
        <v>45142</v>
      </c>
      <c r="F281" t="str">
        <f>+IFERROR(INDEX('AUX23'!$C$2:$D$70,MATCH(CARGAFACTURAS!C281,'AUX23'!$D$2:$D$70,0),1),"")</f>
        <v>30-71162078-4</v>
      </c>
      <c r="G281" s="243">
        <v>31350.06</v>
      </c>
      <c r="H281" s="141">
        <f>+IF(G281&lt;19999,0,IFERROR(VLOOKUP(C281,'AUX23'!$D$2:$K$70,3,0)*G281/100,0))</f>
        <v>391.87575000000004</v>
      </c>
      <c r="I281" s="141">
        <f>IF(G281&lt;9999,0,IFERROR(VLOOKUP(C281,'AUX23'!$D$2:$L$70,4,0)*G281/100,0))</f>
        <v>1567.5030000000002</v>
      </c>
      <c r="J281" s="141">
        <f>IF(G281&lt;9999,0,IFERROR(VLOOKUP(C281,'AUX23'!$D$2:$L$70,5,0)*G281/100,0))</f>
        <v>0</v>
      </c>
      <c r="K281" s="141">
        <f>IF(G281&lt;9999,0,IFERROR((G281-67170)*VLOOKUP(C281,'AUX23'!$D$2:$L$70,6,0)/100,0))</f>
        <v>0</v>
      </c>
      <c r="L281" s="141">
        <f>IF(G281&lt;9999,0,IFERROR((G281/1.21)*VLOOKUP(C281,'AUX23'!$D$2:$L$70,7,0)/100,0))</f>
        <v>0</v>
      </c>
      <c r="M281" s="141">
        <f t="shared" si="66"/>
        <v>29390.681250000001</v>
      </c>
      <c r="N281">
        <v>38620785</v>
      </c>
      <c r="O281">
        <f t="shared" si="90"/>
        <v>8</v>
      </c>
      <c r="P281" t="s">
        <v>101</v>
      </c>
      <c r="Q281" t="str">
        <f t="shared" si="68"/>
        <v>DOLSA SAJULIO 23</v>
      </c>
      <c r="R281" t="str">
        <f t="shared" si="69"/>
        <v>DOLSA SA8</v>
      </c>
      <c r="S281" t="str">
        <f>+R281&amp;COUNTIF($R$2:R281,R281)</f>
        <v>DOLSA SA81</v>
      </c>
      <c r="T281" s="141">
        <f t="shared" si="70"/>
        <v>13421.00800000058</v>
      </c>
      <c r="U281" t="str">
        <f t="shared" si="71"/>
        <v>6792</v>
      </c>
      <c r="V281" t="str">
        <f t="shared" si="74"/>
        <v>DOLSA SA838620785</v>
      </c>
      <c r="W281" t="str">
        <f>+V281&amp;COUNTIF($V$2:V281,V281)</f>
        <v>DOLSA SA8386207851</v>
      </c>
    </row>
    <row r="282" spans="1:23" x14ac:dyDescent="0.25">
      <c r="A282" t="str">
        <f>Q282&amp;COUNTIF($Q$30:Q282,Q282)</f>
        <v>ROTTA FRANCISCO(COMPUMAQ)JULIO 234</v>
      </c>
      <c r="B282" t="s">
        <v>148</v>
      </c>
      <c r="C282" t="s">
        <v>188</v>
      </c>
      <c r="D282" t="s">
        <v>793</v>
      </c>
      <c r="E282" s="10">
        <v>45149</v>
      </c>
      <c r="F282" t="str">
        <f>+IFERROR(INDEX('AUX23'!$C$2:$D$60,MATCH(CARGAFACTURAS!C282,'AUX23'!$D$2:$D$70,0),1),"")</f>
        <v>20-16216700-7</v>
      </c>
      <c r="G282" s="243">
        <v>8600</v>
      </c>
      <c r="H282" s="141">
        <f>+IF(G282&lt;19999,0,IFERROR(VLOOKUP(C282,'AUX23'!$D$2:$K$70,3,0)*G282/100,0))</f>
        <v>0</v>
      </c>
      <c r="I282" s="141">
        <f>IF(G282&lt;9999,0,IFERROR(VLOOKUP(C282,'AUX23'!$D$2:$L$70,4,0)*G282/100,0))</f>
        <v>0</v>
      </c>
      <c r="J282" s="141">
        <f>IF(G282&lt;9999,0,IFERROR(VLOOKUP(C282,'AUX23'!$D$2:$L$70,5,0)*G282/100,0))</f>
        <v>0</v>
      </c>
      <c r="K282" s="141">
        <f>IF(G282&lt;9999,0,IFERROR((G282-67170)*VLOOKUP(C282,'AUX23'!$D$2:$L$70,6,0)/100,0))</f>
        <v>0</v>
      </c>
      <c r="L282" s="141">
        <f>IF(G282&lt;9999,0,IFERROR((G282/1.21)*VLOOKUP(C282,'AUX23'!$D$2:$L$70,7,0)/100,0))</f>
        <v>0</v>
      </c>
      <c r="M282" s="141">
        <f t="shared" ref="M282" si="91">G282-H282-I282-J282-K282-L282</f>
        <v>8600</v>
      </c>
      <c r="N282">
        <v>38911159</v>
      </c>
      <c r="O282">
        <f t="shared" si="90"/>
        <v>8</v>
      </c>
      <c r="P282" t="s">
        <v>101</v>
      </c>
      <c r="Q282" t="str">
        <f t="shared" si="68"/>
        <v>ROTTA FRANCISCO(COMPUMAQ)JULIO 23</v>
      </c>
      <c r="R282" t="str">
        <f t="shared" si="69"/>
        <v>ROTTA FRANCISCO(COMPUMAQ)8</v>
      </c>
      <c r="S282" t="str">
        <f>+R282&amp;COUNTIF($R$2:R282,R282)</f>
        <v>ROTTA FRANCISCO(COMPUMAQ)82</v>
      </c>
      <c r="T282" s="141">
        <f t="shared" si="70"/>
        <v>4821.0080000005801</v>
      </c>
      <c r="U282" t="str">
        <f t="shared" si="71"/>
        <v>2750</v>
      </c>
      <c r="V282" t="str">
        <f t="shared" si="74"/>
        <v>ROTTA FRANCISCO(COMPUMAQ)838911159</v>
      </c>
      <c r="W282" t="str">
        <f>+V282&amp;COUNTIF($V$2:V282,V282)</f>
        <v>ROTTA FRANCISCO(COMPUMAQ)8389111591</v>
      </c>
    </row>
    <row r="283" spans="1:23" x14ac:dyDescent="0.25">
      <c r="A283" t="str">
        <f>Q283&amp;COUNTIF($Q$30:Q283,Q283)</f>
        <v>PANTHER DISTRIBUCIONES SRLJULIO 232</v>
      </c>
      <c r="B283" t="s">
        <v>148</v>
      </c>
      <c r="C283" t="s">
        <v>805</v>
      </c>
      <c r="D283" t="s">
        <v>787</v>
      </c>
      <c r="E283" s="10">
        <v>45145</v>
      </c>
      <c r="F283" t="str">
        <f>+IFERROR(INDEX('AUX23'!$C$2:$D$60,MATCH(CARGAFACTURAS!C283,'AUX23'!$D$2:$D$70,0),1),"")</f>
        <v>30-71639844-3</v>
      </c>
      <c r="G283" s="243">
        <v>540.14</v>
      </c>
      <c r="H283" s="141">
        <f>+IF(G283&lt;19999,0,IFERROR(VLOOKUP(C283,'AUX23'!$D$2:$K$70,3,0)*G283/100,0))</f>
        <v>0</v>
      </c>
      <c r="I283" s="141">
        <f>IF(G283&lt;9999,0,IFERROR(VLOOKUP(C283,'AUX23'!$D$2:$L$70,4,0)*G283/100,0))</f>
        <v>0</v>
      </c>
      <c r="J283" s="141">
        <f>IF(G283&lt;9999,0,IFERROR(VLOOKUP(C283,'AUX23'!$D$2:$L$70,5,0)*G283/100,0))</f>
        <v>0</v>
      </c>
      <c r="K283" s="141">
        <f>IF(G283&lt;9999,0,IFERROR((G283-67170)*VLOOKUP(C283,'AUX23'!$D$2:$L$70,6,0)/100,0))</f>
        <v>0</v>
      </c>
      <c r="L283" s="141">
        <f>IF(G283&lt;9999,0,IFERROR((G283/1.21)*VLOOKUP(C283,'AUX23'!$D$2:$L$70,7,0)/100,0))</f>
        <v>0</v>
      </c>
      <c r="M283" s="141">
        <f t="shared" ref="M283" si="92">G283-H283-I283-J283-K283-L283</f>
        <v>540.14</v>
      </c>
      <c r="N283" t="str">
        <f t="shared" ref="N283" si="93">+IF(G283&lt;9999,"CC","INGR. NUMERO")</f>
        <v>CC</v>
      </c>
      <c r="O283">
        <f t="shared" ref="O283" si="94">+MONTH(E283)</f>
        <v>8</v>
      </c>
      <c r="P283" t="s">
        <v>101</v>
      </c>
      <c r="Q283" t="str">
        <f t="shared" ref="Q283" si="95">+C283&amp;B283</f>
        <v>PANTHER DISTRIBUCIONES SRLJULIO 23</v>
      </c>
      <c r="R283" t="str">
        <f t="shared" ref="R283" si="96">+CLEAN(C283)&amp;CLEAN(O283)</f>
        <v>PANTHER DISTRIBUCIONES SRL8</v>
      </c>
      <c r="S283" t="str">
        <f>+R283&amp;COUNTIF($R$2:R283,R283)</f>
        <v>PANTHER DISTRIBUCIONES SRL81</v>
      </c>
      <c r="T283" s="141">
        <f t="shared" ref="T283" si="97">+T282-G283</f>
        <v>4280.8680000005797</v>
      </c>
      <c r="U283" t="str">
        <f t="shared" si="71"/>
        <v>9989</v>
      </c>
      <c r="V283" t="str">
        <f t="shared" si="74"/>
        <v>PANTHER DISTRIBUCIONES SRL8CC</v>
      </c>
      <c r="W283" t="str">
        <f>+V283&amp;COUNTIF($V$2:V283,V283)</f>
        <v>PANTHER DISTRIBUCIONES SRL8CC1</v>
      </c>
    </row>
    <row r="284" spans="1:23" x14ac:dyDescent="0.25">
      <c r="A284" t="str">
        <f>Q284&amp;COUNTIF($Q$30:Q284,Q284)</f>
        <v>MULTISHOP SASJULIO 233</v>
      </c>
      <c r="B284" t="s">
        <v>148</v>
      </c>
      <c r="C284" t="s">
        <v>673</v>
      </c>
      <c r="D284" t="s">
        <v>774</v>
      </c>
      <c r="E284" s="10">
        <v>45145</v>
      </c>
      <c r="F284" t="str">
        <f>+IFERROR(INDEX('AUX23'!$C$2:$D$60,MATCH(CARGAFACTURAS!C284,'AUX23'!$D$2:$D$70,0),1),"")</f>
        <v>33-71635571-9</v>
      </c>
      <c r="G284" s="243">
        <v>4280</v>
      </c>
      <c r="H284" s="141">
        <f>+IF(G284&lt;19999,0,IFERROR(VLOOKUP(C284,'AUX23'!$D$2:$K$70,3,0)*G284/100,0))</f>
        <v>0</v>
      </c>
      <c r="I284" s="141">
        <f>IF(G284&lt;9999,0,IFERROR(VLOOKUP(C284,'AUX23'!$D$2:$L$70,4,0)*G284/100,0))</f>
        <v>0</v>
      </c>
      <c r="J284" s="141">
        <f>IF(G284&lt;9999,0,IFERROR(VLOOKUP(C284,'AUX23'!$D$2:$L$70,5,0)*G284/100,0))</f>
        <v>0</v>
      </c>
      <c r="K284" s="141">
        <f>IF(G284&lt;9999,0,IFERROR((G284-67170)*VLOOKUP(C284,'AUX23'!$D$2:$L$70,6,0)/100,0))</f>
        <v>0</v>
      </c>
      <c r="L284" s="141">
        <f>IF(G284&lt;9999,0,IFERROR((G284/1.21)*VLOOKUP(C284,'AUX23'!$D$2:$L$70,7,0)/100,0))</f>
        <v>0</v>
      </c>
      <c r="M284" s="141">
        <f t="shared" si="66"/>
        <v>4280</v>
      </c>
      <c r="N284" t="str">
        <f t="shared" si="73"/>
        <v>CC</v>
      </c>
      <c r="O284">
        <f t="shared" si="90"/>
        <v>8</v>
      </c>
      <c r="P284" t="s">
        <v>101</v>
      </c>
      <c r="Q284" t="str">
        <f t="shared" si="68"/>
        <v>MULTISHOP SASJULIO 23</v>
      </c>
      <c r="R284" t="str">
        <f t="shared" si="69"/>
        <v>MULTISHOP SAS8</v>
      </c>
      <c r="S284" t="str">
        <f>+R284&amp;COUNTIF($R$2:R284,R284)</f>
        <v>MULTISHOP SAS82</v>
      </c>
      <c r="T284" s="141">
        <f t="shared" si="70"/>
        <v>0.86800000057974103</v>
      </c>
      <c r="U284" t="str">
        <f t="shared" si="71"/>
        <v>9860</v>
      </c>
      <c r="V284" t="str">
        <f t="shared" si="74"/>
        <v>MULTISHOP SAS8CC</v>
      </c>
      <c r="W284" t="str">
        <f>+V284&amp;COUNTIF($V$2:V284,V284)</f>
        <v>MULTISHOP SAS8CC1</v>
      </c>
    </row>
    <row r="285" spans="1:23" x14ac:dyDescent="0.25">
      <c r="A285" t="str">
        <f>Q285&amp;COUNTIF($Q$30:Q285,Q285)</f>
        <v>JULIO 233</v>
      </c>
      <c r="B285" t="s">
        <v>148</v>
      </c>
      <c r="E285" s="10"/>
      <c r="F285" t="str">
        <f>+IFERROR(INDEX('AUX23'!$C$2:$D$90,MATCH(CARGAFACTURAS!C285,'AUX23'!$D$2:$D$90,0),1),"")</f>
        <v/>
      </c>
      <c r="G285" s="141"/>
      <c r="H285" s="141">
        <f>+IF(G285&lt;19999,0,IFERROR(VLOOKUP(C285,'AUX23'!$D$2:$K$70,3,0)*G285/100,0))</f>
        <v>0</v>
      </c>
      <c r="I285" s="141">
        <f>IF(G285&lt;9999,0,IFERROR(VLOOKUP(C285,'AUX23'!$D$2:$L$70,4,0)*G285/100,0))</f>
        <v>0</v>
      </c>
      <c r="J285" s="141">
        <f>IF(G285&lt;9999,0,IFERROR(VLOOKUP(C285,'AUX23'!$D$2:$L$70,5,0)*G285/100,0))</f>
        <v>0</v>
      </c>
      <c r="K285" s="141">
        <f>IF(G285&lt;9999,0,IFERROR((G285-67170)*VLOOKUP(C285,'AUX23'!$D$2:$L$70,6,0)/100,0))</f>
        <v>0</v>
      </c>
      <c r="L285" s="141">
        <f>IF(G285&lt;9999,0,IFERROR((G285/1.21)*VLOOKUP(C285,'AUX23'!$D$2:$L$70,7,0)/100,0))</f>
        <v>0</v>
      </c>
      <c r="M285" s="141">
        <f t="shared" si="66"/>
        <v>0</v>
      </c>
      <c r="N285" t="str">
        <f t="shared" si="73"/>
        <v>CC</v>
      </c>
      <c r="O285">
        <f t="shared" si="67"/>
        <v>1</v>
      </c>
      <c r="Q285" t="str">
        <f t="shared" si="68"/>
        <v>JULIO 23</v>
      </c>
      <c r="R285" t="str">
        <f t="shared" si="69"/>
        <v>1</v>
      </c>
      <c r="S285" t="str">
        <f>+R285&amp;COUNTIF($R$2:R285,R285)</f>
        <v>126</v>
      </c>
      <c r="T285" s="141">
        <f t="shared" si="70"/>
        <v>0.86800000057974103</v>
      </c>
      <c r="U285" t="str">
        <f t="shared" si="71"/>
        <v/>
      </c>
      <c r="V285" t="str">
        <f t="shared" si="74"/>
        <v>1CC</v>
      </c>
      <c r="W285" t="str">
        <f>+V285&amp;COUNTIF($V$2:V285,V285)</f>
        <v>1CC26</v>
      </c>
    </row>
    <row r="286" spans="1:23" x14ac:dyDescent="0.25">
      <c r="A286" t="str">
        <f>Q286&amp;COUNTIF($Q$30:Q286,Q286)</f>
        <v>JULIO 234</v>
      </c>
      <c r="B286" t="s">
        <v>148</v>
      </c>
      <c r="E286" s="10"/>
      <c r="F286" t="str">
        <f>+IFERROR(INDEX('AUX23'!$C$2:$D$90,MATCH(CARGAFACTURAS!C286,'AUX23'!$D$2:$D$90,0),1),"")</f>
        <v/>
      </c>
      <c r="G286" s="141"/>
      <c r="H286" s="141">
        <f>+IF(G286&lt;19999,0,IFERROR(VLOOKUP(C286,'AUX23'!$D$2:$K$70,3,0)*G286/100,0))</f>
        <v>0</v>
      </c>
      <c r="I286" s="141">
        <f>IF(G286&lt;9999,0,IFERROR(VLOOKUP(C286,'AUX23'!$D$2:$L$70,4,0)*G286/100,0))</f>
        <v>0</v>
      </c>
      <c r="J286" s="141">
        <f>IF(G286&lt;9999,0,IFERROR(VLOOKUP(C286,'AUX23'!$D$2:$L$70,5,0)*G286/100,0))</f>
        <v>0</v>
      </c>
      <c r="K286" s="141">
        <f>IF(G286&lt;9999,0,IFERROR((G286-67170)*VLOOKUP(C286,'AUX23'!$D$2:$L$70,6,0)/100,0))</f>
        <v>0</v>
      </c>
      <c r="L286" s="141">
        <f>IF(G286&lt;9999,0,IFERROR((G286/1.21)*VLOOKUP(C286,'AUX23'!$D$2:$L$70,7,0)/100,0))</f>
        <v>0</v>
      </c>
      <c r="M286" s="141">
        <f t="shared" si="66"/>
        <v>0</v>
      </c>
      <c r="N286" t="str">
        <f t="shared" si="73"/>
        <v>CC</v>
      </c>
      <c r="O286">
        <f t="shared" si="67"/>
        <v>1</v>
      </c>
      <c r="Q286" t="str">
        <f t="shared" si="68"/>
        <v>JULIO 23</v>
      </c>
      <c r="R286" t="str">
        <f t="shared" si="69"/>
        <v>1</v>
      </c>
      <c r="S286" t="str">
        <f>+R286&amp;COUNTIF($R$2:R286,R286)</f>
        <v>127</v>
      </c>
      <c r="T286" s="141">
        <f t="shared" si="70"/>
        <v>0.86800000057974103</v>
      </c>
      <c r="U286" t="str">
        <f t="shared" si="71"/>
        <v/>
      </c>
      <c r="V286" t="str">
        <f t="shared" si="74"/>
        <v>1CC</v>
      </c>
      <c r="W286" t="str">
        <f>+V286&amp;COUNTIF($V$2:V286,V286)</f>
        <v>1CC27</v>
      </c>
    </row>
    <row r="287" spans="1:23" x14ac:dyDescent="0.25">
      <c r="A287" t="str">
        <f>Q287&amp;COUNTIF($Q$30:Q287,Q287)</f>
        <v>JULIO 235</v>
      </c>
      <c r="B287" t="s">
        <v>148</v>
      </c>
      <c r="F287" t="str">
        <f>+IFERROR(INDEX('AUX23'!$C$2:$D$90,MATCH(CARGAFACTURAS!C287,'AUX23'!$D$2:$D$90,0),1),"")</f>
        <v/>
      </c>
      <c r="G287" s="141"/>
      <c r="H287" s="141">
        <f>+IF(G287&lt;19999,0,IFERROR(VLOOKUP(C287,'AUX23'!$D$2:$K$70,3,0)*G287/100,0))</f>
        <v>0</v>
      </c>
      <c r="I287" s="141">
        <f>IF(G287&lt;9999,0,IFERROR(VLOOKUP(C287,'AUX23'!$D$2:$L$70,4,0)*G287/100,0))</f>
        <v>0</v>
      </c>
      <c r="J287" s="141">
        <f>IF(G287&lt;9999,0,IFERROR(VLOOKUP(C287,'AUX23'!$D$2:$L$70,5,0)*G287/100,0))</f>
        <v>0</v>
      </c>
      <c r="K287" s="141">
        <f>IF(G287&lt;9999,0,IFERROR((G287-67170)*VLOOKUP(C287,'AUX23'!$D$2:$L$70,6,0)/100,0))</f>
        <v>0</v>
      </c>
      <c r="L287" s="141">
        <f>IF(G287&lt;9999,0,IFERROR((G287/1.21)*VLOOKUP(C287,'AUX23'!$D$2:$L$70,7,0)/100,0))</f>
        <v>0</v>
      </c>
      <c r="M287" s="141">
        <f t="shared" si="66"/>
        <v>0</v>
      </c>
      <c r="N287" t="str">
        <f t="shared" si="73"/>
        <v>CC</v>
      </c>
      <c r="O287">
        <f t="shared" si="67"/>
        <v>1</v>
      </c>
      <c r="Q287" t="str">
        <f t="shared" si="68"/>
        <v>JULIO 23</v>
      </c>
      <c r="R287" t="str">
        <f t="shared" si="69"/>
        <v>1</v>
      </c>
      <c r="S287" t="str">
        <f>+R287&amp;COUNTIF($R$2:R287,R287)</f>
        <v>128</v>
      </c>
      <c r="T287" s="141">
        <f t="shared" si="70"/>
        <v>0.86800000057974103</v>
      </c>
      <c r="U287" t="str">
        <f t="shared" si="71"/>
        <v/>
      </c>
      <c r="V287" t="str">
        <f t="shared" si="74"/>
        <v>1CC</v>
      </c>
      <c r="W287" t="str">
        <f>+V287&amp;COUNTIF($V$2:V287,V287)</f>
        <v>1CC28</v>
      </c>
    </row>
    <row r="288" spans="1:23" x14ac:dyDescent="0.25">
      <c r="A288" t="str">
        <f>Q288&amp;COUNTIF($Q$30:Q288,Q288)</f>
        <v>JULIO 236</v>
      </c>
      <c r="B288" t="s">
        <v>148</v>
      </c>
      <c r="F288" t="str">
        <f>+IFERROR(INDEX('AUX23'!$C$2:$D$90,MATCH(CARGAFACTURAS!C288,'AUX23'!$D$2:$D$90,0),1),"")</f>
        <v/>
      </c>
      <c r="G288" s="141"/>
      <c r="H288" s="141">
        <f>+IF(G288&lt;19999,0,IFERROR(VLOOKUP(C288,'AUX23'!$D$2:$K$70,3,0)*G288/100,0))</f>
        <v>0</v>
      </c>
      <c r="I288" s="141">
        <f>IF(G288&lt;9999,0,IFERROR(VLOOKUP(C288,'AUX23'!$D$2:$L$70,4,0)*G288/100,0))</f>
        <v>0</v>
      </c>
      <c r="J288" s="141">
        <f>IF(G288&lt;9999,0,IFERROR(VLOOKUP(C288,'AUX23'!$D$2:$L$70,5,0)*G288/100,0))</f>
        <v>0</v>
      </c>
      <c r="K288" s="141">
        <f>IF(G288&lt;9999,0,IFERROR((G288-67170)*VLOOKUP(C288,'AUX23'!$D$2:$L$70,6,0)/100,0))</f>
        <v>0</v>
      </c>
      <c r="L288" s="141">
        <f>IF(G288&lt;9999,0,IFERROR((G288/1.21)*VLOOKUP(C288,'AUX23'!$D$2:$L$70,7,0)/100,0))</f>
        <v>0</v>
      </c>
      <c r="M288" s="141">
        <f t="shared" ref="M288" si="98">G288-H288-I288-J288-K288-L288</f>
        <v>0</v>
      </c>
      <c r="N288" t="str">
        <f t="shared" ref="N288" si="99">+IF(G288&lt;9999,"CC","INGR. NUMERO")</f>
        <v>CC</v>
      </c>
      <c r="O288">
        <f t="shared" si="67"/>
        <v>1</v>
      </c>
      <c r="Q288" t="str">
        <f t="shared" si="68"/>
        <v>JULIO 23</v>
      </c>
      <c r="R288" t="str">
        <f t="shared" si="69"/>
        <v>1</v>
      </c>
      <c r="S288" t="str">
        <f>+R288&amp;COUNTIF($R$2:R288,R288)</f>
        <v>129</v>
      </c>
      <c r="T288" s="141">
        <f t="shared" si="70"/>
        <v>0.86800000057974103</v>
      </c>
      <c r="U288" t="str">
        <f t="shared" si="71"/>
        <v/>
      </c>
      <c r="V288" t="str">
        <f t="shared" si="74"/>
        <v>1CC</v>
      </c>
      <c r="W288" t="str">
        <f>+V288&amp;COUNTIF($V$2:V288,V288)</f>
        <v>1CC29</v>
      </c>
    </row>
    <row r="289" spans="1:23" x14ac:dyDescent="0.25">
      <c r="A289" t="str">
        <f>Q289&amp;COUNTIF($Q$30:Q289,Q289)</f>
        <v>JULIO 237</v>
      </c>
      <c r="B289" t="s">
        <v>148</v>
      </c>
      <c r="F289" t="str">
        <f>+IFERROR(INDEX('AUX23'!$C$2:$D$90,MATCH(CARGAFACTURAS!C289,'AUX23'!$D$2:$D$90,0),1),"")</f>
        <v/>
      </c>
      <c r="G289" s="141"/>
      <c r="H289" s="141">
        <f>+IF(G289&lt;19999,0,IFERROR(VLOOKUP(C289,'AUX23'!$D$2:$K$70,3,0)*G289/100,0))</f>
        <v>0</v>
      </c>
      <c r="I289" s="141">
        <f>IF(G289&lt;9999,0,IFERROR(VLOOKUP(C289,'AUX23'!$D$2:$L$70,4,0)*G289/100,0))</f>
        <v>0</v>
      </c>
      <c r="J289" s="141">
        <f>IF(G289&lt;9999,0,IFERROR(VLOOKUP(C289,'AUX23'!$D$2:$L$70,5,0)*G289/100,0))</f>
        <v>0</v>
      </c>
      <c r="K289" s="141">
        <f>IF(G289&lt;9999,0,IFERROR((G289-67170)*VLOOKUP(C289,'AUX23'!$D$2:$L$70,6,0)/100,0))</f>
        <v>0</v>
      </c>
      <c r="L289" s="141">
        <f>IF(G289&lt;9999,0,IFERROR((G289/1.21)*VLOOKUP(C289,'AUX23'!$D$2:$L$70,7,0)/100,0))</f>
        <v>0</v>
      </c>
      <c r="M289" s="141">
        <f t="shared" si="66"/>
        <v>0</v>
      </c>
      <c r="N289" t="str">
        <f t="shared" si="73"/>
        <v>CC</v>
      </c>
      <c r="O289">
        <f t="shared" si="67"/>
        <v>1</v>
      </c>
      <c r="Q289" t="str">
        <f t="shared" si="68"/>
        <v>JULIO 23</v>
      </c>
      <c r="R289" t="str">
        <f t="shared" si="69"/>
        <v>1</v>
      </c>
      <c r="S289" t="str">
        <f>+R289&amp;COUNTIF($R$2:R289,R289)</f>
        <v>130</v>
      </c>
      <c r="T289" s="141">
        <f t="shared" si="70"/>
        <v>0.86800000057974103</v>
      </c>
      <c r="U289" t="str">
        <f t="shared" si="71"/>
        <v/>
      </c>
      <c r="V289" t="str">
        <f t="shared" si="74"/>
        <v>1CC</v>
      </c>
      <c r="W289" t="str">
        <f>+V289&amp;COUNTIF($V$2:V289,V289)</f>
        <v>1CC30</v>
      </c>
    </row>
    <row r="290" spans="1:23" x14ac:dyDescent="0.25">
      <c r="A290" t="str">
        <f>Q290&amp;COUNTIF($Q$30:Q290,Q290)</f>
        <v>JULIO 238</v>
      </c>
      <c r="B290" t="s">
        <v>148</v>
      </c>
      <c r="F290" t="str">
        <f>+IFERROR(INDEX('AUX23'!$C$2:$D$90,MATCH(CARGAFACTURAS!C290,'AUX23'!$D$2:$D$90,0),1),"")</f>
        <v/>
      </c>
      <c r="G290" s="141"/>
      <c r="H290" s="141">
        <f>+IF(G290&lt;19999,0,IFERROR(VLOOKUP(C290,'AUX23'!$D$2:$K$70,3,0)*G290/100,0))</f>
        <v>0</v>
      </c>
      <c r="I290" s="141">
        <f>IF(G290&lt;9999,0,IFERROR(VLOOKUP(C290,'AUX23'!$D$2:$L$70,4,0)*G290/100,0))</f>
        <v>0</v>
      </c>
      <c r="J290" s="141">
        <f>IF(G290&lt;9999,0,IFERROR(VLOOKUP(C290,'AUX23'!$D$2:$L$70,5,0)*G290/100,0))</f>
        <v>0</v>
      </c>
      <c r="K290" s="141">
        <f>IF(G290&lt;9999,0,IFERROR((G290-67170)*VLOOKUP(C290,'AUX23'!$D$2:$L$70,6,0)/100,0))</f>
        <v>0</v>
      </c>
      <c r="L290" s="141">
        <f>IF(G290&lt;9999,0,IFERROR((G290/1.21)*VLOOKUP(C290,'AUX23'!$D$2:$L$70,7,0)/100,0))</f>
        <v>0</v>
      </c>
      <c r="M290" s="141">
        <f t="shared" si="66"/>
        <v>0</v>
      </c>
      <c r="N290" t="str">
        <f t="shared" si="73"/>
        <v>CC</v>
      </c>
      <c r="O290">
        <f t="shared" si="67"/>
        <v>1</v>
      </c>
      <c r="Q290" t="str">
        <f t="shared" si="68"/>
        <v>JULIO 23</v>
      </c>
      <c r="R290" t="str">
        <f t="shared" si="69"/>
        <v>1</v>
      </c>
      <c r="S290" t="str">
        <f>+R290&amp;COUNTIF($R$2:R290,R290)</f>
        <v>131</v>
      </c>
      <c r="T290" s="141">
        <f t="shared" si="70"/>
        <v>0.86800000057974103</v>
      </c>
      <c r="U290" t="str">
        <f t="shared" si="71"/>
        <v/>
      </c>
      <c r="V290" t="str">
        <f t="shared" si="74"/>
        <v>1CC</v>
      </c>
      <c r="W290" t="str">
        <f>+V290&amp;COUNTIF($V$2:V290,V290)</f>
        <v>1CC31</v>
      </c>
    </row>
    <row r="291" spans="1:23" x14ac:dyDescent="0.25">
      <c r="A291" t="str">
        <f>Q291&amp;COUNTIF($Q$30:Q291,Q291)</f>
        <v>JULIO 239</v>
      </c>
      <c r="B291" t="s">
        <v>148</v>
      </c>
      <c r="F291" t="str">
        <f>+IFERROR(INDEX('AUX23'!$C$2:$D$90,MATCH(CARGAFACTURAS!C291,'AUX23'!$D$2:$D$90,0),1),"")</f>
        <v/>
      </c>
      <c r="G291" s="141"/>
      <c r="H291" s="141">
        <f>+IF(G291&lt;19999,0,IFERROR(VLOOKUP(C291,'AUX23'!$D$2:$K$70,3,0)*G291/100,0))</f>
        <v>0</v>
      </c>
      <c r="I291" s="141">
        <f>IF(G291&lt;9999,0,IFERROR(VLOOKUP(C291,'AUX23'!$D$2:$L$70,4,0)*G291/100,0))</f>
        <v>0</v>
      </c>
      <c r="J291" s="141">
        <f>IF(G291&lt;9999,0,IFERROR(VLOOKUP(C291,'AUX23'!$D$2:$L$70,5,0)*G291/100,0))</f>
        <v>0</v>
      </c>
      <c r="K291" s="141">
        <f>IF(G291&lt;9999,0,IFERROR((G291-67170)*VLOOKUP(C291,'AUX23'!$D$2:$L$70,6,0)/100,0))</f>
        <v>0</v>
      </c>
      <c r="L291" s="141">
        <f>IF(G291&lt;9999,0,IFERROR((G291/1.21)*VLOOKUP(C291,'AUX23'!$D$2:$L$70,7,0)/100,0))</f>
        <v>0</v>
      </c>
      <c r="M291" s="141">
        <f t="shared" si="66"/>
        <v>0</v>
      </c>
      <c r="N291" t="str">
        <f t="shared" si="73"/>
        <v>CC</v>
      </c>
      <c r="O291">
        <f t="shared" si="67"/>
        <v>1</v>
      </c>
      <c r="Q291" t="str">
        <f t="shared" si="68"/>
        <v>JULIO 23</v>
      </c>
      <c r="R291" t="str">
        <f t="shared" si="69"/>
        <v>1</v>
      </c>
      <c r="S291" t="str">
        <f>+R291&amp;COUNTIF($R$2:R291,R291)</f>
        <v>132</v>
      </c>
      <c r="T291" s="141">
        <f t="shared" si="70"/>
        <v>0.86800000057974103</v>
      </c>
      <c r="U291" t="str">
        <f t="shared" si="71"/>
        <v/>
      </c>
      <c r="V291" t="str">
        <f t="shared" si="74"/>
        <v>1CC</v>
      </c>
      <c r="W291" t="str">
        <f>+V291&amp;COUNTIF($V$2:V291,V291)</f>
        <v>1CC32</v>
      </c>
    </row>
    <row r="292" spans="1:23" x14ac:dyDescent="0.25">
      <c r="A292" t="str">
        <f>Q292&amp;COUNTIF($Q$30:Q292,Q292)</f>
        <v>ACREDITACION SIPROSAAGOSTO 231</v>
      </c>
      <c r="B292" t="s">
        <v>149</v>
      </c>
      <c r="C292" t="s">
        <v>398</v>
      </c>
      <c r="F292">
        <f>+IFERROR(INDEX('AUX23'!$C$2:$D$90,MATCH(CARGAFACTURAS!C292,'AUX23'!$D$2:$D$90,0),1),"")</f>
        <v>0</v>
      </c>
      <c r="G292" s="141">
        <v>3367360.83</v>
      </c>
      <c r="H292" s="141">
        <f>+IF(G292&lt;19999,0,IFERROR(VLOOKUP(C292,'AUX23'!$D$2:$K$70,3,0)*G292/100,0))</f>
        <v>0</v>
      </c>
      <c r="I292" s="141">
        <f>IF(G292&lt;9999,0,IFERROR(VLOOKUP(C292,'AUX23'!$D$2:$L$70,4,0)*G292/100,0))</f>
        <v>0</v>
      </c>
      <c r="J292" s="141">
        <f>IF(G292&lt;9999,0,IFERROR(VLOOKUP(C292,'AUX23'!$D$2:$L$70,5,0)*G292/100,0))</f>
        <v>0</v>
      </c>
      <c r="K292" s="141">
        <f>IF(G292&lt;9999,0,IFERROR((G292-67170)*VLOOKUP(C292,'AUX23'!$D$2:$L$70,6,0)/100,0))</f>
        <v>0</v>
      </c>
      <c r="L292" s="141">
        <f>IF(G292&lt;9999,0,IFERROR((G292/1.21)*VLOOKUP(C292,'AUX23'!$D$2:$L$70,7,0)/100,0))</f>
        <v>0</v>
      </c>
      <c r="M292" s="141">
        <f t="shared" ref="M292:M328" si="100">G292-H292-I292-J292-K292-L292</f>
        <v>3367360.83</v>
      </c>
      <c r="N292" t="str">
        <f t="shared" ref="N292:N328" si="101">+IF(G292&lt;9999,"CC","INGR. NUMERO")</f>
        <v>INGR. NUMERO</v>
      </c>
      <c r="O292">
        <f t="shared" ref="O292:O328" si="102">+MONTH(E292)</f>
        <v>1</v>
      </c>
      <c r="Q292" t="str">
        <f t="shared" si="68"/>
        <v>ACREDITACION SIPROSAAGOSTO 23</v>
      </c>
      <c r="R292" t="str">
        <f t="shared" si="69"/>
        <v>ACREDITACION SIPROSA1</v>
      </c>
      <c r="S292" t="str">
        <f>+R292&amp;COUNTIF($R$2:R292,R292)</f>
        <v>ACREDITACION SIPROSA15</v>
      </c>
      <c r="T292" s="141">
        <f>+T291-G292+G292*2</f>
        <v>3367361.6980000008</v>
      </c>
      <c r="U292" t="str">
        <f t="shared" si="71"/>
        <v/>
      </c>
      <c r="V292" t="str">
        <f t="shared" si="74"/>
        <v>ACREDITACION SIPROSA1INGR. NUMERO</v>
      </c>
      <c r="W292" t="str">
        <f>+V292&amp;COUNTIF($V$2:V292,V292)</f>
        <v>ACREDITACION SIPROSA1INGR. NUMERO1</v>
      </c>
    </row>
    <row r="293" spans="1:23" x14ac:dyDescent="0.25">
      <c r="A293" t="str">
        <f>Q293&amp;COUNTIF($Q$30:Q293,Q293)</f>
        <v>COOP. DE TRAB. SAN LORENZO M AGOSTO 231</v>
      </c>
      <c r="B293" t="s">
        <v>149</v>
      </c>
      <c r="C293" t="s">
        <v>92</v>
      </c>
      <c r="D293" t="s">
        <v>776</v>
      </c>
      <c r="E293" s="10">
        <v>45138</v>
      </c>
      <c r="F293" t="str">
        <f>+IFERROR(INDEX('AUX23'!$C$2:$D$60,MATCH(CARGAFACTURAS!C293,'AUX23'!$D$2:$D$70,0),1),"")</f>
        <v>30-70895858-8</v>
      </c>
      <c r="G293" s="241">
        <v>200618.12</v>
      </c>
      <c r="H293" s="141">
        <f>+IF(G293&lt;19999,0,IFERROR(VLOOKUP(C293,'AUX23'!$D$2:$K$70,3,0)*G293/100,0))</f>
        <v>0</v>
      </c>
      <c r="I293" s="141">
        <f>IF(G293&lt;9999,0,IFERROR(VLOOKUP(C293,'AUX23'!$D$2:$L$70,4,0)*G293/100,0))</f>
        <v>0</v>
      </c>
      <c r="J293" s="141">
        <f>IF(G293&lt;9999,0,IFERROR(VLOOKUP(C293,'AUX23'!$D$2:$L$70,5,0)*G293/100,0))</f>
        <v>0</v>
      </c>
      <c r="K293" s="141">
        <f>IF(G293&lt;9999,0,IFERROR((G293-67170)*VLOOKUP(C293,'AUX23'!$D$2:$L$70,6,0)/100,0))</f>
        <v>0</v>
      </c>
      <c r="L293" s="141">
        <f>IF(G293&lt;9999,0,IFERROR((G293/1.21)*VLOOKUP(C293,'AUX23'!$D$2:$L$70,7,0)/100,0))</f>
        <v>0</v>
      </c>
      <c r="M293" s="141">
        <f t="shared" si="100"/>
        <v>200618.12</v>
      </c>
      <c r="N293">
        <v>38911193</v>
      </c>
      <c r="O293">
        <f t="shared" si="102"/>
        <v>7</v>
      </c>
      <c r="P293" t="s">
        <v>164</v>
      </c>
      <c r="Q293" t="str">
        <f t="shared" si="68"/>
        <v>COOP. DE TRAB. SAN LORENZO M AGOSTO 23</v>
      </c>
      <c r="R293" t="str">
        <f t="shared" si="69"/>
        <v>COOP. DE TRAB. SAN LORENZO M 7</v>
      </c>
      <c r="S293" t="str">
        <f>+R293&amp;COUNTIF($R$2:R293,R293)</f>
        <v>COOP. DE TRAB. SAN LORENZO M 71</v>
      </c>
      <c r="T293" s="141">
        <f t="shared" si="70"/>
        <v>3166743.5780000007</v>
      </c>
      <c r="U293" t="str">
        <f t="shared" si="71"/>
        <v>4997</v>
      </c>
      <c r="V293" t="str">
        <f t="shared" si="74"/>
        <v>COOP. DE TRAB. SAN LORENZO M 738911193</v>
      </c>
      <c r="W293" t="str">
        <f>+V293&amp;COUNTIF($V$2:V293,V293)</f>
        <v>COOP. DE TRAB. SAN LORENZO M 7389111931</v>
      </c>
    </row>
    <row r="294" spans="1:23" x14ac:dyDescent="0.25">
      <c r="A294" t="str">
        <f>Q294&amp;COUNTIF($Q$30:Q294,Q294)</f>
        <v>COOP. DE TRAB. SAN LORENZO M AGOSTO 232</v>
      </c>
      <c r="B294" t="s">
        <v>149</v>
      </c>
      <c r="C294" t="s">
        <v>92</v>
      </c>
      <c r="D294" t="s">
        <v>777</v>
      </c>
      <c r="E294" s="10">
        <v>45138</v>
      </c>
      <c r="F294" t="str">
        <f>+IFERROR(INDEX('AUX23'!$C$2:$D$60,MATCH(CARGAFACTURAS!C294,'AUX23'!$D$2:$D$70,0),1),"")</f>
        <v>30-70895858-8</v>
      </c>
      <c r="G294" s="241">
        <v>100309.06</v>
      </c>
      <c r="H294" s="141">
        <f>+IF(G294&lt;19999,0,IFERROR(VLOOKUP(C294,'AUX23'!$D$2:$K$70,3,0)*G294/100,0))</f>
        <v>0</v>
      </c>
      <c r="I294" s="141">
        <f>IF(G294&lt;9999,0,IFERROR(VLOOKUP(C294,'AUX23'!$D$2:$L$70,4,0)*G294/100,0))</f>
        <v>0</v>
      </c>
      <c r="J294" s="141">
        <f>IF(G294&lt;9999,0,IFERROR(VLOOKUP(C294,'AUX23'!$D$2:$L$70,5,0)*G294/100,0))</f>
        <v>0</v>
      </c>
      <c r="K294" s="141">
        <f>IF(G294&lt;9999,0,IFERROR((G294-67170)*VLOOKUP(C294,'AUX23'!$D$2:$L$70,6,0)/100,0))</f>
        <v>0</v>
      </c>
      <c r="L294" s="141">
        <f>IF(G294&lt;9999,0,IFERROR((G294/1.21)*VLOOKUP(C294,'AUX23'!$D$2:$L$70,7,0)/100,0))</f>
        <v>0</v>
      </c>
      <c r="M294" s="141">
        <f t="shared" si="100"/>
        <v>100309.06</v>
      </c>
      <c r="N294">
        <v>38911193</v>
      </c>
      <c r="O294">
        <f t="shared" si="102"/>
        <v>7</v>
      </c>
      <c r="P294" t="s">
        <v>164</v>
      </c>
      <c r="Q294" t="str">
        <f t="shared" si="68"/>
        <v>COOP. DE TRAB. SAN LORENZO M AGOSTO 23</v>
      </c>
      <c r="R294" t="str">
        <f t="shared" si="69"/>
        <v>COOP. DE TRAB. SAN LORENZO M 7</v>
      </c>
      <c r="S294" t="str">
        <f>+R294&amp;COUNTIF($R$2:R294,R294)</f>
        <v>COOP. DE TRAB. SAN LORENZO M 72</v>
      </c>
      <c r="T294" s="141">
        <f t="shared" si="70"/>
        <v>3066434.5180000006</v>
      </c>
      <c r="U294" t="str">
        <f t="shared" si="71"/>
        <v>5000</v>
      </c>
      <c r="V294" t="str">
        <f t="shared" si="74"/>
        <v>COOP. DE TRAB. SAN LORENZO M 738911193</v>
      </c>
      <c r="W294" t="str">
        <f>+V294&amp;COUNTIF($V$2:V294,V294)</f>
        <v>COOP. DE TRAB. SAN LORENZO M 7389111932</v>
      </c>
    </row>
    <row r="295" spans="1:23" x14ac:dyDescent="0.25">
      <c r="A295" t="str">
        <f>Q295&amp;COUNTIF($Q$30:Q295,Q295)</f>
        <v>LA PROVIDENCIA DEL NOA SRLAGOSTO 231</v>
      </c>
      <c r="B295" t="s">
        <v>149</v>
      </c>
      <c r="C295" t="s">
        <v>11</v>
      </c>
      <c r="D295" t="s">
        <v>808</v>
      </c>
      <c r="E295" s="10">
        <v>45152</v>
      </c>
      <c r="F295" t="str">
        <f>+IFERROR(INDEX('AUX23'!$C$2:$D$60,MATCH(CARGAFACTURAS!C295,'AUX23'!$D$2:$D$70,0),1),"")</f>
        <v>30-68568395-0</v>
      </c>
      <c r="G295" s="243">
        <v>556839.36</v>
      </c>
      <c r="H295" s="141">
        <f>+IF(G295&lt;19999,0,IFERROR(VLOOKUP(C295,'AUX23'!$D$2:$K$70,3,0)*G295/100,0))</f>
        <v>6960.4919999999993</v>
      </c>
      <c r="I295" s="141">
        <f>IF(G295&lt;9999,0,IFERROR(VLOOKUP(C295,'AUX23'!$D$2:$L$70,4,0)*G295/100,0))</f>
        <v>27841.967999999997</v>
      </c>
      <c r="J295" s="141">
        <f>IF(G295&lt;9999,0,IFERROR(VLOOKUP(C295,'AUX23'!$D$2:$L$70,5,0)*G295/100,0))</f>
        <v>48333.656448000002</v>
      </c>
      <c r="K295" s="141">
        <f>IF(G295&lt;9999,0,IFERROR((G295-67170)*VLOOKUP(C295,'AUX23'!$D$2:$L$70,6,0)/100,0))</f>
        <v>9793.3871999999992</v>
      </c>
      <c r="L295" s="141">
        <f>IF(G295&lt;9999,0,IFERROR((G295/1.21)*VLOOKUP(C295,'AUX23'!$D$2:$L$70,7,0)/100,0))</f>
        <v>4601.9781818181818</v>
      </c>
      <c r="M295" s="141">
        <f t="shared" si="100"/>
        <v>459307.87817018182</v>
      </c>
      <c r="N295" t="str">
        <f t="shared" si="101"/>
        <v>INGR. NUMERO</v>
      </c>
      <c r="O295">
        <f t="shared" si="102"/>
        <v>8</v>
      </c>
      <c r="P295" t="s">
        <v>102</v>
      </c>
      <c r="Q295" t="str">
        <f t="shared" si="68"/>
        <v>LA PROVIDENCIA DEL NOA SRLAGOSTO 23</v>
      </c>
      <c r="R295" t="str">
        <f t="shared" si="69"/>
        <v>LA PROVIDENCIA DEL NOA SRL8</v>
      </c>
      <c r="S295" t="str">
        <f>+R295&amp;COUNTIF($R$2:R295,R295)</f>
        <v>LA PROVIDENCIA DEL NOA SRL81</v>
      </c>
      <c r="T295" s="141">
        <f t="shared" si="70"/>
        <v>2509595.1580000008</v>
      </c>
      <c r="U295" t="str">
        <f t="shared" si="71"/>
        <v>6642</v>
      </c>
      <c r="V295" t="str">
        <f t="shared" si="74"/>
        <v>LA PROVIDENCIA DEL NOA SRL8INGR. NUMERO</v>
      </c>
      <c r="W295" t="str">
        <f>+V295&amp;COUNTIF($V$2:V295,V295)</f>
        <v>LA PROVIDENCIA DEL NOA SRL8INGR. NUMERO1</v>
      </c>
    </row>
    <row r="296" spans="1:23" x14ac:dyDescent="0.25">
      <c r="A296" t="str">
        <f>Q296&amp;COUNTIF($Q$30:Q296,Q296)</f>
        <v>LA PROVIDENCIA DEL NOA SRLAGOSTO 232</v>
      </c>
      <c r="B296" t="s">
        <v>149</v>
      </c>
      <c r="C296" t="s">
        <v>11</v>
      </c>
      <c r="D296" t="s">
        <v>809</v>
      </c>
      <c r="E296" s="10">
        <v>45152</v>
      </c>
      <c r="F296" t="str">
        <f>+IFERROR(INDEX('AUX23'!$C$2:$D$60,MATCH(CARGAFACTURAS!C296,'AUX23'!$D$2:$D$70,0),1),"")</f>
        <v>30-68568395-0</v>
      </c>
      <c r="G296" s="243">
        <v>265161.59999999998</v>
      </c>
      <c r="H296" s="141">
        <f>+IF(G296&lt;19999,0,IFERROR(VLOOKUP(C296,'AUX23'!$D$2:$K$70,3,0)*G296/100,0))</f>
        <v>3314.52</v>
      </c>
      <c r="I296" s="141">
        <f>IF(G296&lt;9999,0,IFERROR(VLOOKUP(C296,'AUX23'!$D$2:$L$70,4,0)*G296/100,0))</f>
        <v>13258.08</v>
      </c>
      <c r="J296" s="141">
        <f>IF(G296&lt;9999,0,IFERROR(VLOOKUP(C296,'AUX23'!$D$2:$L$70,5,0)*G296/100,0))</f>
        <v>23016.026879999998</v>
      </c>
      <c r="K296" s="141">
        <f>IF(G296&lt;9999,0,IFERROR((G296-67170)*VLOOKUP(C296,'AUX23'!$D$2:$L$70,6,0)/100,0))</f>
        <v>3959.8319999999994</v>
      </c>
      <c r="L296" s="141">
        <f>IF(G296&lt;9999,0,IFERROR((G296/1.21)*VLOOKUP(C296,'AUX23'!$D$2:$L$70,7,0)/100,0))</f>
        <v>2191.4181818181819</v>
      </c>
      <c r="M296" s="141">
        <f t="shared" si="100"/>
        <v>219421.72293818183</v>
      </c>
      <c r="N296" t="str">
        <f t="shared" si="101"/>
        <v>INGR. NUMERO</v>
      </c>
      <c r="O296">
        <f t="shared" si="102"/>
        <v>8</v>
      </c>
      <c r="P296" t="s">
        <v>102</v>
      </c>
      <c r="Q296" t="str">
        <f t="shared" si="68"/>
        <v>LA PROVIDENCIA DEL NOA SRLAGOSTO 23</v>
      </c>
      <c r="R296" t="str">
        <f t="shared" si="69"/>
        <v>LA PROVIDENCIA DEL NOA SRL8</v>
      </c>
      <c r="S296" t="str">
        <f>+R296&amp;COUNTIF($R$2:R296,R296)</f>
        <v>LA PROVIDENCIA DEL NOA SRL82</v>
      </c>
      <c r="T296" s="141">
        <f t="shared" si="70"/>
        <v>2244433.5580000007</v>
      </c>
      <c r="U296" t="str">
        <f t="shared" si="71"/>
        <v>6643</v>
      </c>
      <c r="V296" t="str">
        <f t="shared" si="74"/>
        <v>LA PROVIDENCIA DEL NOA SRL8INGR. NUMERO</v>
      </c>
      <c r="W296" t="str">
        <f>+V296&amp;COUNTIF($V$2:V296,V296)</f>
        <v>LA PROVIDENCIA DEL NOA SRL8INGR. NUMERO2</v>
      </c>
    </row>
    <row r="297" spans="1:23" x14ac:dyDescent="0.25">
      <c r="A297" t="str">
        <f>Q297&amp;COUNTIF($Q$30:Q297,Q297)</f>
        <v>CARREFOURAGOSTO 231</v>
      </c>
      <c r="B297" t="s">
        <v>149</v>
      </c>
      <c r="C297" t="s">
        <v>117</v>
      </c>
      <c r="D297" t="s">
        <v>737</v>
      </c>
      <c r="E297" s="10">
        <v>45132</v>
      </c>
      <c r="F297" t="str">
        <f>+IFERROR(INDEX('AUX23'!$C$2:$D$60,MATCH(CARGAFACTURAS!C297,'AUX23'!$D$2:$D$70,0),1),"")</f>
        <v>30-68731043-4</v>
      </c>
      <c r="G297" s="241">
        <v>1889</v>
      </c>
      <c r="H297" s="141">
        <f>+IF(G297&lt;19999,0,IFERROR(VLOOKUP(C297,'AUX23'!$D$2:$K$70,3,0)*G297/100,0))</f>
        <v>0</v>
      </c>
      <c r="I297" s="141">
        <f>IF(G297&lt;9999,0,IFERROR(VLOOKUP(C297,'AUX23'!$D$2:$L$70,4,0)*G297/100,0))</f>
        <v>0</v>
      </c>
      <c r="J297" s="141">
        <f>IF(G297&lt;9999,0,IFERROR(VLOOKUP(C297,'AUX23'!$D$2:$L$70,5,0)*G297/100,0))</f>
        <v>0</v>
      </c>
      <c r="K297" s="141">
        <f>IF(G297&lt;9999,0,IFERROR((G297-67170)*VLOOKUP(C297,'AUX23'!$D$2:$L$70,6,0)/100,0))</f>
        <v>0</v>
      </c>
      <c r="L297" s="141">
        <f>IF(G297&lt;9999,0,IFERROR((G297/1.21)*VLOOKUP(C297,'AUX23'!$D$2:$L$70,7,0)/100,0))</f>
        <v>0</v>
      </c>
      <c r="M297" s="141">
        <f t="shared" si="100"/>
        <v>1889</v>
      </c>
      <c r="N297" t="str">
        <f t="shared" si="101"/>
        <v>CC</v>
      </c>
      <c r="O297">
        <f t="shared" si="102"/>
        <v>7</v>
      </c>
      <c r="P297" t="s">
        <v>101</v>
      </c>
      <c r="Q297" t="str">
        <f t="shared" si="68"/>
        <v>CARREFOURAGOSTO 23</v>
      </c>
      <c r="R297" t="str">
        <f t="shared" si="69"/>
        <v>CARREFOUR7</v>
      </c>
      <c r="S297" t="str">
        <f>+R297&amp;COUNTIF($R$2:R297,R297)</f>
        <v>CARREFOUR71</v>
      </c>
      <c r="T297" s="141">
        <f t="shared" si="70"/>
        <v>2242544.5580000007</v>
      </c>
      <c r="U297" t="str">
        <f t="shared" si="71"/>
        <v>9161</v>
      </c>
      <c r="V297" t="str">
        <f t="shared" si="74"/>
        <v>CARREFOUR7CC</v>
      </c>
      <c r="W297" t="str">
        <f>+V297&amp;COUNTIF($V$2:V297,V297)</f>
        <v>CARREFOUR7CC1</v>
      </c>
    </row>
    <row r="298" spans="1:23" x14ac:dyDescent="0.25">
      <c r="A298" t="str">
        <f>Q298&amp;COUNTIF($Q$30:Q298,Q298)</f>
        <v>LIBRERÍA SAN PABLO SRLAGOSTO 231</v>
      </c>
      <c r="B298" t="s">
        <v>149</v>
      </c>
      <c r="C298" t="s">
        <v>10</v>
      </c>
      <c r="D298" t="s">
        <v>791</v>
      </c>
      <c r="E298" s="10">
        <v>45148</v>
      </c>
      <c r="F298" t="str">
        <f>+IFERROR(INDEX('AUX23'!$C$2:$D$60,MATCH(CARGAFACTURAS!C298,'AUX23'!$D$2:$D$70,0),1),"")</f>
        <v>30-58351679-0</v>
      </c>
      <c r="G298" s="241">
        <v>61348.62</v>
      </c>
      <c r="H298" s="141">
        <f>+IF(G298&lt;19999,0,IFERROR(VLOOKUP(C298,'AUX23'!$D$2:$K$70,3,0)*G298/100,0))</f>
        <v>766.85775000000012</v>
      </c>
      <c r="I298" s="141">
        <f>IF(G298&lt;9999,0,IFERROR(VLOOKUP(C298,'AUX23'!$D$2:$L$70,4,0)*G298/100,0))</f>
        <v>3067.4310000000005</v>
      </c>
      <c r="J298" s="141">
        <f>IF(G298&lt;9999,0,IFERROR(VLOOKUP(C298,'AUX23'!$D$2:$L$70,5,0)*G298/100,0))</f>
        <v>0</v>
      </c>
      <c r="K298" s="141">
        <f>IF(G298&lt;9999,0,IFERROR((G298-67170)*VLOOKUP(C298,'AUX23'!$D$2:$L$70,6,0)/100,0))</f>
        <v>0</v>
      </c>
      <c r="L298" s="141">
        <f>IF(G298&lt;9999,0,IFERROR((G298/1.21)*VLOOKUP(C298,'AUX23'!$D$2:$L$70,7,0)/100,0))</f>
        <v>0</v>
      </c>
      <c r="M298" s="141">
        <f t="shared" si="100"/>
        <v>57514.331250000003</v>
      </c>
      <c r="N298">
        <v>38911231</v>
      </c>
      <c r="O298">
        <f t="shared" si="102"/>
        <v>8</v>
      </c>
      <c r="P298" t="s">
        <v>101</v>
      </c>
      <c r="Q298" t="str">
        <f t="shared" ref="Q298:Q328" si="103">+C298&amp;B298</f>
        <v>LIBRERÍA SAN PABLO SRLAGOSTO 23</v>
      </c>
      <c r="R298" t="str">
        <f t="shared" ref="R298:R328" si="104">+CLEAN(C298)&amp;CLEAN(O298)</f>
        <v>LIBRERÍA SAN PABLO SRL8</v>
      </c>
      <c r="S298" t="str">
        <f>+R298&amp;COUNTIF($R$2:R298,R298)</f>
        <v>LIBRERÍA SAN PABLO SRL81</v>
      </c>
      <c r="T298" s="141">
        <f t="shared" ref="T298:T328" si="105">+T297-G298</f>
        <v>2181195.9380000005</v>
      </c>
      <c r="U298" t="str">
        <f t="shared" ref="U298:U328" si="106">+RIGHT(D298,4)</f>
        <v>2356</v>
      </c>
      <c r="V298" t="str">
        <f t="shared" si="74"/>
        <v>LIBRERÍA SAN PABLO SRL838911231</v>
      </c>
      <c r="W298" t="str">
        <f>+V298&amp;COUNTIF($V$2:V298,V298)</f>
        <v>LIBRERÍA SAN PABLO SRL8389112311</v>
      </c>
    </row>
    <row r="299" spans="1:23" x14ac:dyDescent="0.25">
      <c r="A299" t="str">
        <f>Q299&amp;COUNTIF($Q$30:Q299,Q299)</f>
        <v>GOMEZ PARDO RAUL(LIMPLUS)AGOSTO 231</v>
      </c>
      <c r="B299" t="s">
        <v>149</v>
      </c>
      <c r="C299" t="s">
        <v>114</v>
      </c>
      <c r="D299" t="s">
        <v>792</v>
      </c>
      <c r="E299" s="10">
        <v>45148</v>
      </c>
      <c r="F299" t="str">
        <f>+IFERROR(INDEX('AUX23'!$C$2:$D$60,MATCH(CARGAFACTURAS!C299,'AUX23'!$D$2:$D$70,0),1),"")</f>
        <v>20-34285327-8</v>
      </c>
      <c r="G299" s="241">
        <v>43166.81</v>
      </c>
      <c r="H299" s="141">
        <f>+IF(G299&lt;19999,0,IFERROR(VLOOKUP(C299,'AUX23'!$D$2:$K$70,3,0)*G299/100,0))</f>
        <v>539.58512499999995</v>
      </c>
      <c r="I299" s="141">
        <f>IF(G299&lt;9999,0,IFERROR(VLOOKUP(C299,'AUX23'!$D$2:$L$70,4,0)*G299/100,0))</f>
        <v>2158.3404999999998</v>
      </c>
      <c r="J299" s="141">
        <f>IF(G299&lt;9999,0,IFERROR(VLOOKUP(C299,'AUX23'!$D$2:$L$70,5,0)*G299/100,0))</f>
        <v>0</v>
      </c>
      <c r="K299" s="141">
        <f>IF(G299&lt;9999,0,IFERROR((G299-67170)*VLOOKUP(C299,'AUX23'!$D$2:$L$70,6,0)/100,0))</f>
        <v>0</v>
      </c>
      <c r="L299" s="141">
        <f>IF(G299&lt;9999,0,IFERROR((G299/1.21)*VLOOKUP(C299,'AUX23'!$D$2:$L$70,7,0)/100,0))</f>
        <v>0</v>
      </c>
      <c r="M299" s="141">
        <f t="shared" si="100"/>
        <v>40468.884375000001</v>
      </c>
      <c r="N299">
        <v>38911427</v>
      </c>
      <c r="O299">
        <f t="shared" si="102"/>
        <v>8</v>
      </c>
      <c r="P299" t="s">
        <v>101</v>
      </c>
      <c r="Q299" t="str">
        <f t="shared" si="103"/>
        <v>GOMEZ PARDO RAUL(LIMPLUS)AGOSTO 23</v>
      </c>
      <c r="R299" t="str">
        <f t="shared" si="104"/>
        <v>GOMEZ PARDO RAUL(LIMPLUS)8</v>
      </c>
      <c r="S299" t="str">
        <f>+R299&amp;COUNTIF($R$2:R299,R299)</f>
        <v>GOMEZ PARDO RAUL(LIMPLUS)81</v>
      </c>
      <c r="T299" s="141">
        <f t="shared" si="105"/>
        <v>2138029.1280000005</v>
      </c>
      <c r="U299" t="str">
        <f t="shared" si="106"/>
        <v>3360</v>
      </c>
      <c r="V299" t="str">
        <f t="shared" si="74"/>
        <v>GOMEZ PARDO RAUL(LIMPLUS)838911427</v>
      </c>
      <c r="W299" t="str">
        <f>+V299&amp;COUNTIF($V$2:V299,V299)</f>
        <v>GOMEZ PARDO RAUL(LIMPLUS)8389114271</v>
      </c>
    </row>
    <row r="300" spans="1:23" x14ac:dyDescent="0.25">
      <c r="A300" t="str">
        <f>Q300&amp;COUNTIF($Q$30:Q300,Q300)</f>
        <v>CEGE SRLAGOSTO 231</v>
      </c>
      <c r="B300" t="s">
        <v>149</v>
      </c>
      <c r="C300" t="s">
        <v>50</v>
      </c>
      <c r="D300" t="s">
        <v>775</v>
      </c>
      <c r="E300" s="10">
        <v>45147</v>
      </c>
      <c r="F300" t="str">
        <f>+IFERROR(INDEX('AUX23'!$C$2:$D$60,MATCH(CARGAFACTURAS!C300,'AUX23'!$D$2:$D$70,0),1),"")</f>
        <v>30-65710669-7</v>
      </c>
      <c r="G300" s="241">
        <v>142470</v>
      </c>
      <c r="H300" s="141">
        <f>+IF(G300&lt;19999,0,IFERROR(VLOOKUP(C300,'AUX23'!$D$2:$K$70,3,0)*G300/100,0))</f>
        <v>3561.75</v>
      </c>
      <c r="I300" s="141">
        <f>IF(G300&lt;9999,0,IFERROR(VLOOKUP(C300,'AUX23'!$D$2:$L$70,4,0)*G300/100,0))</f>
        <v>7123.5</v>
      </c>
      <c r="J300" s="141">
        <f>IF(G300&lt;9999,0,IFERROR(VLOOKUP(C300,'AUX23'!$D$2:$L$70,5,0)*G300/100,0))</f>
        <v>0</v>
      </c>
      <c r="K300" s="141">
        <f>IF(G300&lt;9999,0,IFERROR((G300-67170)*VLOOKUP(C300,'AUX23'!$D$2:$L$70,6,0)/100,0))</f>
        <v>0</v>
      </c>
      <c r="L300" s="141">
        <f>IF(G300&lt;9999,0,IFERROR((G300/1.21)*VLOOKUP(C300,'AUX23'!$D$2:$L$70,7,0)/100,0))</f>
        <v>0</v>
      </c>
      <c r="M300" s="141">
        <f t="shared" si="100"/>
        <v>131784.75</v>
      </c>
      <c r="N300">
        <v>38911475</v>
      </c>
      <c r="O300">
        <f t="shared" si="102"/>
        <v>8</v>
      </c>
      <c r="P300" t="s">
        <v>101</v>
      </c>
      <c r="Q300" t="str">
        <f t="shared" si="103"/>
        <v>CEGE SRLAGOSTO 23</v>
      </c>
      <c r="R300" t="str">
        <f t="shared" si="104"/>
        <v>CEGE SRL8</v>
      </c>
      <c r="S300" t="str">
        <f>+R300&amp;COUNTIF($R$2:R300,R300)</f>
        <v>CEGE SRL81</v>
      </c>
      <c r="T300" s="141">
        <f t="shared" si="105"/>
        <v>1995559.1280000005</v>
      </c>
      <c r="U300" t="str">
        <f t="shared" si="106"/>
        <v>0157</v>
      </c>
      <c r="V300" t="str">
        <f t="shared" si="74"/>
        <v>CEGE SRL838911475</v>
      </c>
      <c r="W300" t="str">
        <f>+V300&amp;COUNTIF($V$2:V300,V300)</f>
        <v>CEGE SRL8389114751</v>
      </c>
    </row>
    <row r="301" spans="1:23" x14ac:dyDescent="0.25">
      <c r="A301" t="str">
        <f>Q301&amp;COUNTIF($Q$30:Q301,Q301)</f>
        <v>HOTEL DEL SOL SRLAGOSTO 231</v>
      </c>
      <c r="B301" t="s">
        <v>149</v>
      </c>
      <c r="C301" t="s">
        <v>772</v>
      </c>
      <c r="D301" t="s">
        <v>790</v>
      </c>
      <c r="E301" s="10">
        <v>45148</v>
      </c>
      <c r="F301" t="str">
        <f>+IFERROR(INDEX('AUX23'!$C$2:$D$90,MATCH(CARGAFACTURAS!C301,'AUX23'!$D$2:$D$90,0),1),"")</f>
        <v>30-59723600-6</v>
      </c>
      <c r="G301" s="396">
        <v>72037.350000000006</v>
      </c>
      <c r="H301" s="141">
        <f>+IF(G301&lt;19999,0,IFERROR(VLOOKUP(C301,'AUX23'!$D$2:$K$70,3,0)*G301/100,0))</f>
        <v>900.46687499999996</v>
      </c>
      <c r="I301" s="141">
        <f>IF(G301&lt;9999,0,IFERROR(VLOOKUP(C301,'AUX23'!$D$2:$L$70,4,0)*G301/100,0))</f>
        <v>3241.68075</v>
      </c>
      <c r="J301" s="141">
        <f>IF(G301&lt;9999,0,IFERROR(VLOOKUP(C301,'AUX23'!$D$2:$L$70,5,0)*G301/100,0))</f>
        <v>0</v>
      </c>
      <c r="K301" s="141">
        <f>IF(G301&lt;9999,0,IFERROR((G301-67170)*VLOOKUP(C301,'AUX23'!$D$2:$L$70,6,0)/100,0))</f>
        <v>0</v>
      </c>
      <c r="L301" s="141">
        <f>IF(G301&lt;9999,0,IFERROR((G301/1.21)*VLOOKUP(C301,'AUX23'!$D$2:$L$70,7,0)/100,0))</f>
        <v>0</v>
      </c>
      <c r="M301" s="141">
        <f t="shared" si="100"/>
        <v>67895.202375000008</v>
      </c>
      <c r="N301">
        <v>38911821</v>
      </c>
      <c r="O301">
        <f t="shared" si="102"/>
        <v>8</v>
      </c>
      <c r="P301" t="s">
        <v>101</v>
      </c>
      <c r="Q301" t="str">
        <f t="shared" si="103"/>
        <v>HOTEL DEL SOL SRLAGOSTO 23</v>
      </c>
      <c r="R301" t="str">
        <f t="shared" si="104"/>
        <v>HOTEL DEL SOL SRL8</v>
      </c>
      <c r="S301" t="str">
        <f>+R301&amp;COUNTIF($R$2:R301,R301)</f>
        <v>HOTEL DEL SOL SRL81</v>
      </c>
      <c r="T301" s="141">
        <f t="shared" si="105"/>
        <v>1923521.7780000004</v>
      </c>
      <c r="U301" t="str">
        <f t="shared" si="106"/>
        <v>7309</v>
      </c>
      <c r="V301" t="str">
        <f t="shared" si="74"/>
        <v>HOTEL DEL SOL SRL838911821</v>
      </c>
      <c r="W301" t="str">
        <f>+V301&amp;COUNTIF($V$2:V301,V301)</f>
        <v>HOTEL DEL SOL SRL8389118211</v>
      </c>
    </row>
    <row r="302" spans="1:23" x14ac:dyDescent="0.25">
      <c r="A302" t="str">
        <f>Q302&amp;COUNTIF($Q$30:Q302,Q302)</f>
        <v>BERNIS ERNESTO FEDERICO(ALL TECH)AGOSTO 231</v>
      </c>
      <c r="B302" t="s">
        <v>149</v>
      </c>
      <c r="C302" t="s">
        <v>726</v>
      </c>
      <c r="D302" t="s">
        <v>767</v>
      </c>
      <c r="E302" s="10">
        <v>45142</v>
      </c>
      <c r="F302" t="str">
        <f>+IFERROR(INDEX('AUX23'!$C$2:$D$60,MATCH(CARGAFACTURAS!C302,'AUX23'!$D$2:$D$70,0),1),"")</f>
        <v>20-26782059-8</v>
      </c>
      <c r="G302" s="241">
        <v>46000</v>
      </c>
      <c r="H302" s="141">
        <f>+IF(G302&lt;19999,0,IFERROR(VLOOKUP(C302,'AUX23'!$D$2:$K$70,3,0)*G302/100,0))</f>
        <v>1150</v>
      </c>
      <c r="I302" s="141">
        <f>IF(G302&lt;9999,0,IFERROR(VLOOKUP(C302,'AUX23'!$D$2:$L$70,4,0)*G302/100,0))</f>
        <v>2300</v>
      </c>
      <c r="J302" s="141">
        <f>IF(G302&lt;9999,0,IFERROR(VLOOKUP(C302,'AUX23'!$D$2:$L$70,5,0)*G302/100,0))</f>
        <v>0</v>
      </c>
      <c r="K302" s="141">
        <f>IF(G302&lt;9999,0,IFERROR((G302-67170)*VLOOKUP(C302,'AUX23'!$D$2:$L$70,6,0)/100,0))</f>
        <v>0</v>
      </c>
      <c r="L302" s="141">
        <f>IF(G302&lt;9999,0,IFERROR((G302/1.21)*VLOOKUP(C302,'AUX23'!$D$2:$L$70,7,0)/100,0))</f>
        <v>0</v>
      </c>
      <c r="M302" s="141">
        <f t="shared" si="100"/>
        <v>42550</v>
      </c>
      <c r="N302">
        <v>38620725</v>
      </c>
      <c r="O302">
        <f t="shared" si="102"/>
        <v>8</v>
      </c>
      <c r="P302" t="s">
        <v>101</v>
      </c>
      <c r="Q302" t="str">
        <f t="shared" si="103"/>
        <v>BERNIS ERNESTO FEDERICO(ALL TECH)AGOSTO 23</v>
      </c>
      <c r="R302" t="str">
        <f t="shared" si="104"/>
        <v>BERNIS ERNESTO FEDERICO(ALL TECH)8</v>
      </c>
      <c r="S302" t="str">
        <f>+R302&amp;COUNTIF($R$2:R302,R302)</f>
        <v>BERNIS ERNESTO FEDERICO(ALL TECH)81</v>
      </c>
      <c r="T302" s="141">
        <f t="shared" si="105"/>
        <v>1877521.7780000004</v>
      </c>
      <c r="U302" t="str">
        <f t="shared" si="106"/>
        <v>0387</v>
      </c>
      <c r="V302" t="str">
        <f t="shared" si="74"/>
        <v>BERNIS ERNESTO FEDERICO(ALL TECH)838620725</v>
      </c>
      <c r="W302" t="str">
        <f>+V302&amp;COUNTIF($V$2:V302,V302)</f>
        <v>BERNIS ERNESTO FEDERICO(ALL TECH)8386207251</v>
      </c>
    </row>
    <row r="303" spans="1:23" x14ac:dyDescent="0.25">
      <c r="A303" t="str">
        <f>Q303&amp;COUNTIF($Q$30:Q303,Q303)</f>
        <v>BARRERA MIGUEL ANGELAGOSTO 231</v>
      </c>
      <c r="B303" t="s">
        <v>149</v>
      </c>
      <c r="C303" t="s">
        <v>781</v>
      </c>
      <c r="D303" t="s">
        <v>785</v>
      </c>
      <c r="E303" s="10">
        <v>45148</v>
      </c>
      <c r="F303" t="str">
        <f>+IFERROR(INDEX('AUX23'!$C$2:$D$90,MATCH(CARGAFACTURAS!C303,'AUX23'!$D$2:$D$90,0),1),"")</f>
        <v>20-14226914-8</v>
      </c>
      <c r="G303" s="241">
        <v>3500</v>
      </c>
      <c r="H303" s="141">
        <f>+IF(G303&lt;19999,0,IFERROR(VLOOKUP(C303,'AUX23'!$D$2:$K$70,3,0)*G303/100,0))</f>
        <v>0</v>
      </c>
      <c r="I303" s="141">
        <f>IF(G303&lt;9999,0,IFERROR(VLOOKUP(C303,'AUX23'!$D$2:$L$70,4,0)*G303/100,0))</f>
        <v>0</v>
      </c>
      <c r="J303" s="141">
        <f>IF(G303&lt;9999,0,IFERROR(VLOOKUP(C303,'AUX23'!$D$2:$L$70,5,0)*G303/100,0))</f>
        <v>0</v>
      </c>
      <c r="K303" s="141">
        <f>IF(G303&lt;9999,0,IFERROR((G303-67170)*VLOOKUP(C303,'AUX23'!$D$2:$L$70,6,0)/100,0))</f>
        <v>0</v>
      </c>
      <c r="L303" s="141">
        <f>IF(G303&lt;9999,0,IFERROR((G303/1.21)*VLOOKUP(C303,'AUX23'!$D$2:$L$70,7,0)/100,0))</f>
        <v>0</v>
      </c>
      <c r="M303" s="141">
        <f t="shared" si="100"/>
        <v>3500</v>
      </c>
      <c r="N303">
        <v>38911530</v>
      </c>
      <c r="O303">
        <f t="shared" si="102"/>
        <v>8</v>
      </c>
      <c r="P303" t="s">
        <v>101</v>
      </c>
      <c r="Q303" t="str">
        <f t="shared" si="103"/>
        <v>BARRERA MIGUEL ANGELAGOSTO 23</v>
      </c>
      <c r="R303" t="str">
        <f t="shared" si="104"/>
        <v>BARRERA MIGUEL ANGEL8</v>
      </c>
      <c r="S303" t="str">
        <f>+R303&amp;COUNTIF($R$2:R303,R303)</f>
        <v>BARRERA MIGUEL ANGEL81</v>
      </c>
      <c r="T303" s="141">
        <f t="shared" si="105"/>
        <v>1874021.7780000004</v>
      </c>
      <c r="U303" t="str">
        <f t="shared" si="106"/>
        <v>3339</v>
      </c>
      <c r="V303" t="str">
        <f t="shared" si="74"/>
        <v>BARRERA MIGUEL ANGEL838911530</v>
      </c>
      <c r="W303" t="str">
        <f>+V303&amp;COUNTIF($V$2:V303,V303)</f>
        <v>BARRERA MIGUEL ANGEL8389115301</v>
      </c>
    </row>
    <row r="304" spans="1:23" x14ac:dyDescent="0.25">
      <c r="A304" t="str">
        <f>Q304&amp;COUNTIF($Q$30:Q304,Q304)</f>
        <v>BARRERA MIGUEL ANGELAGOSTO 232</v>
      </c>
      <c r="B304" t="s">
        <v>149</v>
      </c>
      <c r="C304" t="s">
        <v>781</v>
      </c>
      <c r="D304" t="s">
        <v>786</v>
      </c>
      <c r="E304" s="10">
        <v>45148</v>
      </c>
      <c r="F304" t="str">
        <f>+IFERROR(INDEX('AUX23'!$C$2:$D$90,MATCH(CARGAFACTURAS!C304,'AUX23'!$D$2:$D$90,0),1),"")</f>
        <v>20-14226914-8</v>
      </c>
      <c r="G304" s="241">
        <v>9500</v>
      </c>
      <c r="H304" s="141">
        <f>+IF(G304&lt;19999,0,IFERROR(VLOOKUP(C304,'AUX23'!$D$2:$K$70,3,0)*G304/100,0))</f>
        <v>0</v>
      </c>
      <c r="I304" s="141">
        <f>IF(G304&lt;9999,0,IFERROR(VLOOKUP(C304,'AUX23'!$D$2:$L$70,4,0)*G304/100,0))</f>
        <v>0</v>
      </c>
      <c r="J304" s="141">
        <f>IF(G304&lt;9999,0,IFERROR(VLOOKUP(C304,'AUX23'!$D$2:$L$70,5,0)*G304/100,0))</f>
        <v>0</v>
      </c>
      <c r="K304" s="141">
        <f>IF(G304&lt;9999,0,IFERROR((G304-67170)*VLOOKUP(C304,'AUX23'!$D$2:$L$70,6,0)/100,0))</f>
        <v>0</v>
      </c>
      <c r="L304" s="141">
        <f>IF(G304&lt;9999,0,IFERROR((G304/1.21)*VLOOKUP(C304,'AUX23'!$D$2:$L$70,7,0)/100,0))</f>
        <v>0</v>
      </c>
      <c r="M304" s="141">
        <f t="shared" si="100"/>
        <v>9500</v>
      </c>
      <c r="N304">
        <v>38911943</v>
      </c>
      <c r="O304">
        <f t="shared" si="102"/>
        <v>8</v>
      </c>
      <c r="P304" t="s">
        <v>101</v>
      </c>
      <c r="Q304" t="str">
        <f t="shared" si="103"/>
        <v>BARRERA MIGUEL ANGELAGOSTO 23</v>
      </c>
      <c r="R304" t="str">
        <f t="shared" si="104"/>
        <v>BARRERA MIGUEL ANGEL8</v>
      </c>
      <c r="S304" t="str">
        <f>+R304&amp;COUNTIF($R$2:R304,R304)</f>
        <v>BARRERA MIGUEL ANGEL82</v>
      </c>
      <c r="T304" s="141">
        <f t="shared" si="105"/>
        <v>1864521.7780000004</v>
      </c>
      <c r="U304" t="str">
        <f t="shared" si="106"/>
        <v>3338</v>
      </c>
      <c r="V304" t="str">
        <f t="shared" si="74"/>
        <v>BARRERA MIGUEL ANGEL838911943</v>
      </c>
      <c r="W304" t="str">
        <f>+V304&amp;COUNTIF($V$2:V304,V304)</f>
        <v>BARRERA MIGUEL ANGEL8389119431</v>
      </c>
    </row>
    <row r="305" spans="1:23" x14ac:dyDescent="0.25">
      <c r="A305" t="str">
        <f>Q305&amp;COUNTIF($Q$30:Q305,Q305)</f>
        <v>ESCOBEDO LUCAS NICOLAS (PAPERTUC)AGOSTO 231</v>
      </c>
      <c r="B305" t="s">
        <v>149</v>
      </c>
      <c r="C305" t="s">
        <v>104</v>
      </c>
      <c r="D305" t="s">
        <v>795</v>
      </c>
      <c r="E305" s="10">
        <v>45149</v>
      </c>
      <c r="F305" t="str">
        <f>+IFERROR(INDEX('AUX23'!$C$2:$D$90,MATCH(CARGAFACTURAS!C305,'AUX23'!$D$2:$D$90,0),1),"")</f>
        <v>20-31729103-6</v>
      </c>
      <c r="G305" s="241">
        <v>49716.639999999999</v>
      </c>
      <c r="H305" s="141">
        <f>+IF(G305&lt;19999,0,IFERROR(VLOOKUP(C305,'AUX23'!$D$2:$K$70,3,0)*G305/100,0))</f>
        <v>621.45800000000008</v>
      </c>
      <c r="I305" s="141">
        <f>IF(G305&lt;9999,0,IFERROR(VLOOKUP(C305,'AUX23'!$D$2:$L$70,4,0)*G305/100,0))</f>
        <v>2485.8320000000003</v>
      </c>
      <c r="J305" s="141">
        <f>IF(G305&lt;9999,0,IFERROR(VLOOKUP(C305,'AUX23'!$D$2:$L$70,5,0)*G305/100,0))</f>
        <v>0</v>
      </c>
      <c r="K305" s="141">
        <f>IF(G305&lt;9999,0,IFERROR((G305-67170)*VLOOKUP(C305,'AUX23'!$D$2:$L$70,6,0)/100,0))</f>
        <v>0</v>
      </c>
      <c r="L305" s="141">
        <f>IF(G305&lt;9999,0,IFERROR((G305/1.21)*VLOOKUP(C305,'AUX23'!$D$2:$L$70,7,0)/100,0))</f>
        <v>0</v>
      </c>
      <c r="M305" s="141">
        <f t="shared" si="100"/>
        <v>46609.35</v>
      </c>
      <c r="N305">
        <v>38911706</v>
      </c>
      <c r="O305">
        <f t="shared" si="102"/>
        <v>8</v>
      </c>
      <c r="P305" t="s">
        <v>101</v>
      </c>
      <c r="Q305" t="str">
        <f t="shared" si="103"/>
        <v>ESCOBEDO LUCAS NICOLAS (PAPERTUC)AGOSTO 23</v>
      </c>
      <c r="R305" t="str">
        <f t="shared" si="104"/>
        <v>ESCOBEDO LUCAS NICOLAS (PAPERTUC)8</v>
      </c>
      <c r="S305" t="str">
        <f>+R305&amp;COUNTIF($R$2:R305,R305)</f>
        <v>ESCOBEDO LUCAS NICOLAS (PAPERTUC)81</v>
      </c>
      <c r="T305" s="141">
        <f t="shared" si="105"/>
        <v>1814805.1380000005</v>
      </c>
      <c r="U305" t="str">
        <f t="shared" si="106"/>
        <v>1026</v>
      </c>
      <c r="V305" t="str">
        <f t="shared" si="74"/>
        <v>ESCOBEDO LUCAS NICOLAS (PAPERTUC)838911706</v>
      </c>
      <c r="W305" t="str">
        <f>+V305&amp;COUNTIF($V$2:V305,V305)</f>
        <v>ESCOBEDO LUCAS NICOLAS (PAPERTUC)8389117061</v>
      </c>
    </row>
    <row r="306" spans="1:23" x14ac:dyDescent="0.25">
      <c r="A306" t="str">
        <f>Q306&amp;COUNTIF($Q$30:Q306,Q306)</f>
        <v>JORGE ROLANDO FRIAS (JF SERV. INF.)AGOSTO 231</v>
      </c>
      <c r="B306" t="s">
        <v>149</v>
      </c>
      <c r="C306" t="s">
        <v>59</v>
      </c>
      <c r="D306" t="s">
        <v>804</v>
      </c>
      <c r="E306" s="10">
        <v>45153</v>
      </c>
      <c r="F306" t="str">
        <f>+IFERROR(INDEX('AUX23'!$C$2:$D$90,MATCH(CARGAFACTURAS!C306,'AUX23'!$D$2:$D$90,0),1),"")</f>
        <v>20-22167463-5</v>
      </c>
      <c r="G306" s="241">
        <v>48200</v>
      </c>
      <c r="H306" s="141">
        <f>+IF(G306&lt;19999,0,IFERROR(VLOOKUP(C306,'AUX23'!$D$2:$K$70,3,0)*G306/100,0))</f>
        <v>0</v>
      </c>
      <c r="I306" s="141">
        <f>IF(G306&lt;9999,0,IFERROR(VLOOKUP(C306,'AUX23'!$D$2:$L$70,4,0)*G306/100,0))</f>
        <v>1205</v>
      </c>
      <c r="J306" s="141">
        <f>IF(G306&lt;9999,0,IFERROR(VLOOKUP(C306,'AUX23'!$D$2:$L$70,5,0)*G306/100,0))</f>
        <v>0</v>
      </c>
      <c r="K306" s="141">
        <f>IF(G306&lt;9999,0,IFERROR((G306-67170)*VLOOKUP(C306,'AUX23'!$D$2:$L$70,6,0)/100,0))</f>
        <v>0</v>
      </c>
      <c r="L306" s="141">
        <f>IF(G306&lt;9999,0,IFERROR((G306/1.21)*VLOOKUP(C306,'AUX23'!$D$2:$L$70,7,0)/100,0))</f>
        <v>0</v>
      </c>
      <c r="M306" s="141">
        <f t="shared" si="100"/>
        <v>46995</v>
      </c>
      <c r="N306">
        <v>36068223</v>
      </c>
      <c r="O306">
        <f t="shared" si="102"/>
        <v>8</v>
      </c>
      <c r="P306" t="s">
        <v>101</v>
      </c>
      <c r="Q306" t="str">
        <f t="shared" si="103"/>
        <v>JORGE ROLANDO FRIAS (JF SERV. INF.)AGOSTO 23</v>
      </c>
      <c r="R306" t="str">
        <f t="shared" si="104"/>
        <v>JORGE ROLANDO FRIAS (JF SERV. INF.)8</v>
      </c>
      <c r="S306" t="str">
        <f>+R306&amp;COUNTIF($R$2:R306,R306)</f>
        <v>JORGE ROLANDO FRIAS (JF SERV. INF.)81</v>
      </c>
      <c r="T306" s="141">
        <f t="shared" si="105"/>
        <v>1766605.1380000005</v>
      </c>
      <c r="U306" t="str">
        <f t="shared" si="106"/>
        <v>0154</v>
      </c>
      <c r="V306" t="str">
        <f t="shared" si="74"/>
        <v>JORGE ROLANDO FRIAS (JF SERV. INF.)836068223</v>
      </c>
      <c r="W306" t="str">
        <f>+V306&amp;COUNTIF($V$2:V306,V306)</f>
        <v>JORGE ROLANDO FRIAS (JF SERV. INF.)8360682231</v>
      </c>
    </row>
    <row r="307" spans="1:23" x14ac:dyDescent="0.25">
      <c r="A307" t="str">
        <f>Q307&amp;COUNTIF($Q$30:Q307,Q307)</f>
        <v>COOP. DE TRAB. SAN LORENZO M AGOSTO 233</v>
      </c>
      <c r="B307" t="s">
        <v>149</v>
      </c>
      <c r="C307" t="s">
        <v>92</v>
      </c>
      <c r="D307" t="s">
        <v>806</v>
      </c>
      <c r="E307" s="10">
        <v>45152</v>
      </c>
      <c r="F307" t="str">
        <f>+IFERROR(INDEX('AUX23'!$C$2:$D$90,MATCH(CARGAFACTURAS!C307,'AUX23'!$D$2:$D$90,0),1),"")</f>
        <v>30-70895858-8</v>
      </c>
      <c r="G307" s="396">
        <v>30055.119999999999</v>
      </c>
      <c r="H307" s="141">
        <f>+IF(G307&lt;19999,0,IFERROR(VLOOKUP(C307,'AUX23'!$D$2:$K$70,3,0)*G307/100,0))</f>
        <v>0</v>
      </c>
      <c r="I307" s="141">
        <f>IF(G307&lt;9999,0,IFERROR(VLOOKUP(C307,'AUX23'!$D$2:$L$70,4,0)*G307/100,0))</f>
        <v>0</v>
      </c>
      <c r="J307" s="141">
        <f>IF(G307&lt;9999,0,IFERROR(VLOOKUP(C307,'AUX23'!$D$2:$L$70,5,0)*G307/100,0))</f>
        <v>0</v>
      </c>
      <c r="K307" s="141">
        <f>IF(G307&lt;9999,0,IFERROR((G307-67170)*VLOOKUP(C307,'AUX23'!$D$2:$L$70,6,0)/100,0))</f>
        <v>0</v>
      </c>
      <c r="L307" s="141">
        <f>IF(G307&lt;9999,0,IFERROR((G307/1.21)*VLOOKUP(C307,'AUX23'!$D$2:$L$70,7,0)/100,0))</f>
        <v>0</v>
      </c>
      <c r="M307" s="141">
        <f t="shared" si="100"/>
        <v>30055.119999999999</v>
      </c>
      <c r="N307" t="str">
        <f t="shared" si="101"/>
        <v>INGR. NUMERO</v>
      </c>
      <c r="O307">
        <f t="shared" si="102"/>
        <v>8</v>
      </c>
      <c r="P307" t="s">
        <v>164</v>
      </c>
      <c r="Q307" t="str">
        <f t="shared" si="103"/>
        <v>COOP. DE TRAB. SAN LORENZO M AGOSTO 23</v>
      </c>
      <c r="R307" t="str">
        <f t="shared" si="104"/>
        <v>COOP. DE TRAB. SAN LORENZO M 8</v>
      </c>
      <c r="S307" t="str">
        <f>+R307&amp;COUNTIF($R$2:R307,R307)</f>
        <v>COOP. DE TRAB. SAN LORENZO M 81</v>
      </c>
      <c r="T307" s="141">
        <f t="shared" si="105"/>
        <v>1736550.0180000004</v>
      </c>
      <c r="U307" t="str">
        <f t="shared" si="106"/>
        <v>5042</v>
      </c>
      <c r="V307" t="str">
        <f t="shared" si="74"/>
        <v>COOP. DE TRAB. SAN LORENZO M 8INGR. NUMERO</v>
      </c>
      <c r="W307" t="str">
        <f>+V307&amp;COUNTIF($V$2:V307,V307)</f>
        <v>COOP. DE TRAB. SAN LORENZO M 8INGR. NUMERO1</v>
      </c>
    </row>
    <row r="308" spans="1:23" x14ac:dyDescent="0.25">
      <c r="A308" t="str">
        <f>Q308&amp;COUNTIF($Q$30:Q308,Q308)</f>
        <v>COOP. DE TRAB. SAN LORENZO M AGOSTO 234</v>
      </c>
      <c r="B308" t="s">
        <v>149</v>
      </c>
      <c r="C308" t="s">
        <v>92</v>
      </c>
      <c r="D308" t="s">
        <v>807</v>
      </c>
      <c r="E308" s="10">
        <v>45152</v>
      </c>
      <c r="F308" t="str">
        <f>+IFERROR(INDEX('AUX23'!$C$2:$D$90,MATCH(CARGAFACTURAS!C308,'AUX23'!$D$2:$D$90,0),1),"")</f>
        <v>30-70895858-8</v>
      </c>
      <c r="G308" s="396">
        <v>15027.56</v>
      </c>
      <c r="H308" s="141">
        <f>+IF(G308&lt;19999,0,IFERROR(VLOOKUP(C308,'AUX23'!$D$2:$K$70,3,0)*G308/100,0))</f>
        <v>0</v>
      </c>
      <c r="I308" s="141">
        <f>IF(G308&lt;9999,0,IFERROR(VLOOKUP(C308,'AUX23'!$D$2:$L$70,4,0)*G308/100,0))</f>
        <v>0</v>
      </c>
      <c r="J308" s="141">
        <f>IF(G308&lt;9999,0,IFERROR(VLOOKUP(C308,'AUX23'!$D$2:$L$70,5,0)*G308/100,0))</f>
        <v>0</v>
      </c>
      <c r="K308" s="141">
        <f>IF(G308&lt;9999,0,IFERROR((G308-67170)*VLOOKUP(C308,'AUX23'!$D$2:$L$70,6,0)/100,0))</f>
        <v>0</v>
      </c>
      <c r="L308" s="141">
        <f>IF(G308&lt;9999,0,IFERROR((G308/1.21)*VLOOKUP(C308,'AUX23'!$D$2:$L$70,7,0)/100,0))</f>
        <v>0</v>
      </c>
      <c r="M308" s="141">
        <f t="shared" si="100"/>
        <v>15027.56</v>
      </c>
      <c r="N308" t="str">
        <f t="shared" si="101"/>
        <v>INGR. NUMERO</v>
      </c>
      <c r="O308">
        <f t="shared" si="102"/>
        <v>8</v>
      </c>
      <c r="P308" t="s">
        <v>164</v>
      </c>
      <c r="Q308" t="str">
        <f t="shared" si="103"/>
        <v>COOP. DE TRAB. SAN LORENZO M AGOSTO 23</v>
      </c>
      <c r="R308" t="str">
        <f t="shared" si="104"/>
        <v>COOP. DE TRAB. SAN LORENZO M 8</v>
      </c>
      <c r="S308" t="str">
        <f>+R308&amp;COUNTIF($R$2:R308,R308)</f>
        <v>COOP. DE TRAB. SAN LORENZO M 82</v>
      </c>
      <c r="T308" s="141">
        <f t="shared" si="105"/>
        <v>1721522.4580000003</v>
      </c>
      <c r="U308" t="str">
        <f t="shared" si="106"/>
        <v>5043</v>
      </c>
      <c r="V308" t="str">
        <f t="shared" si="74"/>
        <v>COOP. DE TRAB. SAN LORENZO M 8INGR. NUMERO</v>
      </c>
      <c r="W308" t="str">
        <f>+V308&amp;COUNTIF($V$2:V308,V308)</f>
        <v>COOP. DE TRAB. SAN LORENZO M 8INGR. NUMERO2</v>
      </c>
    </row>
    <row r="309" spans="1:23" x14ac:dyDescent="0.25">
      <c r="A309" t="str">
        <f>Q309&amp;COUNTIF($Q$30:Q309,Q309)</f>
        <v>ACREDITACION SIPROSAAGOSTO 232</v>
      </c>
      <c r="B309" t="s">
        <v>149</v>
      </c>
      <c r="C309" t="s">
        <v>398</v>
      </c>
      <c r="F309">
        <f>+IFERROR(INDEX('AUX23'!$C$2:$D$90,MATCH(CARGAFACTURAS!C309,'AUX23'!$D$2:$D$90,0),1),"")</f>
        <v>0</v>
      </c>
      <c r="G309" s="141">
        <v>9999.99</v>
      </c>
      <c r="H309" s="141">
        <f>+IF(G309&lt;19999,0,IFERROR(VLOOKUP(C309,'AUX23'!$D$2:$K$70,3,0)*G309/100,0))</f>
        <v>0</v>
      </c>
      <c r="I309" s="141">
        <f>IF(G309&lt;9999,0,IFERROR(VLOOKUP(C309,'AUX23'!$D$2:$L$70,4,0)*G309/100,0))</f>
        <v>0</v>
      </c>
      <c r="J309" s="141">
        <f>IF(G309&lt;9999,0,IFERROR(VLOOKUP(C309,'AUX23'!$D$2:$L$70,5,0)*G309/100,0))</f>
        <v>0</v>
      </c>
      <c r="K309" s="141">
        <f>IF(G309&lt;9999,0,IFERROR((G309-67170)*VLOOKUP(C309,'AUX23'!$D$2:$L$70,6,0)/100,0))</f>
        <v>0</v>
      </c>
      <c r="L309" s="141">
        <f>IF(G309&lt;9999,0,IFERROR((G309/1.21)*VLOOKUP(C309,'AUX23'!$D$2:$L$70,7,0)/100,0))</f>
        <v>0</v>
      </c>
      <c r="M309" s="141">
        <f t="shared" si="100"/>
        <v>9999.99</v>
      </c>
      <c r="N309" t="str">
        <f t="shared" si="101"/>
        <v>INGR. NUMERO</v>
      </c>
      <c r="O309">
        <f t="shared" si="102"/>
        <v>1</v>
      </c>
      <c r="Q309" t="str">
        <f t="shared" si="103"/>
        <v>ACREDITACION SIPROSAAGOSTO 23</v>
      </c>
      <c r="R309" t="str">
        <f t="shared" si="104"/>
        <v>ACREDITACION SIPROSA1</v>
      </c>
      <c r="S309" t="str">
        <f>+R309&amp;COUNTIF($R$2:R309,R309)</f>
        <v>ACREDITACION SIPROSA16</v>
      </c>
      <c r="T309" s="141">
        <f>+T308-G309+G309*2</f>
        <v>1731522.4480000003</v>
      </c>
      <c r="U309" t="str">
        <f t="shared" si="106"/>
        <v/>
      </c>
      <c r="V309" t="str">
        <f t="shared" si="74"/>
        <v>ACREDITACION SIPROSA1INGR. NUMERO</v>
      </c>
      <c r="W309" t="str">
        <f>+V309&amp;COUNTIF($V$2:V309,V309)</f>
        <v>ACREDITACION SIPROSA1INGR. NUMERO2</v>
      </c>
    </row>
    <row r="310" spans="1:23" x14ac:dyDescent="0.25">
      <c r="A310" t="str">
        <f>Q310&amp;COUNTIF($Q$30:Q310,Q310)</f>
        <v>MULTISHOP SASAGOSTO 231</v>
      </c>
      <c r="B310" t="s">
        <v>149</v>
      </c>
      <c r="C310" t="s">
        <v>673</v>
      </c>
      <c r="D310" t="s">
        <v>884</v>
      </c>
      <c r="E310" s="10">
        <v>45154</v>
      </c>
      <c r="F310" t="str">
        <f>+IFERROR(INDEX('AUX23'!$C$2:$D$90,MATCH(CARGAFACTURAS!C310,'AUX23'!$D$2:$D$90,0),1),"")</f>
        <v>33-71635571-9</v>
      </c>
      <c r="G310" s="396">
        <v>16600</v>
      </c>
      <c r="H310" s="141">
        <f>+IF(G310&lt;19999,0,IFERROR(VLOOKUP(C310,'AUX23'!$D$2:$K$70,3,0)*G310/100,0))</f>
        <v>0</v>
      </c>
      <c r="I310" s="141">
        <f>IF(G310&lt;9999,0,IFERROR(VLOOKUP(C310,'AUX23'!$D$2:$L$70,4,0)*G310/100,0))</f>
        <v>830</v>
      </c>
      <c r="J310" s="141">
        <f>IF(G310&lt;9999,0,IFERROR(VLOOKUP(C310,'AUX23'!$D$2:$L$70,5,0)*G310/100,0))</f>
        <v>0</v>
      </c>
      <c r="K310" s="141">
        <f>IF(G310&lt;9999,0,IFERROR((G310-67170)*VLOOKUP(C310,'AUX23'!$D$2:$L$70,6,0)/100,0))</f>
        <v>0</v>
      </c>
      <c r="L310" s="141">
        <f>IF(G310&lt;9999,0,IFERROR((G310/1.21)*VLOOKUP(C310,'AUX23'!$D$2:$L$70,7,0)/100,0))</f>
        <v>0</v>
      </c>
      <c r="M310" s="141">
        <f t="shared" si="100"/>
        <v>15770</v>
      </c>
      <c r="N310" t="str">
        <f t="shared" si="101"/>
        <v>INGR. NUMERO</v>
      </c>
      <c r="O310">
        <f t="shared" si="102"/>
        <v>8</v>
      </c>
      <c r="P310" t="s">
        <v>101</v>
      </c>
      <c r="Q310" t="str">
        <f t="shared" si="103"/>
        <v>MULTISHOP SASAGOSTO 23</v>
      </c>
      <c r="R310" t="str">
        <f t="shared" si="104"/>
        <v>MULTISHOP SAS8</v>
      </c>
      <c r="S310" t="str">
        <f>+R310&amp;COUNTIF($R$2:R310,R310)</f>
        <v>MULTISHOP SAS83</v>
      </c>
      <c r="T310" s="141">
        <f t="shared" si="105"/>
        <v>1714922.4480000003</v>
      </c>
      <c r="U310" t="str">
        <f t="shared" si="106"/>
        <v>0774</v>
      </c>
      <c r="V310" t="str">
        <f t="shared" si="74"/>
        <v>MULTISHOP SAS8INGR. NUMERO</v>
      </c>
      <c r="W310" t="str">
        <f>+V310&amp;COUNTIF($V$2:V310,V310)</f>
        <v>MULTISHOP SAS8INGR. NUMERO1</v>
      </c>
    </row>
    <row r="311" spans="1:23" x14ac:dyDescent="0.25">
      <c r="A311" t="str">
        <f>Q311&amp;COUNTIF($Q$30:Q311,Q311)</f>
        <v>MARTIN PEDROAGOSTO 231</v>
      </c>
      <c r="B311" t="s">
        <v>149</v>
      </c>
      <c r="C311" t="s">
        <v>887</v>
      </c>
      <c r="D311" t="s">
        <v>888</v>
      </c>
      <c r="E311" s="10">
        <v>45154</v>
      </c>
      <c r="F311" t="str">
        <f>+IFERROR(INDEX('AUX23'!$C$2:$D$90,MATCH(CARGAFACTURAS!C311,'AUX23'!$D$2:$D$90,0),1),"")</f>
        <v>20-08093265-1</v>
      </c>
      <c r="G311" s="241">
        <v>8500</v>
      </c>
      <c r="H311" s="141">
        <f>+IF(G311&lt;19999,0,IFERROR(VLOOKUP(C311,'AUX23'!$D$2:$K$70,3,0)*G311/100,0))</f>
        <v>0</v>
      </c>
      <c r="I311" s="141">
        <f>IF(G311&lt;9999,0,IFERROR(VLOOKUP(C311,'AUX23'!$D$2:$L$70,4,0)*G311/100,0))</f>
        <v>0</v>
      </c>
      <c r="J311" s="141">
        <f>IF(G311&lt;9999,0,IFERROR(VLOOKUP(C311,'AUX23'!$D$2:$L$70,5,0)*G311/100,0))</f>
        <v>0</v>
      </c>
      <c r="K311" s="141">
        <f>IF(G311&lt;9999,0,IFERROR((G311-67170)*VLOOKUP(C311,'AUX23'!$D$2:$L$70,6,0)/100,0))</f>
        <v>0</v>
      </c>
      <c r="L311" s="141">
        <f>IF(G311&lt;9999,0,IFERROR((G311/1.21)*VLOOKUP(C311,'AUX23'!$D$2:$L$70,7,0)/100,0))</f>
        <v>0</v>
      </c>
      <c r="M311" s="141">
        <f t="shared" si="100"/>
        <v>8500</v>
      </c>
      <c r="N311" t="str">
        <f t="shared" si="101"/>
        <v>CC</v>
      </c>
      <c r="O311">
        <f t="shared" si="102"/>
        <v>8</v>
      </c>
      <c r="P311" t="s">
        <v>101</v>
      </c>
      <c r="Q311" t="str">
        <f t="shared" si="103"/>
        <v>MARTIN PEDROAGOSTO 23</v>
      </c>
      <c r="R311" t="str">
        <f t="shared" si="104"/>
        <v>MARTIN PEDRO8</v>
      </c>
      <c r="S311" t="str">
        <f>+R311&amp;COUNTIF($R$2:R311,R311)</f>
        <v>MARTIN PEDRO81</v>
      </c>
      <c r="T311" s="141">
        <f t="shared" si="105"/>
        <v>1706422.4480000003</v>
      </c>
      <c r="U311" t="str">
        <f t="shared" si="106"/>
        <v>0772</v>
      </c>
      <c r="V311" t="str">
        <f t="shared" si="74"/>
        <v>MARTIN PEDRO8CC</v>
      </c>
      <c r="W311" t="str">
        <f>+V311&amp;COUNTIF($V$2:V311,V311)</f>
        <v>MARTIN PEDRO8CC1</v>
      </c>
    </row>
    <row r="312" spans="1:23" x14ac:dyDescent="0.25">
      <c r="A312" t="str">
        <f>Q312&amp;COUNTIF($Q$30:Q312,Q312)</f>
        <v>PUERTAS RUBEN ALBERTO(PLASTINORT)AGOSTO 231</v>
      </c>
      <c r="B312" t="s">
        <v>149</v>
      </c>
      <c r="C312" t="s">
        <v>107</v>
      </c>
      <c r="D312" t="s">
        <v>889</v>
      </c>
      <c r="E312" s="10">
        <v>45154</v>
      </c>
      <c r="F312" t="str">
        <f>+IFERROR(INDEX('AUX23'!$C$2:$D$60,MATCH(CARGAFACTURAS!C312,'AUX23'!$D$2:$D$70,0),1),"")</f>
        <v>20-12576284-1</v>
      </c>
      <c r="G312" s="241">
        <v>4000</v>
      </c>
      <c r="H312" s="141">
        <f>+IF(G312&lt;19999,0,IFERROR(VLOOKUP(C312,'AUX23'!$D$2:$K$70,3,0)*G312/100,0))</f>
        <v>0</v>
      </c>
      <c r="I312" s="141">
        <f>IF(G312&lt;9999,0,IFERROR(VLOOKUP(C312,'AUX23'!$D$2:$L$70,4,0)*G312/100,0))</f>
        <v>0</v>
      </c>
      <c r="J312" s="141">
        <f>IF(G312&lt;9999,0,IFERROR(VLOOKUP(C312,'AUX23'!$D$2:$L$70,5,0)*G312/100,0))</f>
        <v>0</v>
      </c>
      <c r="K312" s="141">
        <f>IF(G312&lt;9999,0,IFERROR((G312-67170)*VLOOKUP(C312,'AUX23'!$D$2:$L$70,6,0)/100,0))</f>
        <v>0</v>
      </c>
      <c r="L312" s="141">
        <f>IF(G312&lt;9999,0,IFERROR((G312/1.21)*VLOOKUP(C312,'AUX23'!$D$2:$L$70,7,0)/100,0))</f>
        <v>0</v>
      </c>
      <c r="M312" s="141">
        <f t="shared" si="100"/>
        <v>4000</v>
      </c>
      <c r="N312" t="str">
        <f t="shared" si="101"/>
        <v>CC</v>
      </c>
      <c r="O312">
        <f t="shared" si="102"/>
        <v>8</v>
      </c>
      <c r="P312" t="s">
        <v>101</v>
      </c>
      <c r="Q312" t="str">
        <f t="shared" si="103"/>
        <v>PUERTAS RUBEN ALBERTO(PLASTINORT)AGOSTO 23</v>
      </c>
      <c r="R312" t="str">
        <f t="shared" si="104"/>
        <v>PUERTAS RUBEN ALBERTO(PLASTINORT)8</v>
      </c>
      <c r="S312" t="str">
        <f>+R312&amp;COUNTIF($R$2:R312,R312)</f>
        <v>PUERTAS RUBEN ALBERTO(PLASTINORT)82</v>
      </c>
      <c r="T312" s="141">
        <f t="shared" si="105"/>
        <v>1702422.4480000003</v>
      </c>
      <c r="U312" t="str">
        <f t="shared" si="106"/>
        <v>4125</v>
      </c>
      <c r="V312" t="str">
        <f t="shared" si="74"/>
        <v>PUERTAS RUBEN ALBERTO(PLASTINORT)8CC</v>
      </c>
      <c r="W312" t="str">
        <f>+V312&amp;COUNTIF($V$2:V312,V312)</f>
        <v>PUERTAS RUBEN ALBERTO(PLASTINORT)8CC2</v>
      </c>
    </row>
    <row r="313" spans="1:23" x14ac:dyDescent="0.25">
      <c r="A313" t="str">
        <f>Q313&amp;COUNTIF($Q$30:Q313,Q313)</f>
        <v>ACREDITACION SIPROSAAGOSTO 233</v>
      </c>
      <c r="B313" t="s">
        <v>149</v>
      </c>
      <c r="C313" t="s">
        <v>398</v>
      </c>
      <c r="F313" t="str">
        <f>+IFERROR(INDEX('AUX23'!$C$2:$D$60,MATCH(CARGAFACTURAS!C313,'AUX23'!$D$2:$D$70,0),1),"")</f>
        <v/>
      </c>
      <c r="G313" s="141">
        <v>151184.51999999999</v>
      </c>
      <c r="H313" s="141">
        <f>+IF(G313&lt;19999,0,IFERROR(VLOOKUP(C313,'AUX23'!$D$2:$K$70,3,0)*G313/100,0))</f>
        <v>0</v>
      </c>
      <c r="I313" s="141">
        <f>IF(G313&lt;9999,0,IFERROR(VLOOKUP(C313,'AUX23'!$D$2:$L$70,4,0)*G313/100,0))</f>
        <v>0</v>
      </c>
      <c r="J313" s="141">
        <f>IF(G313&lt;9999,0,IFERROR(VLOOKUP(C313,'AUX23'!$D$2:$L$70,5,0)*G313/100,0))</f>
        <v>0</v>
      </c>
      <c r="K313" s="141">
        <f>IF(G313&lt;9999,0,IFERROR((G313-67170)*VLOOKUP(C313,'AUX23'!$D$2:$L$70,6,0)/100,0))</f>
        <v>0</v>
      </c>
      <c r="L313" s="141">
        <f>IF(G313&lt;9999,0,IFERROR((G313/1.21)*VLOOKUP(C313,'AUX23'!$D$2:$L$70,7,0)/100,0))</f>
        <v>0</v>
      </c>
      <c r="M313" s="141">
        <f t="shared" si="100"/>
        <v>151184.51999999999</v>
      </c>
      <c r="N313" t="str">
        <f t="shared" si="101"/>
        <v>INGR. NUMERO</v>
      </c>
      <c r="O313">
        <f t="shared" si="102"/>
        <v>1</v>
      </c>
      <c r="Q313" t="str">
        <f t="shared" si="103"/>
        <v>ACREDITACION SIPROSAAGOSTO 23</v>
      </c>
      <c r="R313" t="str">
        <f t="shared" si="104"/>
        <v>ACREDITACION SIPROSA1</v>
      </c>
      <c r="S313" t="str">
        <f>+R313&amp;COUNTIF($R$2:R313,R313)</f>
        <v>ACREDITACION SIPROSA17</v>
      </c>
      <c r="T313" s="141">
        <f>+T312-G313+G313*2</f>
        <v>1853606.9680000003</v>
      </c>
      <c r="U313" t="str">
        <f t="shared" si="106"/>
        <v/>
      </c>
      <c r="V313" t="str">
        <f t="shared" si="74"/>
        <v>ACREDITACION SIPROSA1INGR. NUMERO</v>
      </c>
      <c r="W313" t="str">
        <f>+V313&amp;COUNTIF($V$2:V313,V313)</f>
        <v>ACREDITACION SIPROSA1INGR. NUMERO3</v>
      </c>
    </row>
    <row r="314" spans="1:23" x14ac:dyDescent="0.25">
      <c r="A314" t="str">
        <f>Q314&amp;COUNTIF($Q$30:Q314,Q314)</f>
        <v>FULL TRACK S.R.L.AGOSTO 231</v>
      </c>
      <c r="B314" t="s">
        <v>149</v>
      </c>
      <c r="C314" t="s">
        <v>98</v>
      </c>
      <c r="D314" t="s">
        <v>892</v>
      </c>
      <c r="E314" s="10">
        <v>45153</v>
      </c>
      <c r="F314" t="str">
        <f>+IFERROR(INDEX('AUX23'!$C$2:$D$60,MATCH(CARGAFACTURAS!C314,'AUX23'!$D$2:$D$70,0),1),"")</f>
        <v>30-71648081-6</v>
      </c>
      <c r="G314" s="396">
        <v>702000</v>
      </c>
      <c r="H314" s="141">
        <f>+IF(G314&lt;19999,0,IFERROR(VLOOKUP(C314,'AUX23'!$D$2:$K$70,3,0)*G314/100,0))</f>
        <v>0</v>
      </c>
      <c r="I314" s="141">
        <f>IF(G314&lt;9999,0,IFERROR(VLOOKUP(C314,'AUX23'!$D$2:$L$70,4,0)*G314/100,0))</f>
        <v>10530</v>
      </c>
      <c r="J314" s="141">
        <f>IF(G314&lt;9999,0,IFERROR(VLOOKUP(C314,'AUX23'!$D$2:$L$70,5,0)*G314/100,0))</f>
        <v>0</v>
      </c>
      <c r="K314" s="141">
        <f>IF(G314&lt;9999,0,IFERROR((G314-67170)*VLOOKUP(C314,'AUX23'!$D$2:$L$70,6,0)/100,0))</f>
        <v>12696.6</v>
      </c>
      <c r="L314" s="141">
        <f>IF(G314&lt;9999,0,IFERROR((G314/1.21)*VLOOKUP(C314,'AUX23'!$D$2:$L$70,7,0)/100,0))</f>
        <v>5801.6528925619832</v>
      </c>
      <c r="M314" s="141">
        <f t="shared" si="100"/>
        <v>672971.74710743804</v>
      </c>
      <c r="N314" t="str">
        <f t="shared" si="101"/>
        <v>INGR. NUMERO</v>
      </c>
      <c r="O314">
        <f t="shared" si="102"/>
        <v>8</v>
      </c>
      <c r="P314" t="s">
        <v>124</v>
      </c>
      <c r="Q314" t="str">
        <f t="shared" si="103"/>
        <v>FULL TRACK S.R.L.AGOSTO 23</v>
      </c>
      <c r="R314" t="str">
        <f t="shared" si="104"/>
        <v>FULL TRACK S.R.L.8</v>
      </c>
      <c r="S314" t="str">
        <f>+R314&amp;COUNTIF($R$2:R314,R314)</f>
        <v>FULL TRACK S.R.L.81</v>
      </c>
      <c r="T314" s="141">
        <f t="shared" si="105"/>
        <v>1151606.9680000003</v>
      </c>
      <c r="U314" t="str">
        <f t="shared" si="106"/>
        <v>0057</v>
      </c>
      <c r="V314" t="str">
        <f t="shared" si="74"/>
        <v>FULL TRACK S.R.L.8INGR. NUMERO</v>
      </c>
      <c r="W314" t="str">
        <f>+V314&amp;COUNTIF($V$2:V314,V314)</f>
        <v>FULL TRACK S.R.L.8INGR. NUMERO1</v>
      </c>
    </row>
    <row r="315" spans="1:23" x14ac:dyDescent="0.25">
      <c r="A315" t="str">
        <f>Q315&amp;COUNTIF($Q$30:Q315,Q315)</f>
        <v>AGOSTO 231</v>
      </c>
      <c r="B315" t="s">
        <v>149</v>
      </c>
      <c r="G315" s="141"/>
      <c r="H315" s="141">
        <f>+IF(G315&lt;19999,0,IFERROR(VLOOKUP(C315,'AUX23'!$D$2:$K$70,3,0)*G315/100,0))</f>
        <v>0</v>
      </c>
      <c r="I315" s="141">
        <f>IF(G315&lt;9999,0,IFERROR(VLOOKUP(C315,'AUX23'!$D$2:$L$70,4,0)*G315/100,0))</f>
        <v>0</v>
      </c>
      <c r="J315" s="141">
        <f>IF(G315&lt;9999,0,IFERROR(VLOOKUP(C315,'AUX23'!$D$2:$L$70,5,0)*G315/100,0))</f>
        <v>0</v>
      </c>
      <c r="K315" s="141">
        <f>IF(G315&lt;9999,0,IFERROR((G315-67170)*VLOOKUP(C315,'AUX23'!$D$2:$L$70,6,0)/100,0))</f>
        <v>0</v>
      </c>
      <c r="L315" s="141">
        <f>IF(G315&lt;9999,0,IFERROR((G315/1.21)*VLOOKUP(C315,'AUX23'!$D$2:$L$70,7,0)/100,0))</f>
        <v>0</v>
      </c>
      <c r="M315" s="141">
        <f t="shared" si="100"/>
        <v>0</v>
      </c>
      <c r="N315" t="str">
        <f t="shared" si="101"/>
        <v>CC</v>
      </c>
      <c r="O315">
        <f t="shared" si="102"/>
        <v>1</v>
      </c>
      <c r="Q315" t="str">
        <f t="shared" si="103"/>
        <v>AGOSTO 23</v>
      </c>
      <c r="R315" t="str">
        <f t="shared" si="104"/>
        <v>1</v>
      </c>
      <c r="S315" t="str">
        <f>+R315&amp;COUNTIF($R$2:R315,R315)</f>
        <v>133</v>
      </c>
      <c r="T315" s="141">
        <f t="shared" si="105"/>
        <v>1151606.9680000003</v>
      </c>
      <c r="U315" t="str">
        <f t="shared" si="106"/>
        <v/>
      </c>
      <c r="V315" t="str">
        <f t="shared" si="74"/>
        <v>1CC</v>
      </c>
      <c r="W315" t="str">
        <f>+V315&amp;COUNTIF($V$2:V315,V315)</f>
        <v>1CC33</v>
      </c>
    </row>
    <row r="316" spans="1:23" x14ac:dyDescent="0.25">
      <c r="A316" t="str">
        <f>Q316&amp;COUNTIF($Q$30:Q316,Q316)</f>
        <v>AGOSTO 232</v>
      </c>
      <c r="B316" t="s">
        <v>149</v>
      </c>
      <c r="G316" s="141"/>
      <c r="H316" s="141">
        <f>+IF(G316&lt;19999,0,IFERROR(VLOOKUP(C316,'AUX23'!$D$2:$K$70,3,0)*G316/100,0))</f>
        <v>0</v>
      </c>
      <c r="I316" s="141">
        <f>IF(G316&lt;9999,0,IFERROR(VLOOKUP(C316,'AUX23'!$D$2:$L$70,4,0)*G316/100,0))</f>
        <v>0</v>
      </c>
      <c r="J316" s="141">
        <f>IF(G316&lt;9999,0,IFERROR(VLOOKUP(C316,'AUX23'!$D$2:$L$70,5,0)*G316/100,0))</f>
        <v>0</v>
      </c>
      <c r="K316" s="141">
        <f>IF(G316&lt;9999,0,IFERROR((G316-67170)*VLOOKUP(C316,'AUX23'!$D$2:$L$70,6,0)/100,0))</f>
        <v>0</v>
      </c>
      <c r="L316" s="141">
        <f>IF(G316&lt;9999,0,IFERROR((G316/1.21)*VLOOKUP(C316,'AUX23'!$D$2:$L$70,7,0)/100,0))</f>
        <v>0</v>
      </c>
      <c r="M316" s="141">
        <f t="shared" si="100"/>
        <v>0</v>
      </c>
      <c r="N316" t="str">
        <f t="shared" si="101"/>
        <v>CC</v>
      </c>
      <c r="O316">
        <f t="shared" si="102"/>
        <v>1</v>
      </c>
      <c r="Q316" t="str">
        <f t="shared" si="103"/>
        <v>AGOSTO 23</v>
      </c>
      <c r="R316" t="str">
        <f t="shared" si="104"/>
        <v>1</v>
      </c>
      <c r="S316" t="str">
        <f>+R316&amp;COUNTIF($R$2:R316,R316)</f>
        <v>134</v>
      </c>
      <c r="T316" s="141">
        <f t="shared" si="105"/>
        <v>1151606.9680000003</v>
      </c>
      <c r="U316" t="str">
        <f t="shared" si="106"/>
        <v/>
      </c>
      <c r="V316" t="str">
        <f t="shared" si="74"/>
        <v>1CC</v>
      </c>
      <c r="W316" t="str">
        <f>+V316&amp;COUNTIF($V$2:V316,V316)</f>
        <v>1CC34</v>
      </c>
    </row>
    <row r="317" spans="1:23" x14ac:dyDescent="0.25">
      <c r="A317" t="str">
        <f>Q317&amp;COUNTIF($Q$30:Q317,Q317)</f>
        <v>AGOSTO 233</v>
      </c>
      <c r="B317" t="s">
        <v>149</v>
      </c>
      <c r="G317" s="141"/>
      <c r="H317" s="141">
        <f>+IF(G317&lt;19999,0,IFERROR(VLOOKUP(C317,'AUX23'!$D$2:$K$70,3,0)*G317/100,0))</f>
        <v>0</v>
      </c>
      <c r="I317" s="141">
        <f>IF(G317&lt;9999,0,IFERROR(VLOOKUP(C317,'AUX23'!$D$2:$L$70,4,0)*G317/100,0))</f>
        <v>0</v>
      </c>
      <c r="J317" s="141">
        <f>IF(G317&lt;9999,0,IFERROR(VLOOKUP(C317,'AUX23'!$D$2:$L$70,5,0)*G317/100,0))</f>
        <v>0</v>
      </c>
      <c r="K317" s="141">
        <f>IF(G317&lt;9999,0,IFERROR((G317-67170)*VLOOKUP(C317,'AUX23'!$D$2:$L$70,6,0)/100,0))</f>
        <v>0</v>
      </c>
      <c r="L317" s="141">
        <f>IF(G317&lt;9999,0,IFERROR((G317/1.21)*VLOOKUP(C317,'AUX23'!$D$2:$L$70,7,0)/100,0))</f>
        <v>0</v>
      </c>
      <c r="M317" s="141">
        <f t="shared" si="100"/>
        <v>0</v>
      </c>
      <c r="N317" t="str">
        <f t="shared" si="101"/>
        <v>CC</v>
      </c>
      <c r="O317">
        <f t="shared" si="102"/>
        <v>1</v>
      </c>
      <c r="Q317" t="str">
        <f t="shared" si="103"/>
        <v>AGOSTO 23</v>
      </c>
      <c r="R317" t="str">
        <f t="shared" si="104"/>
        <v>1</v>
      </c>
      <c r="S317" t="str">
        <f>+R317&amp;COUNTIF($R$2:R317,R317)</f>
        <v>135</v>
      </c>
      <c r="T317" s="141">
        <f t="shared" si="105"/>
        <v>1151606.9680000003</v>
      </c>
      <c r="U317" t="str">
        <f t="shared" si="106"/>
        <v/>
      </c>
      <c r="V317" t="str">
        <f t="shared" si="74"/>
        <v>1CC</v>
      </c>
      <c r="W317" t="str">
        <f>+V317&amp;COUNTIF($V$2:V317,V317)</f>
        <v>1CC35</v>
      </c>
    </row>
    <row r="318" spans="1:23" x14ac:dyDescent="0.25">
      <c r="A318" t="str">
        <f>Q318&amp;COUNTIF($Q$30:Q318,Q318)</f>
        <v>AGOSTO 234</v>
      </c>
      <c r="B318" t="s">
        <v>149</v>
      </c>
      <c r="D318" t="s">
        <v>881</v>
      </c>
      <c r="F318" t="str">
        <f>+IFERROR(INDEX('AUX23'!$C$2:$D$60,MATCH(CARGAFACTURAS!C318,'AUX23'!$D$2:$D$70,0),1),"")</f>
        <v/>
      </c>
      <c r="G318" s="141">
        <v>50000</v>
      </c>
      <c r="H318" s="141">
        <f>+IF(G318&lt;19999,0,IFERROR(VLOOKUP(C318,'AUX23'!$D$2:$K$70,3,0)*G318/100,0))</f>
        <v>0</v>
      </c>
      <c r="I318" s="141">
        <f>IF(G318&lt;9999,0,IFERROR(VLOOKUP(C318,'AUX23'!$D$2:$L$70,4,0)*G318/100,0))</f>
        <v>0</v>
      </c>
      <c r="J318" s="141">
        <f>IF(G318&lt;9999,0,IFERROR(VLOOKUP(C318,'AUX23'!$D$2:$L$70,5,0)*G318/100,0))</f>
        <v>0</v>
      </c>
      <c r="K318" s="141">
        <f>IF(G318&lt;9999,0,IFERROR((G318-67170)*VLOOKUP(C318,'AUX23'!$D$2:$L$70,6,0)/100,0))</f>
        <v>0</v>
      </c>
      <c r="L318" s="141">
        <f>IF(G318&lt;9999,0,IFERROR((G318/1.21)*VLOOKUP(C318,'AUX23'!$D$2:$L$70,7,0)/100,0))</f>
        <v>0</v>
      </c>
      <c r="M318" s="141">
        <f t="shared" si="100"/>
        <v>50000</v>
      </c>
      <c r="N318" t="str">
        <f t="shared" si="101"/>
        <v>INGR. NUMERO</v>
      </c>
      <c r="O318">
        <f t="shared" si="102"/>
        <v>1</v>
      </c>
      <c r="Q318" t="str">
        <f t="shared" si="103"/>
        <v>AGOSTO 23</v>
      </c>
      <c r="R318" t="str">
        <f t="shared" si="104"/>
        <v>1</v>
      </c>
      <c r="S318" t="str">
        <f>+R318&amp;COUNTIF($R$2:R318,R318)</f>
        <v>136</v>
      </c>
      <c r="T318" s="141">
        <f t="shared" si="105"/>
        <v>1101606.9680000003</v>
      </c>
      <c r="U318" t="str">
        <f t="shared" si="106"/>
        <v>ojas</v>
      </c>
      <c r="V318" t="str">
        <f t="shared" si="74"/>
        <v>1INGR. NUMERO</v>
      </c>
      <c r="W318" t="str">
        <f>+V318&amp;COUNTIF($V$2:V318,V318)</f>
        <v>1INGR. NUMERO1</v>
      </c>
    </row>
    <row r="319" spans="1:23" x14ac:dyDescent="0.25">
      <c r="A319" t="str">
        <f>Q319&amp;COUNTIF($Q$30:Q319,Q319)</f>
        <v>AGOSTO 235</v>
      </c>
      <c r="B319" t="s">
        <v>149</v>
      </c>
      <c r="D319" t="s">
        <v>882</v>
      </c>
      <c r="F319" t="str">
        <f>+IFERROR(INDEX('AUX23'!$C$2:$D$90,MATCH(CARGAFACTURAS!C319,'AUX23'!$D$2:$D$90,0),1),"")</f>
        <v/>
      </c>
      <c r="G319" s="141">
        <v>20000</v>
      </c>
      <c r="H319" s="141">
        <f>+IF(G319&lt;19999,0,IFERROR(VLOOKUP(C319,'AUX23'!$D$2:$K$70,3,0)*G319/100,0))</f>
        <v>0</v>
      </c>
      <c r="I319" s="141">
        <f>IF(G319&lt;9999,0,IFERROR(VLOOKUP(C319,'AUX23'!$D$2:$L$70,4,0)*G319/100,0))</f>
        <v>0</v>
      </c>
      <c r="J319" s="141">
        <f>IF(G319&lt;9999,0,IFERROR(VLOOKUP(C319,'AUX23'!$D$2:$L$70,5,0)*G319/100,0))</f>
        <v>0</v>
      </c>
      <c r="K319" s="141">
        <f>IF(G319&lt;9999,0,IFERROR((G319-67170)*VLOOKUP(C319,'AUX23'!$D$2:$L$70,6,0)/100,0))</f>
        <v>0</v>
      </c>
      <c r="L319" s="141">
        <f>IF(G319&lt;9999,0,IFERROR((G319/1.21)*VLOOKUP(C319,'AUX23'!$D$2:$L$70,7,0)/100,0))</f>
        <v>0</v>
      </c>
      <c r="M319" s="141">
        <f t="shared" si="100"/>
        <v>20000</v>
      </c>
      <c r="N319" t="str">
        <f t="shared" si="101"/>
        <v>INGR. NUMERO</v>
      </c>
      <c r="O319">
        <f t="shared" si="102"/>
        <v>1</v>
      </c>
      <c r="Q319" t="str">
        <f t="shared" si="103"/>
        <v>AGOSTO 23</v>
      </c>
      <c r="R319" t="str">
        <f t="shared" si="104"/>
        <v>1</v>
      </c>
      <c r="S319" t="str">
        <f>+R319&amp;COUNTIF($R$2:R319,R319)</f>
        <v>137</v>
      </c>
      <c r="T319" s="141">
        <f t="shared" si="105"/>
        <v>1081606.9680000003</v>
      </c>
      <c r="U319" t="str">
        <f t="shared" si="106"/>
        <v>eria</v>
      </c>
      <c r="V319" t="str">
        <f t="shared" si="74"/>
        <v>1INGR. NUMERO</v>
      </c>
      <c r="W319" t="str">
        <f>+V319&amp;COUNTIF($V$2:V319,V319)</f>
        <v>1INGR. NUMERO2</v>
      </c>
    </row>
    <row r="320" spans="1:23" x14ac:dyDescent="0.25">
      <c r="A320" t="str">
        <f>Q320&amp;COUNTIF($Q$30:Q320,Q320)</f>
        <v>AGOSTO 236</v>
      </c>
      <c r="B320" t="s">
        <v>149</v>
      </c>
      <c r="D320" t="s">
        <v>883</v>
      </c>
      <c r="F320" t="str">
        <f>+IFERROR(INDEX('AUX23'!$C$2:$D$90,MATCH(CARGAFACTURAS!C320,'AUX23'!$D$2:$D$90,0),1),"")</f>
        <v/>
      </c>
      <c r="G320" s="141">
        <v>35000</v>
      </c>
      <c r="H320" s="141">
        <f>+IF(G320&lt;19999,0,IFERROR(VLOOKUP(C320,'AUX23'!$D$2:$K$70,3,0)*G320/100,0))</f>
        <v>0</v>
      </c>
      <c r="I320" s="141">
        <f>IF(G320&lt;9999,0,IFERROR(VLOOKUP(C320,'AUX23'!$D$2:$L$70,4,0)*G320/100,0))</f>
        <v>0</v>
      </c>
      <c r="J320" s="141">
        <f>IF(G320&lt;9999,0,IFERROR(VLOOKUP(C320,'AUX23'!$D$2:$L$70,5,0)*G320/100,0))</f>
        <v>0</v>
      </c>
      <c r="K320" s="141">
        <f>IF(G320&lt;9999,0,IFERROR((G320-67170)*VLOOKUP(C320,'AUX23'!$D$2:$L$70,6,0)/100,0))</f>
        <v>0</v>
      </c>
      <c r="L320" s="141">
        <f>IF(G320&lt;9999,0,IFERROR((G320/1.21)*VLOOKUP(C320,'AUX23'!$D$2:$L$70,7,0)/100,0))</f>
        <v>0</v>
      </c>
      <c r="M320" s="141">
        <f t="shared" si="100"/>
        <v>35000</v>
      </c>
      <c r="N320" t="str">
        <f t="shared" si="101"/>
        <v>INGR. NUMERO</v>
      </c>
      <c r="O320">
        <f t="shared" si="102"/>
        <v>1</v>
      </c>
      <c r="Q320" t="str">
        <f t="shared" si="103"/>
        <v>AGOSTO 23</v>
      </c>
      <c r="R320" t="str">
        <f t="shared" si="104"/>
        <v>1</v>
      </c>
      <c r="S320" t="str">
        <f>+R320&amp;COUNTIF($R$2:R320,R320)</f>
        <v>138</v>
      </c>
      <c r="T320" s="141">
        <f t="shared" si="105"/>
        <v>1046606.9680000003</v>
      </c>
      <c r="U320" t="str">
        <f t="shared" si="106"/>
        <v>ulas</v>
      </c>
      <c r="V320" t="str">
        <f t="shared" si="74"/>
        <v>1INGR. NUMERO</v>
      </c>
      <c r="W320" t="str">
        <f>+V320&amp;COUNTIF($V$2:V320,V320)</f>
        <v>1INGR. NUMERO3</v>
      </c>
    </row>
    <row r="321" spans="1:23" x14ac:dyDescent="0.25">
      <c r="A321" t="str">
        <f>Q321&amp;COUNTIF($Q$30:Q321,Q321)</f>
        <v>AGOSTO 237</v>
      </c>
      <c r="B321" t="s">
        <v>149</v>
      </c>
      <c r="F321" t="str">
        <f>+IFERROR(INDEX('AUX23'!$C$2:$D$90,MATCH(CARGAFACTURAS!C321,'AUX23'!$D$2:$D$90,0),1),"")</f>
        <v/>
      </c>
      <c r="G321" s="141"/>
      <c r="H321" s="141">
        <f>+IF(G321&lt;19999,0,IFERROR(VLOOKUP(C321,'AUX23'!$D$2:$K$70,3,0)*G321/100,0))</f>
        <v>0</v>
      </c>
      <c r="I321" s="141">
        <f>IF(G321&lt;9999,0,IFERROR(VLOOKUP(C321,'AUX23'!$D$2:$L$70,4,0)*G321/100,0))</f>
        <v>0</v>
      </c>
      <c r="J321" s="141">
        <f>IF(G321&lt;9999,0,IFERROR(VLOOKUP(C321,'AUX23'!$D$2:$L$70,5,0)*G321/100,0))</f>
        <v>0</v>
      </c>
      <c r="K321" s="141">
        <f>IF(G321&lt;9999,0,IFERROR((G321-67170)*VLOOKUP(C321,'AUX23'!$D$2:$L$70,6,0)/100,0))</f>
        <v>0</v>
      </c>
      <c r="L321" s="141">
        <f>IF(G321&lt;9999,0,IFERROR((G321/1.21)*VLOOKUP(C321,'AUX23'!$D$2:$L$70,7,0)/100,0))</f>
        <v>0</v>
      </c>
      <c r="M321" s="141">
        <f t="shared" si="100"/>
        <v>0</v>
      </c>
      <c r="N321" t="str">
        <f t="shared" si="101"/>
        <v>CC</v>
      </c>
      <c r="O321">
        <f t="shared" si="102"/>
        <v>1</v>
      </c>
      <c r="Q321" t="str">
        <f t="shared" si="103"/>
        <v>AGOSTO 23</v>
      </c>
      <c r="R321" t="str">
        <f t="shared" si="104"/>
        <v>1</v>
      </c>
      <c r="S321" t="str">
        <f>+R321&amp;COUNTIF($R$2:R321,R321)</f>
        <v>139</v>
      </c>
      <c r="T321" s="141">
        <f t="shared" si="105"/>
        <v>1046606.9680000003</v>
      </c>
      <c r="U321" t="str">
        <f t="shared" si="106"/>
        <v/>
      </c>
      <c r="V321" t="str">
        <f t="shared" si="74"/>
        <v>1CC</v>
      </c>
      <c r="W321" t="str">
        <f>+V321&amp;COUNTIF($V$2:V321,V321)</f>
        <v>1CC36</v>
      </c>
    </row>
    <row r="322" spans="1:23" x14ac:dyDescent="0.25">
      <c r="A322" t="str">
        <f>Q322&amp;COUNTIF($Q$30:Q322,Q322)</f>
        <v>AGOSTO 238</v>
      </c>
      <c r="B322" t="s">
        <v>149</v>
      </c>
      <c r="F322" t="str">
        <f>+IFERROR(INDEX('AUX23'!$C$2:$D$90,MATCH(CARGAFACTURAS!C322,'AUX23'!$D$2:$D$90,0),1),"")</f>
        <v/>
      </c>
      <c r="G322" s="141"/>
      <c r="H322" s="141">
        <f>+IF(G322&lt;19999,0,IFERROR(VLOOKUP(C322,'AUX23'!$D$2:$K$70,3,0)*G322/100,0))</f>
        <v>0</v>
      </c>
      <c r="I322" s="141">
        <f>IF(G322&lt;9999,0,IFERROR(VLOOKUP(C322,'AUX23'!$D$2:$L$70,4,0)*G322/100,0))</f>
        <v>0</v>
      </c>
      <c r="J322" s="141">
        <f>IF(G322&lt;9999,0,IFERROR(VLOOKUP(C322,'AUX23'!$D$2:$L$70,5,0)*G322/100,0))</f>
        <v>0</v>
      </c>
      <c r="K322" s="141">
        <f>IF(G322&lt;9999,0,IFERROR((G322-67170)*VLOOKUP(C322,'AUX23'!$D$2:$L$70,6,0)/100,0))</f>
        <v>0</v>
      </c>
      <c r="L322" s="141">
        <f>IF(G322&lt;9999,0,IFERROR((G322/1.21)*VLOOKUP(C322,'AUX23'!$D$2:$L$70,7,0)/100,0))</f>
        <v>0</v>
      </c>
      <c r="M322" s="141">
        <f t="shared" si="100"/>
        <v>0</v>
      </c>
      <c r="N322" t="str">
        <f t="shared" si="101"/>
        <v>CC</v>
      </c>
      <c r="O322">
        <f t="shared" si="102"/>
        <v>1</v>
      </c>
      <c r="Q322" t="str">
        <f t="shared" si="103"/>
        <v>AGOSTO 23</v>
      </c>
      <c r="R322" t="str">
        <f t="shared" si="104"/>
        <v>1</v>
      </c>
      <c r="S322" t="str">
        <f>+R322&amp;COUNTIF($R$2:R322,R322)</f>
        <v>140</v>
      </c>
      <c r="T322" s="141">
        <f t="shared" si="105"/>
        <v>1046606.9680000003</v>
      </c>
      <c r="U322" t="str">
        <f t="shared" si="106"/>
        <v/>
      </c>
      <c r="V322" t="str">
        <f t="shared" si="74"/>
        <v>1CC</v>
      </c>
      <c r="W322" t="str">
        <f>+V322&amp;COUNTIF($V$2:V322,V322)</f>
        <v>1CC37</v>
      </c>
    </row>
    <row r="323" spans="1:23" x14ac:dyDescent="0.25">
      <c r="A323" t="str">
        <f>Q323&amp;COUNTIF($Q$30:Q323,Q323)</f>
        <v>FULL TRACK S.R.L.AGOSTO 232</v>
      </c>
      <c r="B323" t="s">
        <v>149</v>
      </c>
      <c r="C323" t="s">
        <v>98</v>
      </c>
      <c r="F323" t="str">
        <f>+IFERROR(INDEX('AUX23'!$C$2:$D$90,MATCH(CARGAFACTURAS!C323,'AUX23'!$D$2:$D$90,0),1),"")</f>
        <v>30-71648081-6</v>
      </c>
      <c r="G323" s="141">
        <f>1446900-G314</f>
        <v>744900</v>
      </c>
      <c r="H323" s="141">
        <f>+IF(G323&lt;19999,0,IFERROR(VLOOKUP(C323,'AUX23'!$D$2:$K$70,3,0)*G323/100,0))</f>
        <v>0</v>
      </c>
      <c r="I323" s="141">
        <f>IF(G323&lt;9999,0,IFERROR(VLOOKUP(C323,'AUX23'!$D$2:$L$70,4,0)*G323/100,0))</f>
        <v>11173.5</v>
      </c>
      <c r="J323" s="141">
        <f>IF(G323&lt;9999,0,IFERROR(VLOOKUP(C323,'AUX23'!$D$2:$L$70,5,0)*G323/100,0))</f>
        <v>0</v>
      </c>
      <c r="K323" s="141">
        <f>IF(G323&lt;9999,0,IFERROR((G323-67170)*VLOOKUP(C323,'AUX23'!$D$2:$L$70,6,0)/100,0))</f>
        <v>13554.6</v>
      </c>
      <c r="L323" s="141">
        <f>IF(G323&lt;9999,0,IFERROR((G323/1.21)*VLOOKUP(C323,'AUX23'!$D$2:$L$70,7,0)/100,0))</f>
        <v>6156.1983471074382</v>
      </c>
      <c r="M323" s="141">
        <f t="shared" si="100"/>
        <v>714015.70165289263</v>
      </c>
      <c r="N323" t="str">
        <f t="shared" si="101"/>
        <v>INGR. NUMERO</v>
      </c>
      <c r="O323">
        <f t="shared" si="102"/>
        <v>1</v>
      </c>
      <c r="P323" t="s">
        <v>124</v>
      </c>
      <c r="Q323" t="str">
        <f t="shared" si="103"/>
        <v>FULL TRACK S.R.L.AGOSTO 23</v>
      </c>
      <c r="R323" t="str">
        <f t="shared" si="104"/>
        <v>FULL TRACK S.R.L.1</v>
      </c>
      <c r="S323" t="str">
        <f>+R323&amp;COUNTIF($R$2:R323,R323)</f>
        <v>FULL TRACK S.R.L.13</v>
      </c>
      <c r="T323" s="141">
        <f t="shared" si="105"/>
        <v>301706.96800000034</v>
      </c>
      <c r="U323" t="str">
        <f t="shared" si="106"/>
        <v/>
      </c>
      <c r="V323" t="str">
        <f t="shared" ref="V323:V328" si="107">+R323&amp;N323</f>
        <v>FULL TRACK S.R.L.1INGR. NUMERO</v>
      </c>
      <c r="W323" t="str">
        <f>+V323&amp;COUNTIF($V$2:V323,V323)</f>
        <v>FULL TRACK S.R.L.1INGR. NUMERO1</v>
      </c>
    </row>
    <row r="324" spans="1:23" x14ac:dyDescent="0.25">
      <c r="A324" t="str">
        <f>Q324&amp;COUNTIF($Q$30:Q324,Q324)</f>
        <v>LA PROVIDENCIA DEL NOA SRLAGOSTO 233</v>
      </c>
      <c r="B324" t="s">
        <v>149</v>
      </c>
      <c r="C324" t="s">
        <v>11</v>
      </c>
      <c r="F324" t="str">
        <f>+IFERROR(INDEX('AUX23'!$C$2:$D$90,MATCH(CARGAFACTURAS!C324,'AUX23'!$D$2:$D$90,0),1),"")</f>
        <v>30-68568395-0</v>
      </c>
      <c r="G324" s="141">
        <f>+G313</f>
        <v>151184.51999999999</v>
      </c>
      <c r="H324" s="141">
        <f>+IF(G324&lt;19999,0,IFERROR(VLOOKUP(C324,'AUX23'!$D$2:$K$70,3,0)*G324/100,0))</f>
        <v>1889.8064999999999</v>
      </c>
      <c r="I324" s="141">
        <f>IF(G324&lt;9999,0,IFERROR(VLOOKUP(C324,'AUX23'!$D$2:$L$70,4,0)*G324/100,0))</f>
        <v>7559.2259999999997</v>
      </c>
      <c r="J324" s="141">
        <f>IF(G324&lt;9999,0,IFERROR(VLOOKUP(C324,'AUX23'!$D$2:$L$70,5,0)*G324/100,0))</f>
        <v>13122.816335999998</v>
      </c>
      <c r="K324" s="141">
        <f>IF(G324&lt;9999,0,IFERROR((G324-67170)*VLOOKUP(C324,'AUX23'!$D$2:$L$70,6,0)/100,0))</f>
        <v>1680.2903999999999</v>
      </c>
      <c r="L324" s="141">
        <f>IF(G324&lt;9999,0,IFERROR((G324/1.21)*VLOOKUP(C324,'AUX23'!$D$2:$L$70,7,0)/100,0))</f>
        <v>1249.4588429752066</v>
      </c>
      <c r="M324" s="141">
        <f t="shared" si="100"/>
        <v>125682.92192102478</v>
      </c>
      <c r="N324" t="str">
        <f t="shared" si="101"/>
        <v>INGR. NUMERO</v>
      </c>
      <c r="O324">
        <f t="shared" si="102"/>
        <v>1</v>
      </c>
      <c r="P324" t="s">
        <v>202</v>
      </c>
      <c r="Q324" t="str">
        <f t="shared" si="103"/>
        <v>LA PROVIDENCIA DEL NOA SRLAGOSTO 23</v>
      </c>
      <c r="R324" t="str">
        <f t="shared" si="104"/>
        <v>LA PROVIDENCIA DEL NOA SRL1</v>
      </c>
      <c r="S324" t="str">
        <f>+R324&amp;COUNTIF($R$2:R324,R324)</f>
        <v>LA PROVIDENCIA DEL NOA SRL13</v>
      </c>
      <c r="T324" s="141">
        <f t="shared" si="105"/>
        <v>150522.44800000035</v>
      </c>
      <c r="U324" t="str">
        <f t="shared" si="106"/>
        <v/>
      </c>
      <c r="V324" t="str">
        <f t="shared" si="107"/>
        <v>LA PROVIDENCIA DEL NOA SRL1INGR. NUMERO</v>
      </c>
      <c r="W324" t="str">
        <f>+V324&amp;COUNTIF($V$2:V324,V324)</f>
        <v>LA PROVIDENCIA DEL NOA SRL1INGR. NUMERO1</v>
      </c>
    </row>
    <row r="325" spans="1:23" x14ac:dyDescent="0.25">
      <c r="A325" t="str">
        <f>Q325&amp;COUNTIF($Q$30:Q325,Q325)</f>
        <v>AGOSTO 239</v>
      </c>
      <c r="B325" t="s">
        <v>149</v>
      </c>
      <c r="F325" t="str">
        <f>+IFERROR(INDEX('AUX23'!$C$2:$D$90,MATCH(CARGAFACTURAS!C325,'AUX23'!$D$2:$D$90,0),1),"")</f>
        <v/>
      </c>
      <c r="G325" s="141"/>
      <c r="H325" s="141">
        <f>+IF(G325&lt;19999,0,IFERROR(VLOOKUP(C325,'AUX23'!$D$2:$K$70,3,0)*G325/100,0))</f>
        <v>0</v>
      </c>
      <c r="I325" s="141">
        <f>IF(G325&lt;9999,0,IFERROR(VLOOKUP(C325,'AUX23'!$D$2:$L$70,4,0)*G325/100,0))</f>
        <v>0</v>
      </c>
      <c r="J325" s="141">
        <f>IF(G325&lt;9999,0,IFERROR(VLOOKUP(C325,'AUX23'!$D$2:$L$70,5,0)*G325/100,0))</f>
        <v>0</v>
      </c>
      <c r="K325" s="141">
        <f>IF(G325&lt;9999,0,IFERROR((G325-67170)*VLOOKUP(C325,'AUX23'!$D$2:$L$70,6,0)/100,0))</f>
        <v>0</v>
      </c>
      <c r="L325" s="141">
        <f>IF(G325&lt;9999,0,IFERROR((G325/1.21)*VLOOKUP(C325,'AUX23'!$D$2:$L$70,7,0)/100,0))</f>
        <v>0</v>
      </c>
      <c r="M325" s="141">
        <f t="shared" si="100"/>
        <v>0</v>
      </c>
      <c r="N325" t="str">
        <f t="shared" si="101"/>
        <v>CC</v>
      </c>
      <c r="O325">
        <f t="shared" si="102"/>
        <v>1</v>
      </c>
      <c r="Q325" t="str">
        <f t="shared" si="103"/>
        <v>AGOSTO 23</v>
      </c>
      <c r="R325" t="str">
        <f t="shared" si="104"/>
        <v>1</v>
      </c>
      <c r="S325" t="str">
        <f>+R325&amp;COUNTIF($R$2:R325,R325)</f>
        <v>141</v>
      </c>
      <c r="T325" s="141">
        <f t="shared" si="105"/>
        <v>150522.44800000035</v>
      </c>
      <c r="U325" t="str">
        <f t="shared" si="106"/>
        <v/>
      </c>
      <c r="V325" t="str">
        <f t="shared" si="107"/>
        <v>1CC</v>
      </c>
      <c r="W325" t="str">
        <f>+V325&amp;COUNTIF($V$2:V325,V325)</f>
        <v>1CC38</v>
      </c>
    </row>
    <row r="326" spans="1:23" x14ac:dyDescent="0.25">
      <c r="A326" t="str">
        <f>Q326&amp;COUNTIF($Q$30:Q326,Q326)</f>
        <v>AGOSTO 2310</v>
      </c>
      <c r="B326" t="s">
        <v>149</v>
      </c>
      <c r="F326" t="str">
        <f>+IFERROR(INDEX('AUX23'!$C$2:$D$90,MATCH(CARGAFACTURAS!C326,'AUX23'!$D$2:$D$90,0),1),"")</f>
        <v/>
      </c>
      <c r="G326" s="141"/>
      <c r="H326" s="141">
        <f>+IF(G326&lt;19999,0,IFERROR(VLOOKUP(C326,'AUX23'!$D$2:$K$70,3,0)*G326/100,0))</f>
        <v>0</v>
      </c>
      <c r="I326" s="141">
        <f>IF(G326&lt;9999,0,IFERROR(VLOOKUP(C326,'AUX23'!$D$2:$L$70,4,0)*G326/100,0))</f>
        <v>0</v>
      </c>
      <c r="J326" s="141">
        <f>IF(G326&lt;9999,0,IFERROR(VLOOKUP(C326,'AUX23'!$D$2:$L$70,5,0)*G326/100,0))</f>
        <v>0</v>
      </c>
      <c r="K326" s="141">
        <f>IF(G326&lt;9999,0,IFERROR((G326-67170)*VLOOKUP(C326,'AUX23'!$D$2:$L$70,6,0)/100,0))</f>
        <v>0</v>
      </c>
      <c r="L326" s="141">
        <f>IF(G326&lt;9999,0,IFERROR((G326/1.21)*VLOOKUP(C326,'AUX23'!$D$2:$L$70,7,0)/100,0))</f>
        <v>0</v>
      </c>
      <c r="M326" s="141">
        <f t="shared" si="100"/>
        <v>0</v>
      </c>
      <c r="N326" t="str">
        <f t="shared" si="101"/>
        <v>CC</v>
      </c>
      <c r="O326">
        <f t="shared" si="102"/>
        <v>1</v>
      </c>
      <c r="Q326" t="str">
        <f t="shared" si="103"/>
        <v>AGOSTO 23</v>
      </c>
      <c r="R326" t="str">
        <f t="shared" si="104"/>
        <v>1</v>
      </c>
      <c r="S326" t="str">
        <f>+R326&amp;COUNTIF($R$2:R326,R326)</f>
        <v>142</v>
      </c>
      <c r="T326" s="141">
        <f t="shared" si="105"/>
        <v>150522.44800000035</v>
      </c>
      <c r="U326" t="str">
        <f t="shared" si="106"/>
        <v/>
      </c>
      <c r="V326" t="str">
        <f t="shared" si="107"/>
        <v>1CC</v>
      </c>
      <c r="W326" t="str">
        <f>+V326&amp;COUNTIF($V$2:V326,V326)</f>
        <v>1CC39</v>
      </c>
    </row>
    <row r="327" spans="1:23" x14ac:dyDescent="0.25">
      <c r="A327" t="str">
        <f>Q327&amp;COUNTIF($Q$30:Q327,Q327)</f>
        <v>AGOSTO 2311</v>
      </c>
      <c r="B327" t="s">
        <v>149</v>
      </c>
      <c r="F327" t="str">
        <f>+IFERROR(INDEX('AUX23'!$C$2:$D$90,MATCH(CARGAFACTURAS!C327,'AUX23'!$D$2:$D$90,0),1),"")</f>
        <v/>
      </c>
      <c r="G327" s="141"/>
      <c r="H327" s="141">
        <f>+IF(G327&lt;19999,0,IFERROR(VLOOKUP(C327,'AUX23'!$D$2:$K$70,3,0)*G327/100,0))</f>
        <v>0</v>
      </c>
      <c r="I327" s="141">
        <f>IF(G327&lt;9999,0,IFERROR(VLOOKUP(C327,'AUX23'!$D$2:$L$70,4,0)*G327/100,0))</f>
        <v>0</v>
      </c>
      <c r="J327" s="141">
        <f>IF(G327&lt;9999,0,IFERROR(VLOOKUP(C327,'AUX23'!$D$2:$L$70,5,0)*G327/100,0))</f>
        <v>0</v>
      </c>
      <c r="K327" s="141">
        <f>IF(G327&lt;9999,0,IFERROR((G327-67170)*VLOOKUP(C327,'AUX23'!$D$2:$L$70,6,0)/100,0))</f>
        <v>0</v>
      </c>
      <c r="L327" s="141">
        <f>IF(G327&lt;9999,0,IFERROR((G327/1.21)*VLOOKUP(C327,'AUX23'!$D$2:$L$70,7,0)/100,0))</f>
        <v>0</v>
      </c>
      <c r="M327" s="141">
        <f t="shared" si="100"/>
        <v>0</v>
      </c>
      <c r="N327" t="str">
        <f t="shared" si="101"/>
        <v>CC</v>
      </c>
      <c r="O327">
        <f t="shared" si="102"/>
        <v>1</v>
      </c>
      <c r="Q327" t="str">
        <f t="shared" si="103"/>
        <v>AGOSTO 23</v>
      </c>
      <c r="R327" t="str">
        <f t="shared" si="104"/>
        <v>1</v>
      </c>
      <c r="S327" t="str">
        <f>+R327&amp;COUNTIF($R$2:R327,R327)</f>
        <v>143</v>
      </c>
      <c r="T327" s="141">
        <f t="shared" si="105"/>
        <v>150522.44800000035</v>
      </c>
      <c r="U327" t="str">
        <f t="shared" si="106"/>
        <v/>
      </c>
      <c r="V327" t="str">
        <f t="shared" si="107"/>
        <v>1CC</v>
      </c>
      <c r="W327" t="str">
        <f>+V327&amp;COUNTIF($V$2:V327,V327)</f>
        <v>1CC40</v>
      </c>
    </row>
    <row r="328" spans="1:23" x14ac:dyDescent="0.25">
      <c r="A328" t="str">
        <f>Q328&amp;COUNTIF($Q$30:Q328,Q328)</f>
        <v>AGOSTO 2312</v>
      </c>
      <c r="B328" t="s">
        <v>149</v>
      </c>
      <c r="F328" t="str">
        <f>+IFERROR(INDEX('AUX23'!$C$2:$D$90,MATCH(CARGAFACTURAS!C328,'AUX23'!$D$2:$D$90,0),1),"")</f>
        <v/>
      </c>
      <c r="G328" s="141"/>
      <c r="H328" s="141">
        <f>+IF(G328&lt;19999,0,IFERROR(VLOOKUP(C328,'AUX23'!$D$2:$K$70,3,0)*G328/100,0))</f>
        <v>0</v>
      </c>
      <c r="I328" s="141">
        <f>IF(G328&lt;9999,0,IFERROR(VLOOKUP(C328,'AUX23'!$D$2:$L$70,4,0)*G328/100,0))</f>
        <v>0</v>
      </c>
      <c r="J328" s="141">
        <f>IF(G328&lt;9999,0,IFERROR(VLOOKUP(C328,'AUX23'!$D$2:$L$70,5,0)*G328/100,0))</f>
        <v>0</v>
      </c>
      <c r="K328" s="141">
        <f>IF(G328&lt;9999,0,IFERROR((G328-67170)*VLOOKUP(C328,'AUX23'!$D$2:$L$70,6,0)/100,0))</f>
        <v>0</v>
      </c>
      <c r="L328" s="141">
        <f>IF(G328&lt;9999,0,IFERROR((G328/1.21)*VLOOKUP(C328,'AUX23'!$D$2:$L$70,7,0)/100,0))</f>
        <v>0</v>
      </c>
      <c r="M328" s="141">
        <f t="shared" si="100"/>
        <v>0</v>
      </c>
      <c r="N328" t="str">
        <f t="shared" si="101"/>
        <v>CC</v>
      </c>
      <c r="O328">
        <f t="shared" si="102"/>
        <v>1</v>
      </c>
      <c r="Q328" t="str">
        <f t="shared" si="103"/>
        <v>AGOSTO 23</v>
      </c>
      <c r="R328" t="str">
        <f t="shared" si="104"/>
        <v>1</v>
      </c>
      <c r="S328" t="str">
        <f>+R328&amp;COUNTIF($R$2:R328,R328)</f>
        <v>144</v>
      </c>
      <c r="T328" s="141">
        <f t="shared" si="105"/>
        <v>150522.44800000035</v>
      </c>
      <c r="U328" t="str">
        <f t="shared" si="106"/>
        <v/>
      </c>
      <c r="V328" t="str">
        <f t="shared" si="107"/>
        <v>1CC</v>
      </c>
      <c r="W328" t="str">
        <f>+V328&amp;COUNTIF($V$2:V328,V328)</f>
        <v>1CC41</v>
      </c>
    </row>
    <row r="329" spans="1:23" x14ac:dyDescent="0.25">
      <c r="A329" t="str">
        <f>Q329&amp;COUNTIF($Q$30:Q329,Q329)</f>
        <v>AGOSTO 241</v>
      </c>
      <c r="B329" t="s">
        <v>810</v>
      </c>
      <c r="F329" t="str">
        <f>+IFERROR(INDEX('AUX23'!$C$2:$D$90,MATCH(CARGAFACTURAS!C329,'AUX23'!$D$2:$D$90,0),1),"")</f>
        <v/>
      </c>
      <c r="G329" s="141"/>
      <c r="H329" s="141">
        <f>+IF(G329&lt;19999,0,IFERROR(VLOOKUP(C329,'AUX23'!$D$2:$K$70,3,0)*G329/100,0))</f>
        <v>0</v>
      </c>
      <c r="I329" s="141">
        <f>IF(G329&lt;9999,0,IFERROR(VLOOKUP(C329,'AUX23'!$D$2:$L$70,4,0)*G329/100,0))</f>
        <v>0</v>
      </c>
      <c r="J329" s="141">
        <f>IF(G329&lt;9999,0,IFERROR(VLOOKUP(C329,'AUX23'!$D$2:$L$70,5,0)*G329/100,0))</f>
        <v>0</v>
      </c>
      <c r="K329" s="141">
        <f>IF(G329&lt;9999,0,IFERROR((G329-67170)*VLOOKUP(C329,'AUX23'!$D$2:$L$70,6,0)/100,0))</f>
        <v>0</v>
      </c>
      <c r="L329" s="141">
        <f>IF(G329&lt;9999,0,IFERROR((G329/1.21)*VLOOKUP(C329,'AUX23'!$D$2:$L$70,7,0)/100,0))</f>
        <v>0</v>
      </c>
      <c r="M329" s="141">
        <f t="shared" ref="M329:M392" si="108">G329-H329-I329-J329-K329-L329</f>
        <v>0</v>
      </c>
      <c r="N329" t="str">
        <f t="shared" ref="N329:N392" si="109">+IF(G329&lt;9999,"CC","INGR. NUMERO")</f>
        <v>CC</v>
      </c>
      <c r="O329">
        <f t="shared" ref="O329:O392" si="110">+MONTH(E329)</f>
        <v>1</v>
      </c>
      <c r="Q329" t="str">
        <f t="shared" ref="Q329:Q392" si="111">+C329&amp;B329</f>
        <v>AGOSTO 24</v>
      </c>
      <c r="R329" t="str">
        <f t="shared" ref="R329:R392" si="112">+CLEAN(C329)&amp;CLEAN(O329)</f>
        <v>1</v>
      </c>
      <c r="S329" t="str">
        <f>+R329&amp;COUNTIF($R$2:R329,R329)</f>
        <v>145</v>
      </c>
      <c r="T329" s="141">
        <f t="shared" ref="T329:T392" si="113">+T328-G329</f>
        <v>150522.44800000035</v>
      </c>
      <c r="U329" t="str">
        <f t="shared" ref="U329:U392" si="114">+RIGHT(D329,4)</f>
        <v/>
      </c>
      <c r="V329" t="str">
        <f t="shared" ref="V329:V392" si="115">+R329&amp;N329</f>
        <v>1CC</v>
      </c>
      <c r="W329" t="str">
        <f>+V329&amp;COUNTIF($V$2:V329,V329)</f>
        <v>1CC42</v>
      </c>
    </row>
    <row r="330" spans="1:23" x14ac:dyDescent="0.25">
      <c r="A330" t="str">
        <f>Q330&amp;COUNTIF($Q$30:Q330,Q330)</f>
        <v>AGOSTO 251</v>
      </c>
      <c r="B330" t="s">
        <v>811</v>
      </c>
      <c r="F330" t="str">
        <f>+IFERROR(INDEX('AUX23'!$C$2:$D$90,MATCH(CARGAFACTURAS!C330,'AUX23'!$D$2:$D$90,0),1),"")</f>
        <v/>
      </c>
      <c r="G330" s="141"/>
      <c r="H330" s="141">
        <f>+IF(G330&lt;19999,0,IFERROR(VLOOKUP(C330,'AUX23'!$D$2:$K$70,3,0)*G330/100,0))</f>
        <v>0</v>
      </c>
      <c r="I330" s="141">
        <f>IF(G330&lt;9999,0,IFERROR(VLOOKUP(C330,'AUX23'!$D$2:$L$70,4,0)*G330/100,0))</f>
        <v>0</v>
      </c>
      <c r="J330" s="141">
        <f>IF(G330&lt;9999,0,IFERROR(VLOOKUP(C330,'AUX23'!$D$2:$L$70,5,0)*G330/100,0))</f>
        <v>0</v>
      </c>
      <c r="K330" s="141">
        <f>IF(G330&lt;9999,0,IFERROR((G330-67170)*VLOOKUP(C330,'AUX23'!$D$2:$L$70,6,0)/100,0))</f>
        <v>0</v>
      </c>
      <c r="L330" s="141">
        <f>IF(G330&lt;9999,0,IFERROR((G330/1.21)*VLOOKUP(C330,'AUX23'!$D$2:$L$70,7,0)/100,0))</f>
        <v>0</v>
      </c>
      <c r="M330" s="141">
        <f t="shared" si="108"/>
        <v>0</v>
      </c>
      <c r="N330" t="str">
        <f t="shared" si="109"/>
        <v>CC</v>
      </c>
      <c r="O330">
        <f t="shared" si="110"/>
        <v>1</v>
      </c>
      <c r="Q330" t="str">
        <f t="shared" si="111"/>
        <v>AGOSTO 25</v>
      </c>
      <c r="R330" t="str">
        <f t="shared" si="112"/>
        <v>1</v>
      </c>
      <c r="S330" t="str">
        <f>+R330&amp;COUNTIF($R$2:R330,R330)</f>
        <v>146</v>
      </c>
      <c r="T330" s="141">
        <f t="shared" si="113"/>
        <v>150522.44800000035</v>
      </c>
      <c r="U330" t="str">
        <f t="shared" si="114"/>
        <v/>
      </c>
      <c r="V330" t="str">
        <f t="shared" si="115"/>
        <v>1CC</v>
      </c>
      <c r="W330" t="str">
        <f>+V330&amp;COUNTIF($V$2:V330,V330)</f>
        <v>1CC43</v>
      </c>
    </row>
    <row r="331" spans="1:23" x14ac:dyDescent="0.25">
      <c r="A331" t="str">
        <f>Q331&amp;COUNTIF($Q$30:Q331,Q331)</f>
        <v>AGOSTO 261</v>
      </c>
      <c r="B331" t="s">
        <v>812</v>
      </c>
      <c r="F331" t="str">
        <f>+IFERROR(INDEX('AUX23'!$C$2:$D$90,MATCH(CARGAFACTURAS!C331,'AUX23'!$D$2:$D$90,0),1),"")</f>
        <v/>
      </c>
      <c r="G331" s="141"/>
      <c r="H331" s="141">
        <f>+IF(G331&lt;19999,0,IFERROR(VLOOKUP(C331,'AUX23'!$D$2:$K$70,3,0)*G331/100,0))</f>
        <v>0</v>
      </c>
      <c r="I331" s="141">
        <f>IF(G331&lt;9999,0,IFERROR(VLOOKUP(C331,'AUX23'!$D$2:$L$70,4,0)*G331/100,0))</f>
        <v>0</v>
      </c>
      <c r="J331" s="141">
        <f>IF(G331&lt;9999,0,IFERROR(VLOOKUP(C331,'AUX23'!$D$2:$L$70,5,0)*G331/100,0))</f>
        <v>0</v>
      </c>
      <c r="K331" s="141">
        <f>IF(G331&lt;9999,0,IFERROR((G331-67170)*VLOOKUP(C331,'AUX23'!$D$2:$L$70,6,0)/100,0))</f>
        <v>0</v>
      </c>
      <c r="L331" s="141">
        <f>IF(G331&lt;9999,0,IFERROR((G331/1.21)*VLOOKUP(C331,'AUX23'!$D$2:$L$70,7,0)/100,0))</f>
        <v>0</v>
      </c>
      <c r="M331" s="141">
        <f t="shared" si="108"/>
        <v>0</v>
      </c>
      <c r="N331" t="str">
        <f t="shared" si="109"/>
        <v>CC</v>
      </c>
      <c r="O331">
        <f t="shared" si="110"/>
        <v>1</v>
      </c>
      <c r="Q331" t="str">
        <f t="shared" si="111"/>
        <v>AGOSTO 26</v>
      </c>
      <c r="R331" t="str">
        <f t="shared" si="112"/>
        <v>1</v>
      </c>
      <c r="S331" t="str">
        <f>+R331&amp;COUNTIF($R$2:R331,R331)</f>
        <v>147</v>
      </c>
      <c r="T331" s="141">
        <f t="shared" si="113"/>
        <v>150522.44800000035</v>
      </c>
      <c r="U331" t="str">
        <f t="shared" si="114"/>
        <v/>
      </c>
      <c r="V331" t="str">
        <f t="shared" si="115"/>
        <v>1CC</v>
      </c>
      <c r="W331" t="str">
        <f>+V331&amp;COUNTIF($V$2:V331,V331)</f>
        <v>1CC44</v>
      </c>
    </row>
    <row r="332" spans="1:23" x14ac:dyDescent="0.25">
      <c r="A332" t="str">
        <f>Q332&amp;COUNTIF($Q$30:Q332,Q332)</f>
        <v>AGOSTO 271</v>
      </c>
      <c r="B332" t="s">
        <v>813</v>
      </c>
      <c r="F332" t="str">
        <f>+IFERROR(INDEX('AUX23'!$C$2:$D$90,MATCH(CARGAFACTURAS!C332,'AUX23'!$D$2:$D$90,0),1),"")</f>
        <v/>
      </c>
      <c r="G332" s="141"/>
      <c r="H332" s="141">
        <f>+IF(G332&lt;19999,0,IFERROR(VLOOKUP(C332,'AUX23'!$D$2:$K$70,3,0)*G332/100,0))</f>
        <v>0</v>
      </c>
      <c r="I332" s="141">
        <f>IF(G332&lt;9999,0,IFERROR(VLOOKUP(C332,'AUX23'!$D$2:$L$70,4,0)*G332/100,0))</f>
        <v>0</v>
      </c>
      <c r="J332" s="141">
        <f>IF(G332&lt;9999,0,IFERROR(VLOOKUP(C332,'AUX23'!$D$2:$L$70,5,0)*G332/100,0))</f>
        <v>0</v>
      </c>
      <c r="K332" s="141">
        <f>IF(G332&lt;9999,0,IFERROR((G332-67170)*VLOOKUP(C332,'AUX23'!$D$2:$L$70,6,0)/100,0))</f>
        <v>0</v>
      </c>
      <c r="L332" s="141">
        <f>IF(G332&lt;9999,0,IFERROR((G332/1.21)*VLOOKUP(C332,'AUX23'!$D$2:$L$70,7,0)/100,0))</f>
        <v>0</v>
      </c>
      <c r="M332" s="141">
        <f t="shared" si="108"/>
        <v>0</v>
      </c>
      <c r="N332" t="str">
        <f t="shared" si="109"/>
        <v>CC</v>
      </c>
      <c r="O332">
        <f t="shared" si="110"/>
        <v>1</v>
      </c>
      <c r="Q332" t="str">
        <f t="shared" si="111"/>
        <v>AGOSTO 27</v>
      </c>
      <c r="R332" t="str">
        <f t="shared" si="112"/>
        <v>1</v>
      </c>
      <c r="S332" t="str">
        <f>+R332&amp;COUNTIF($R$2:R332,R332)</f>
        <v>148</v>
      </c>
      <c r="T332" s="141">
        <f t="shared" si="113"/>
        <v>150522.44800000035</v>
      </c>
      <c r="U332" t="str">
        <f t="shared" si="114"/>
        <v/>
      </c>
      <c r="V332" t="str">
        <f t="shared" si="115"/>
        <v>1CC</v>
      </c>
      <c r="W332" t="str">
        <f>+V332&amp;COUNTIF($V$2:V332,V332)</f>
        <v>1CC45</v>
      </c>
    </row>
    <row r="333" spans="1:23" x14ac:dyDescent="0.25">
      <c r="A333" t="str">
        <f>Q333&amp;COUNTIF($Q$30:Q333,Q333)</f>
        <v>AGOSTO 281</v>
      </c>
      <c r="B333" t="s">
        <v>814</v>
      </c>
      <c r="F333" t="str">
        <f>+IFERROR(INDEX('AUX23'!$C$2:$D$90,MATCH(CARGAFACTURAS!C333,'AUX23'!$D$2:$D$90,0),1),"")</f>
        <v/>
      </c>
      <c r="G333" s="141"/>
      <c r="H333" s="141">
        <f>+IF(G333&lt;19999,0,IFERROR(VLOOKUP(C333,'AUX23'!$D$2:$K$70,3,0)*G333/100,0))</f>
        <v>0</v>
      </c>
      <c r="I333" s="141">
        <f>IF(G333&lt;9999,0,IFERROR(VLOOKUP(C333,'AUX23'!$D$2:$L$70,4,0)*G333/100,0))</f>
        <v>0</v>
      </c>
      <c r="J333" s="141">
        <f>IF(G333&lt;9999,0,IFERROR(VLOOKUP(C333,'AUX23'!$D$2:$L$70,5,0)*G333/100,0))</f>
        <v>0</v>
      </c>
      <c r="K333" s="141">
        <f>IF(G333&lt;9999,0,IFERROR((G333-67170)*VLOOKUP(C333,'AUX23'!$D$2:$L$70,6,0)/100,0))</f>
        <v>0</v>
      </c>
      <c r="L333" s="141">
        <f>IF(G333&lt;9999,0,IFERROR((G333/1.21)*VLOOKUP(C333,'AUX23'!$D$2:$L$70,7,0)/100,0))</f>
        <v>0</v>
      </c>
      <c r="M333" s="141">
        <f t="shared" si="108"/>
        <v>0</v>
      </c>
      <c r="N333" t="str">
        <f t="shared" si="109"/>
        <v>CC</v>
      </c>
      <c r="O333">
        <f t="shared" si="110"/>
        <v>1</v>
      </c>
      <c r="Q333" t="str">
        <f t="shared" si="111"/>
        <v>AGOSTO 28</v>
      </c>
      <c r="R333" t="str">
        <f t="shared" si="112"/>
        <v>1</v>
      </c>
      <c r="S333" t="str">
        <f>+R333&amp;COUNTIF($R$2:R333,R333)</f>
        <v>149</v>
      </c>
      <c r="T333" s="141">
        <f t="shared" si="113"/>
        <v>150522.44800000035</v>
      </c>
      <c r="U333" t="str">
        <f t="shared" si="114"/>
        <v/>
      </c>
      <c r="V333" t="str">
        <f t="shared" si="115"/>
        <v>1CC</v>
      </c>
      <c r="W333" t="str">
        <f>+V333&amp;COUNTIF($V$2:V333,V333)</f>
        <v>1CC46</v>
      </c>
    </row>
    <row r="334" spans="1:23" x14ac:dyDescent="0.25">
      <c r="A334" t="str">
        <f>Q334&amp;COUNTIF($Q$30:Q334,Q334)</f>
        <v>AGOSTO 291</v>
      </c>
      <c r="B334" t="s">
        <v>815</v>
      </c>
      <c r="F334" t="str">
        <f>+IFERROR(INDEX('AUX23'!$C$2:$D$90,MATCH(CARGAFACTURAS!C334,'AUX23'!$D$2:$D$90,0),1),"")</f>
        <v/>
      </c>
      <c r="G334" s="141"/>
      <c r="H334" s="141">
        <f>+IF(G334&lt;19999,0,IFERROR(VLOOKUP(C334,'AUX23'!$D$2:$K$70,3,0)*G334/100,0))</f>
        <v>0</v>
      </c>
      <c r="I334" s="141">
        <f>IF(G334&lt;9999,0,IFERROR(VLOOKUP(C334,'AUX23'!$D$2:$L$70,4,0)*G334/100,0))</f>
        <v>0</v>
      </c>
      <c r="J334" s="141">
        <f>IF(G334&lt;9999,0,IFERROR(VLOOKUP(C334,'AUX23'!$D$2:$L$70,5,0)*G334/100,0))</f>
        <v>0</v>
      </c>
      <c r="K334" s="141">
        <f>IF(G334&lt;9999,0,IFERROR((G334-67170)*VLOOKUP(C334,'AUX23'!$D$2:$L$70,6,0)/100,0))</f>
        <v>0</v>
      </c>
      <c r="L334" s="141">
        <f>IF(G334&lt;9999,0,IFERROR((G334/1.21)*VLOOKUP(C334,'AUX23'!$D$2:$L$70,7,0)/100,0))</f>
        <v>0</v>
      </c>
      <c r="M334" s="141">
        <f t="shared" si="108"/>
        <v>0</v>
      </c>
      <c r="N334" t="str">
        <f t="shared" si="109"/>
        <v>CC</v>
      </c>
      <c r="O334">
        <f t="shared" si="110"/>
        <v>1</v>
      </c>
      <c r="Q334" t="str">
        <f t="shared" si="111"/>
        <v>AGOSTO 29</v>
      </c>
      <c r="R334" t="str">
        <f t="shared" si="112"/>
        <v>1</v>
      </c>
      <c r="S334" t="str">
        <f>+R334&amp;COUNTIF($R$2:R334,R334)</f>
        <v>150</v>
      </c>
      <c r="T334" s="141">
        <f t="shared" si="113"/>
        <v>150522.44800000035</v>
      </c>
      <c r="U334" t="str">
        <f t="shared" si="114"/>
        <v/>
      </c>
      <c r="V334" t="str">
        <f t="shared" si="115"/>
        <v>1CC</v>
      </c>
      <c r="W334" t="str">
        <f>+V334&amp;COUNTIF($V$2:V334,V334)</f>
        <v>1CC47</v>
      </c>
    </row>
    <row r="335" spans="1:23" x14ac:dyDescent="0.25">
      <c r="A335" t="str">
        <f>Q335&amp;COUNTIF($Q$30:Q335,Q335)</f>
        <v>AGOSTO 301</v>
      </c>
      <c r="B335" t="s">
        <v>816</v>
      </c>
      <c r="F335" t="str">
        <f>+IFERROR(INDEX('AUX23'!$C$2:$D$90,MATCH(CARGAFACTURAS!C335,'AUX23'!$D$2:$D$90,0),1),"")</f>
        <v/>
      </c>
      <c r="G335" s="141"/>
      <c r="H335" s="141">
        <f>+IF(G335&lt;19999,0,IFERROR(VLOOKUP(C335,'AUX23'!$D$2:$K$70,3,0)*G335/100,0))</f>
        <v>0</v>
      </c>
      <c r="I335" s="141">
        <f>IF(G335&lt;9999,0,IFERROR(VLOOKUP(C335,'AUX23'!$D$2:$L$70,4,0)*G335/100,0))</f>
        <v>0</v>
      </c>
      <c r="J335" s="141">
        <f>IF(G335&lt;9999,0,IFERROR(VLOOKUP(C335,'AUX23'!$D$2:$L$70,5,0)*G335/100,0))</f>
        <v>0</v>
      </c>
      <c r="K335" s="141">
        <f>IF(G335&lt;9999,0,IFERROR((G335-67170)*VLOOKUP(C335,'AUX23'!$D$2:$L$70,6,0)/100,0))</f>
        <v>0</v>
      </c>
      <c r="L335" s="141">
        <f>IF(G335&lt;9999,0,IFERROR((G335/1.21)*VLOOKUP(C335,'AUX23'!$D$2:$L$70,7,0)/100,0))</f>
        <v>0</v>
      </c>
      <c r="M335" s="141">
        <f t="shared" si="108"/>
        <v>0</v>
      </c>
      <c r="N335" t="str">
        <f t="shared" si="109"/>
        <v>CC</v>
      </c>
      <c r="O335">
        <f t="shared" si="110"/>
        <v>1</v>
      </c>
      <c r="Q335" t="str">
        <f t="shared" si="111"/>
        <v>AGOSTO 30</v>
      </c>
      <c r="R335" t="str">
        <f t="shared" si="112"/>
        <v>1</v>
      </c>
      <c r="S335" t="str">
        <f>+R335&amp;COUNTIF($R$2:R335,R335)</f>
        <v>151</v>
      </c>
      <c r="T335" s="141">
        <f t="shared" si="113"/>
        <v>150522.44800000035</v>
      </c>
      <c r="U335" t="str">
        <f t="shared" si="114"/>
        <v/>
      </c>
      <c r="V335" t="str">
        <f t="shared" si="115"/>
        <v>1CC</v>
      </c>
      <c r="W335" t="str">
        <f>+V335&amp;COUNTIF($V$2:V335,V335)</f>
        <v>1CC48</v>
      </c>
    </row>
    <row r="336" spans="1:23" x14ac:dyDescent="0.25">
      <c r="A336" t="str">
        <f>Q336&amp;COUNTIF($Q$30:Q336,Q336)</f>
        <v>AGOSTO 311</v>
      </c>
      <c r="B336" t="s">
        <v>817</v>
      </c>
      <c r="F336" t="str">
        <f>+IFERROR(INDEX('AUX23'!$C$2:$D$90,MATCH(CARGAFACTURAS!C336,'AUX23'!$D$2:$D$90,0),1),"")</f>
        <v/>
      </c>
      <c r="G336" s="141"/>
      <c r="H336" s="141">
        <f>+IF(G336&lt;19999,0,IFERROR(VLOOKUP(C336,'AUX23'!$D$2:$K$70,3,0)*G336/100,0))</f>
        <v>0</v>
      </c>
      <c r="I336" s="141">
        <f>IF(G336&lt;9999,0,IFERROR(VLOOKUP(C336,'AUX23'!$D$2:$L$70,4,0)*G336/100,0))</f>
        <v>0</v>
      </c>
      <c r="J336" s="141">
        <f>IF(G336&lt;9999,0,IFERROR(VLOOKUP(C336,'AUX23'!$D$2:$L$70,5,0)*G336/100,0))</f>
        <v>0</v>
      </c>
      <c r="K336" s="141">
        <f>IF(G336&lt;9999,0,IFERROR((G336-67170)*VLOOKUP(C336,'AUX23'!$D$2:$L$70,6,0)/100,0))</f>
        <v>0</v>
      </c>
      <c r="L336" s="141">
        <f>IF(G336&lt;9999,0,IFERROR((G336/1.21)*VLOOKUP(C336,'AUX23'!$D$2:$L$70,7,0)/100,0))</f>
        <v>0</v>
      </c>
      <c r="M336" s="141">
        <f t="shared" si="108"/>
        <v>0</v>
      </c>
      <c r="N336" t="str">
        <f t="shared" si="109"/>
        <v>CC</v>
      </c>
      <c r="O336">
        <f t="shared" si="110"/>
        <v>1</v>
      </c>
      <c r="Q336" t="str">
        <f t="shared" si="111"/>
        <v>AGOSTO 31</v>
      </c>
      <c r="R336" t="str">
        <f t="shared" si="112"/>
        <v>1</v>
      </c>
      <c r="S336" t="str">
        <f>+R336&amp;COUNTIF($R$2:R336,R336)</f>
        <v>152</v>
      </c>
      <c r="T336" s="141">
        <f t="shared" si="113"/>
        <v>150522.44800000035</v>
      </c>
      <c r="U336" t="str">
        <f t="shared" si="114"/>
        <v/>
      </c>
      <c r="V336" t="str">
        <f t="shared" si="115"/>
        <v>1CC</v>
      </c>
      <c r="W336" t="str">
        <f>+V336&amp;COUNTIF($V$2:V336,V336)</f>
        <v>1CC49</v>
      </c>
    </row>
    <row r="337" spans="1:23" x14ac:dyDescent="0.25">
      <c r="A337" t="str">
        <f>Q337&amp;COUNTIF($Q$30:Q337,Q337)</f>
        <v>AGOSTO 321</v>
      </c>
      <c r="B337" t="s">
        <v>818</v>
      </c>
      <c r="F337" t="str">
        <f>+IFERROR(INDEX('AUX23'!$C$2:$D$90,MATCH(CARGAFACTURAS!C337,'AUX23'!$D$2:$D$90,0),1),"")</f>
        <v/>
      </c>
      <c r="G337" s="141"/>
      <c r="H337" s="141">
        <f>+IF(G337&lt;19999,0,IFERROR(VLOOKUP(C337,'AUX23'!$D$2:$K$70,3,0)*G337/100,0))</f>
        <v>0</v>
      </c>
      <c r="I337" s="141">
        <f>IF(G337&lt;9999,0,IFERROR(VLOOKUP(C337,'AUX23'!$D$2:$L$70,4,0)*G337/100,0))</f>
        <v>0</v>
      </c>
      <c r="J337" s="141">
        <f>IF(G337&lt;9999,0,IFERROR(VLOOKUP(C337,'AUX23'!$D$2:$L$70,5,0)*G337/100,0))</f>
        <v>0</v>
      </c>
      <c r="K337" s="141">
        <f>IF(G337&lt;9999,0,IFERROR((G337-67170)*VLOOKUP(C337,'AUX23'!$D$2:$L$70,6,0)/100,0))</f>
        <v>0</v>
      </c>
      <c r="L337" s="141">
        <f>IF(G337&lt;9999,0,IFERROR((G337/1.21)*VLOOKUP(C337,'AUX23'!$D$2:$L$70,7,0)/100,0))</f>
        <v>0</v>
      </c>
      <c r="M337" s="141">
        <f t="shared" si="108"/>
        <v>0</v>
      </c>
      <c r="N337" t="str">
        <f t="shared" si="109"/>
        <v>CC</v>
      </c>
      <c r="O337">
        <f t="shared" si="110"/>
        <v>1</v>
      </c>
      <c r="Q337" t="str">
        <f t="shared" si="111"/>
        <v>AGOSTO 32</v>
      </c>
      <c r="R337" t="str">
        <f t="shared" si="112"/>
        <v>1</v>
      </c>
      <c r="S337" t="str">
        <f>+R337&amp;COUNTIF($R$2:R337,R337)</f>
        <v>153</v>
      </c>
      <c r="T337" s="141">
        <f t="shared" si="113"/>
        <v>150522.44800000035</v>
      </c>
      <c r="U337" t="str">
        <f t="shared" si="114"/>
        <v/>
      </c>
      <c r="V337" t="str">
        <f t="shared" si="115"/>
        <v>1CC</v>
      </c>
      <c r="W337" t="str">
        <f>+V337&amp;COUNTIF($V$2:V337,V337)</f>
        <v>1CC50</v>
      </c>
    </row>
    <row r="338" spans="1:23" x14ac:dyDescent="0.25">
      <c r="A338" t="str">
        <f>Q338&amp;COUNTIF($Q$30:Q338,Q338)</f>
        <v>AGOSTO 331</v>
      </c>
      <c r="B338" t="s">
        <v>819</v>
      </c>
      <c r="F338" t="str">
        <f>+IFERROR(INDEX('AUX23'!$C$2:$D$90,MATCH(CARGAFACTURAS!C338,'AUX23'!$D$2:$D$90,0),1),"")</f>
        <v/>
      </c>
      <c r="G338" s="141"/>
      <c r="H338" s="141">
        <f>+IF(G338&lt;19999,0,IFERROR(VLOOKUP(C338,'AUX23'!$D$2:$K$70,3,0)*G338/100,0))</f>
        <v>0</v>
      </c>
      <c r="I338" s="141">
        <f>IF(G338&lt;9999,0,IFERROR(VLOOKUP(C338,'AUX23'!$D$2:$L$70,4,0)*G338/100,0))</f>
        <v>0</v>
      </c>
      <c r="J338" s="141">
        <f>IF(G338&lt;9999,0,IFERROR(VLOOKUP(C338,'AUX23'!$D$2:$L$70,5,0)*G338/100,0))</f>
        <v>0</v>
      </c>
      <c r="K338" s="141">
        <f>IF(G338&lt;9999,0,IFERROR((G338-67170)*VLOOKUP(C338,'AUX23'!$D$2:$L$70,6,0)/100,0))</f>
        <v>0</v>
      </c>
      <c r="L338" s="141">
        <f>IF(G338&lt;9999,0,IFERROR((G338/1.21)*VLOOKUP(C338,'AUX23'!$D$2:$L$70,7,0)/100,0))</f>
        <v>0</v>
      </c>
      <c r="M338" s="141">
        <f t="shared" si="108"/>
        <v>0</v>
      </c>
      <c r="N338" t="str">
        <f t="shared" si="109"/>
        <v>CC</v>
      </c>
      <c r="O338">
        <f t="shared" si="110"/>
        <v>1</v>
      </c>
      <c r="Q338" t="str">
        <f t="shared" si="111"/>
        <v>AGOSTO 33</v>
      </c>
      <c r="R338" t="str">
        <f t="shared" si="112"/>
        <v>1</v>
      </c>
      <c r="S338" t="str">
        <f>+R338&amp;COUNTIF($R$2:R338,R338)</f>
        <v>154</v>
      </c>
      <c r="T338" s="141">
        <f t="shared" si="113"/>
        <v>150522.44800000035</v>
      </c>
      <c r="U338" t="str">
        <f t="shared" si="114"/>
        <v/>
      </c>
      <c r="V338" t="str">
        <f t="shared" si="115"/>
        <v>1CC</v>
      </c>
      <c r="W338" t="str">
        <f>+V338&amp;COUNTIF($V$2:V338,V338)</f>
        <v>1CC51</v>
      </c>
    </row>
    <row r="339" spans="1:23" x14ac:dyDescent="0.25">
      <c r="A339" t="str">
        <f>Q339&amp;COUNTIF($Q$30:Q339,Q339)</f>
        <v>AGOSTO 341</v>
      </c>
      <c r="B339" t="s">
        <v>820</v>
      </c>
      <c r="F339" t="str">
        <f>+IFERROR(INDEX('AUX23'!$C$2:$D$90,MATCH(CARGAFACTURAS!C339,'AUX23'!$D$2:$D$90,0),1),"")</f>
        <v/>
      </c>
      <c r="G339" s="141"/>
      <c r="H339" s="141">
        <f>+IF(G339&lt;19999,0,IFERROR(VLOOKUP(C339,'AUX23'!$D$2:$K$70,3,0)*G339/100,0))</f>
        <v>0</v>
      </c>
      <c r="I339" s="141">
        <f>IF(G339&lt;9999,0,IFERROR(VLOOKUP(C339,'AUX23'!$D$2:$L$70,4,0)*G339/100,0))</f>
        <v>0</v>
      </c>
      <c r="J339" s="141">
        <f>IF(G339&lt;9999,0,IFERROR(VLOOKUP(C339,'AUX23'!$D$2:$L$70,5,0)*G339/100,0))</f>
        <v>0</v>
      </c>
      <c r="K339" s="141">
        <f>IF(G339&lt;9999,0,IFERROR((G339-67170)*VLOOKUP(C339,'AUX23'!$D$2:$L$70,6,0)/100,0))</f>
        <v>0</v>
      </c>
      <c r="L339" s="141">
        <f>IF(G339&lt;9999,0,IFERROR((G339/1.21)*VLOOKUP(C339,'AUX23'!$D$2:$L$70,7,0)/100,0))</f>
        <v>0</v>
      </c>
      <c r="M339" s="141">
        <f t="shared" si="108"/>
        <v>0</v>
      </c>
      <c r="N339" t="str">
        <f t="shared" si="109"/>
        <v>CC</v>
      </c>
      <c r="O339">
        <f t="shared" si="110"/>
        <v>1</v>
      </c>
      <c r="Q339" t="str">
        <f t="shared" si="111"/>
        <v>AGOSTO 34</v>
      </c>
      <c r="R339" t="str">
        <f t="shared" si="112"/>
        <v>1</v>
      </c>
      <c r="S339" t="str">
        <f>+R339&amp;COUNTIF($R$2:R339,R339)</f>
        <v>155</v>
      </c>
      <c r="T339" s="141">
        <f t="shared" si="113"/>
        <v>150522.44800000035</v>
      </c>
      <c r="U339" t="str">
        <f t="shared" si="114"/>
        <v/>
      </c>
      <c r="V339" t="str">
        <f t="shared" si="115"/>
        <v>1CC</v>
      </c>
      <c r="W339" t="str">
        <f>+V339&amp;COUNTIF($V$2:V339,V339)</f>
        <v>1CC52</v>
      </c>
    </row>
    <row r="340" spans="1:23" x14ac:dyDescent="0.25">
      <c r="A340" t="str">
        <f>Q340&amp;COUNTIF($Q$30:Q340,Q340)</f>
        <v>AGOSTO 351</v>
      </c>
      <c r="B340" t="s">
        <v>821</v>
      </c>
      <c r="F340" t="str">
        <f>+IFERROR(INDEX('AUX23'!$C$2:$D$90,MATCH(CARGAFACTURAS!C340,'AUX23'!$D$2:$D$90,0),1),"")</f>
        <v/>
      </c>
      <c r="G340" s="141"/>
      <c r="H340" s="141">
        <f>+IF(G340&lt;19999,0,IFERROR(VLOOKUP(C340,'AUX23'!$D$2:$K$70,3,0)*G340/100,0))</f>
        <v>0</v>
      </c>
      <c r="I340" s="141">
        <f>IF(G340&lt;9999,0,IFERROR(VLOOKUP(C340,'AUX23'!$D$2:$L$70,4,0)*G340/100,0))</f>
        <v>0</v>
      </c>
      <c r="J340" s="141">
        <f>IF(G340&lt;9999,0,IFERROR(VLOOKUP(C340,'AUX23'!$D$2:$L$70,5,0)*G340/100,0))</f>
        <v>0</v>
      </c>
      <c r="K340" s="141">
        <f>IF(G340&lt;9999,0,IFERROR((G340-67170)*VLOOKUP(C340,'AUX23'!$D$2:$L$70,6,0)/100,0))</f>
        <v>0</v>
      </c>
      <c r="L340" s="141">
        <f>IF(G340&lt;9999,0,IFERROR((G340/1.21)*VLOOKUP(C340,'AUX23'!$D$2:$L$70,7,0)/100,0))</f>
        <v>0</v>
      </c>
      <c r="M340" s="141">
        <f t="shared" si="108"/>
        <v>0</v>
      </c>
      <c r="N340" t="str">
        <f t="shared" si="109"/>
        <v>CC</v>
      </c>
      <c r="O340">
        <f t="shared" si="110"/>
        <v>1</v>
      </c>
      <c r="Q340" t="str">
        <f t="shared" si="111"/>
        <v>AGOSTO 35</v>
      </c>
      <c r="R340" t="str">
        <f t="shared" si="112"/>
        <v>1</v>
      </c>
      <c r="S340" t="str">
        <f>+R340&amp;COUNTIF($R$2:R340,R340)</f>
        <v>156</v>
      </c>
      <c r="T340" s="141">
        <f t="shared" si="113"/>
        <v>150522.44800000035</v>
      </c>
      <c r="U340" t="str">
        <f t="shared" si="114"/>
        <v/>
      </c>
      <c r="V340" t="str">
        <f t="shared" si="115"/>
        <v>1CC</v>
      </c>
      <c r="W340" t="str">
        <f>+V340&amp;COUNTIF($V$2:V340,V340)</f>
        <v>1CC53</v>
      </c>
    </row>
    <row r="341" spans="1:23" x14ac:dyDescent="0.25">
      <c r="A341" t="str">
        <f>Q341&amp;COUNTIF($Q$30:Q341,Q341)</f>
        <v>AGOSTO 361</v>
      </c>
      <c r="B341" t="s">
        <v>822</v>
      </c>
      <c r="F341" t="str">
        <f>+IFERROR(INDEX('AUX23'!$C$2:$D$90,MATCH(CARGAFACTURAS!C341,'AUX23'!$D$2:$D$90,0),1),"")</f>
        <v/>
      </c>
      <c r="G341" s="141"/>
      <c r="H341" s="141">
        <f>+IF(G341&lt;19999,0,IFERROR(VLOOKUP(C341,'AUX23'!$D$2:$K$70,3,0)*G341/100,0))</f>
        <v>0</v>
      </c>
      <c r="I341" s="141">
        <f>IF(G341&lt;9999,0,IFERROR(VLOOKUP(C341,'AUX23'!$D$2:$L$70,4,0)*G341/100,0))</f>
        <v>0</v>
      </c>
      <c r="J341" s="141">
        <f>IF(G341&lt;9999,0,IFERROR(VLOOKUP(C341,'AUX23'!$D$2:$L$70,5,0)*G341/100,0))</f>
        <v>0</v>
      </c>
      <c r="K341" s="141">
        <f>IF(G341&lt;9999,0,IFERROR((G341-67170)*VLOOKUP(C341,'AUX23'!$D$2:$L$70,6,0)/100,0))</f>
        <v>0</v>
      </c>
      <c r="L341" s="141">
        <f>IF(G341&lt;9999,0,IFERROR((G341/1.21)*VLOOKUP(C341,'AUX23'!$D$2:$L$70,7,0)/100,0))</f>
        <v>0</v>
      </c>
      <c r="M341" s="141">
        <f t="shared" si="108"/>
        <v>0</v>
      </c>
      <c r="N341" t="str">
        <f t="shared" si="109"/>
        <v>CC</v>
      </c>
      <c r="O341">
        <f t="shared" si="110"/>
        <v>1</v>
      </c>
      <c r="Q341" t="str">
        <f t="shared" si="111"/>
        <v>AGOSTO 36</v>
      </c>
      <c r="R341" t="str">
        <f t="shared" si="112"/>
        <v>1</v>
      </c>
      <c r="S341" t="str">
        <f>+R341&amp;COUNTIF($R$2:R341,R341)</f>
        <v>157</v>
      </c>
      <c r="T341" s="141">
        <f t="shared" si="113"/>
        <v>150522.44800000035</v>
      </c>
      <c r="U341" t="str">
        <f t="shared" si="114"/>
        <v/>
      </c>
      <c r="V341" t="str">
        <f t="shared" si="115"/>
        <v>1CC</v>
      </c>
      <c r="W341" t="str">
        <f>+V341&amp;COUNTIF($V$2:V341,V341)</f>
        <v>1CC54</v>
      </c>
    </row>
    <row r="342" spans="1:23" x14ac:dyDescent="0.25">
      <c r="A342" t="str">
        <f>Q342&amp;COUNTIF($Q$30:Q342,Q342)</f>
        <v>AGOSTO 371</v>
      </c>
      <c r="B342" t="s">
        <v>823</v>
      </c>
      <c r="F342" t="str">
        <f>+IFERROR(INDEX('AUX23'!$C$2:$D$90,MATCH(CARGAFACTURAS!C342,'AUX23'!$D$2:$D$90,0),1),"")</f>
        <v/>
      </c>
      <c r="G342" s="141"/>
      <c r="H342" s="141">
        <f>+IF(G342&lt;19999,0,IFERROR(VLOOKUP(C342,'AUX23'!$D$2:$K$70,3,0)*G342/100,0))</f>
        <v>0</v>
      </c>
      <c r="I342" s="141">
        <f>IF(G342&lt;9999,0,IFERROR(VLOOKUP(C342,'AUX23'!$D$2:$L$70,4,0)*G342/100,0))</f>
        <v>0</v>
      </c>
      <c r="J342" s="141">
        <f>IF(G342&lt;9999,0,IFERROR(VLOOKUP(C342,'AUX23'!$D$2:$L$70,5,0)*G342/100,0))</f>
        <v>0</v>
      </c>
      <c r="K342" s="141">
        <f>IF(G342&lt;9999,0,IFERROR((G342-67170)*VLOOKUP(C342,'AUX23'!$D$2:$L$70,6,0)/100,0))</f>
        <v>0</v>
      </c>
      <c r="L342" s="141">
        <f>IF(G342&lt;9999,0,IFERROR((G342/1.21)*VLOOKUP(C342,'AUX23'!$D$2:$L$70,7,0)/100,0))</f>
        <v>0</v>
      </c>
      <c r="M342" s="141">
        <f t="shared" si="108"/>
        <v>0</v>
      </c>
      <c r="N342" t="str">
        <f t="shared" si="109"/>
        <v>CC</v>
      </c>
      <c r="O342">
        <f t="shared" si="110"/>
        <v>1</v>
      </c>
      <c r="Q342" t="str">
        <f t="shared" si="111"/>
        <v>AGOSTO 37</v>
      </c>
      <c r="R342" t="str">
        <f t="shared" si="112"/>
        <v>1</v>
      </c>
      <c r="S342" t="str">
        <f>+R342&amp;COUNTIF($R$2:R342,R342)</f>
        <v>158</v>
      </c>
      <c r="T342" s="141">
        <f t="shared" si="113"/>
        <v>150522.44800000035</v>
      </c>
      <c r="U342" t="str">
        <f t="shared" si="114"/>
        <v/>
      </c>
      <c r="V342" t="str">
        <f t="shared" si="115"/>
        <v>1CC</v>
      </c>
      <c r="W342" t="str">
        <f>+V342&amp;COUNTIF($V$2:V342,V342)</f>
        <v>1CC55</v>
      </c>
    </row>
    <row r="343" spans="1:23" x14ac:dyDescent="0.25">
      <c r="A343" t="str">
        <f>Q343&amp;COUNTIF($Q$30:Q343,Q343)</f>
        <v>AGOSTO 381</v>
      </c>
      <c r="B343" t="s">
        <v>824</v>
      </c>
      <c r="F343" t="str">
        <f>+IFERROR(INDEX('AUX23'!$C$2:$D$90,MATCH(CARGAFACTURAS!C343,'AUX23'!$D$2:$D$90,0),1),"")</f>
        <v/>
      </c>
      <c r="G343" s="141"/>
      <c r="H343" s="141">
        <f>+IF(G343&lt;19999,0,IFERROR(VLOOKUP(C343,'AUX23'!$D$2:$K$70,3,0)*G343/100,0))</f>
        <v>0</v>
      </c>
      <c r="I343" s="141">
        <f>IF(G343&lt;9999,0,IFERROR(VLOOKUP(C343,'AUX23'!$D$2:$L$70,4,0)*G343/100,0))</f>
        <v>0</v>
      </c>
      <c r="J343" s="141">
        <f>IF(G343&lt;9999,0,IFERROR(VLOOKUP(C343,'AUX23'!$D$2:$L$70,5,0)*G343/100,0))</f>
        <v>0</v>
      </c>
      <c r="K343" s="141">
        <f>IF(G343&lt;9999,0,IFERROR((G343-67170)*VLOOKUP(C343,'AUX23'!$D$2:$L$70,6,0)/100,0))</f>
        <v>0</v>
      </c>
      <c r="L343" s="141">
        <f>IF(G343&lt;9999,0,IFERROR((G343/1.21)*VLOOKUP(C343,'AUX23'!$D$2:$L$70,7,0)/100,0))</f>
        <v>0</v>
      </c>
      <c r="M343" s="141">
        <f t="shared" si="108"/>
        <v>0</v>
      </c>
      <c r="N343" t="str">
        <f t="shared" si="109"/>
        <v>CC</v>
      </c>
      <c r="O343">
        <f t="shared" si="110"/>
        <v>1</v>
      </c>
      <c r="Q343" t="str">
        <f t="shared" si="111"/>
        <v>AGOSTO 38</v>
      </c>
      <c r="R343" t="str">
        <f t="shared" si="112"/>
        <v>1</v>
      </c>
      <c r="S343" t="str">
        <f>+R343&amp;COUNTIF($R$2:R343,R343)</f>
        <v>159</v>
      </c>
      <c r="T343" s="141">
        <f t="shared" si="113"/>
        <v>150522.44800000035</v>
      </c>
      <c r="U343" t="str">
        <f t="shared" si="114"/>
        <v/>
      </c>
      <c r="V343" t="str">
        <f t="shared" si="115"/>
        <v>1CC</v>
      </c>
      <c r="W343" t="str">
        <f>+V343&amp;COUNTIF($V$2:V343,V343)</f>
        <v>1CC56</v>
      </c>
    </row>
    <row r="344" spans="1:23" x14ac:dyDescent="0.25">
      <c r="A344" t="str">
        <f>Q344&amp;COUNTIF($Q$30:Q344,Q344)</f>
        <v>AGOSTO 391</v>
      </c>
      <c r="B344" t="s">
        <v>825</v>
      </c>
      <c r="F344" t="str">
        <f>+IFERROR(INDEX('AUX23'!$C$2:$D$90,MATCH(CARGAFACTURAS!C344,'AUX23'!$D$2:$D$90,0),1),"")</f>
        <v/>
      </c>
      <c r="G344" s="141"/>
      <c r="H344" s="141">
        <f>+IF(G344&lt;19999,0,IFERROR(VLOOKUP(C344,'AUX23'!$D$2:$K$70,3,0)*G344/100,0))</f>
        <v>0</v>
      </c>
      <c r="I344" s="141">
        <f>IF(G344&lt;9999,0,IFERROR(VLOOKUP(C344,'AUX23'!$D$2:$L$70,4,0)*G344/100,0))</f>
        <v>0</v>
      </c>
      <c r="J344" s="141">
        <f>IF(G344&lt;9999,0,IFERROR(VLOOKUP(C344,'AUX23'!$D$2:$L$70,5,0)*G344/100,0))</f>
        <v>0</v>
      </c>
      <c r="K344" s="141">
        <f>IF(G344&lt;9999,0,IFERROR((G344-67170)*VLOOKUP(C344,'AUX23'!$D$2:$L$70,6,0)/100,0))</f>
        <v>0</v>
      </c>
      <c r="L344" s="141">
        <f>IF(G344&lt;9999,0,IFERROR((G344/1.21)*VLOOKUP(C344,'AUX23'!$D$2:$L$70,7,0)/100,0))</f>
        <v>0</v>
      </c>
      <c r="M344" s="141">
        <f t="shared" si="108"/>
        <v>0</v>
      </c>
      <c r="N344" t="str">
        <f t="shared" si="109"/>
        <v>CC</v>
      </c>
      <c r="O344">
        <f t="shared" si="110"/>
        <v>1</v>
      </c>
      <c r="Q344" t="str">
        <f t="shared" si="111"/>
        <v>AGOSTO 39</v>
      </c>
      <c r="R344" t="str">
        <f t="shared" si="112"/>
        <v>1</v>
      </c>
      <c r="S344" t="str">
        <f>+R344&amp;COUNTIF($R$2:R344,R344)</f>
        <v>160</v>
      </c>
      <c r="T344" s="141">
        <f t="shared" si="113"/>
        <v>150522.44800000035</v>
      </c>
      <c r="U344" t="str">
        <f t="shared" si="114"/>
        <v/>
      </c>
      <c r="V344" t="str">
        <f t="shared" si="115"/>
        <v>1CC</v>
      </c>
      <c r="W344" t="str">
        <f>+V344&amp;COUNTIF($V$2:V344,V344)</f>
        <v>1CC57</v>
      </c>
    </row>
    <row r="345" spans="1:23" x14ac:dyDescent="0.25">
      <c r="A345" t="str">
        <f>Q345&amp;COUNTIF($Q$30:Q345,Q345)</f>
        <v>AGOSTO 401</v>
      </c>
      <c r="B345" t="s">
        <v>826</v>
      </c>
      <c r="F345" t="str">
        <f>+IFERROR(INDEX('AUX23'!$C$2:$D$90,MATCH(CARGAFACTURAS!C345,'AUX23'!$D$2:$D$90,0),1),"")</f>
        <v/>
      </c>
      <c r="G345" s="141"/>
      <c r="H345" s="141">
        <f>+IF(G345&lt;19999,0,IFERROR(VLOOKUP(C345,'AUX23'!$D$2:$K$70,3,0)*G345/100,0))</f>
        <v>0</v>
      </c>
      <c r="I345" s="141">
        <f>IF(G345&lt;9999,0,IFERROR(VLOOKUP(C345,'AUX23'!$D$2:$L$70,4,0)*G345/100,0))</f>
        <v>0</v>
      </c>
      <c r="J345" s="141">
        <f>IF(G345&lt;9999,0,IFERROR(VLOOKUP(C345,'AUX23'!$D$2:$L$70,5,0)*G345/100,0))</f>
        <v>0</v>
      </c>
      <c r="K345" s="141">
        <f>IF(G345&lt;9999,0,IFERROR((G345-67170)*VLOOKUP(C345,'AUX23'!$D$2:$L$70,6,0)/100,0))</f>
        <v>0</v>
      </c>
      <c r="L345" s="141">
        <f>IF(G345&lt;9999,0,IFERROR((G345/1.21)*VLOOKUP(C345,'AUX23'!$D$2:$L$70,7,0)/100,0))</f>
        <v>0</v>
      </c>
      <c r="M345" s="141">
        <f t="shared" si="108"/>
        <v>0</v>
      </c>
      <c r="N345" t="str">
        <f t="shared" si="109"/>
        <v>CC</v>
      </c>
      <c r="O345">
        <f t="shared" si="110"/>
        <v>1</v>
      </c>
      <c r="Q345" t="str">
        <f t="shared" si="111"/>
        <v>AGOSTO 40</v>
      </c>
      <c r="R345" t="str">
        <f t="shared" si="112"/>
        <v>1</v>
      </c>
      <c r="S345" t="str">
        <f>+R345&amp;COUNTIF($R$2:R345,R345)</f>
        <v>161</v>
      </c>
      <c r="T345" s="141">
        <f t="shared" si="113"/>
        <v>150522.44800000035</v>
      </c>
      <c r="U345" t="str">
        <f t="shared" si="114"/>
        <v/>
      </c>
      <c r="V345" t="str">
        <f t="shared" si="115"/>
        <v>1CC</v>
      </c>
      <c r="W345" t="str">
        <f>+V345&amp;COUNTIF($V$2:V345,V345)</f>
        <v>1CC58</v>
      </c>
    </row>
    <row r="346" spans="1:23" x14ac:dyDescent="0.25">
      <c r="A346" t="str">
        <f>Q346&amp;COUNTIF($Q$30:Q346,Q346)</f>
        <v>AGOSTO 411</v>
      </c>
      <c r="B346" t="s">
        <v>827</v>
      </c>
      <c r="F346" t="str">
        <f>+IFERROR(INDEX('AUX23'!$C$2:$D$90,MATCH(CARGAFACTURAS!C346,'AUX23'!$D$2:$D$90,0),1),"")</f>
        <v/>
      </c>
      <c r="G346" s="141"/>
      <c r="H346" s="141">
        <f>+IF(G346&lt;19999,0,IFERROR(VLOOKUP(C346,'AUX23'!$D$2:$K$70,3,0)*G346/100,0))</f>
        <v>0</v>
      </c>
      <c r="I346" s="141">
        <f>IF(G346&lt;9999,0,IFERROR(VLOOKUP(C346,'AUX23'!$D$2:$L$70,4,0)*G346/100,0))</f>
        <v>0</v>
      </c>
      <c r="J346" s="141">
        <f>IF(G346&lt;9999,0,IFERROR(VLOOKUP(C346,'AUX23'!$D$2:$L$70,5,0)*G346/100,0))</f>
        <v>0</v>
      </c>
      <c r="K346" s="141">
        <f>IF(G346&lt;9999,0,IFERROR((G346-67170)*VLOOKUP(C346,'AUX23'!$D$2:$L$70,6,0)/100,0))</f>
        <v>0</v>
      </c>
      <c r="L346" s="141">
        <f>IF(G346&lt;9999,0,IFERROR((G346/1.21)*VLOOKUP(C346,'AUX23'!$D$2:$L$70,7,0)/100,0))</f>
        <v>0</v>
      </c>
      <c r="M346" s="141">
        <f t="shared" si="108"/>
        <v>0</v>
      </c>
      <c r="N346" t="str">
        <f t="shared" si="109"/>
        <v>CC</v>
      </c>
      <c r="O346">
        <f t="shared" si="110"/>
        <v>1</v>
      </c>
      <c r="Q346" t="str">
        <f t="shared" si="111"/>
        <v>AGOSTO 41</v>
      </c>
      <c r="R346" t="str">
        <f t="shared" si="112"/>
        <v>1</v>
      </c>
      <c r="S346" t="str">
        <f>+R346&amp;COUNTIF($R$2:R346,R346)</f>
        <v>162</v>
      </c>
      <c r="T346" s="141">
        <f t="shared" si="113"/>
        <v>150522.44800000035</v>
      </c>
      <c r="U346" t="str">
        <f t="shared" si="114"/>
        <v/>
      </c>
      <c r="V346" t="str">
        <f t="shared" si="115"/>
        <v>1CC</v>
      </c>
      <c r="W346" t="str">
        <f>+V346&amp;COUNTIF($V$2:V346,V346)</f>
        <v>1CC59</v>
      </c>
    </row>
    <row r="347" spans="1:23" x14ac:dyDescent="0.25">
      <c r="A347" t="str">
        <f>Q347&amp;COUNTIF($Q$30:Q347,Q347)</f>
        <v>AGOSTO 421</v>
      </c>
      <c r="B347" t="s">
        <v>828</v>
      </c>
      <c r="F347" t="str">
        <f>+IFERROR(INDEX('AUX23'!$C$2:$D$90,MATCH(CARGAFACTURAS!C347,'AUX23'!$D$2:$D$90,0),1),"")</f>
        <v/>
      </c>
      <c r="G347" s="141"/>
      <c r="H347" s="141">
        <f>+IF(G347&lt;19999,0,IFERROR(VLOOKUP(C347,'AUX23'!$D$2:$K$70,3,0)*G347/100,0))</f>
        <v>0</v>
      </c>
      <c r="I347" s="141">
        <f>IF(G347&lt;9999,0,IFERROR(VLOOKUP(C347,'AUX23'!$D$2:$L$70,4,0)*G347/100,0))</f>
        <v>0</v>
      </c>
      <c r="J347" s="141">
        <f>IF(G347&lt;9999,0,IFERROR(VLOOKUP(C347,'AUX23'!$D$2:$L$70,5,0)*G347/100,0))</f>
        <v>0</v>
      </c>
      <c r="K347" s="141">
        <f>IF(G347&lt;9999,0,IFERROR((G347-67170)*VLOOKUP(C347,'AUX23'!$D$2:$L$70,6,0)/100,0))</f>
        <v>0</v>
      </c>
      <c r="L347" s="141">
        <f>IF(G347&lt;9999,0,IFERROR((G347/1.21)*VLOOKUP(C347,'AUX23'!$D$2:$L$70,7,0)/100,0))</f>
        <v>0</v>
      </c>
      <c r="M347" s="141">
        <f t="shared" si="108"/>
        <v>0</v>
      </c>
      <c r="N347" t="str">
        <f t="shared" si="109"/>
        <v>CC</v>
      </c>
      <c r="O347">
        <f t="shared" si="110"/>
        <v>1</v>
      </c>
      <c r="Q347" t="str">
        <f t="shared" si="111"/>
        <v>AGOSTO 42</v>
      </c>
      <c r="R347" t="str">
        <f t="shared" si="112"/>
        <v>1</v>
      </c>
      <c r="S347" t="str">
        <f>+R347&amp;COUNTIF($R$2:R347,R347)</f>
        <v>163</v>
      </c>
      <c r="T347" s="141">
        <f t="shared" si="113"/>
        <v>150522.44800000035</v>
      </c>
      <c r="U347" t="str">
        <f t="shared" si="114"/>
        <v/>
      </c>
      <c r="V347" t="str">
        <f t="shared" si="115"/>
        <v>1CC</v>
      </c>
      <c r="W347" t="str">
        <f>+V347&amp;COUNTIF($V$2:V347,V347)</f>
        <v>1CC60</v>
      </c>
    </row>
    <row r="348" spans="1:23" x14ac:dyDescent="0.25">
      <c r="A348" t="str">
        <f>Q348&amp;COUNTIF($Q$30:Q348,Q348)</f>
        <v>AGOSTO 431</v>
      </c>
      <c r="B348" t="s">
        <v>829</v>
      </c>
      <c r="F348" t="str">
        <f>+IFERROR(INDEX('AUX23'!$C$2:$D$90,MATCH(CARGAFACTURAS!C348,'AUX23'!$D$2:$D$90,0),1),"")</f>
        <v/>
      </c>
      <c r="G348" s="141"/>
      <c r="H348" s="141">
        <f>+IF(G348&lt;19999,0,IFERROR(VLOOKUP(C348,'AUX23'!$D$2:$K$70,3,0)*G348/100,0))</f>
        <v>0</v>
      </c>
      <c r="I348" s="141">
        <f>IF(G348&lt;9999,0,IFERROR(VLOOKUP(C348,'AUX23'!$D$2:$L$70,4,0)*G348/100,0))</f>
        <v>0</v>
      </c>
      <c r="J348" s="141">
        <f>IF(G348&lt;9999,0,IFERROR(VLOOKUP(C348,'AUX23'!$D$2:$L$70,5,0)*G348/100,0))</f>
        <v>0</v>
      </c>
      <c r="K348" s="141">
        <f>IF(G348&lt;9999,0,IFERROR((G348-67170)*VLOOKUP(C348,'AUX23'!$D$2:$L$70,6,0)/100,0))</f>
        <v>0</v>
      </c>
      <c r="L348" s="141">
        <f>IF(G348&lt;9999,0,IFERROR((G348/1.21)*VLOOKUP(C348,'AUX23'!$D$2:$L$70,7,0)/100,0))</f>
        <v>0</v>
      </c>
      <c r="M348" s="141">
        <f t="shared" si="108"/>
        <v>0</v>
      </c>
      <c r="N348" t="str">
        <f t="shared" si="109"/>
        <v>CC</v>
      </c>
      <c r="O348">
        <f t="shared" si="110"/>
        <v>1</v>
      </c>
      <c r="Q348" t="str">
        <f t="shared" si="111"/>
        <v>AGOSTO 43</v>
      </c>
      <c r="R348" t="str">
        <f t="shared" si="112"/>
        <v>1</v>
      </c>
      <c r="S348" t="str">
        <f>+R348&amp;COUNTIF($R$2:R348,R348)</f>
        <v>164</v>
      </c>
      <c r="T348" s="141">
        <f t="shared" si="113"/>
        <v>150522.44800000035</v>
      </c>
      <c r="U348" t="str">
        <f t="shared" si="114"/>
        <v/>
      </c>
      <c r="V348" t="str">
        <f t="shared" si="115"/>
        <v>1CC</v>
      </c>
      <c r="W348" t="str">
        <f>+V348&amp;COUNTIF($V$2:V348,V348)</f>
        <v>1CC61</v>
      </c>
    </row>
    <row r="349" spans="1:23" x14ac:dyDescent="0.25">
      <c r="A349" t="str">
        <f>Q349&amp;COUNTIF($Q$30:Q349,Q349)</f>
        <v>AGOSTO 441</v>
      </c>
      <c r="B349" t="s">
        <v>830</v>
      </c>
      <c r="F349" t="str">
        <f>+IFERROR(INDEX('AUX23'!$C$2:$D$90,MATCH(CARGAFACTURAS!C349,'AUX23'!$D$2:$D$90,0),1),"")</f>
        <v/>
      </c>
      <c r="G349" s="141"/>
      <c r="H349" s="141">
        <f>+IF(G349&lt;19999,0,IFERROR(VLOOKUP(C349,'AUX23'!$D$2:$K$70,3,0)*G349/100,0))</f>
        <v>0</v>
      </c>
      <c r="I349" s="141">
        <f>IF(G349&lt;9999,0,IFERROR(VLOOKUP(C349,'AUX23'!$D$2:$L$70,4,0)*G349/100,0))</f>
        <v>0</v>
      </c>
      <c r="J349" s="141">
        <f>IF(G349&lt;9999,0,IFERROR(VLOOKUP(C349,'AUX23'!$D$2:$L$70,5,0)*G349/100,0))</f>
        <v>0</v>
      </c>
      <c r="K349" s="141">
        <f>IF(G349&lt;9999,0,IFERROR((G349-67170)*VLOOKUP(C349,'AUX23'!$D$2:$L$70,6,0)/100,0))</f>
        <v>0</v>
      </c>
      <c r="L349" s="141">
        <f>IF(G349&lt;9999,0,IFERROR((G349/1.21)*VLOOKUP(C349,'AUX23'!$D$2:$L$70,7,0)/100,0))</f>
        <v>0</v>
      </c>
      <c r="M349" s="141">
        <f t="shared" si="108"/>
        <v>0</v>
      </c>
      <c r="N349" t="str">
        <f t="shared" si="109"/>
        <v>CC</v>
      </c>
      <c r="O349">
        <f t="shared" si="110"/>
        <v>1</v>
      </c>
      <c r="Q349" t="str">
        <f t="shared" si="111"/>
        <v>AGOSTO 44</v>
      </c>
      <c r="R349" t="str">
        <f t="shared" si="112"/>
        <v>1</v>
      </c>
      <c r="S349" t="str">
        <f>+R349&amp;COUNTIF($R$2:R349,R349)</f>
        <v>165</v>
      </c>
      <c r="T349" s="141">
        <f t="shared" si="113"/>
        <v>150522.44800000035</v>
      </c>
      <c r="U349" t="str">
        <f t="shared" si="114"/>
        <v/>
      </c>
      <c r="V349" t="str">
        <f t="shared" si="115"/>
        <v>1CC</v>
      </c>
      <c r="W349" t="str">
        <f>+V349&amp;COUNTIF($V$2:V349,V349)</f>
        <v>1CC62</v>
      </c>
    </row>
    <row r="350" spans="1:23" x14ac:dyDescent="0.25">
      <c r="A350" t="str">
        <f>Q350&amp;COUNTIF($Q$30:Q350,Q350)</f>
        <v>AGOSTO 451</v>
      </c>
      <c r="B350" t="s">
        <v>831</v>
      </c>
      <c r="F350" t="str">
        <f>+IFERROR(INDEX('AUX23'!$C$2:$D$90,MATCH(CARGAFACTURAS!C350,'AUX23'!$D$2:$D$90,0),1),"")</f>
        <v/>
      </c>
      <c r="G350" s="141"/>
      <c r="H350" s="141">
        <f>+IF(G350&lt;19999,0,IFERROR(VLOOKUP(C350,'AUX23'!$D$2:$K$70,3,0)*G350/100,0))</f>
        <v>0</v>
      </c>
      <c r="I350" s="141">
        <f>IF(G350&lt;9999,0,IFERROR(VLOOKUP(C350,'AUX23'!$D$2:$L$70,4,0)*G350/100,0))</f>
        <v>0</v>
      </c>
      <c r="J350" s="141">
        <f>IF(G350&lt;9999,0,IFERROR(VLOOKUP(C350,'AUX23'!$D$2:$L$70,5,0)*G350/100,0))</f>
        <v>0</v>
      </c>
      <c r="K350" s="141">
        <f>IF(G350&lt;9999,0,IFERROR((G350-67170)*VLOOKUP(C350,'AUX23'!$D$2:$L$70,6,0)/100,0))</f>
        <v>0</v>
      </c>
      <c r="L350" s="141">
        <f>IF(G350&lt;9999,0,IFERROR((G350/1.21)*VLOOKUP(C350,'AUX23'!$D$2:$L$70,7,0)/100,0))</f>
        <v>0</v>
      </c>
      <c r="M350" s="141">
        <f t="shared" si="108"/>
        <v>0</v>
      </c>
      <c r="N350" t="str">
        <f t="shared" si="109"/>
        <v>CC</v>
      </c>
      <c r="O350">
        <f t="shared" si="110"/>
        <v>1</v>
      </c>
      <c r="Q350" t="str">
        <f t="shared" si="111"/>
        <v>AGOSTO 45</v>
      </c>
      <c r="R350" t="str">
        <f t="shared" si="112"/>
        <v>1</v>
      </c>
      <c r="S350" t="str">
        <f>+R350&amp;COUNTIF($R$2:R350,R350)</f>
        <v>166</v>
      </c>
      <c r="T350" s="141">
        <f t="shared" si="113"/>
        <v>150522.44800000035</v>
      </c>
      <c r="U350" t="str">
        <f t="shared" si="114"/>
        <v/>
      </c>
      <c r="V350" t="str">
        <f t="shared" si="115"/>
        <v>1CC</v>
      </c>
      <c r="W350" t="str">
        <f>+V350&amp;COUNTIF($V$2:V350,V350)</f>
        <v>1CC63</v>
      </c>
    </row>
    <row r="351" spans="1:23" x14ac:dyDescent="0.25">
      <c r="A351" t="str">
        <f>Q351&amp;COUNTIF($Q$30:Q351,Q351)</f>
        <v>AGOSTO 461</v>
      </c>
      <c r="B351" t="s">
        <v>832</v>
      </c>
      <c r="F351" t="str">
        <f>+IFERROR(INDEX('AUX23'!$C$2:$D$90,MATCH(CARGAFACTURAS!C351,'AUX23'!$D$2:$D$90,0),1),"")</f>
        <v/>
      </c>
      <c r="G351" s="141"/>
      <c r="H351" s="141">
        <f>+IF(G351&lt;19999,0,IFERROR(VLOOKUP(C351,'AUX23'!$D$2:$K$70,3,0)*G351/100,0))</f>
        <v>0</v>
      </c>
      <c r="I351" s="141">
        <f>IF(G351&lt;9999,0,IFERROR(VLOOKUP(C351,'AUX23'!$D$2:$L$70,4,0)*G351/100,0))</f>
        <v>0</v>
      </c>
      <c r="J351" s="141">
        <f>IF(G351&lt;9999,0,IFERROR(VLOOKUP(C351,'AUX23'!$D$2:$L$70,5,0)*G351/100,0))</f>
        <v>0</v>
      </c>
      <c r="K351" s="141">
        <f>IF(G351&lt;9999,0,IFERROR((G351-67170)*VLOOKUP(C351,'AUX23'!$D$2:$L$70,6,0)/100,0))</f>
        <v>0</v>
      </c>
      <c r="L351" s="141">
        <f>IF(G351&lt;9999,0,IFERROR((G351/1.21)*VLOOKUP(C351,'AUX23'!$D$2:$L$70,7,0)/100,0))</f>
        <v>0</v>
      </c>
      <c r="M351" s="141">
        <f t="shared" si="108"/>
        <v>0</v>
      </c>
      <c r="N351" t="str">
        <f t="shared" si="109"/>
        <v>CC</v>
      </c>
      <c r="O351">
        <f t="shared" si="110"/>
        <v>1</v>
      </c>
      <c r="Q351" t="str">
        <f t="shared" si="111"/>
        <v>AGOSTO 46</v>
      </c>
      <c r="R351" t="str">
        <f t="shared" si="112"/>
        <v>1</v>
      </c>
      <c r="S351" t="str">
        <f>+R351&amp;COUNTIF($R$2:R351,R351)</f>
        <v>167</v>
      </c>
      <c r="T351" s="141">
        <f t="shared" si="113"/>
        <v>150522.44800000035</v>
      </c>
      <c r="U351" t="str">
        <f t="shared" si="114"/>
        <v/>
      </c>
      <c r="V351" t="str">
        <f t="shared" si="115"/>
        <v>1CC</v>
      </c>
      <c r="W351" t="str">
        <f>+V351&amp;COUNTIF($V$2:V351,V351)</f>
        <v>1CC64</v>
      </c>
    </row>
    <row r="352" spans="1:23" x14ac:dyDescent="0.25">
      <c r="A352" t="str">
        <f>Q352&amp;COUNTIF($Q$30:Q352,Q352)</f>
        <v>AGOSTO 471</v>
      </c>
      <c r="B352" t="s">
        <v>833</v>
      </c>
      <c r="F352" t="str">
        <f>+IFERROR(INDEX('AUX23'!$C$2:$D$90,MATCH(CARGAFACTURAS!C352,'AUX23'!$D$2:$D$90,0),1),"")</f>
        <v/>
      </c>
      <c r="G352" s="141"/>
      <c r="H352" s="141">
        <f>+IF(G352&lt;19999,0,IFERROR(VLOOKUP(C352,'AUX23'!$D$2:$K$70,3,0)*G352/100,0))</f>
        <v>0</v>
      </c>
      <c r="I352" s="141">
        <f>IF(G352&lt;9999,0,IFERROR(VLOOKUP(C352,'AUX23'!$D$2:$L$70,4,0)*G352/100,0))</f>
        <v>0</v>
      </c>
      <c r="J352" s="141">
        <f>IF(G352&lt;9999,0,IFERROR(VLOOKUP(C352,'AUX23'!$D$2:$L$70,5,0)*G352/100,0))</f>
        <v>0</v>
      </c>
      <c r="K352" s="141">
        <f>IF(G352&lt;9999,0,IFERROR((G352-67170)*VLOOKUP(C352,'AUX23'!$D$2:$L$70,6,0)/100,0))</f>
        <v>0</v>
      </c>
      <c r="L352" s="141">
        <f>IF(G352&lt;9999,0,IFERROR((G352/1.21)*VLOOKUP(C352,'AUX23'!$D$2:$L$70,7,0)/100,0))</f>
        <v>0</v>
      </c>
      <c r="M352" s="141">
        <f t="shared" si="108"/>
        <v>0</v>
      </c>
      <c r="N352" t="str">
        <f t="shared" si="109"/>
        <v>CC</v>
      </c>
      <c r="O352">
        <f t="shared" si="110"/>
        <v>1</v>
      </c>
      <c r="Q352" t="str">
        <f t="shared" si="111"/>
        <v>AGOSTO 47</v>
      </c>
      <c r="R352" t="str">
        <f t="shared" si="112"/>
        <v>1</v>
      </c>
      <c r="S352" t="str">
        <f>+R352&amp;COUNTIF($R$2:R352,R352)</f>
        <v>168</v>
      </c>
      <c r="T352" s="141">
        <f t="shared" si="113"/>
        <v>150522.44800000035</v>
      </c>
      <c r="U352" t="str">
        <f t="shared" si="114"/>
        <v/>
      </c>
      <c r="V352" t="str">
        <f t="shared" si="115"/>
        <v>1CC</v>
      </c>
      <c r="W352" t="str">
        <f>+V352&amp;COUNTIF($V$2:V352,V352)</f>
        <v>1CC65</v>
      </c>
    </row>
    <row r="353" spans="1:23" x14ac:dyDescent="0.25">
      <c r="A353" t="str">
        <f>Q353&amp;COUNTIF($Q$30:Q353,Q353)</f>
        <v>AGOSTO 481</v>
      </c>
      <c r="B353" t="s">
        <v>834</v>
      </c>
      <c r="F353" t="str">
        <f>+IFERROR(INDEX('AUX23'!$C$2:$D$90,MATCH(CARGAFACTURAS!C353,'AUX23'!$D$2:$D$90,0),1),"")</f>
        <v/>
      </c>
      <c r="G353" s="141"/>
      <c r="H353" s="141">
        <f>+IF(G353&lt;19999,0,IFERROR(VLOOKUP(C353,'AUX23'!$D$2:$K$70,3,0)*G353/100,0))</f>
        <v>0</v>
      </c>
      <c r="I353" s="141">
        <f>IF(G353&lt;9999,0,IFERROR(VLOOKUP(C353,'AUX23'!$D$2:$L$70,4,0)*G353/100,0))</f>
        <v>0</v>
      </c>
      <c r="J353" s="141">
        <f>IF(G353&lt;9999,0,IFERROR(VLOOKUP(C353,'AUX23'!$D$2:$L$70,5,0)*G353/100,0))</f>
        <v>0</v>
      </c>
      <c r="K353" s="141">
        <f>IF(G353&lt;9999,0,IFERROR((G353-67170)*VLOOKUP(C353,'AUX23'!$D$2:$L$70,6,0)/100,0))</f>
        <v>0</v>
      </c>
      <c r="L353" s="141">
        <f>IF(G353&lt;9999,0,IFERROR((G353/1.21)*VLOOKUP(C353,'AUX23'!$D$2:$L$70,7,0)/100,0))</f>
        <v>0</v>
      </c>
      <c r="M353" s="141">
        <f t="shared" si="108"/>
        <v>0</v>
      </c>
      <c r="N353" t="str">
        <f t="shared" si="109"/>
        <v>CC</v>
      </c>
      <c r="O353">
        <f t="shared" si="110"/>
        <v>1</v>
      </c>
      <c r="Q353" t="str">
        <f t="shared" si="111"/>
        <v>AGOSTO 48</v>
      </c>
      <c r="R353" t="str">
        <f t="shared" si="112"/>
        <v>1</v>
      </c>
      <c r="S353" t="str">
        <f>+R353&amp;COUNTIF($R$2:R353,R353)</f>
        <v>169</v>
      </c>
      <c r="T353" s="141">
        <f t="shared" si="113"/>
        <v>150522.44800000035</v>
      </c>
      <c r="U353" t="str">
        <f t="shared" si="114"/>
        <v/>
      </c>
      <c r="V353" t="str">
        <f t="shared" si="115"/>
        <v>1CC</v>
      </c>
      <c r="W353" t="str">
        <f>+V353&amp;COUNTIF($V$2:V353,V353)</f>
        <v>1CC66</v>
      </c>
    </row>
    <row r="354" spans="1:23" x14ac:dyDescent="0.25">
      <c r="A354" t="str">
        <f>Q354&amp;COUNTIF($Q$30:Q354,Q354)</f>
        <v>AGOSTO 491</v>
      </c>
      <c r="B354" t="s">
        <v>835</v>
      </c>
      <c r="F354" t="str">
        <f>+IFERROR(INDEX('AUX23'!$C$2:$D$90,MATCH(CARGAFACTURAS!C354,'AUX23'!$D$2:$D$90,0),1),"")</f>
        <v/>
      </c>
      <c r="G354" s="141"/>
      <c r="H354" s="141">
        <f>+IF(G354&lt;19999,0,IFERROR(VLOOKUP(C354,'AUX23'!$D$2:$K$70,3,0)*G354/100,0))</f>
        <v>0</v>
      </c>
      <c r="I354" s="141">
        <f>IF(G354&lt;9999,0,IFERROR(VLOOKUP(C354,'AUX23'!$D$2:$L$70,4,0)*G354/100,0))</f>
        <v>0</v>
      </c>
      <c r="J354" s="141">
        <f>IF(G354&lt;9999,0,IFERROR(VLOOKUP(C354,'AUX23'!$D$2:$L$70,5,0)*G354/100,0))</f>
        <v>0</v>
      </c>
      <c r="K354" s="141">
        <f>IF(G354&lt;9999,0,IFERROR((G354-67170)*VLOOKUP(C354,'AUX23'!$D$2:$L$70,6,0)/100,0))</f>
        <v>0</v>
      </c>
      <c r="L354" s="141">
        <f>IF(G354&lt;9999,0,IFERROR((G354/1.21)*VLOOKUP(C354,'AUX23'!$D$2:$L$70,7,0)/100,0))</f>
        <v>0</v>
      </c>
      <c r="M354" s="141">
        <f t="shared" si="108"/>
        <v>0</v>
      </c>
      <c r="N354" t="str">
        <f t="shared" si="109"/>
        <v>CC</v>
      </c>
      <c r="O354">
        <f t="shared" si="110"/>
        <v>1</v>
      </c>
      <c r="Q354" t="str">
        <f t="shared" si="111"/>
        <v>AGOSTO 49</v>
      </c>
      <c r="R354" t="str">
        <f t="shared" si="112"/>
        <v>1</v>
      </c>
      <c r="S354" t="str">
        <f>+R354&amp;COUNTIF($R$2:R354,R354)</f>
        <v>170</v>
      </c>
      <c r="T354" s="141">
        <f t="shared" si="113"/>
        <v>150522.44800000035</v>
      </c>
      <c r="U354" t="str">
        <f t="shared" si="114"/>
        <v/>
      </c>
      <c r="V354" t="str">
        <f t="shared" si="115"/>
        <v>1CC</v>
      </c>
      <c r="W354" t="str">
        <f>+V354&amp;COUNTIF($V$2:V354,V354)</f>
        <v>1CC67</v>
      </c>
    </row>
    <row r="355" spans="1:23" x14ac:dyDescent="0.25">
      <c r="A355" t="str">
        <f>Q355&amp;COUNTIF($Q$30:Q355,Q355)</f>
        <v>AGOSTO 501</v>
      </c>
      <c r="B355" t="s">
        <v>836</v>
      </c>
      <c r="F355" t="str">
        <f>+IFERROR(INDEX('AUX23'!$C$2:$D$90,MATCH(CARGAFACTURAS!C355,'AUX23'!$D$2:$D$90,0),1),"")</f>
        <v/>
      </c>
      <c r="G355" s="141"/>
      <c r="H355" s="141">
        <f>+IF(G355&lt;19999,0,IFERROR(VLOOKUP(C355,'AUX23'!$D$2:$K$70,3,0)*G355/100,0))</f>
        <v>0</v>
      </c>
      <c r="I355" s="141">
        <f>IF(G355&lt;9999,0,IFERROR(VLOOKUP(C355,'AUX23'!$D$2:$L$70,4,0)*G355/100,0))</f>
        <v>0</v>
      </c>
      <c r="J355" s="141">
        <f>IF(G355&lt;9999,0,IFERROR(VLOOKUP(C355,'AUX23'!$D$2:$L$70,5,0)*G355/100,0))</f>
        <v>0</v>
      </c>
      <c r="K355" s="141">
        <f>IF(G355&lt;9999,0,IFERROR((G355-67170)*VLOOKUP(C355,'AUX23'!$D$2:$L$70,6,0)/100,0))</f>
        <v>0</v>
      </c>
      <c r="L355" s="141">
        <f>IF(G355&lt;9999,0,IFERROR((G355/1.21)*VLOOKUP(C355,'AUX23'!$D$2:$L$70,7,0)/100,0))</f>
        <v>0</v>
      </c>
      <c r="M355" s="141">
        <f t="shared" si="108"/>
        <v>0</v>
      </c>
      <c r="N355" t="str">
        <f t="shared" si="109"/>
        <v>CC</v>
      </c>
      <c r="O355">
        <f t="shared" si="110"/>
        <v>1</v>
      </c>
      <c r="Q355" t="str">
        <f t="shared" si="111"/>
        <v>AGOSTO 50</v>
      </c>
      <c r="R355" t="str">
        <f t="shared" si="112"/>
        <v>1</v>
      </c>
      <c r="S355" t="str">
        <f>+R355&amp;COUNTIF($R$2:R355,R355)</f>
        <v>171</v>
      </c>
      <c r="T355" s="141">
        <f t="shared" si="113"/>
        <v>150522.44800000035</v>
      </c>
      <c r="U355" t="str">
        <f t="shared" si="114"/>
        <v/>
      </c>
      <c r="V355" t="str">
        <f t="shared" si="115"/>
        <v>1CC</v>
      </c>
      <c r="W355" t="str">
        <f>+V355&amp;COUNTIF($V$2:V355,V355)</f>
        <v>1CC68</v>
      </c>
    </row>
    <row r="356" spans="1:23" x14ac:dyDescent="0.25">
      <c r="A356" t="str">
        <f>Q356&amp;COUNTIF($Q$30:Q356,Q356)</f>
        <v>AGOSTO 511</v>
      </c>
      <c r="B356" t="s">
        <v>837</v>
      </c>
      <c r="F356" t="str">
        <f>+IFERROR(INDEX('AUX23'!$C$2:$D$90,MATCH(CARGAFACTURAS!C356,'AUX23'!$D$2:$D$90,0),1),"")</f>
        <v/>
      </c>
      <c r="G356" s="141"/>
      <c r="H356" s="141">
        <f>+IF(G356&lt;19999,0,IFERROR(VLOOKUP(C356,'AUX23'!$D$2:$K$70,3,0)*G356/100,0))</f>
        <v>0</v>
      </c>
      <c r="I356" s="141">
        <f>IF(G356&lt;9999,0,IFERROR(VLOOKUP(C356,'AUX23'!$D$2:$L$70,4,0)*G356/100,0))</f>
        <v>0</v>
      </c>
      <c r="J356" s="141">
        <f>IF(G356&lt;9999,0,IFERROR(VLOOKUP(C356,'AUX23'!$D$2:$L$70,5,0)*G356/100,0))</f>
        <v>0</v>
      </c>
      <c r="K356" s="141">
        <f>IF(G356&lt;9999,0,IFERROR((G356-67170)*VLOOKUP(C356,'AUX23'!$D$2:$L$70,6,0)/100,0))</f>
        <v>0</v>
      </c>
      <c r="L356" s="141">
        <f>IF(G356&lt;9999,0,IFERROR((G356/1.21)*VLOOKUP(C356,'AUX23'!$D$2:$L$70,7,0)/100,0))</f>
        <v>0</v>
      </c>
      <c r="M356" s="141">
        <f t="shared" si="108"/>
        <v>0</v>
      </c>
      <c r="N356" t="str">
        <f t="shared" si="109"/>
        <v>CC</v>
      </c>
      <c r="O356">
        <f t="shared" si="110"/>
        <v>1</v>
      </c>
      <c r="Q356" t="str">
        <f t="shared" si="111"/>
        <v>AGOSTO 51</v>
      </c>
      <c r="R356" t="str">
        <f t="shared" si="112"/>
        <v>1</v>
      </c>
      <c r="S356" t="str">
        <f>+R356&amp;COUNTIF($R$2:R356,R356)</f>
        <v>172</v>
      </c>
      <c r="T356" s="141">
        <f t="shared" si="113"/>
        <v>150522.44800000035</v>
      </c>
      <c r="U356" t="str">
        <f t="shared" si="114"/>
        <v/>
      </c>
      <c r="V356" t="str">
        <f t="shared" si="115"/>
        <v>1CC</v>
      </c>
      <c r="W356" t="str">
        <f>+V356&amp;COUNTIF($V$2:V356,V356)</f>
        <v>1CC69</v>
      </c>
    </row>
    <row r="357" spans="1:23" x14ac:dyDescent="0.25">
      <c r="A357" t="str">
        <f>Q357&amp;COUNTIF($Q$30:Q357,Q357)</f>
        <v>AGOSTO 521</v>
      </c>
      <c r="B357" t="s">
        <v>838</v>
      </c>
      <c r="F357" t="str">
        <f>+IFERROR(INDEX('AUX23'!$C$2:$D$90,MATCH(CARGAFACTURAS!C357,'AUX23'!$D$2:$D$90,0),1),"")</f>
        <v/>
      </c>
      <c r="G357" s="141"/>
      <c r="H357" s="141">
        <f>+IF(G357&lt;19999,0,IFERROR(VLOOKUP(C357,'AUX23'!$D$2:$K$70,3,0)*G357/100,0))</f>
        <v>0</v>
      </c>
      <c r="I357" s="141">
        <f>IF(G357&lt;9999,0,IFERROR(VLOOKUP(C357,'AUX23'!$D$2:$L$70,4,0)*G357/100,0))</f>
        <v>0</v>
      </c>
      <c r="J357" s="141">
        <f>IF(G357&lt;9999,0,IFERROR(VLOOKUP(C357,'AUX23'!$D$2:$L$70,5,0)*G357/100,0))</f>
        <v>0</v>
      </c>
      <c r="K357" s="141">
        <f>IF(G357&lt;9999,0,IFERROR((G357-67170)*VLOOKUP(C357,'AUX23'!$D$2:$L$70,6,0)/100,0))</f>
        <v>0</v>
      </c>
      <c r="L357" s="141">
        <f>IF(G357&lt;9999,0,IFERROR((G357/1.21)*VLOOKUP(C357,'AUX23'!$D$2:$L$70,7,0)/100,0))</f>
        <v>0</v>
      </c>
      <c r="M357" s="141">
        <f t="shared" si="108"/>
        <v>0</v>
      </c>
      <c r="N357" t="str">
        <f t="shared" si="109"/>
        <v>CC</v>
      </c>
      <c r="O357">
        <f t="shared" si="110"/>
        <v>1</v>
      </c>
      <c r="Q357" t="str">
        <f t="shared" si="111"/>
        <v>AGOSTO 52</v>
      </c>
      <c r="R357" t="str">
        <f t="shared" si="112"/>
        <v>1</v>
      </c>
      <c r="S357" t="str">
        <f>+R357&amp;COUNTIF($R$2:R357,R357)</f>
        <v>173</v>
      </c>
      <c r="T357" s="141">
        <f t="shared" si="113"/>
        <v>150522.44800000035</v>
      </c>
      <c r="U357" t="str">
        <f t="shared" si="114"/>
        <v/>
      </c>
      <c r="V357" t="str">
        <f t="shared" si="115"/>
        <v>1CC</v>
      </c>
      <c r="W357" t="str">
        <f>+V357&amp;COUNTIF($V$2:V357,V357)</f>
        <v>1CC70</v>
      </c>
    </row>
    <row r="358" spans="1:23" x14ac:dyDescent="0.25">
      <c r="A358" t="str">
        <f>Q358&amp;COUNTIF($Q$30:Q358,Q358)</f>
        <v>AGOSTO 531</v>
      </c>
      <c r="B358" t="s">
        <v>839</v>
      </c>
      <c r="F358" t="str">
        <f>+IFERROR(INDEX('AUX23'!$C$2:$D$90,MATCH(CARGAFACTURAS!C358,'AUX23'!$D$2:$D$90,0),1),"")</f>
        <v/>
      </c>
      <c r="G358" s="141"/>
      <c r="H358" s="141">
        <f>+IF(G358&lt;19999,0,IFERROR(VLOOKUP(C358,'AUX23'!$D$2:$K$70,3,0)*G358/100,0))</f>
        <v>0</v>
      </c>
      <c r="I358" s="141">
        <f>IF(G358&lt;9999,0,IFERROR(VLOOKUP(C358,'AUX23'!$D$2:$L$70,4,0)*G358/100,0))</f>
        <v>0</v>
      </c>
      <c r="J358" s="141">
        <f>IF(G358&lt;9999,0,IFERROR(VLOOKUP(C358,'AUX23'!$D$2:$L$70,5,0)*G358/100,0))</f>
        <v>0</v>
      </c>
      <c r="K358" s="141">
        <f>IF(G358&lt;9999,0,IFERROR((G358-67170)*VLOOKUP(C358,'AUX23'!$D$2:$L$70,6,0)/100,0))</f>
        <v>0</v>
      </c>
      <c r="L358" s="141">
        <f>IF(G358&lt;9999,0,IFERROR((G358/1.21)*VLOOKUP(C358,'AUX23'!$D$2:$L$70,7,0)/100,0))</f>
        <v>0</v>
      </c>
      <c r="M358" s="141">
        <f t="shared" si="108"/>
        <v>0</v>
      </c>
      <c r="N358" t="str">
        <f t="shared" si="109"/>
        <v>CC</v>
      </c>
      <c r="O358">
        <f t="shared" si="110"/>
        <v>1</v>
      </c>
      <c r="Q358" t="str">
        <f t="shared" si="111"/>
        <v>AGOSTO 53</v>
      </c>
      <c r="R358" t="str">
        <f t="shared" si="112"/>
        <v>1</v>
      </c>
      <c r="S358" t="str">
        <f>+R358&amp;COUNTIF($R$2:R358,R358)</f>
        <v>174</v>
      </c>
      <c r="T358" s="141">
        <f t="shared" si="113"/>
        <v>150522.44800000035</v>
      </c>
      <c r="U358" t="str">
        <f t="shared" si="114"/>
        <v/>
      </c>
      <c r="V358" t="str">
        <f t="shared" si="115"/>
        <v>1CC</v>
      </c>
      <c r="W358" t="str">
        <f>+V358&amp;COUNTIF($V$2:V358,V358)</f>
        <v>1CC71</v>
      </c>
    </row>
    <row r="359" spans="1:23" x14ac:dyDescent="0.25">
      <c r="A359" t="str">
        <f>Q359&amp;COUNTIF($Q$30:Q359,Q359)</f>
        <v>AGOSTO 541</v>
      </c>
      <c r="B359" t="s">
        <v>840</v>
      </c>
      <c r="F359" t="str">
        <f>+IFERROR(INDEX('AUX23'!$C$2:$D$90,MATCH(CARGAFACTURAS!C359,'AUX23'!$D$2:$D$90,0),1),"")</f>
        <v/>
      </c>
      <c r="G359" s="141"/>
      <c r="H359" s="141">
        <f>+IF(G359&lt;19999,0,IFERROR(VLOOKUP(C359,'AUX23'!$D$2:$K$70,3,0)*G359/100,0))</f>
        <v>0</v>
      </c>
      <c r="I359" s="141">
        <f>IF(G359&lt;9999,0,IFERROR(VLOOKUP(C359,'AUX23'!$D$2:$L$70,4,0)*G359/100,0))</f>
        <v>0</v>
      </c>
      <c r="J359" s="141">
        <f>IF(G359&lt;9999,0,IFERROR(VLOOKUP(C359,'AUX23'!$D$2:$L$70,5,0)*G359/100,0))</f>
        <v>0</v>
      </c>
      <c r="K359" s="141">
        <f>IF(G359&lt;9999,0,IFERROR((G359-67170)*VLOOKUP(C359,'AUX23'!$D$2:$L$70,6,0)/100,0))</f>
        <v>0</v>
      </c>
      <c r="L359" s="141">
        <f>IF(G359&lt;9999,0,IFERROR((G359/1.21)*VLOOKUP(C359,'AUX23'!$D$2:$L$70,7,0)/100,0))</f>
        <v>0</v>
      </c>
      <c r="M359" s="141">
        <f t="shared" si="108"/>
        <v>0</v>
      </c>
      <c r="N359" t="str">
        <f t="shared" si="109"/>
        <v>CC</v>
      </c>
      <c r="O359">
        <f t="shared" si="110"/>
        <v>1</v>
      </c>
      <c r="Q359" t="str">
        <f t="shared" si="111"/>
        <v>AGOSTO 54</v>
      </c>
      <c r="R359" t="str">
        <f t="shared" si="112"/>
        <v>1</v>
      </c>
      <c r="S359" t="str">
        <f>+R359&amp;COUNTIF($R$2:R359,R359)</f>
        <v>175</v>
      </c>
      <c r="T359" s="141">
        <f t="shared" si="113"/>
        <v>150522.44800000035</v>
      </c>
      <c r="U359" t="str">
        <f t="shared" si="114"/>
        <v/>
      </c>
      <c r="V359" t="str">
        <f t="shared" si="115"/>
        <v>1CC</v>
      </c>
      <c r="W359" t="str">
        <f>+V359&amp;COUNTIF($V$2:V359,V359)</f>
        <v>1CC72</v>
      </c>
    </row>
    <row r="360" spans="1:23" x14ac:dyDescent="0.25">
      <c r="A360" t="str">
        <f>Q360&amp;COUNTIF($Q$30:Q360,Q360)</f>
        <v>AGOSTO 551</v>
      </c>
      <c r="B360" t="s">
        <v>841</v>
      </c>
      <c r="F360" t="str">
        <f>+IFERROR(INDEX('AUX23'!$C$2:$D$90,MATCH(CARGAFACTURAS!C360,'AUX23'!$D$2:$D$90,0),1),"")</f>
        <v/>
      </c>
      <c r="G360" s="141"/>
      <c r="H360" s="141">
        <f>+IF(G360&lt;19999,0,IFERROR(VLOOKUP(C360,'AUX23'!$D$2:$K$70,3,0)*G360/100,0))</f>
        <v>0</v>
      </c>
      <c r="I360" s="141">
        <f>IF(G360&lt;9999,0,IFERROR(VLOOKUP(C360,'AUX23'!$D$2:$L$70,4,0)*G360/100,0))</f>
        <v>0</v>
      </c>
      <c r="J360" s="141">
        <f>IF(G360&lt;9999,0,IFERROR(VLOOKUP(C360,'AUX23'!$D$2:$L$70,5,0)*G360/100,0))</f>
        <v>0</v>
      </c>
      <c r="K360" s="141">
        <f>IF(G360&lt;9999,0,IFERROR((G360-67170)*VLOOKUP(C360,'AUX23'!$D$2:$L$70,6,0)/100,0))</f>
        <v>0</v>
      </c>
      <c r="L360" s="141">
        <f>IF(G360&lt;9999,0,IFERROR((G360/1.21)*VLOOKUP(C360,'AUX23'!$D$2:$L$70,7,0)/100,0))</f>
        <v>0</v>
      </c>
      <c r="M360" s="141">
        <f t="shared" si="108"/>
        <v>0</v>
      </c>
      <c r="N360" t="str">
        <f t="shared" si="109"/>
        <v>CC</v>
      </c>
      <c r="O360">
        <f t="shared" si="110"/>
        <v>1</v>
      </c>
      <c r="Q360" t="str">
        <f t="shared" si="111"/>
        <v>AGOSTO 55</v>
      </c>
      <c r="R360" t="str">
        <f t="shared" si="112"/>
        <v>1</v>
      </c>
      <c r="S360" t="str">
        <f>+R360&amp;COUNTIF($R$2:R360,R360)</f>
        <v>176</v>
      </c>
      <c r="T360" s="141">
        <f t="shared" si="113"/>
        <v>150522.44800000035</v>
      </c>
      <c r="U360" t="str">
        <f t="shared" si="114"/>
        <v/>
      </c>
      <c r="V360" t="str">
        <f t="shared" si="115"/>
        <v>1CC</v>
      </c>
      <c r="W360" t="str">
        <f>+V360&amp;COUNTIF($V$2:V360,V360)</f>
        <v>1CC73</v>
      </c>
    </row>
    <row r="361" spans="1:23" x14ac:dyDescent="0.25">
      <c r="A361" t="str">
        <f>Q361&amp;COUNTIF($Q$30:Q361,Q361)</f>
        <v>AGOSTO 561</v>
      </c>
      <c r="B361" t="s">
        <v>842</v>
      </c>
      <c r="F361" t="str">
        <f>+IFERROR(INDEX('AUX23'!$C$2:$D$90,MATCH(CARGAFACTURAS!C361,'AUX23'!$D$2:$D$90,0),1),"")</f>
        <v/>
      </c>
      <c r="G361" s="141"/>
      <c r="H361" s="141">
        <f>+IF(G361&lt;19999,0,IFERROR(VLOOKUP(C361,'AUX23'!$D$2:$K$70,3,0)*G361/100,0))</f>
        <v>0</v>
      </c>
      <c r="I361" s="141">
        <f>IF(G361&lt;9999,0,IFERROR(VLOOKUP(C361,'AUX23'!$D$2:$L$70,4,0)*G361/100,0))</f>
        <v>0</v>
      </c>
      <c r="J361" s="141">
        <f>IF(G361&lt;9999,0,IFERROR(VLOOKUP(C361,'AUX23'!$D$2:$L$70,5,0)*G361/100,0))</f>
        <v>0</v>
      </c>
      <c r="K361" s="141">
        <f>IF(G361&lt;9999,0,IFERROR((G361-67170)*VLOOKUP(C361,'AUX23'!$D$2:$L$70,6,0)/100,0))</f>
        <v>0</v>
      </c>
      <c r="L361" s="141">
        <f>IF(G361&lt;9999,0,IFERROR((G361/1.21)*VLOOKUP(C361,'AUX23'!$D$2:$L$70,7,0)/100,0))</f>
        <v>0</v>
      </c>
      <c r="M361" s="141">
        <f t="shared" si="108"/>
        <v>0</v>
      </c>
      <c r="N361" t="str">
        <f t="shared" si="109"/>
        <v>CC</v>
      </c>
      <c r="O361">
        <f t="shared" si="110"/>
        <v>1</v>
      </c>
      <c r="Q361" t="str">
        <f t="shared" si="111"/>
        <v>AGOSTO 56</v>
      </c>
      <c r="R361" t="str">
        <f t="shared" si="112"/>
        <v>1</v>
      </c>
      <c r="S361" t="str">
        <f>+R361&amp;COUNTIF($R$2:R361,R361)</f>
        <v>177</v>
      </c>
      <c r="T361" s="141">
        <f t="shared" si="113"/>
        <v>150522.44800000035</v>
      </c>
      <c r="U361" t="str">
        <f t="shared" si="114"/>
        <v/>
      </c>
      <c r="V361" t="str">
        <f t="shared" si="115"/>
        <v>1CC</v>
      </c>
      <c r="W361" t="str">
        <f>+V361&amp;COUNTIF($V$2:V361,V361)</f>
        <v>1CC74</v>
      </c>
    </row>
    <row r="362" spans="1:23" x14ac:dyDescent="0.25">
      <c r="A362" t="str">
        <f>Q362&amp;COUNTIF($Q$30:Q362,Q362)</f>
        <v>AGOSTO 571</v>
      </c>
      <c r="B362" t="s">
        <v>843</v>
      </c>
      <c r="F362" t="str">
        <f>+IFERROR(INDEX('AUX23'!$C$2:$D$90,MATCH(CARGAFACTURAS!C362,'AUX23'!$D$2:$D$90,0),1),"")</f>
        <v/>
      </c>
      <c r="G362" s="141"/>
      <c r="H362" s="141">
        <f>+IF(G362&lt;19999,0,IFERROR(VLOOKUP(C362,'AUX23'!$D$2:$K$70,3,0)*G362/100,0))</f>
        <v>0</v>
      </c>
      <c r="I362" s="141">
        <f>IF(G362&lt;9999,0,IFERROR(VLOOKUP(C362,'AUX23'!$D$2:$L$70,4,0)*G362/100,0))</f>
        <v>0</v>
      </c>
      <c r="J362" s="141">
        <f>IF(G362&lt;9999,0,IFERROR(VLOOKUP(C362,'AUX23'!$D$2:$L$70,5,0)*G362/100,0))</f>
        <v>0</v>
      </c>
      <c r="K362" s="141">
        <f>IF(G362&lt;9999,0,IFERROR((G362-67170)*VLOOKUP(C362,'AUX23'!$D$2:$L$70,6,0)/100,0))</f>
        <v>0</v>
      </c>
      <c r="L362" s="141">
        <f>IF(G362&lt;9999,0,IFERROR((G362/1.21)*VLOOKUP(C362,'AUX23'!$D$2:$L$70,7,0)/100,0))</f>
        <v>0</v>
      </c>
      <c r="M362" s="141">
        <f t="shared" si="108"/>
        <v>0</v>
      </c>
      <c r="N362" t="str">
        <f t="shared" si="109"/>
        <v>CC</v>
      </c>
      <c r="O362">
        <f t="shared" si="110"/>
        <v>1</v>
      </c>
      <c r="Q362" t="str">
        <f t="shared" si="111"/>
        <v>AGOSTO 57</v>
      </c>
      <c r="R362" t="str">
        <f t="shared" si="112"/>
        <v>1</v>
      </c>
      <c r="S362" t="str">
        <f>+R362&amp;COUNTIF($R$2:R362,R362)</f>
        <v>178</v>
      </c>
      <c r="T362" s="141">
        <f t="shared" si="113"/>
        <v>150522.44800000035</v>
      </c>
      <c r="U362" t="str">
        <f t="shared" si="114"/>
        <v/>
      </c>
      <c r="V362" t="str">
        <f t="shared" si="115"/>
        <v>1CC</v>
      </c>
      <c r="W362" t="str">
        <f>+V362&amp;COUNTIF($V$2:V362,V362)</f>
        <v>1CC75</v>
      </c>
    </row>
    <row r="363" spans="1:23" x14ac:dyDescent="0.25">
      <c r="A363" t="str">
        <f>Q363&amp;COUNTIF($Q$30:Q363,Q363)</f>
        <v>AGOSTO 581</v>
      </c>
      <c r="B363" t="s">
        <v>844</v>
      </c>
      <c r="F363" t="str">
        <f>+IFERROR(INDEX('AUX23'!$C$2:$D$90,MATCH(CARGAFACTURAS!C363,'AUX23'!$D$2:$D$90,0),1),"")</f>
        <v/>
      </c>
      <c r="G363" s="141"/>
      <c r="H363" s="141">
        <f>+IF(G363&lt;19999,0,IFERROR(VLOOKUP(C363,'AUX23'!$D$2:$K$70,3,0)*G363/100,0))</f>
        <v>0</v>
      </c>
      <c r="I363" s="141">
        <f>IF(G363&lt;9999,0,IFERROR(VLOOKUP(C363,'AUX23'!$D$2:$L$70,4,0)*G363/100,0))</f>
        <v>0</v>
      </c>
      <c r="J363" s="141">
        <f>IF(G363&lt;9999,0,IFERROR(VLOOKUP(C363,'AUX23'!$D$2:$L$70,5,0)*G363/100,0))</f>
        <v>0</v>
      </c>
      <c r="K363" s="141">
        <f>IF(G363&lt;9999,0,IFERROR((G363-67170)*VLOOKUP(C363,'AUX23'!$D$2:$L$70,6,0)/100,0))</f>
        <v>0</v>
      </c>
      <c r="L363" s="141">
        <f>IF(G363&lt;9999,0,IFERROR((G363/1.21)*VLOOKUP(C363,'AUX23'!$D$2:$L$70,7,0)/100,0))</f>
        <v>0</v>
      </c>
      <c r="M363" s="141">
        <f t="shared" si="108"/>
        <v>0</v>
      </c>
      <c r="N363" t="str">
        <f t="shared" si="109"/>
        <v>CC</v>
      </c>
      <c r="O363">
        <f t="shared" si="110"/>
        <v>1</v>
      </c>
      <c r="Q363" t="str">
        <f t="shared" si="111"/>
        <v>AGOSTO 58</v>
      </c>
      <c r="R363" t="str">
        <f t="shared" si="112"/>
        <v>1</v>
      </c>
      <c r="S363" t="str">
        <f>+R363&amp;COUNTIF($R$2:R363,R363)</f>
        <v>179</v>
      </c>
      <c r="T363" s="141">
        <f t="shared" si="113"/>
        <v>150522.44800000035</v>
      </c>
      <c r="U363" t="str">
        <f t="shared" si="114"/>
        <v/>
      </c>
      <c r="V363" t="str">
        <f t="shared" si="115"/>
        <v>1CC</v>
      </c>
      <c r="W363" t="str">
        <f>+V363&amp;COUNTIF($V$2:V363,V363)</f>
        <v>1CC76</v>
      </c>
    </row>
    <row r="364" spans="1:23" x14ac:dyDescent="0.25">
      <c r="A364" t="str">
        <f>Q364&amp;COUNTIF($Q$30:Q364,Q364)</f>
        <v>AGOSTO 591</v>
      </c>
      <c r="B364" t="s">
        <v>845</v>
      </c>
      <c r="F364" t="str">
        <f>+IFERROR(INDEX('AUX23'!$C$2:$D$90,MATCH(CARGAFACTURAS!C364,'AUX23'!$D$2:$D$90,0),1),"")</f>
        <v/>
      </c>
      <c r="G364" s="141"/>
      <c r="H364" s="141">
        <f>+IF(G364&lt;19999,0,IFERROR(VLOOKUP(C364,'AUX23'!$D$2:$K$70,3,0)*G364/100,0))</f>
        <v>0</v>
      </c>
      <c r="I364" s="141">
        <f>IF(G364&lt;9999,0,IFERROR(VLOOKUP(C364,'AUX23'!$D$2:$L$70,4,0)*G364/100,0))</f>
        <v>0</v>
      </c>
      <c r="J364" s="141">
        <f>IF(G364&lt;9999,0,IFERROR(VLOOKUP(C364,'AUX23'!$D$2:$L$70,5,0)*G364/100,0))</f>
        <v>0</v>
      </c>
      <c r="K364" s="141">
        <f>IF(G364&lt;9999,0,IFERROR((G364-67170)*VLOOKUP(C364,'AUX23'!$D$2:$L$70,6,0)/100,0))</f>
        <v>0</v>
      </c>
      <c r="L364" s="141">
        <f>IF(G364&lt;9999,0,IFERROR((G364/1.21)*VLOOKUP(C364,'AUX23'!$D$2:$L$70,7,0)/100,0))</f>
        <v>0</v>
      </c>
      <c r="M364" s="141">
        <f t="shared" si="108"/>
        <v>0</v>
      </c>
      <c r="N364" t="str">
        <f t="shared" si="109"/>
        <v>CC</v>
      </c>
      <c r="O364">
        <f t="shared" si="110"/>
        <v>1</v>
      </c>
      <c r="Q364" t="str">
        <f t="shared" si="111"/>
        <v>AGOSTO 59</v>
      </c>
      <c r="R364" t="str">
        <f t="shared" si="112"/>
        <v>1</v>
      </c>
      <c r="S364" t="str">
        <f>+R364&amp;COUNTIF($R$2:R364,R364)</f>
        <v>180</v>
      </c>
      <c r="T364" s="141">
        <f t="shared" si="113"/>
        <v>150522.44800000035</v>
      </c>
      <c r="U364" t="str">
        <f t="shared" si="114"/>
        <v/>
      </c>
      <c r="V364" t="str">
        <f t="shared" si="115"/>
        <v>1CC</v>
      </c>
      <c r="W364" t="str">
        <f>+V364&amp;COUNTIF($V$2:V364,V364)</f>
        <v>1CC77</v>
      </c>
    </row>
    <row r="365" spans="1:23" x14ac:dyDescent="0.25">
      <c r="A365" t="str">
        <f>Q365&amp;COUNTIF($Q$30:Q365,Q365)</f>
        <v>AGOSTO 601</v>
      </c>
      <c r="B365" t="s">
        <v>846</v>
      </c>
      <c r="F365" t="str">
        <f>+IFERROR(INDEX('AUX23'!$C$2:$D$90,MATCH(CARGAFACTURAS!C365,'AUX23'!$D$2:$D$90,0),1),"")</f>
        <v/>
      </c>
      <c r="G365" s="141"/>
      <c r="H365" s="141">
        <f>+IF(G365&lt;19999,0,IFERROR(VLOOKUP(C365,'AUX23'!$D$2:$K$70,3,0)*G365/100,0))</f>
        <v>0</v>
      </c>
      <c r="I365" s="141">
        <f>IF(G365&lt;9999,0,IFERROR(VLOOKUP(C365,'AUX23'!$D$2:$L$70,4,0)*G365/100,0))</f>
        <v>0</v>
      </c>
      <c r="J365" s="141">
        <f>IF(G365&lt;9999,0,IFERROR(VLOOKUP(C365,'AUX23'!$D$2:$L$70,5,0)*G365/100,0))</f>
        <v>0</v>
      </c>
      <c r="K365" s="141">
        <f>IF(G365&lt;9999,0,IFERROR((G365-67170)*VLOOKUP(C365,'AUX23'!$D$2:$L$70,6,0)/100,0))</f>
        <v>0</v>
      </c>
      <c r="L365" s="141">
        <f>IF(G365&lt;9999,0,IFERROR((G365/1.21)*VLOOKUP(C365,'AUX23'!$D$2:$L$70,7,0)/100,0))</f>
        <v>0</v>
      </c>
      <c r="M365" s="141">
        <f t="shared" si="108"/>
        <v>0</v>
      </c>
      <c r="N365" t="str">
        <f t="shared" si="109"/>
        <v>CC</v>
      </c>
      <c r="O365">
        <f t="shared" si="110"/>
        <v>1</v>
      </c>
      <c r="Q365" t="str">
        <f t="shared" si="111"/>
        <v>AGOSTO 60</v>
      </c>
      <c r="R365" t="str">
        <f t="shared" si="112"/>
        <v>1</v>
      </c>
      <c r="S365" t="str">
        <f>+R365&amp;COUNTIF($R$2:R365,R365)</f>
        <v>181</v>
      </c>
      <c r="T365" s="141">
        <f t="shared" si="113"/>
        <v>150522.44800000035</v>
      </c>
      <c r="U365" t="str">
        <f t="shared" si="114"/>
        <v/>
      </c>
      <c r="V365" t="str">
        <f t="shared" si="115"/>
        <v>1CC</v>
      </c>
      <c r="W365" t="str">
        <f>+V365&amp;COUNTIF($V$2:V365,V365)</f>
        <v>1CC78</v>
      </c>
    </row>
    <row r="366" spans="1:23" x14ac:dyDescent="0.25">
      <c r="A366" t="str">
        <f>Q366&amp;COUNTIF($Q$30:Q366,Q366)</f>
        <v>AGOSTO 611</v>
      </c>
      <c r="B366" t="s">
        <v>847</v>
      </c>
      <c r="F366" t="str">
        <f>+IFERROR(INDEX('AUX23'!$C$2:$D$90,MATCH(CARGAFACTURAS!C366,'AUX23'!$D$2:$D$90,0),1),"")</f>
        <v/>
      </c>
      <c r="G366" s="141"/>
      <c r="H366" s="141">
        <f>+IF(G366&lt;19999,0,IFERROR(VLOOKUP(C366,'AUX23'!$D$2:$K$70,3,0)*G366/100,0))</f>
        <v>0</v>
      </c>
      <c r="I366" s="141">
        <f>IF(G366&lt;9999,0,IFERROR(VLOOKUP(C366,'AUX23'!$D$2:$L$70,4,0)*G366/100,0))</f>
        <v>0</v>
      </c>
      <c r="J366" s="141">
        <f>IF(G366&lt;9999,0,IFERROR(VLOOKUP(C366,'AUX23'!$D$2:$L$70,5,0)*G366/100,0))</f>
        <v>0</v>
      </c>
      <c r="K366" s="141">
        <f>IF(G366&lt;9999,0,IFERROR((G366-67170)*VLOOKUP(C366,'AUX23'!$D$2:$L$70,6,0)/100,0))</f>
        <v>0</v>
      </c>
      <c r="L366" s="141">
        <f>IF(G366&lt;9999,0,IFERROR((G366/1.21)*VLOOKUP(C366,'AUX23'!$D$2:$L$70,7,0)/100,0))</f>
        <v>0</v>
      </c>
      <c r="M366" s="141">
        <f t="shared" si="108"/>
        <v>0</v>
      </c>
      <c r="N366" t="str">
        <f t="shared" si="109"/>
        <v>CC</v>
      </c>
      <c r="O366">
        <f t="shared" si="110"/>
        <v>1</v>
      </c>
      <c r="Q366" t="str">
        <f t="shared" si="111"/>
        <v>AGOSTO 61</v>
      </c>
      <c r="R366" t="str">
        <f t="shared" si="112"/>
        <v>1</v>
      </c>
      <c r="S366" t="str">
        <f>+R366&amp;COUNTIF($R$2:R366,R366)</f>
        <v>182</v>
      </c>
      <c r="T366" s="141">
        <f t="shared" si="113"/>
        <v>150522.44800000035</v>
      </c>
      <c r="U366" t="str">
        <f t="shared" si="114"/>
        <v/>
      </c>
      <c r="V366" t="str">
        <f t="shared" si="115"/>
        <v>1CC</v>
      </c>
      <c r="W366" t="str">
        <f>+V366&amp;COUNTIF($V$2:V366,V366)</f>
        <v>1CC79</v>
      </c>
    </row>
    <row r="367" spans="1:23" x14ac:dyDescent="0.25">
      <c r="A367" t="str">
        <f>Q367&amp;COUNTIF($Q$30:Q367,Q367)</f>
        <v>AGOSTO 621</v>
      </c>
      <c r="B367" t="s">
        <v>848</v>
      </c>
      <c r="F367" t="str">
        <f>+IFERROR(INDEX('AUX23'!$C$2:$D$90,MATCH(CARGAFACTURAS!C367,'AUX23'!$D$2:$D$90,0),1),"")</f>
        <v/>
      </c>
      <c r="G367" s="141"/>
      <c r="H367" s="141">
        <f>+IF(G367&lt;19999,0,IFERROR(VLOOKUP(C367,'AUX23'!$D$2:$K$70,3,0)*G367/100,0))</f>
        <v>0</v>
      </c>
      <c r="I367" s="141">
        <f>IF(G367&lt;9999,0,IFERROR(VLOOKUP(C367,'AUX23'!$D$2:$L$70,4,0)*G367/100,0))</f>
        <v>0</v>
      </c>
      <c r="J367" s="141">
        <f>IF(G367&lt;9999,0,IFERROR(VLOOKUP(C367,'AUX23'!$D$2:$L$70,5,0)*G367/100,0))</f>
        <v>0</v>
      </c>
      <c r="K367" s="141">
        <f>IF(G367&lt;9999,0,IFERROR((G367-67170)*VLOOKUP(C367,'AUX23'!$D$2:$L$70,6,0)/100,0))</f>
        <v>0</v>
      </c>
      <c r="L367" s="141">
        <f>IF(G367&lt;9999,0,IFERROR((G367/1.21)*VLOOKUP(C367,'AUX23'!$D$2:$L$70,7,0)/100,0))</f>
        <v>0</v>
      </c>
      <c r="M367" s="141">
        <f t="shared" si="108"/>
        <v>0</v>
      </c>
      <c r="N367" t="str">
        <f t="shared" si="109"/>
        <v>CC</v>
      </c>
      <c r="O367">
        <f t="shared" si="110"/>
        <v>1</v>
      </c>
      <c r="Q367" t="str">
        <f t="shared" si="111"/>
        <v>AGOSTO 62</v>
      </c>
      <c r="R367" t="str">
        <f t="shared" si="112"/>
        <v>1</v>
      </c>
      <c r="S367" t="str">
        <f>+R367&amp;COUNTIF($R$2:R367,R367)</f>
        <v>183</v>
      </c>
      <c r="T367" s="141">
        <f t="shared" si="113"/>
        <v>150522.44800000035</v>
      </c>
      <c r="U367" t="str">
        <f t="shared" si="114"/>
        <v/>
      </c>
      <c r="V367" t="str">
        <f t="shared" si="115"/>
        <v>1CC</v>
      </c>
      <c r="W367" t="str">
        <f>+V367&amp;COUNTIF($V$2:V367,V367)</f>
        <v>1CC80</v>
      </c>
    </row>
    <row r="368" spans="1:23" x14ac:dyDescent="0.25">
      <c r="A368" t="str">
        <f>Q368&amp;COUNTIF($Q$30:Q368,Q368)</f>
        <v>AGOSTO 631</v>
      </c>
      <c r="B368" t="s">
        <v>849</v>
      </c>
      <c r="F368" t="str">
        <f>+IFERROR(INDEX('AUX23'!$C$2:$D$90,MATCH(CARGAFACTURAS!C368,'AUX23'!$D$2:$D$90,0),1),"")</f>
        <v/>
      </c>
      <c r="G368" s="141"/>
      <c r="H368" s="141">
        <f>+IF(G368&lt;19999,0,IFERROR(VLOOKUP(C368,'AUX23'!$D$2:$K$70,3,0)*G368/100,0))</f>
        <v>0</v>
      </c>
      <c r="I368" s="141">
        <f>IF(G368&lt;9999,0,IFERROR(VLOOKUP(C368,'AUX23'!$D$2:$L$70,4,0)*G368/100,0))</f>
        <v>0</v>
      </c>
      <c r="J368" s="141">
        <f>IF(G368&lt;9999,0,IFERROR(VLOOKUP(C368,'AUX23'!$D$2:$L$70,5,0)*G368/100,0))</f>
        <v>0</v>
      </c>
      <c r="K368" s="141">
        <f>IF(G368&lt;9999,0,IFERROR((G368-67170)*VLOOKUP(C368,'AUX23'!$D$2:$L$70,6,0)/100,0))</f>
        <v>0</v>
      </c>
      <c r="L368" s="141">
        <f>IF(G368&lt;9999,0,IFERROR((G368/1.21)*VLOOKUP(C368,'AUX23'!$D$2:$L$70,7,0)/100,0))</f>
        <v>0</v>
      </c>
      <c r="M368" s="141">
        <f t="shared" si="108"/>
        <v>0</v>
      </c>
      <c r="N368" t="str">
        <f t="shared" si="109"/>
        <v>CC</v>
      </c>
      <c r="O368">
        <f t="shared" si="110"/>
        <v>1</v>
      </c>
      <c r="Q368" t="str">
        <f t="shared" si="111"/>
        <v>AGOSTO 63</v>
      </c>
      <c r="R368" t="str">
        <f t="shared" si="112"/>
        <v>1</v>
      </c>
      <c r="S368" t="str">
        <f>+R368&amp;COUNTIF($R$2:R368,R368)</f>
        <v>184</v>
      </c>
      <c r="T368" s="141">
        <f t="shared" si="113"/>
        <v>150522.44800000035</v>
      </c>
      <c r="U368" t="str">
        <f t="shared" si="114"/>
        <v/>
      </c>
      <c r="V368" t="str">
        <f t="shared" si="115"/>
        <v>1CC</v>
      </c>
      <c r="W368" t="str">
        <f>+V368&amp;COUNTIF($V$2:V368,V368)</f>
        <v>1CC81</v>
      </c>
    </row>
    <row r="369" spans="1:23" x14ac:dyDescent="0.25">
      <c r="A369" t="str">
        <f>Q369&amp;COUNTIF($Q$30:Q369,Q369)</f>
        <v>AGOSTO 641</v>
      </c>
      <c r="B369" t="s">
        <v>850</v>
      </c>
      <c r="F369" t="str">
        <f>+IFERROR(INDEX('AUX23'!$C$2:$D$90,MATCH(CARGAFACTURAS!C369,'AUX23'!$D$2:$D$90,0),1),"")</f>
        <v/>
      </c>
      <c r="G369" s="141"/>
      <c r="H369" s="141">
        <f>+IF(G369&lt;19999,0,IFERROR(VLOOKUP(C369,'AUX23'!$D$2:$K$70,3,0)*G369/100,0))</f>
        <v>0</v>
      </c>
      <c r="I369" s="141">
        <f>IF(G369&lt;9999,0,IFERROR(VLOOKUP(C369,'AUX23'!$D$2:$L$70,4,0)*G369/100,0))</f>
        <v>0</v>
      </c>
      <c r="J369" s="141">
        <f>IF(G369&lt;9999,0,IFERROR(VLOOKUP(C369,'AUX23'!$D$2:$L$70,5,0)*G369/100,0))</f>
        <v>0</v>
      </c>
      <c r="K369" s="141">
        <f>IF(G369&lt;9999,0,IFERROR((G369-67170)*VLOOKUP(C369,'AUX23'!$D$2:$L$70,6,0)/100,0))</f>
        <v>0</v>
      </c>
      <c r="L369" s="141">
        <f>IF(G369&lt;9999,0,IFERROR((G369/1.21)*VLOOKUP(C369,'AUX23'!$D$2:$L$70,7,0)/100,0))</f>
        <v>0</v>
      </c>
      <c r="M369" s="141">
        <f t="shared" si="108"/>
        <v>0</v>
      </c>
      <c r="N369" t="str">
        <f t="shared" si="109"/>
        <v>CC</v>
      </c>
      <c r="O369">
        <f t="shared" si="110"/>
        <v>1</v>
      </c>
      <c r="Q369" t="str">
        <f t="shared" si="111"/>
        <v>AGOSTO 64</v>
      </c>
      <c r="R369" t="str">
        <f t="shared" si="112"/>
        <v>1</v>
      </c>
      <c r="S369" t="str">
        <f>+R369&amp;COUNTIF($R$2:R369,R369)</f>
        <v>185</v>
      </c>
      <c r="T369" s="141">
        <f t="shared" si="113"/>
        <v>150522.44800000035</v>
      </c>
      <c r="U369" t="str">
        <f t="shared" si="114"/>
        <v/>
      </c>
      <c r="V369" t="str">
        <f t="shared" si="115"/>
        <v>1CC</v>
      </c>
      <c r="W369" t="str">
        <f>+V369&amp;COUNTIF($V$2:V369,V369)</f>
        <v>1CC82</v>
      </c>
    </row>
    <row r="370" spans="1:23" x14ac:dyDescent="0.25">
      <c r="A370" t="str">
        <f>Q370&amp;COUNTIF($Q$30:Q370,Q370)</f>
        <v>AGOSTO 651</v>
      </c>
      <c r="B370" t="s">
        <v>851</v>
      </c>
      <c r="F370" t="str">
        <f>+IFERROR(INDEX('AUX23'!$C$2:$D$90,MATCH(CARGAFACTURAS!C370,'AUX23'!$D$2:$D$90,0),1),"")</f>
        <v/>
      </c>
      <c r="G370" s="141"/>
      <c r="H370" s="141">
        <f>+IF(G370&lt;19999,0,IFERROR(VLOOKUP(C370,'AUX23'!$D$2:$K$70,3,0)*G370/100,0))</f>
        <v>0</v>
      </c>
      <c r="I370" s="141">
        <f>IF(G370&lt;9999,0,IFERROR(VLOOKUP(C370,'AUX23'!$D$2:$L$70,4,0)*G370/100,0))</f>
        <v>0</v>
      </c>
      <c r="J370" s="141">
        <f>IF(G370&lt;9999,0,IFERROR(VLOOKUP(C370,'AUX23'!$D$2:$L$70,5,0)*G370/100,0))</f>
        <v>0</v>
      </c>
      <c r="K370" s="141">
        <f>IF(G370&lt;9999,0,IFERROR((G370-67170)*VLOOKUP(C370,'AUX23'!$D$2:$L$70,6,0)/100,0))</f>
        <v>0</v>
      </c>
      <c r="L370" s="141">
        <f>IF(G370&lt;9999,0,IFERROR((G370/1.21)*VLOOKUP(C370,'AUX23'!$D$2:$L$70,7,0)/100,0))</f>
        <v>0</v>
      </c>
      <c r="M370" s="141">
        <f t="shared" si="108"/>
        <v>0</v>
      </c>
      <c r="N370" t="str">
        <f t="shared" si="109"/>
        <v>CC</v>
      </c>
      <c r="O370">
        <f t="shared" si="110"/>
        <v>1</v>
      </c>
      <c r="Q370" t="str">
        <f t="shared" si="111"/>
        <v>AGOSTO 65</v>
      </c>
      <c r="R370" t="str">
        <f t="shared" si="112"/>
        <v>1</v>
      </c>
      <c r="S370" t="str">
        <f>+R370&amp;COUNTIF($R$2:R370,R370)</f>
        <v>186</v>
      </c>
      <c r="T370" s="141">
        <f t="shared" si="113"/>
        <v>150522.44800000035</v>
      </c>
      <c r="U370" t="str">
        <f t="shared" si="114"/>
        <v/>
      </c>
      <c r="V370" t="str">
        <f t="shared" si="115"/>
        <v>1CC</v>
      </c>
      <c r="W370" t="str">
        <f>+V370&amp;COUNTIF($V$2:V370,V370)</f>
        <v>1CC83</v>
      </c>
    </row>
    <row r="371" spans="1:23" x14ac:dyDescent="0.25">
      <c r="A371" t="str">
        <f>Q371&amp;COUNTIF($Q$30:Q371,Q371)</f>
        <v>AGOSTO 661</v>
      </c>
      <c r="B371" t="s">
        <v>852</v>
      </c>
      <c r="F371" t="str">
        <f>+IFERROR(INDEX('AUX23'!$C$2:$D$90,MATCH(CARGAFACTURAS!C371,'AUX23'!$D$2:$D$90,0),1),"")</f>
        <v/>
      </c>
      <c r="G371" s="141"/>
      <c r="H371" s="141">
        <f>+IF(G371&lt;19999,0,IFERROR(VLOOKUP(C371,'AUX23'!$D$2:$K$70,3,0)*G371/100,0))</f>
        <v>0</v>
      </c>
      <c r="I371" s="141">
        <f>IF(G371&lt;9999,0,IFERROR(VLOOKUP(C371,'AUX23'!$D$2:$L$70,4,0)*G371/100,0))</f>
        <v>0</v>
      </c>
      <c r="J371" s="141">
        <f>IF(G371&lt;9999,0,IFERROR(VLOOKUP(C371,'AUX23'!$D$2:$L$70,5,0)*G371/100,0))</f>
        <v>0</v>
      </c>
      <c r="K371" s="141">
        <f>IF(G371&lt;9999,0,IFERROR((G371-67170)*VLOOKUP(C371,'AUX23'!$D$2:$L$70,6,0)/100,0))</f>
        <v>0</v>
      </c>
      <c r="L371" s="141">
        <f>IF(G371&lt;9999,0,IFERROR((G371/1.21)*VLOOKUP(C371,'AUX23'!$D$2:$L$70,7,0)/100,0))</f>
        <v>0</v>
      </c>
      <c r="M371" s="141">
        <f t="shared" si="108"/>
        <v>0</v>
      </c>
      <c r="N371" t="str">
        <f t="shared" si="109"/>
        <v>CC</v>
      </c>
      <c r="O371">
        <f t="shared" si="110"/>
        <v>1</v>
      </c>
      <c r="Q371" t="str">
        <f t="shared" si="111"/>
        <v>AGOSTO 66</v>
      </c>
      <c r="R371" t="str">
        <f t="shared" si="112"/>
        <v>1</v>
      </c>
      <c r="S371" t="str">
        <f>+R371&amp;COUNTIF($R$2:R371,R371)</f>
        <v>187</v>
      </c>
      <c r="T371" s="141">
        <f t="shared" si="113"/>
        <v>150522.44800000035</v>
      </c>
      <c r="U371" t="str">
        <f t="shared" si="114"/>
        <v/>
      </c>
      <c r="V371" t="str">
        <f t="shared" si="115"/>
        <v>1CC</v>
      </c>
      <c r="W371" t="str">
        <f>+V371&amp;COUNTIF($V$2:V371,V371)</f>
        <v>1CC84</v>
      </c>
    </row>
    <row r="372" spans="1:23" x14ac:dyDescent="0.25">
      <c r="A372" t="str">
        <f>Q372&amp;COUNTIF($Q$30:Q372,Q372)</f>
        <v>AGOSTO 671</v>
      </c>
      <c r="B372" t="s">
        <v>853</v>
      </c>
      <c r="F372" t="str">
        <f>+IFERROR(INDEX('AUX23'!$C$2:$D$90,MATCH(CARGAFACTURAS!C372,'AUX23'!$D$2:$D$90,0),1),"")</f>
        <v/>
      </c>
      <c r="G372" s="141"/>
      <c r="H372" s="141">
        <f>+IF(G372&lt;19999,0,IFERROR(VLOOKUP(C372,'AUX23'!$D$2:$K$70,3,0)*G372/100,0))</f>
        <v>0</v>
      </c>
      <c r="I372" s="141">
        <f>IF(G372&lt;9999,0,IFERROR(VLOOKUP(C372,'AUX23'!$D$2:$L$70,4,0)*G372/100,0))</f>
        <v>0</v>
      </c>
      <c r="J372" s="141">
        <f>IF(G372&lt;9999,0,IFERROR(VLOOKUP(C372,'AUX23'!$D$2:$L$70,5,0)*G372/100,0))</f>
        <v>0</v>
      </c>
      <c r="K372" s="141">
        <f>IF(G372&lt;9999,0,IFERROR((G372-67170)*VLOOKUP(C372,'AUX23'!$D$2:$L$70,6,0)/100,0))</f>
        <v>0</v>
      </c>
      <c r="L372" s="141">
        <f>IF(G372&lt;9999,0,IFERROR((G372/1.21)*VLOOKUP(C372,'AUX23'!$D$2:$L$70,7,0)/100,0))</f>
        <v>0</v>
      </c>
      <c r="M372" s="141">
        <f t="shared" si="108"/>
        <v>0</v>
      </c>
      <c r="N372" t="str">
        <f t="shared" si="109"/>
        <v>CC</v>
      </c>
      <c r="O372">
        <f t="shared" si="110"/>
        <v>1</v>
      </c>
      <c r="Q372" t="str">
        <f t="shared" si="111"/>
        <v>AGOSTO 67</v>
      </c>
      <c r="R372" t="str">
        <f t="shared" si="112"/>
        <v>1</v>
      </c>
      <c r="S372" t="str">
        <f>+R372&amp;COUNTIF($R$2:R372,R372)</f>
        <v>188</v>
      </c>
      <c r="T372" s="141">
        <f t="shared" si="113"/>
        <v>150522.44800000035</v>
      </c>
      <c r="U372" t="str">
        <f t="shared" si="114"/>
        <v/>
      </c>
      <c r="V372" t="str">
        <f t="shared" si="115"/>
        <v>1CC</v>
      </c>
      <c r="W372" t="str">
        <f>+V372&amp;COUNTIF($V$2:V372,V372)</f>
        <v>1CC85</v>
      </c>
    </row>
    <row r="373" spans="1:23" x14ac:dyDescent="0.25">
      <c r="A373" t="str">
        <f>Q373&amp;COUNTIF($Q$30:Q373,Q373)</f>
        <v>AGOSTO 681</v>
      </c>
      <c r="B373" t="s">
        <v>854</v>
      </c>
      <c r="F373" t="str">
        <f>+IFERROR(INDEX('AUX23'!$C$2:$D$90,MATCH(CARGAFACTURAS!C373,'AUX23'!$D$2:$D$90,0),1),"")</f>
        <v/>
      </c>
      <c r="G373" s="141"/>
      <c r="H373" s="141">
        <f>+IF(G373&lt;19999,0,IFERROR(VLOOKUP(C373,'AUX23'!$D$2:$K$70,3,0)*G373/100,0))</f>
        <v>0</v>
      </c>
      <c r="I373" s="141">
        <f>IF(G373&lt;9999,0,IFERROR(VLOOKUP(C373,'AUX23'!$D$2:$L$70,4,0)*G373/100,0))</f>
        <v>0</v>
      </c>
      <c r="J373" s="141">
        <f>IF(G373&lt;9999,0,IFERROR(VLOOKUP(C373,'AUX23'!$D$2:$L$70,5,0)*G373/100,0))</f>
        <v>0</v>
      </c>
      <c r="K373" s="141">
        <f>IF(G373&lt;9999,0,IFERROR((G373-67170)*VLOOKUP(C373,'AUX23'!$D$2:$L$70,6,0)/100,0))</f>
        <v>0</v>
      </c>
      <c r="L373" s="141">
        <f>IF(G373&lt;9999,0,IFERROR((G373/1.21)*VLOOKUP(C373,'AUX23'!$D$2:$L$70,7,0)/100,0))</f>
        <v>0</v>
      </c>
      <c r="M373" s="141">
        <f t="shared" si="108"/>
        <v>0</v>
      </c>
      <c r="N373" t="str">
        <f t="shared" si="109"/>
        <v>CC</v>
      </c>
      <c r="O373">
        <f t="shared" si="110"/>
        <v>1</v>
      </c>
      <c r="Q373" t="str">
        <f t="shared" si="111"/>
        <v>AGOSTO 68</v>
      </c>
      <c r="R373" t="str">
        <f t="shared" si="112"/>
        <v>1</v>
      </c>
      <c r="S373" t="str">
        <f>+R373&amp;COUNTIF($R$2:R373,R373)</f>
        <v>189</v>
      </c>
      <c r="T373" s="141">
        <f t="shared" si="113"/>
        <v>150522.44800000035</v>
      </c>
      <c r="U373" t="str">
        <f t="shared" si="114"/>
        <v/>
      </c>
      <c r="V373" t="str">
        <f t="shared" si="115"/>
        <v>1CC</v>
      </c>
      <c r="W373" t="str">
        <f>+V373&amp;COUNTIF($V$2:V373,V373)</f>
        <v>1CC86</v>
      </c>
    </row>
    <row r="374" spans="1:23" x14ac:dyDescent="0.25">
      <c r="A374" t="str">
        <f>Q374&amp;COUNTIF($Q$30:Q374,Q374)</f>
        <v>AGOSTO 691</v>
      </c>
      <c r="B374" t="s">
        <v>855</v>
      </c>
      <c r="F374" t="str">
        <f>+IFERROR(INDEX('AUX23'!$C$2:$D$90,MATCH(CARGAFACTURAS!C374,'AUX23'!$D$2:$D$90,0),1),"")</f>
        <v/>
      </c>
      <c r="G374" s="141"/>
      <c r="H374" s="141">
        <f>+IF(G374&lt;19999,0,IFERROR(VLOOKUP(C374,'AUX23'!$D$2:$K$70,3,0)*G374/100,0))</f>
        <v>0</v>
      </c>
      <c r="I374" s="141">
        <f>IF(G374&lt;9999,0,IFERROR(VLOOKUP(C374,'AUX23'!$D$2:$L$70,4,0)*G374/100,0))</f>
        <v>0</v>
      </c>
      <c r="J374" s="141">
        <f>IF(G374&lt;9999,0,IFERROR(VLOOKUP(C374,'AUX23'!$D$2:$L$70,5,0)*G374/100,0))</f>
        <v>0</v>
      </c>
      <c r="K374" s="141">
        <f>IF(G374&lt;9999,0,IFERROR((G374-67170)*VLOOKUP(C374,'AUX23'!$D$2:$L$70,6,0)/100,0))</f>
        <v>0</v>
      </c>
      <c r="L374" s="141">
        <f>IF(G374&lt;9999,0,IFERROR((G374/1.21)*VLOOKUP(C374,'AUX23'!$D$2:$L$70,7,0)/100,0))</f>
        <v>0</v>
      </c>
      <c r="M374" s="141">
        <f t="shared" si="108"/>
        <v>0</v>
      </c>
      <c r="N374" t="str">
        <f t="shared" si="109"/>
        <v>CC</v>
      </c>
      <c r="O374">
        <f t="shared" si="110"/>
        <v>1</v>
      </c>
      <c r="Q374" t="str">
        <f t="shared" si="111"/>
        <v>AGOSTO 69</v>
      </c>
      <c r="R374" t="str">
        <f t="shared" si="112"/>
        <v>1</v>
      </c>
      <c r="S374" t="str">
        <f>+R374&amp;COUNTIF($R$2:R374,R374)</f>
        <v>190</v>
      </c>
      <c r="T374" s="141">
        <f t="shared" si="113"/>
        <v>150522.44800000035</v>
      </c>
      <c r="U374" t="str">
        <f t="shared" si="114"/>
        <v/>
      </c>
      <c r="V374" t="str">
        <f t="shared" si="115"/>
        <v>1CC</v>
      </c>
      <c r="W374" t="str">
        <f>+V374&amp;COUNTIF($V$2:V374,V374)</f>
        <v>1CC87</v>
      </c>
    </row>
    <row r="375" spans="1:23" x14ac:dyDescent="0.25">
      <c r="A375" t="str">
        <f>Q375&amp;COUNTIF($Q$30:Q375,Q375)</f>
        <v>AGOSTO 701</v>
      </c>
      <c r="B375" t="s">
        <v>856</v>
      </c>
      <c r="F375" t="str">
        <f>+IFERROR(INDEX('AUX23'!$C$2:$D$90,MATCH(CARGAFACTURAS!C375,'AUX23'!$D$2:$D$90,0),1),"")</f>
        <v/>
      </c>
      <c r="G375" s="141"/>
      <c r="H375" s="141">
        <f>+IF(G375&lt;19999,0,IFERROR(VLOOKUP(C375,'AUX23'!$D$2:$K$70,3,0)*G375/100,0))</f>
        <v>0</v>
      </c>
      <c r="I375" s="141">
        <f>IF(G375&lt;9999,0,IFERROR(VLOOKUP(C375,'AUX23'!$D$2:$L$70,4,0)*G375/100,0))</f>
        <v>0</v>
      </c>
      <c r="J375" s="141">
        <f>IF(G375&lt;9999,0,IFERROR(VLOOKUP(C375,'AUX23'!$D$2:$L$70,5,0)*G375/100,0))</f>
        <v>0</v>
      </c>
      <c r="K375" s="141">
        <f>IF(G375&lt;9999,0,IFERROR((G375-67170)*VLOOKUP(C375,'AUX23'!$D$2:$L$70,6,0)/100,0))</f>
        <v>0</v>
      </c>
      <c r="L375" s="141">
        <f>IF(G375&lt;9999,0,IFERROR((G375/1.21)*VLOOKUP(C375,'AUX23'!$D$2:$L$70,7,0)/100,0))</f>
        <v>0</v>
      </c>
      <c r="M375" s="141">
        <f t="shared" si="108"/>
        <v>0</v>
      </c>
      <c r="N375" t="str">
        <f t="shared" si="109"/>
        <v>CC</v>
      </c>
      <c r="O375">
        <f t="shared" si="110"/>
        <v>1</v>
      </c>
      <c r="Q375" t="str">
        <f t="shared" si="111"/>
        <v>AGOSTO 70</v>
      </c>
      <c r="R375" t="str">
        <f t="shared" si="112"/>
        <v>1</v>
      </c>
      <c r="S375" t="str">
        <f>+R375&amp;COUNTIF($R$2:R375,R375)</f>
        <v>191</v>
      </c>
      <c r="T375" s="141">
        <f t="shared" si="113"/>
        <v>150522.44800000035</v>
      </c>
      <c r="U375" t="str">
        <f t="shared" si="114"/>
        <v/>
      </c>
      <c r="V375" t="str">
        <f t="shared" si="115"/>
        <v>1CC</v>
      </c>
      <c r="W375" t="str">
        <f>+V375&amp;COUNTIF($V$2:V375,V375)</f>
        <v>1CC88</v>
      </c>
    </row>
    <row r="376" spans="1:23" x14ac:dyDescent="0.25">
      <c r="A376" t="str">
        <f>Q376&amp;COUNTIF($Q$30:Q376,Q376)</f>
        <v>AGOSTO 711</v>
      </c>
      <c r="B376" t="s">
        <v>857</v>
      </c>
      <c r="F376" t="str">
        <f>+IFERROR(INDEX('AUX23'!$C$2:$D$90,MATCH(CARGAFACTURAS!C376,'AUX23'!$D$2:$D$90,0),1),"")</f>
        <v/>
      </c>
      <c r="G376" s="141"/>
      <c r="H376" s="141">
        <f>+IF(G376&lt;19999,0,IFERROR(VLOOKUP(C376,'AUX23'!$D$2:$K$70,3,0)*G376/100,0))</f>
        <v>0</v>
      </c>
      <c r="I376" s="141">
        <f>IF(G376&lt;9999,0,IFERROR(VLOOKUP(C376,'AUX23'!$D$2:$L$70,4,0)*G376/100,0))</f>
        <v>0</v>
      </c>
      <c r="J376" s="141">
        <f>IF(G376&lt;9999,0,IFERROR(VLOOKUP(C376,'AUX23'!$D$2:$L$70,5,0)*G376/100,0))</f>
        <v>0</v>
      </c>
      <c r="K376" s="141">
        <f>IF(G376&lt;9999,0,IFERROR((G376-67170)*VLOOKUP(C376,'AUX23'!$D$2:$L$70,6,0)/100,0))</f>
        <v>0</v>
      </c>
      <c r="L376" s="141">
        <f>IF(G376&lt;9999,0,IFERROR((G376/1.21)*VLOOKUP(C376,'AUX23'!$D$2:$L$70,7,0)/100,0))</f>
        <v>0</v>
      </c>
      <c r="M376" s="141">
        <f t="shared" si="108"/>
        <v>0</v>
      </c>
      <c r="N376" t="str">
        <f t="shared" si="109"/>
        <v>CC</v>
      </c>
      <c r="O376">
        <f t="shared" si="110"/>
        <v>1</v>
      </c>
      <c r="Q376" t="str">
        <f t="shared" si="111"/>
        <v>AGOSTO 71</v>
      </c>
      <c r="R376" t="str">
        <f t="shared" si="112"/>
        <v>1</v>
      </c>
      <c r="S376" t="str">
        <f>+R376&amp;COUNTIF($R$2:R376,R376)</f>
        <v>192</v>
      </c>
      <c r="T376" s="141">
        <f t="shared" si="113"/>
        <v>150522.44800000035</v>
      </c>
      <c r="U376" t="str">
        <f t="shared" si="114"/>
        <v/>
      </c>
      <c r="V376" t="str">
        <f t="shared" si="115"/>
        <v>1CC</v>
      </c>
      <c r="W376" t="str">
        <f>+V376&amp;COUNTIF($V$2:V376,V376)</f>
        <v>1CC89</v>
      </c>
    </row>
    <row r="377" spans="1:23" x14ac:dyDescent="0.25">
      <c r="A377" t="str">
        <f>Q377&amp;COUNTIF($Q$30:Q377,Q377)</f>
        <v>AGOSTO 721</v>
      </c>
      <c r="B377" t="s">
        <v>858</v>
      </c>
      <c r="F377" t="str">
        <f>+IFERROR(INDEX('AUX23'!$C$2:$D$90,MATCH(CARGAFACTURAS!C377,'AUX23'!$D$2:$D$90,0),1),"")</f>
        <v/>
      </c>
      <c r="G377" s="141"/>
      <c r="H377" s="141">
        <f>+IF(G377&lt;19999,0,IFERROR(VLOOKUP(C377,'AUX23'!$D$2:$K$70,3,0)*G377/100,0))</f>
        <v>0</v>
      </c>
      <c r="I377" s="141">
        <f>IF(G377&lt;9999,0,IFERROR(VLOOKUP(C377,'AUX23'!$D$2:$L$70,4,0)*G377/100,0))</f>
        <v>0</v>
      </c>
      <c r="J377" s="141">
        <f>IF(G377&lt;9999,0,IFERROR(VLOOKUP(C377,'AUX23'!$D$2:$L$70,5,0)*G377/100,0))</f>
        <v>0</v>
      </c>
      <c r="K377" s="141">
        <f>IF(G377&lt;9999,0,IFERROR((G377-67170)*VLOOKUP(C377,'AUX23'!$D$2:$L$70,6,0)/100,0))</f>
        <v>0</v>
      </c>
      <c r="L377" s="141">
        <f>IF(G377&lt;9999,0,IFERROR((G377/1.21)*VLOOKUP(C377,'AUX23'!$D$2:$L$70,7,0)/100,0))</f>
        <v>0</v>
      </c>
      <c r="M377" s="141">
        <f t="shared" si="108"/>
        <v>0</v>
      </c>
      <c r="N377" t="str">
        <f t="shared" si="109"/>
        <v>CC</v>
      </c>
      <c r="O377">
        <f t="shared" si="110"/>
        <v>1</v>
      </c>
      <c r="Q377" t="str">
        <f t="shared" si="111"/>
        <v>AGOSTO 72</v>
      </c>
      <c r="R377" t="str">
        <f t="shared" si="112"/>
        <v>1</v>
      </c>
      <c r="S377" t="str">
        <f>+R377&amp;COUNTIF($R$2:R377,R377)</f>
        <v>193</v>
      </c>
      <c r="T377" s="141">
        <f t="shared" si="113"/>
        <v>150522.44800000035</v>
      </c>
      <c r="U377" t="str">
        <f t="shared" si="114"/>
        <v/>
      </c>
      <c r="V377" t="str">
        <f t="shared" si="115"/>
        <v>1CC</v>
      </c>
      <c r="W377" t="str">
        <f>+V377&amp;COUNTIF($V$2:V377,V377)</f>
        <v>1CC90</v>
      </c>
    </row>
    <row r="378" spans="1:23" x14ac:dyDescent="0.25">
      <c r="A378" t="str">
        <f>Q378&amp;COUNTIF($Q$30:Q378,Q378)</f>
        <v>AGOSTO 731</v>
      </c>
      <c r="B378" t="s">
        <v>859</v>
      </c>
      <c r="F378" t="str">
        <f>+IFERROR(INDEX('AUX23'!$C$2:$D$90,MATCH(CARGAFACTURAS!C378,'AUX23'!$D$2:$D$90,0),1),"")</f>
        <v/>
      </c>
      <c r="G378" s="141"/>
      <c r="H378" s="141">
        <f>+IF(G378&lt;19999,0,IFERROR(VLOOKUP(C378,'AUX23'!$D$2:$K$70,3,0)*G378/100,0))</f>
        <v>0</v>
      </c>
      <c r="I378" s="141">
        <f>IF(G378&lt;9999,0,IFERROR(VLOOKUP(C378,'AUX23'!$D$2:$L$70,4,0)*G378/100,0))</f>
        <v>0</v>
      </c>
      <c r="J378" s="141">
        <f>IF(G378&lt;9999,0,IFERROR(VLOOKUP(C378,'AUX23'!$D$2:$L$70,5,0)*G378/100,0))</f>
        <v>0</v>
      </c>
      <c r="K378" s="141">
        <f>IF(G378&lt;9999,0,IFERROR((G378-67170)*VLOOKUP(C378,'AUX23'!$D$2:$L$70,6,0)/100,0))</f>
        <v>0</v>
      </c>
      <c r="L378" s="141">
        <f>IF(G378&lt;9999,0,IFERROR((G378/1.21)*VLOOKUP(C378,'AUX23'!$D$2:$L$70,7,0)/100,0))</f>
        <v>0</v>
      </c>
      <c r="M378" s="141">
        <f t="shared" si="108"/>
        <v>0</v>
      </c>
      <c r="N378" t="str">
        <f t="shared" si="109"/>
        <v>CC</v>
      </c>
      <c r="O378">
        <f t="shared" si="110"/>
        <v>1</v>
      </c>
      <c r="Q378" t="str">
        <f t="shared" si="111"/>
        <v>AGOSTO 73</v>
      </c>
      <c r="R378" t="str">
        <f t="shared" si="112"/>
        <v>1</v>
      </c>
      <c r="S378" t="str">
        <f>+R378&amp;COUNTIF($R$2:R378,R378)</f>
        <v>194</v>
      </c>
      <c r="T378" s="141">
        <f t="shared" si="113"/>
        <v>150522.44800000035</v>
      </c>
      <c r="U378" t="str">
        <f t="shared" si="114"/>
        <v/>
      </c>
      <c r="V378" t="str">
        <f t="shared" si="115"/>
        <v>1CC</v>
      </c>
      <c r="W378" t="str">
        <f>+V378&amp;COUNTIF($V$2:V378,V378)</f>
        <v>1CC91</v>
      </c>
    </row>
    <row r="379" spans="1:23" x14ac:dyDescent="0.25">
      <c r="A379" t="str">
        <f>Q379&amp;COUNTIF($Q$30:Q379,Q379)</f>
        <v>AGOSTO 741</v>
      </c>
      <c r="B379" t="s">
        <v>860</v>
      </c>
      <c r="F379" t="str">
        <f>+IFERROR(INDEX('AUX23'!$C$2:$D$90,MATCH(CARGAFACTURAS!C379,'AUX23'!$D$2:$D$90,0),1),"")</f>
        <v/>
      </c>
      <c r="G379" s="141"/>
      <c r="H379" s="141">
        <f>+IF(G379&lt;19999,0,IFERROR(VLOOKUP(C379,'AUX23'!$D$2:$K$70,3,0)*G379/100,0))</f>
        <v>0</v>
      </c>
      <c r="I379" s="141">
        <f>IF(G379&lt;9999,0,IFERROR(VLOOKUP(C379,'AUX23'!$D$2:$L$70,4,0)*G379/100,0))</f>
        <v>0</v>
      </c>
      <c r="J379" s="141">
        <f>IF(G379&lt;9999,0,IFERROR(VLOOKUP(C379,'AUX23'!$D$2:$L$70,5,0)*G379/100,0))</f>
        <v>0</v>
      </c>
      <c r="K379" s="141">
        <f>IF(G379&lt;9999,0,IFERROR((G379-67170)*VLOOKUP(C379,'AUX23'!$D$2:$L$70,6,0)/100,0))</f>
        <v>0</v>
      </c>
      <c r="L379" s="141">
        <f>IF(G379&lt;9999,0,IFERROR((G379/1.21)*VLOOKUP(C379,'AUX23'!$D$2:$L$70,7,0)/100,0))</f>
        <v>0</v>
      </c>
      <c r="M379" s="141">
        <f t="shared" si="108"/>
        <v>0</v>
      </c>
      <c r="N379" t="str">
        <f t="shared" si="109"/>
        <v>CC</v>
      </c>
      <c r="O379">
        <f t="shared" si="110"/>
        <v>1</v>
      </c>
      <c r="Q379" t="str">
        <f t="shared" si="111"/>
        <v>AGOSTO 74</v>
      </c>
      <c r="R379" t="str">
        <f t="shared" si="112"/>
        <v>1</v>
      </c>
      <c r="S379" t="str">
        <f>+R379&amp;COUNTIF($R$2:R379,R379)</f>
        <v>195</v>
      </c>
      <c r="T379" s="141">
        <f t="shared" si="113"/>
        <v>150522.44800000035</v>
      </c>
      <c r="U379" t="str">
        <f t="shared" si="114"/>
        <v/>
      </c>
      <c r="V379" t="str">
        <f t="shared" si="115"/>
        <v>1CC</v>
      </c>
      <c r="W379" t="str">
        <f>+V379&amp;COUNTIF($V$2:V379,V379)</f>
        <v>1CC92</v>
      </c>
    </row>
    <row r="380" spans="1:23" x14ac:dyDescent="0.25">
      <c r="A380" t="str">
        <f>Q380&amp;COUNTIF($Q$30:Q380,Q380)</f>
        <v>AGOSTO 751</v>
      </c>
      <c r="B380" t="s">
        <v>861</v>
      </c>
      <c r="F380" t="str">
        <f>+IFERROR(INDEX('AUX23'!$C$2:$D$90,MATCH(CARGAFACTURAS!C380,'AUX23'!$D$2:$D$90,0),1),"")</f>
        <v/>
      </c>
      <c r="G380" s="141"/>
      <c r="H380" s="141">
        <f>+IF(G380&lt;19999,0,IFERROR(VLOOKUP(C380,'AUX23'!$D$2:$K$70,3,0)*G380/100,0))</f>
        <v>0</v>
      </c>
      <c r="I380" s="141">
        <f>IF(G380&lt;9999,0,IFERROR(VLOOKUP(C380,'AUX23'!$D$2:$L$70,4,0)*G380/100,0))</f>
        <v>0</v>
      </c>
      <c r="J380" s="141">
        <f>IF(G380&lt;9999,0,IFERROR(VLOOKUP(C380,'AUX23'!$D$2:$L$70,5,0)*G380/100,0))</f>
        <v>0</v>
      </c>
      <c r="K380" s="141">
        <f>IF(G380&lt;9999,0,IFERROR((G380-67170)*VLOOKUP(C380,'AUX23'!$D$2:$L$70,6,0)/100,0))</f>
        <v>0</v>
      </c>
      <c r="L380" s="141">
        <f>IF(G380&lt;9999,0,IFERROR((G380/1.21)*VLOOKUP(C380,'AUX23'!$D$2:$L$70,7,0)/100,0))</f>
        <v>0</v>
      </c>
      <c r="M380" s="141">
        <f t="shared" si="108"/>
        <v>0</v>
      </c>
      <c r="N380" t="str">
        <f t="shared" si="109"/>
        <v>CC</v>
      </c>
      <c r="O380">
        <f t="shared" si="110"/>
        <v>1</v>
      </c>
      <c r="Q380" t="str">
        <f t="shared" si="111"/>
        <v>AGOSTO 75</v>
      </c>
      <c r="R380" t="str">
        <f t="shared" si="112"/>
        <v>1</v>
      </c>
      <c r="S380" t="str">
        <f>+R380&amp;COUNTIF($R$2:R380,R380)</f>
        <v>196</v>
      </c>
      <c r="T380" s="141">
        <f t="shared" si="113"/>
        <v>150522.44800000035</v>
      </c>
      <c r="U380" t="str">
        <f t="shared" si="114"/>
        <v/>
      </c>
      <c r="V380" t="str">
        <f t="shared" si="115"/>
        <v>1CC</v>
      </c>
      <c r="W380" t="str">
        <f>+V380&amp;COUNTIF($V$2:V380,V380)</f>
        <v>1CC93</v>
      </c>
    </row>
    <row r="381" spans="1:23" x14ac:dyDescent="0.25">
      <c r="A381" t="str">
        <f>Q381&amp;COUNTIF($Q$30:Q381,Q381)</f>
        <v>AGOSTO 761</v>
      </c>
      <c r="B381" t="s">
        <v>862</v>
      </c>
      <c r="F381" t="str">
        <f>+IFERROR(INDEX('AUX23'!$C$2:$D$90,MATCH(CARGAFACTURAS!C381,'AUX23'!$D$2:$D$90,0),1),"")</f>
        <v/>
      </c>
      <c r="G381" s="141"/>
      <c r="H381" s="141">
        <f>+IF(G381&lt;19999,0,IFERROR(VLOOKUP(C381,'AUX23'!$D$2:$K$70,3,0)*G381/100,0))</f>
        <v>0</v>
      </c>
      <c r="I381" s="141">
        <f>IF(G381&lt;9999,0,IFERROR(VLOOKUP(C381,'AUX23'!$D$2:$L$70,4,0)*G381/100,0))</f>
        <v>0</v>
      </c>
      <c r="J381" s="141">
        <f>IF(G381&lt;9999,0,IFERROR(VLOOKUP(C381,'AUX23'!$D$2:$L$70,5,0)*G381/100,0))</f>
        <v>0</v>
      </c>
      <c r="K381" s="141">
        <f>IF(G381&lt;9999,0,IFERROR((G381-67170)*VLOOKUP(C381,'AUX23'!$D$2:$L$70,6,0)/100,0))</f>
        <v>0</v>
      </c>
      <c r="L381" s="141">
        <f>IF(G381&lt;9999,0,IFERROR((G381/1.21)*VLOOKUP(C381,'AUX23'!$D$2:$L$70,7,0)/100,0))</f>
        <v>0</v>
      </c>
      <c r="M381" s="141">
        <f t="shared" si="108"/>
        <v>0</v>
      </c>
      <c r="N381" t="str">
        <f t="shared" si="109"/>
        <v>CC</v>
      </c>
      <c r="O381">
        <f t="shared" si="110"/>
        <v>1</v>
      </c>
      <c r="Q381" t="str">
        <f t="shared" si="111"/>
        <v>AGOSTO 76</v>
      </c>
      <c r="R381" t="str">
        <f t="shared" si="112"/>
        <v>1</v>
      </c>
      <c r="S381" t="str">
        <f>+R381&amp;COUNTIF($R$2:R381,R381)</f>
        <v>197</v>
      </c>
      <c r="T381" s="141">
        <f t="shared" si="113"/>
        <v>150522.44800000035</v>
      </c>
      <c r="U381" t="str">
        <f t="shared" si="114"/>
        <v/>
      </c>
      <c r="V381" t="str">
        <f t="shared" si="115"/>
        <v>1CC</v>
      </c>
      <c r="W381" t="str">
        <f>+V381&amp;COUNTIF($V$2:V381,V381)</f>
        <v>1CC94</v>
      </c>
    </row>
    <row r="382" spans="1:23" x14ac:dyDescent="0.25">
      <c r="A382" t="str">
        <f>Q382&amp;COUNTIF($Q$30:Q382,Q382)</f>
        <v>AGOSTO 771</v>
      </c>
      <c r="B382" t="s">
        <v>863</v>
      </c>
      <c r="F382" t="str">
        <f>+IFERROR(INDEX('AUX23'!$C$2:$D$90,MATCH(CARGAFACTURAS!C382,'AUX23'!$D$2:$D$90,0),1),"")</f>
        <v/>
      </c>
      <c r="G382" s="141"/>
      <c r="H382" s="141">
        <f>+IF(G382&lt;19999,0,IFERROR(VLOOKUP(C382,'AUX23'!$D$2:$K$70,3,0)*G382/100,0))</f>
        <v>0</v>
      </c>
      <c r="I382" s="141">
        <f>IF(G382&lt;9999,0,IFERROR(VLOOKUP(C382,'AUX23'!$D$2:$L$70,4,0)*G382/100,0))</f>
        <v>0</v>
      </c>
      <c r="J382" s="141">
        <f>IF(G382&lt;9999,0,IFERROR(VLOOKUP(C382,'AUX23'!$D$2:$L$70,5,0)*G382/100,0))</f>
        <v>0</v>
      </c>
      <c r="K382" s="141">
        <f>IF(G382&lt;9999,0,IFERROR((G382-67170)*VLOOKUP(C382,'AUX23'!$D$2:$L$70,6,0)/100,0))</f>
        <v>0</v>
      </c>
      <c r="L382" s="141">
        <f>IF(G382&lt;9999,0,IFERROR((G382/1.21)*VLOOKUP(C382,'AUX23'!$D$2:$L$70,7,0)/100,0))</f>
        <v>0</v>
      </c>
      <c r="M382" s="141">
        <f t="shared" si="108"/>
        <v>0</v>
      </c>
      <c r="N382" t="str">
        <f t="shared" si="109"/>
        <v>CC</v>
      </c>
      <c r="O382">
        <f t="shared" si="110"/>
        <v>1</v>
      </c>
      <c r="Q382" t="str">
        <f t="shared" si="111"/>
        <v>AGOSTO 77</v>
      </c>
      <c r="R382" t="str">
        <f t="shared" si="112"/>
        <v>1</v>
      </c>
      <c r="S382" t="str">
        <f>+R382&amp;COUNTIF($R$2:R382,R382)</f>
        <v>198</v>
      </c>
      <c r="T382" s="141">
        <f t="shared" si="113"/>
        <v>150522.44800000035</v>
      </c>
      <c r="U382" t="str">
        <f t="shared" si="114"/>
        <v/>
      </c>
      <c r="V382" t="str">
        <f t="shared" si="115"/>
        <v>1CC</v>
      </c>
      <c r="W382" t="str">
        <f>+V382&amp;COUNTIF($V$2:V382,V382)</f>
        <v>1CC95</v>
      </c>
    </row>
    <row r="383" spans="1:23" x14ac:dyDescent="0.25">
      <c r="A383" t="str">
        <f>Q383&amp;COUNTIF($Q$30:Q383,Q383)</f>
        <v>AGOSTO 781</v>
      </c>
      <c r="B383" t="s">
        <v>864</v>
      </c>
      <c r="F383" t="str">
        <f>+IFERROR(INDEX('AUX23'!$C$2:$D$90,MATCH(CARGAFACTURAS!C383,'AUX23'!$D$2:$D$90,0),1),"")</f>
        <v/>
      </c>
      <c r="G383" s="141"/>
      <c r="H383" s="141">
        <f>+IF(G383&lt;19999,0,IFERROR(VLOOKUP(C383,'AUX23'!$D$2:$K$70,3,0)*G383/100,0))</f>
        <v>0</v>
      </c>
      <c r="I383" s="141">
        <f>IF(G383&lt;9999,0,IFERROR(VLOOKUP(C383,'AUX23'!$D$2:$L$70,4,0)*G383/100,0))</f>
        <v>0</v>
      </c>
      <c r="J383" s="141">
        <f>IF(G383&lt;9999,0,IFERROR(VLOOKUP(C383,'AUX23'!$D$2:$L$70,5,0)*G383/100,0))</f>
        <v>0</v>
      </c>
      <c r="K383" s="141">
        <f>IF(G383&lt;9999,0,IFERROR((G383-67170)*VLOOKUP(C383,'AUX23'!$D$2:$L$70,6,0)/100,0))</f>
        <v>0</v>
      </c>
      <c r="L383" s="141">
        <f>IF(G383&lt;9999,0,IFERROR((G383/1.21)*VLOOKUP(C383,'AUX23'!$D$2:$L$70,7,0)/100,0))</f>
        <v>0</v>
      </c>
      <c r="M383" s="141">
        <f t="shared" si="108"/>
        <v>0</v>
      </c>
      <c r="N383" t="str">
        <f t="shared" si="109"/>
        <v>CC</v>
      </c>
      <c r="O383">
        <f t="shared" si="110"/>
        <v>1</v>
      </c>
      <c r="Q383" t="str">
        <f t="shared" si="111"/>
        <v>AGOSTO 78</v>
      </c>
      <c r="R383" t="str">
        <f t="shared" si="112"/>
        <v>1</v>
      </c>
      <c r="S383" t="str">
        <f>+R383&amp;COUNTIF($R$2:R383,R383)</f>
        <v>199</v>
      </c>
      <c r="T383" s="141">
        <f t="shared" si="113"/>
        <v>150522.44800000035</v>
      </c>
      <c r="U383" t="str">
        <f t="shared" si="114"/>
        <v/>
      </c>
      <c r="V383" t="str">
        <f t="shared" si="115"/>
        <v>1CC</v>
      </c>
      <c r="W383" t="str">
        <f>+V383&amp;COUNTIF($V$2:V383,V383)</f>
        <v>1CC96</v>
      </c>
    </row>
    <row r="384" spans="1:23" x14ac:dyDescent="0.25">
      <c r="A384" t="str">
        <f>Q384&amp;COUNTIF($Q$30:Q384,Q384)</f>
        <v>AGOSTO 791</v>
      </c>
      <c r="B384" t="s">
        <v>865</v>
      </c>
      <c r="F384" t="str">
        <f>+IFERROR(INDEX('AUX23'!$C$2:$D$90,MATCH(CARGAFACTURAS!C384,'AUX23'!$D$2:$D$90,0),1),"")</f>
        <v/>
      </c>
      <c r="G384" s="141"/>
      <c r="H384" s="141">
        <f>+IF(G384&lt;19999,0,IFERROR(VLOOKUP(C384,'AUX23'!$D$2:$K$70,3,0)*G384/100,0))</f>
        <v>0</v>
      </c>
      <c r="I384" s="141">
        <f>IF(G384&lt;9999,0,IFERROR(VLOOKUP(C384,'AUX23'!$D$2:$L$70,4,0)*G384/100,0))</f>
        <v>0</v>
      </c>
      <c r="J384" s="141">
        <f>IF(G384&lt;9999,0,IFERROR(VLOOKUP(C384,'AUX23'!$D$2:$L$70,5,0)*G384/100,0))</f>
        <v>0</v>
      </c>
      <c r="K384" s="141">
        <f>IF(G384&lt;9999,0,IFERROR((G384-67170)*VLOOKUP(C384,'AUX23'!$D$2:$L$70,6,0)/100,0))</f>
        <v>0</v>
      </c>
      <c r="L384" s="141">
        <f>IF(G384&lt;9999,0,IFERROR((G384/1.21)*VLOOKUP(C384,'AUX23'!$D$2:$L$70,7,0)/100,0))</f>
        <v>0</v>
      </c>
      <c r="M384" s="141">
        <f t="shared" si="108"/>
        <v>0</v>
      </c>
      <c r="N384" t="str">
        <f t="shared" si="109"/>
        <v>CC</v>
      </c>
      <c r="O384">
        <f t="shared" si="110"/>
        <v>1</v>
      </c>
      <c r="Q384" t="str">
        <f t="shared" si="111"/>
        <v>AGOSTO 79</v>
      </c>
      <c r="R384" t="str">
        <f t="shared" si="112"/>
        <v>1</v>
      </c>
      <c r="S384" t="str">
        <f>+R384&amp;COUNTIF($R$2:R384,R384)</f>
        <v>1100</v>
      </c>
      <c r="T384" s="141">
        <f t="shared" si="113"/>
        <v>150522.44800000035</v>
      </c>
      <c r="U384" t="str">
        <f t="shared" si="114"/>
        <v/>
      </c>
      <c r="V384" t="str">
        <f t="shared" si="115"/>
        <v>1CC</v>
      </c>
      <c r="W384" t="str">
        <f>+V384&amp;COUNTIF($V$2:V384,V384)</f>
        <v>1CC97</v>
      </c>
    </row>
    <row r="385" spans="1:23" x14ac:dyDescent="0.25">
      <c r="A385" t="str">
        <f>Q385&amp;COUNTIF($Q$30:Q385,Q385)</f>
        <v>AGOSTO 801</v>
      </c>
      <c r="B385" t="s">
        <v>866</v>
      </c>
      <c r="F385" t="str">
        <f>+IFERROR(INDEX('AUX23'!$C$2:$D$90,MATCH(CARGAFACTURAS!C385,'AUX23'!$D$2:$D$90,0),1),"")</f>
        <v/>
      </c>
      <c r="G385" s="141"/>
      <c r="H385" s="141">
        <f>+IF(G385&lt;19999,0,IFERROR(VLOOKUP(C385,'AUX23'!$D$2:$K$70,3,0)*G385/100,0))</f>
        <v>0</v>
      </c>
      <c r="I385" s="141">
        <f>IF(G385&lt;9999,0,IFERROR(VLOOKUP(C385,'AUX23'!$D$2:$L$70,4,0)*G385/100,0))</f>
        <v>0</v>
      </c>
      <c r="J385" s="141">
        <f>IF(G385&lt;9999,0,IFERROR(VLOOKUP(C385,'AUX23'!$D$2:$L$70,5,0)*G385/100,0))</f>
        <v>0</v>
      </c>
      <c r="K385" s="141">
        <f>IF(G385&lt;9999,0,IFERROR((G385-67170)*VLOOKUP(C385,'AUX23'!$D$2:$L$70,6,0)/100,0))</f>
        <v>0</v>
      </c>
      <c r="L385" s="141">
        <f>IF(G385&lt;9999,0,IFERROR((G385/1.21)*VLOOKUP(C385,'AUX23'!$D$2:$L$70,7,0)/100,0))</f>
        <v>0</v>
      </c>
      <c r="M385" s="141">
        <f t="shared" si="108"/>
        <v>0</v>
      </c>
      <c r="N385" t="str">
        <f t="shared" si="109"/>
        <v>CC</v>
      </c>
      <c r="O385">
        <f t="shared" si="110"/>
        <v>1</v>
      </c>
      <c r="Q385" t="str">
        <f t="shared" si="111"/>
        <v>AGOSTO 80</v>
      </c>
      <c r="R385" t="str">
        <f t="shared" si="112"/>
        <v>1</v>
      </c>
      <c r="S385" t="str">
        <f>+R385&amp;COUNTIF($R$2:R385,R385)</f>
        <v>1101</v>
      </c>
      <c r="T385" s="141">
        <f t="shared" si="113"/>
        <v>150522.44800000035</v>
      </c>
      <c r="U385" t="str">
        <f t="shared" si="114"/>
        <v/>
      </c>
      <c r="V385" t="str">
        <f t="shared" si="115"/>
        <v>1CC</v>
      </c>
      <c r="W385" t="str">
        <f>+V385&amp;COUNTIF($V$2:V385,V385)</f>
        <v>1CC98</v>
      </c>
    </row>
    <row r="386" spans="1:23" x14ac:dyDescent="0.25">
      <c r="A386" t="str">
        <f>Q386&amp;COUNTIF($Q$30:Q386,Q386)</f>
        <v>AGOSTO 811</v>
      </c>
      <c r="B386" t="s">
        <v>867</v>
      </c>
      <c r="F386" t="str">
        <f>+IFERROR(INDEX('AUX23'!$C$2:$D$90,MATCH(CARGAFACTURAS!C386,'AUX23'!$D$2:$D$90,0),1),"")</f>
        <v/>
      </c>
      <c r="G386" s="141"/>
      <c r="H386" s="141">
        <f>+IF(G386&lt;19999,0,IFERROR(VLOOKUP(C386,'AUX23'!$D$2:$K$70,3,0)*G386/100,0))</f>
        <v>0</v>
      </c>
      <c r="I386" s="141">
        <f>IF(G386&lt;9999,0,IFERROR(VLOOKUP(C386,'AUX23'!$D$2:$L$70,4,0)*G386/100,0))</f>
        <v>0</v>
      </c>
      <c r="J386" s="141">
        <f>IF(G386&lt;9999,0,IFERROR(VLOOKUP(C386,'AUX23'!$D$2:$L$70,5,0)*G386/100,0))</f>
        <v>0</v>
      </c>
      <c r="K386" s="141">
        <f>IF(G386&lt;9999,0,IFERROR((G386-67170)*VLOOKUP(C386,'AUX23'!$D$2:$L$70,6,0)/100,0))</f>
        <v>0</v>
      </c>
      <c r="L386" s="141">
        <f>IF(G386&lt;9999,0,IFERROR((G386/1.21)*VLOOKUP(C386,'AUX23'!$D$2:$L$70,7,0)/100,0))</f>
        <v>0</v>
      </c>
      <c r="M386" s="141">
        <f t="shared" si="108"/>
        <v>0</v>
      </c>
      <c r="N386" t="str">
        <f t="shared" si="109"/>
        <v>CC</v>
      </c>
      <c r="O386">
        <f t="shared" si="110"/>
        <v>1</v>
      </c>
      <c r="Q386" t="str">
        <f t="shared" si="111"/>
        <v>AGOSTO 81</v>
      </c>
      <c r="R386" t="str">
        <f t="shared" si="112"/>
        <v>1</v>
      </c>
      <c r="S386" t="str">
        <f>+R386&amp;COUNTIF($R$2:R386,R386)</f>
        <v>1102</v>
      </c>
      <c r="T386" s="141">
        <f t="shared" si="113"/>
        <v>150522.44800000035</v>
      </c>
      <c r="U386" t="str">
        <f t="shared" si="114"/>
        <v/>
      </c>
      <c r="V386" t="str">
        <f t="shared" si="115"/>
        <v>1CC</v>
      </c>
      <c r="W386" t="str">
        <f>+V386&amp;COUNTIF($V$2:V386,V386)</f>
        <v>1CC99</v>
      </c>
    </row>
    <row r="387" spans="1:23" x14ac:dyDescent="0.25">
      <c r="A387" t="str">
        <f>Q387&amp;COUNTIF($Q$30:Q387,Q387)</f>
        <v>AGOSTO 821</v>
      </c>
      <c r="B387" t="s">
        <v>868</v>
      </c>
      <c r="F387" t="str">
        <f>+IFERROR(INDEX('AUX23'!$C$2:$D$90,MATCH(CARGAFACTURAS!C387,'AUX23'!$D$2:$D$90,0),1),"")</f>
        <v/>
      </c>
      <c r="G387" s="141"/>
      <c r="H387" s="141">
        <f>+IF(G387&lt;19999,0,IFERROR(VLOOKUP(C387,'AUX23'!$D$2:$K$70,3,0)*G387/100,0))</f>
        <v>0</v>
      </c>
      <c r="I387" s="141">
        <f>IF(G387&lt;9999,0,IFERROR(VLOOKUP(C387,'AUX23'!$D$2:$L$70,4,0)*G387/100,0))</f>
        <v>0</v>
      </c>
      <c r="J387" s="141">
        <f>IF(G387&lt;9999,0,IFERROR(VLOOKUP(C387,'AUX23'!$D$2:$L$70,5,0)*G387/100,0))</f>
        <v>0</v>
      </c>
      <c r="K387" s="141">
        <f>IF(G387&lt;9999,0,IFERROR((G387-67170)*VLOOKUP(C387,'AUX23'!$D$2:$L$70,6,0)/100,0))</f>
        <v>0</v>
      </c>
      <c r="L387" s="141">
        <f>IF(G387&lt;9999,0,IFERROR((G387/1.21)*VLOOKUP(C387,'AUX23'!$D$2:$L$70,7,0)/100,0))</f>
        <v>0</v>
      </c>
      <c r="M387" s="141">
        <f t="shared" si="108"/>
        <v>0</v>
      </c>
      <c r="N387" t="str">
        <f t="shared" si="109"/>
        <v>CC</v>
      </c>
      <c r="O387">
        <f t="shared" si="110"/>
        <v>1</v>
      </c>
      <c r="Q387" t="str">
        <f t="shared" si="111"/>
        <v>AGOSTO 82</v>
      </c>
      <c r="R387" t="str">
        <f t="shared" si="112"/>
        <v>1</v>
      </c>
      <c r="S387" t="str">
        <f>+R387&amp;COUNTIF($R$2:R387,R387)</f>
        <v>1103</v>
      </c>
      <c r="T387" s="141">
        <f t="shared" si="113"/>
        <v>150522.44800000035</v>
      </c>
      <c r="U387" t="str">
        <f t="shared" si="114"/>
        <v/>
      </c>
      <c r="V387" t="str">
        <f t="shared" si="115"/>
        <v>1CC</v>
      </c>
      <c r="W387" t="str">
        <f>+V387&amp;COUNTIF($V$2:V387,V387)</f>
        <v>1CC100</v>
      </c>
    </row>
    <row r="388" spans="1:23" x14ac:dyDescent="0.25">
      <c r="A388" t="str">
        <f>Q388&amp;COUNTIF($Q$30:Q388,Q388)</f>
        <v>AGOSTO 831</v>
      </c>
      <c r="B388" t="s">
        <v>869</v>
      </c>
      <c r="F388" t="str">
        <f>+IFERROR(INDEX('AUX23'!$C$2:$D$90,MATCH(CARGAFACTURAS!C388,'AUX23'!$D$2:$D$90,0),1),"")</f>
        <v/>
      </c>
      <c r="G388" s="141"/>
      <c r="H388" s="141">
        <f>+IF(G388&lt;19999,0,IFERROR(VLOOKUP(C388,'AUX23'!$D$2:$K$70,3,0)*G388/100,0))</f>
        <v>0</v>
      </c>
      <c r="I388" s="141">
        <f>IF(G388&lt;9999,0,IFERROR(VLOOKUP(C388,'AUX23'!$D$2:$L$70,4,0)*G388/100,0))</f>
        <v>0</v>
      </c>
      <c r="J388" s="141">
        <f>IF(G388&lt;9999,0,IFERROR(VLOOKUP(C388,'AUX23'!$D$2:$L$70,5,0)*G388/100,0))</f>
        <v>0</v>
      </c>
      <c r="K388" s="141">
        <f>IF(G388&lt;9999,0,IFERROR((G388-67170)*VLOOKUP(C388,'AUX23'!$D$2:$L$70,6,0)/100,0))</f>
        <v>0</v>
      </c>
      <c r="L388" s="141">
        <f>IF(G388&lt;9999,0,IFERROR((G388/1.21)*VLOOKUP(C388,'AUX23'!$D$2:$L$70,7,0)/100,0))</f>
        <v>0</v>
      </c>
      <c r="M388" s="141">
        <f t="shared" si="108"/>
        <v>0</v>
      </c>
      <c r="N388" t="str">
        <f t="shared" si="109"/>
        <v>CC</v>
      </c>
      <c r="O388">
        <f t="shared" si="110"/>
        <v>1</v>
      </c>
      <c r="Q388" t="str">
        <f t="shared" si="111"/>
        <v>AGOSTO 83</v>
      </c>
      <c r="R388" t="str">
        <f t="shared" si="112"/>
        <v>1</v>
      </c>
      <c r="S388" t="str">
        <f>+R388&amp;COUNTIF($R$2:R388,R388)</f>
        <v>1104</v>
      </c>
      <c r="T388" s="141">
        <f t="shared" si="113"/>
        <v>150522.44800000035</v>
      </c>
      <c r="U388" t="str">
        <f t="shared" si="114"/>
        <v/>
      </c>
      <c r="V388" t="str">
        <f t="shared" si="115"/>
        <v>1CC</v>
      </c>
      <c r="W388" t="str">
        <f>+V388&amp;COUNTIF($V$2:V388,V388)</f>
        <v>1CC101</v>
      </c>
    </row>
    <row r="389" spans="1:23" x14ac:dyDescent="0.25">
      <c r="A389" t="str">
        <f>Q389&amp;COUNTIF($Q$30:Q389,Q389)</f>
        <v>AGOSTO 841</v>
      </c>
      <c r="B389" t="s">
        <v>870</v>
      </c>
      <c r="F389" t="str">
        <f>+IFERROR(INDEX('AUX23'!$C$2:$D$90,MATCH(CARGAFACTURAS!C389,'AUX23'!$D$2:$D$90,0),1),"")</f>
        <v/>
      </c>
      <c r="G389" s="141"/>
      <c r="H389" s="141">
        <f>+IF(G389&lt;19999,0,IFERROR(VLOOKUP(C389,'AUX23'!$D$2:$K$70,3,0)*G389/100,0))</f>
        <v>0</v>
      </c>
      <c r="I389" s="141">
        <f>IF(G389&lt;9999,0,IFERROR(VLOOKUP(C389,'AUX23'!$D$2:$L$70,4,0)*G389/100,0))</f>
        <v>0</v>
      </c>
      <c r="J389" s="141">
        <f>IF(G389&lt;9999,0,IFERROR(VLOOKUP(C389,'AUX23'!$D$2:$L$70,5,0)*G389/100,0))</f>
        <v>0</v>
      </c>
      <c r="K389" s="141">
        <f>IF(G389&lt;9999,0,IFERROR((G389-67170)*VLOOKUP(C389,'AUX23'!$D$2:$L$70,6,0)/100,0))</f>
        <v>0</v>
      </c>
      <c r="L389" s="141">
        <f>IF(G389&lt;9999,0,IFERROR((G389/1.21)*VLOOKUP(C389,'AUX23'!$D$2:$L$70,7,0)/100,0))</f>
        <v>0</v>
      </c>
      <c r="M389" s="141">
        <f t="shared" si="108"/>
        <v>0</v>
      </c>
      <c r="N389" t="str">
        <f t="shared" si="109"/>
        <v>CC</v>
      </c>
      <c r="O389">
        <f t="shared" si="110"/>
        <v>1</v>
      </c>
      <c r="Q389" t="str">
        <f t="shared" si="111"/>
        <v>AGOSTO 84</v>
      </c>
      <c r="R389" t="str">
        <f t="shared" si="112"/>
        <v>1</v>
      </c>
      <c r="S389" t="str">
        <f>+R389&amp;COUNTIF($R$2:R389,R389)</f>
        <v>1105</v>
      </c>
      <c r="T389" s="141">
        <f t="shared" si="113"/>
        <v>150522.44800000035</v>
      </c>
      <c r="U389" t="str">
        <f t="shared" si="114"/>
        <v/>
      </c>
      <c r="V389" t="str">
        <f t="shared" si="115"/>
        <v>1CC</v>
      </c>
      <c r="W389" t="str">
        <f>+V389&amp;COUNTIF($V$2:V389,V389)</f>
        <v>1CC102</v>
      </c>
    </row>
    <row r="390" spans="1:23" x14ac:dyDescent="0.25">
      <c r="A390" t="str">
        <f>Q390&amp;COUNTIF($Q$30:Q390,Q390)</f>
        <v>AGOSTO 851</v>
      </c>
      <c r="B390" t="s">
        <v>871</v>
      </c>
      <c r="F390" t="str">
        <f>+IFERROR(INDEX('AUX23'!$C$2:$D$90,MATCH(CARGAFACTURAS!C390,'AUX23'!$D$2:$D$90,0),1),"")</f>
        <v/>
      </c>
      <c r="G390" s="141"/>
      <c r="H390" s="141">
        <f>+IF(G390&lt;19999,0,IFERROR(VLOOKUP(C390,'AUX23'!$D$2:$K$70,3,0)*G390/100,0))</f>
        <v>0</v>
      </c>
      <c r="I390" s="141">
        <f>IF(G390&lt;9999,0,IFERROR(VLOOKUP(C390,'AUX23'!$D$2:$L$70,4,0)*G390/100,0))</f>
        <v>0</v>
      </c>
      <c r="J390" s="141">
        <f>IF(G390&lt;9999,0,IFERROR(VLOOKUP(C390,'AUX23'!$D$2:$L$70,5,0)*G390/100,0))</f>
        <v>0</v>
      </c>
      <c r="K390" s="141">
        <f>IF(G390&lt;9999,0,IFERROR((G390-67170)*VLOOKUP(C390,'AUX23'!$D$2:$L$70,6,0)/100,0))</f>
        <v>0</v>
      </c>
      <c r="L390" s="141">
        <f>IF(G390&lt;9999,0,IFERROR((G390/1.21)*VLOOKUP(C390,'AUX23'!$D$2:$L$70,7,0)/100,0))</f>
        <v>0</v>
      </c>
      <c r="M390" s="141">
        <f t="shared" si="108"/>
        <v>0</v>
      </c>
      <c r="N390" t="str">
        <f t="shared" si="109"/>
        <v>CC</v>
      </c>
      <c r="O390">
        <f t="shared" si="110"/>
        <v>1</v>
      </c>
      <c r="Q390" t="str">
        <f t="shared" si="111"/>
        <v>AGOSTO 85</v>
      </c>
      <c r="R390" t="str">
        <f t="shared" si="112"/>
        <v>1</v>
      </c>
      <c r="S390" t="str">
        <f>+R390&amp;COUNTIF($R$2:R390,R390)</f>
        <v>1106</v>
      </c>
      <c r="T390" s="141">
        <f t="shared" si="113"/>
        <v>150522.44800000035</v>
      </c>
      <c r="U390" t="str">
        <f t="shared" si="114"/>
        <v/>
      </c>
      <c r="V390" t="str">
        <f t="shared" si="115"/>
        <v>1CC</v>
      </c>
      <c r="W390" t="str">
        <f>+V390&amp;COUNTIF($V$2:V390,V390)</f>
        <v>1CC103</v>
      </c>
    </row>
    <row r="391" spans="1:23" x14ac:dyDescent="0.25">
      <c r="A391" t="str">
        <f>Q391&amp;COUNTIF($Q$30:Q391,Q391)</f>
        <v>AGOSTO 861</v>
      </c>
      <c r="B391" t="s">
        <v>872</v>
      </c>
      <c r="F391" t="str">
        <f>+IFERROR(INDEX('AUX23'!$C$2:$D$90,MATCH(CARGAFACTURAS!C391,'AUX23'!$D$2:$D$90,0),1),"")</f>
        <v/>
      </c>
      <c r="G391" s="141"/>
      <c r="H391" s="141">
        <f>+IF(G391&lt;19999,0,IFERROR(VLOOKUP(C391,'AUX23'!$D$2:$K$70,3,0)*G391/100,0))</f>
        <v>0</v>
      </c>
      <c r="I391" s="141">
        <f>IF(G391&lt;9999,0,IFERROR(VLOOKUP(C391,'AUX23'!$D$2:$L$70,4,0)*G391/100,0))</f>
        <v>0</v>
      </c>
      <c r="J391" s="141">
        <f>IF(G391&lt;9999,0,IFERROR(VLOOKUP(C391,'AUX23'!$D$2:$L$70,5,0)*G391/100,0))</f>
        <v>0</v>
      </c>
      <c r="K391" s="141">
        <f>IF(G391&lt;9999,0,IFERROR((G391-67170)*VLOOKUP(C391,'AUX23'!$D$2:$L$70,6,0)/100,0))</f>
        <v>0</v>
      </c>
      <c r="L391" s="141">
        <f>IF(G391&lt;9999,0,IFERROR((G391/1.21)*VLOOKUP(C391,'AUX23'!$D$2:$L$70,7,0)/100,0))</f>
        <v>0</v>
      </c>
      <c r="M391" s="141">
        <f t="shared" si="108"/>
        <v>0</v>
      </c>
      <c r="N391" t="str">
        <f t="shared" si="109"/>
        <v>CC</v>
      </c>
      <c r="O391">
        <f t="shared" si="110"/>
        <v>1</v>
      </c>
      <c r="Q391" t="str">
        <f t="shared" si="111"/>
        <v>AGOSTO 86</v>
      </c>
      <c r="R391" t="str">
        <f t="shared" si="112"/>
        <v>1</v>
      </c>
      <c r="S391" t="str">
        <f>+R391&amp;COUNTIF($R$2:R391,R391)</f>
        <v>1107</v>
      </c>
      <c r="T391" s="141">
        <f t="shared" si="113"/>
        <v>150522.44800000035</v>
      </c>
      <c r="U391" t="str">
        <f t="shared" si="114"/>
        <v/>
      </c>
      <c r="V391" t="str">
        <f t="shared" si="115"/>
        <v>1CC</v>
      </c>
      <c r="W391" t="str">
        <f>+V391&amp;COUNTIF($V$2:V391,V391)</f>
        <v>1CC104</v>
      </c>
    </row>
    <row r="392" spans="1:23" x14ac:dyDescent="0.25">
      <c r="A392" t="str">
        <f>Q392&amp;COUNTIF($Q$30:Q392,Q392)</f>
        <v>AGOSTO 871</v>
      </c>
      <c r="B392" t="s">
        <v>873</v>
      </c>
      <c r="F392" t="str">
        <f>+IFERROR(INDEX('AUX23'!$C$2:$D$90,MATCH(CARGAFACTURAS!C392,'AUX23'!$D$2:$D$90,0),1),"")</f>
        <v/>
      </c>
      <c r="G392" s="141"/>
      <c r="H392" s="141">
        <f>+IF(G392&lt;19999,0,IFERROR(VLOOKUP(C392,'AUX23'!$D$2:$K$70,3,0)*G392/100,0))</f>
        <v>0</v>
      </c>
      <c r="I392" s="141">
        <f>IF(G392&lt;9999,0,IFERROR(VLOOKUP(C392,'AUX23'!$D$2:$L$70,4,0)*G392/100,0))</f>
        <v>0</v>
      </c>
      <c r="J392" s="141">
        <f>IF(G392&lt;9999,0,IFERROR(VLOOKUP(C392,'AUX23'!$D$2:$L$70,5,0)*G392/100,0))</f>
        <v>0</v>
      </c>
      <c r="K392" s="141">
        <f>IF(G392&lt;9999,0,IFERROR((G392-67170)*VLOOKUP(C392,'AUX23'!$D$2:$L$70,6,0)/100,0))</f>
        <v>0</v>
      </c>
      <c r="L392" s="141">
        <f>IF(G392&lt;9999,0,IFERROR((G392/1.21)*VLOOKUP(C392,'AUX23'!$D$2:$L$70,7,0)/100,0))</f>
        <v>0</v>
      </c>
      <c r="M392" s="141">
        <f t="shared" si="108"/>
        <v>0</v>
      </c>
      <c r="N392" t="str">
        <f t="shared" si="109"/>
        <v>CC</v>
      </c>
      <c r="O392">
        <f t="shared" si="110"/>
        <v>1</v>
      </c>
      <c r="Q392" t="str">
        <f t="shared" si="111"/>
        <v>AGOSTO 87</v>
      </c>
      <c r="R392" t="str">
        <f t="shared" si="112"/>
        <v>1</v>
      </c>
      <c r="S392" t="str">
        <f>+R392&amp;COUNTIF($R$2:R392,R392)</f>
        <v>1108</v>
      </c>
      <c r="T392" s="141">
        <f t="shared" si="113"/>
        <v>150522.44800000035</v>
      </c>
      <c r="U392" t="str">
        <f t="shared" si="114"/>
        <v/>
      </c>
      <c r="V392" t="str">
        <f t="shared" si="115"/>
        <v>1CC</v>
      </c>
      <c r="W392" t="str">
        <f>+V392&amp;COUNTIF($V$2:V392,V392)</f>
        <v>1CC105</v>
      </c>
    </row>
    <row r="393" spans="1:23" x14ac:dyDescent="0.25">
      <c r="A393" t="str">
        <f>Q393&amp;COUNTIF($Q$30:Q393,Q393)</f>
        <v>AGOSTO 881</v>
      </c>
      <c r="B393" t="s">
        <v>874</v>
      </c>
      <c r="F393" t="str">
        <f>+IFERROR(INDEX('AUX23'!$C$2:$D$90,MATCH(CARGAFACTURAS!C393,'AUX23'!$D$2:$D$90,0),1),"")</f>
        <v/>
      </c>
      <c r="G393" s="141"/>
      <c r="H393" s="141">
        <f>+IF(G393&lt;19999,0,IFERROR(VLOOKUP(C393,'AUX23'!$D$2:$K$70,3,0)*G393/100,0))</f>
        <v>0</v>
      </c>
      <c r="I393" s="141">
        <f>IF(G393&lt;9999,0,IFERROR(VLOOKUP(C393,'AUX23'!$D$2:$L$70,4,0)*G393/100,0))</f>
        <v>0</v>
      </c>
      <c r="J393" s="141">
        <f>IF(G393&lt;9999,0,IFERROR(VLOOKUP(C393,'AUX23'!$D$2:$L$70,5,0)*G393/100,0))</f>
        <v>0</v>
      </c>
      <c r="K393" s="141">
        <f>IF(G393&lt;9999,0,IFERROR((G393-67170)*VLOOKUP(C393,'AUX23'!$D$2:$L$70,6,0)/100,0))</f>
        <v>0</v>
      </c>
      <c r="L393" s="141">
        <f>IF(G393&lt;9999,0,IFERROR((G393/1.21)*VLOOKUP(C393,'AUX23'!$D$2:$L$70,7,0)/100,0))</f>
        <v>0</v>
      </c>
      <c r="M393" s="141">
        <f t="shared" ref="M393:M399" si="116">G393-H393-I393-J393-K393-L393</f>
        <v>0</v>
      </c>
      <c r="N393" t="str">
        <f t="shared" ref="N393:N399" si="117">+IF(G393&lt;9999,"CC","INGR. NUMERO")</f>
        <v>CC</v>
      </c>
      <c r="O393">
        <f t="shared" ref="O393:O399" si="118">+MONTH(E393)</f>
        <v>1</v>
      </c>
      <c r="Q393" t="str">
        <f t="shared" ref="Q393:Q399" si="119">+C393&amp;B393</f>
        <v>AGOSTO 88</v>
      </c>
      <c r="R393" t="str">
        <f t="shared" ref="R393:R399" si="120">+CLEAN(C393)&amp;CLEAN(O393)</f>
        <v>1</v>
      </c>
      <c r="S393" t="str">
        <f>+R393&amp;COUNTIF($R$2:R393,R393)</f>
        <v>1109</v>
      </c>
      <c r="T393" s="141">
        <f t="shared" ref="T393:T399" si="121">+T392-G393</f>
        <v>150522.44800000035</v>
      </c>
      <c r="U393" t="str">
        <f t="shared" ref="U393:U399" si="122">+RIGHT(D393,4)</f>
        <v/>
      </c>
      <c r="V393" t="str">
        <f t="shared" ref="V393:V399" si="123">+R393&amp;N393</f>
        <v>1CC</v>
      </c>
      <c r="W393" t="str">
        <f>+V393&amp;COUNTIF($V$2:V393,V393)</f>
        <v>1CC106</v>
      </c>
    </row>
    <row r="394" spans="1:23" x14ac:dyDescent="0.25">
      <c r="A394" t="str">
        <f>Q394&amp;COUNTIF($Q$30:Q394,Q394)</f>
        <v>AGOSTO 891</v>
      </c>
      <c r="B394" t="s">
        <v>875</v>
      </c>
      <c r="F394" t="str">
        <f>+IFERROR(INDEX('AUX23'!$C$2:$D$90,MATCH(CARGAFACTURAS!C394,'AUX23'!$D$2:$D$90,0),1),"")</f>
        <v/>
      </c>
      <c r="G394" s="141"/>
      <c r="H394" s="141">
        <f>+IF(G394&lt;19999,0,IFERROR(VLOOKUP(C394,'AUX23'!$D$2:$K$70,3,0)*G394/100,0))</f>
        <v>0</v>
      </c>
      <c r="I394" s="141">
        <f>IF(G394&lt;9999,0,IFERROR(VLOOKUP(C394,'AUX23'!$D$2:$L$70,4,0)*G394/100,0))</f>
        <v>0</v>
      </c>
      <c r="J394" s="141">
        <f>IF(G394&lt;9999,0,IFERROR(VLOOKUP(C394,'AUX23'!$D$2:$L$70,5,0)*G394/100,0))</f>
        <v>0</v>
      </c>
      <c r="K394" s="141">
        <f>IF(G394&lt;9999,0,IFERROR((G394-67170)*VLOOKUP(C394,'AUX23'!$D$2:$L$70,6,0)/100,0))</f>
        <v>0</v>
      </c>
      <c r="L394" s="141">
        <f>IF(G394&lt;9999,0,IFERROR((G394/1.21)*VLOOKUP(C394,'AUX23'!$D$2:$L$70,7,0)/100,0))</f>
        <v>0</v>
      </c>
      <c r="M394" s="141">
        <f t="shared" si="116"/>
        <v>0</v>
      </c>
      <c r="N394" t="str">
        <f t="shared" si="117"/>
        <v>CC</v>
      </c>
      <c r="O394">
        <f t="shared" si="118"/>
        <v>1</v>
      </c>
      <c r="Q394" t="str">
        <f t="shared" si="119"/>
        <v>AGOSTO 89</v>
      </c>
      <c r="R394" t="str">
        <f t="shared" si="120"/>
        <v>1</v>
      </c>
      <c r="S394" t="str">
        <f>+R394&amp;COUNTIF($R$2:R394,R394)</f>
        <v>1110</v>
      </c>
      <c r="T394" s="141">
        <f t="shared" si="121"/>
        <v>150522.44800000035</v>
      </c>
      <c r="U394" t="str">
        <f t="shared" si="122"/>
        <v/>
      </c>
      <c r="V394" t="str">
        <f t="shared" si="123"/>
        <v>1CC</v>
      </c>
      <c r="W394" t="str">
        <f>+V394&amp;COUNTIF($V$2:V394,V394)</f>
        <v>1CC107</v>
      </c>
    </row>
    <row r="395" spans="1:23" x14ac:dyDescent="0.25">
      <c r="A395" t="str">
        <f>Q395&amp;COUNTIF($Q$30:Q395,Q395)</f>
        <v>AGOSTO 901</v>
      </c>
      <c r="B395" t="s">
        <v>876</v>
      </c>
      <c r="F395" t="str">
        <f>+IFERROR(INDEX('AUX23'!$C$2:$D$90,MATCH(CARGAFACTURAS!C395,'AUX23'!$D$2:$D$90,0),1),"")</f>
        <v/>
      </c>
      <c r="G395" s="141"/>
      <c r="H395" s="141">
        <f>+IF(G395&lt;19999,0,IFERROR(VLOOKUP(C395,'AUX23'!$D$2:$K$70,3,0)*G395/100,0))</f>
        <v>0</v>
      </c>
      <c r="I395" s="141">
        <f>IF(G395&lt;9999,0,IFERROR(VLOOKUP(C395,'AUX23'!$D$2:$L$70,4,0)*G395/100,0))</f>
        <v>0</v>
      </c>
      <c r="J395" s="141">
        <f>IF(G395&lt;9999,0,IFERROR(VLOOKUP(C395,'AUX23'!$D$2:$L$70,5,0)*G395/100,0))</f>
        <v>0</v>
      </c>
      <c r="K395" s="141">
        <f>IF(G395&lt;9999,0,IFERROR((G395-67170)*VLOOKUP(C395,'AUX23'!$D$2:$L$70,6,0)/100,0))</f>
        <v>0</v>
      </c>
      <c r="L395" s="141">
        <f>IF(G395&lt;9999,0,IFERROR((G395/1.21)*VLOOKUP(C395,'AUX23'!$D$2:$L$70,7,0)/100,0))</f>
        <v>0</v>
      </c>
      <c r="M395" s="141">
        <f t="shared" si="116"/>
        <v>0</v>
      </c>
      <c r="N395" t="str">
        <f t="shared" si="117"/>
        <v>CC</v>
      </c>
      <c r="O395">
        <f t="shared" si="118"/>
        <v>1</v>
      </c>
      <c r="Q395" t="str">
        <f t="shared" si="119"/>
        <v>AGOSTO 90</v>
      </c>
      <c r="R395" t="str">
        <f t="shared" si="120"/>
        <v>1</v>
      </c>
      <c r="S395" t="str">
        <f>+R395&amp;COUNTIF($R$2:R395,R395)</f>
        <v>1111</v>
      </c>
      <c r="T395" s="141">
        <f t="shared" si="121"/>
        <v>150522.44800000035</v>
      </c>
      <c r="U395" t="str">
        <f t="shared" si="122"/>
        <v/>
      </c>
      <c r="V395" t="str">
        <f t="shared" si="123"/>
        <v>1CC</v>
      </c>
      <c r="W395" t="str">
        <f>+V395&amp;COUNTIF($V$2:V395,V395)</f>
        <v>1CC108</v>
      </c>
    </row>
    <row r="396" spans="1:23" x14ac:dyDescent="0.25">
      <c r="A396" t="str">
        <f>Q396&amp;COUNTIF($Q$30:Q396,Q396)</f>
        <v>AGOSTO 911</v>
      </c>
      <c r="B396" t="s">
        <v>877</v>
      </c>
      <c r="F396" t="str">
        <f>+IFERROR(INDEX('AUX23'!$C$2:$D$90,MATCH(CARGAFACTURAS!C396,'AUX23'!$D$2:$D$90,0),1),"")</f>
        <v/>
      </c>
      <c r="G396" s="141"/>
      <c r="H396" s="141">
        <f>+IF(G396&lt;19999,0,IFERROR(VLOOKUP(C396,'AUX23'!$D$2:$K$70,3,0)*G396/100,0))</f>
        <v>0</v>
      </c>
      <c r="I396" s="141">
        <f>IF(G396&lt;9999,0,IFERROR(VLOOKUP(C396,'AUX23'!$D$2:$L$70,4,0)*G396/100,0))</f>
        <v>0</v>
      </c>
      <c r="J396" s="141">
        <f>IF(G396&lt;9999,0,IFERROR(VLOOKUP(C396,'AUX23'!$D$2:$L$70,5,0)*G396/100,0))</f>
        <v>0</v>
      </c>
      <c r="K396" s="141">
        <f>IF(G396&lt;9999,0,IFERROR((G396-67170)*VLOOKUP(C396,'AUX23'!$D$2:$L$70,6,0)/100,0))</f>
        <v>0</v>
      </c>
      <c r="L396" s="141">
        <f>IF(G396&lt;9999,0,IFERROR((G396/1.21)*VLOOKUP(C396,'AUX23'!$D$2:$L$70,7,0)/100,0))</f>
        <v>0</v>
      </c>
      <c r="M396" s="141">
        <f t="shared" si="116"/>
        <v>0</v>
      </c>
      <c r="N396" t="str">
        <f t="shared" si="117"/>
        <v>CC</v>
      </c>
      <c r="O396">
        <f t="shared" si="118"/>
        <v>1</v>
      </c>
      <c r="Q396" t="str">
        <f t="shared" si="119"/>
        <v>AGOSTO 91</v>
      </c>
      <c r="R396" t="str">
        <f t="shared" si="120"/>
        <v>1</v>
      </c>
      <c r="S396" t="str">
        <f>+R396&amp;COUNTIF($R$2:R396,R396)</f>
        <v>1112</v>
      </c>
      <c r="T396" s="141">
        <f t="shared" si="121"/>
        <v>150522.44800000035</v>
      </c>
      <c r="U396" t="str">
        <f t="shared" si="122"/>
        <v/>
      </c>
      <c r="V396" t="str">
        <f t="shared" si="123"/>
        <v>1CC</v>
      </c>
      <c r="W396" t="str">
        <f>+V396&amp;COUNTIF($V$2:V396,V396)</f>
        <v>1CC109</v>
      </c>
    </row>
    <row r="397" spans="1:23" x14ac:dyDescent="0.25">
      <c r="A397" t="str">
        <f>Q397&amp;COUNTIF($Q$30:Q397,Q397)</f>
        <v>AGOSTO 921</v>
      </c>
      <c r="B397" t="s">
        <v>878</v>
      </c>
      <c r="F397" t="str">
        <f>+IFERROR(INDEX('AUX23'!$C$2:$D$90,MATCH(CARGAFACTURAS!C397,'AUX23'!$D$2:$D$90,0),1),"")</f>
        <v/>
      </c>
      <c r="G397" s="141"/>
      <c r="H397" s="141">
        <f>+IF(G397&lt;19999,0,IFERROR(VLOOKUP(C397,'AUX23'!$D$2:$K$70,3,0)*G397/100,0))</f>
        <v>0</v>
      </c>
      <c r="I397" s="141">
        <f>IF(G397&lt;9999,0,IFERROR(VLOOKUP(C397,'AUX23'!$D$2:$L$70,4,0)*G397/100,0))</f>
        <v>0</v>
      </c>
      <c r="J397" s="141">
        <f>IF(G397&lt;9999,0,IFERROR(VLOOKUP(C397,'AUX23'!$D$2:$L$70,5,0)*G397/100,0))</f>
        <v>0</v>
      </c>
      <c r="K397" s="141">
        <f>IF(G397&lt;9999,0,IFERROR((G397-67170)*VLOOKUP(C397,'AUX23'!$D$2:$L$70,6,0)/100,0))</f>
        <v>0</v>
      </c>
      <c r="L397" s="141">
        <f>IF(G397&lt;9999,0,IFERROR((G397/1.21)*VLOOKUP(C397,'AUX23'!$D$2:$L$70,7,0)/100,0))</f>
        <v>0</v>
      </c>
      <c r="M397" s="141">
        <f t="shared" si="116"/>
        <v>0</v>
      </c>
      <c r="N397" t="str">
        <f t="shared" si="117"/>
        <v>CC</v>
      </c>
      <c r="O397">
        <f t="shared" si="118"/>
        <v>1</v>
      </c>
      <c r="Q397" t="str">
        <f t="shared" si="119"/>
        <v>AGOSTO 92</v>
      </c>
      <c r="R397" t="str">
        <f t="shared" si="120"/>
        <v>1</v>
      </c>
      <c r="S397" t="str">
        <f>+R397&amp;COUNTIF($R$2:R397,R397)</f>
        <v>1113</v>
      </c>
      <c r="T397" s="141">
        <f t="shared" si="121"/>
        <v>150522.44800000035</v>
      </c>
      <c r="U397" t="str">
        <f t="shared" si="122"/>
        <v/>
      </c>
      <c r="V397" t="str">
        <f t="shared" si="123"/>
        <v>1CC</v>
      </c>
      <c r="W397" t="str">
        <f>+V397&amp;COUNTIF($V$2:V397,V397)</f>
        <v>1CC110</v>
      </c>
    </row>
    <row r="398" spans="1:23" x14ac:dyDescent="0.25">
      <c r="A398" t="str">
        <f>Q398&amp;COUNTIF($Q$30:Q398,Q398)</f>
        <v>AGOSTO 931</v>
      </c>
      <c r="B398" t="s">
        <v>879</v>
      </c>
      <c r="F398" t="str">
        <f>+IFERROR(INDEX('AUX23'!$C$2:$D$90,MATCH(CARGAFACTURAS!C398,'AUX23'!$D$2:$D$90,0),1),"")</f>
        <v/>
      </c>
      <c r="G398" s="141"/>
      <c r="H398" s="141">
        <f>+IF(G398&lt;19999,0,IFERROR(VLOOKUP(C398,'AUX23'!$D$2:$K$70,3,0)*G398/100,0))</f>
        <v>0</v>
      </c>
      <c r="I398" s="141">
        <f>IF(G398&lt;9999,0,IFERROR(VLOOKUP(C398,'AUX23'!$D$2:$L$70,4,0)*G398/100,0))</f>
        <v>0</v>
      </c>
      <c r="J398" s="141">
        <f>IF(G398&lt;9999,0,IFERROR(VLOOKUP(C398,'AUX23'!$D$2:$L$70,5,0)*G398/100,0))</f>
        <v>0</v>
      </c>
      <c r="K398" s="141">
        <f>IF(G398&lt;9999,0,IFERROR((G398-67170)*VLOOKUP(C398,'AUX23'!$D$2:$L$70,6,0)/100,0))</f>
        <v>0</v>
      </c>
      <c r="L398" s="141">
        <f>IF(G398&lt;9999,0,IFERROR((G398/1.21)*VLOOKUP(C398,'AUX23'!$D$2:$L$70,7,0)/100,0))</f>
        <v>0</v>
      </c>
      <c r="M398" s="141">
        <f t="shared" si="116"/>
        <v>0</v>
      </c>
      <c r="N398" t="str">
        <f t="shared" si="117"/>
        <v>CC</v>
      </c>
      <c r="O398">
        <f t="shared" si="118"/>
        <v>1</v>
      </c>
      <c r="Q398" t="str">
        <f t="shared" si="119"/>
        <v>AGOSTO 93</v>
      </c>
      <c r="R398" t="str">
        <f t="shared" si="120"/>
        <v>1</v>
      </c>
      <c r="S398" t="str">
        <f>+R398&amp;COUNTIF($R$2:R398,R398)</f>
        <v>1114</v>
      </c>
      <c r="T398" s="141">
        <f t="shared" si="121"/>
        <v>150522.44800000035</v>
      </c>
      <c r="U398" t="str">
        <f t="shared" si="122"/>
        <v/>
      </c>
      <c r="V398" t="str">
        <f t="shared" si="123"/>
        <v>1CC</v>
      </c>
      <c r="W398" t="str">
        <f>+V398&amp;COUNTIF($V$2:V398,V398)</f>
        <v>1CC111</v>
      </c>
    </row>
    <row r="399" spans="1:23" x14ac:dyDescent="0.25">
      <c r="A399" t="str">
        <f>Q399&amp;COUNTIF($Q$30:Q399,Q399)</f>
        <v>AGOSTO 941</v>
      </c>
      <c r="B399" t="s">
        <v>880</v>
      </c>
      <c r="F399" t="str">
        <f>+IFERROR(INDEX('AUX23'!$C$2:$D$90,MATCH(CARGAFACTURAS!C399,'AUX23'!$D$2:$D$90,0),1),"")</f>
        <v/>
      </c>
      <c r="G399" s="141"/>
      <c r="H399" s="141">
        <f>+IF(G399&lt;19999,0,IFERROR(VLOOKUP(C399,'AUX23'!$D$2:$K$70,3,0)*G399/100,0))</f>
        <v>0</v>
      </c>
      <c r="I399" s="141">
        <f>IF(G399&lt;9999,0,IFERROR(VLOOKUP(C399,'AUX23'!$D$2:$L$70,4,0)*G399/100,0))</f>
        <v>0</v>
      </c>
      <c r="J399" s="141">
        <f>IF(G399&lt;9999,0,IFERROR(VLOOKUP(C399,'AUX23'!$D$2:$L$70,5,0)*G399/100,0))</f>
        <v>0</v>
      </c>
      <c r="K399" s="141">
        <f>IF(G399&lt;9999,0,IFERROR((G399-67170)*VLOOKUP(C399,'AUX23'!$D$2:$L$70,6,0)/100,0))</f>
        <v>0</v>
      </c>
      <c r="L399" s="141">
        <f>IF(G399&lt;9999,0,IFERROR((G399/1.21)*VLOOKUP(C399,'AUX23'!$D$2:$L$70,7,0)/100,0))</f>
        <v>0</v>
      </c>
      <c r="M399" s="141">
        <f t="shared" si="116"/>
        <v>0</v>
      </c>
      <c r="N399" t="str">
        <f t="shared" si="117"/>
        <v>CC</v>
      </c>
      <c r="O399">
        <f t="shared" si="118"/>
        <v>1</v>
      </c>
      <c r="Q399" t="str">
        <f t="shared" si="119"/>
        <v>AGOSTO 94</v>
      </c>
      <c r="R399" t="str">
        <f t="shared" si="120"/>
        <v>1</v>
      </c>
      <c r="S399" t="str">
        <f>+R399&amp;COUNTIF($R$2:R399,R399)</f>
        <v>1115</v>
      </c>
      <c r="T399" s="141">
        <f t="shared" si="121"/>
        <v>150522.44800000035</v>
      </c>
      <c r="U399" t="str">
        <f t="shared" si="122"/>
        <v/>
      </c>
      <c r="V399" t="str">
        <f t="shared" si="123"/>
        <v>1CC</v>
      </c>
      <c r="W399" t="str">
        <f>+V399&amp;COUNTIF($V$2:V399,V399)</f>
        <v>1CC112</v>
      </c>
    </row>
  </sheetData>
  <autoFilter ref="A1:Q328" xr:uid="{02A16938-750C-4ACF-A5D8-F392A1D61833}"/>
  <phoneticPr fontId="18" type="noConversion"/>
  <pageMargins left="0.25" right="0.25" top="0.75" bottom="0.75" header="0.3" footer="0.3"/>
  <pageSetup scale="45" fitToHeight="0" orientation="landscape" horizontalDpi="0" verticalDpi="0" r:id="rId1"/>
  <ignoredErrors>
    <ignoredError sqref="T270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F7D398-22B0-4F3C-ACEB-7734B8D37F05}">
          <x14:formula1>
            <xm:f>'AUX23'!$A$2:$A$15</xm:f>
          </x14:formula1>
          <xm:sqref>B2:B399</xm:sqref>
        </x14:dataValidation>
        <x14:dataValidation type="list" allowBlank="1" showInputMessage="1" showErrorMessage="1" xr:uid="{E16636E6-0C2A-4386-9C1B-C31B6263F8B3}">
          <x14:formula1>
            <xm:f>'AUX23'!$D$2:$D$17</xm:f>
          </x14:formula1>
          <xm:sqref>C2:C22</xm:sqref>
        </x14:dataValidation>
        <x14:dataValidation type="list" allowBlank="1" showInputMessage="1" showErrorMessage="1" xr:uid="{90458238-81F9-4B91-A0A3-10320A3D54A3}">
          <x14:formula1>
            <xm:f>'AUX23'!$D$2:$D$50</xm:f>
          </x14:formula1>
          <xm:sqref>C188:C195 C23:C170 C172:C186 C200 C206:C208 C215 C212:C213 C232:C235</xm:sqref>
        </x14:dataValidation>
        <x14:dataValidation type="list" allowBlank="1" showInputMessage="1" showErrorMessage="1" xr:uid="{4CE8940A-9565-4F55-92FD-71DAA1932DB2}">
          <x14:formula1>
            <xm:f>'AUX23'!$D$2:$D$70</xm:f>
          </x14:formula1>
          <xm:sqref>C171 C187 C196:C199 C201:C205 C214 C209:C211 C216:C231 C236:C399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C96B9-8867-49BB-9D48-23D7D7E895A0}">
  <sheetPr>
    <pageSetUpPr fitToPage="1"/>
  </sheetPr>
  <dimension ref="A1:J31"/>
  <sheetViews>
    <sheetView view="pageBreakPreview" zoomScale="80" zoomScaleNormal="100" zoomScaleSheetLayoutView="80" workbookViewId="0">
      <selection activeCell="K19" sqref="K19"/>
    </sheetView>
  </sheetViews>
  <sheetFormatPr baseColWidth="10" defaultRowHeight="15" x14ac:dyDescent="0.25"/>
  <cols>
    <col min="1" max="1" width="21.42578125" customWidth="1"/>
    <col min="2" max="2" width="35.7109375" customWidth="1"/>
    <col min="3" max="3" width="13.28515625" customWidth="1"/>
    <col min="4" max="4" width="17.140625" customWidth="1"/>
    <col min="5" max="5" width="21.42578125" customWidth="1"/>
    <col min="6" max="6" width="23.5703125" customWidth="1"/>
    <col min="7" max="7" width="24.42578125" customWidth="1"/>
  </cols>
  <sheetData>
    <row r="1" spans="1:10" x14ac:dyDescent="0.25">
      <c r="A1" t="s">
        <v>231</v>
      </c>
      <c r="E1" s="183" t="s">
        <v>232</v>
      </c>
      <c r="F1" s="339" t="s">
        <v>233</v>
      </c>
      <c r="G1" s="339"/>
    </row>
    <row r="2" spans="1:10" ht="21" x14ac:dyDescent="0.35">
      <c r="A2" s="184" t="s">
        <v>249</v>
      </c>
      <c r="E2" s="183" t="s">
        <v>235</v>
      </c>
    </row>
    <row r="3" spans="1:10" x14ac:dyDescent="0.25">
      <c r="E3" s="183" t="s">
        <v>236</v>
      </c>
      <c r="F3" s="140" t="str">
        <f>+J4</f>
        <v>JUNIO 23</v>
      </c>
    </row>
    <row r="4" spans="1:10" ht="15.75" thickBot="1" x14ac:dyDescent="0.3">
      <c r="I4" t="s">
        <v>252</v>
      </c>
      <c r="J4" s="140" t="s">
        <v>147</v>
      </c>
    </row>
    <row r="5" spans="1:10" ht="45.75" customHeight="1" thickBot="1" x14ac:dyDescent="0.3">
      <c r="A5" s="185" t="s">
        <v>237</v>
      </c>
      <c r="B5" s="185" t="s">
        <v>41</v>
      </c>
      <c r="C5" s="186" t="s">
        <v>238</v>
      </c>
      <c r="D5" s="186" t="s">
        <v>239</v>
      </c>
      <c r="E5" s="186" t="s">
        <v>240</v>
      </c>
      <c r="F5" s="186" t="s">
        <v>241</v>
      </c>
      <c r="G5" s="186" t="s">
        <v>242</v>
      </c>
      <c r="I5" t="s">
        <v>218</v>
      </c>
    </row>
    <row r="6" spans="1:10" x14ac:dyDescent="0.25">
      <c r="A6" s="187" t="s">
        <v>54</v>
      </c>
      <c r="B6" s="187" t="s">
        <v>11</v>
      </c>
      <c r="C6" s="187" t="s">
        <v>243</v>
      </c>
      <c r="D6" s="187" t="str">
        <f>+VLOOKUP(I6&amp;COUNTIF($I$6:I6,I6),CARGAFACTURAS!$A:$M,4,0)</f>
        <v>0002-00005901</v>
      </c>
      <c r="E6" s="188">
        <f>+VLOOKUP(I6&amp;COUNTIF($I$6:I6,I6),CARGAFACTURAS!$A:$M,5,0)</f>
        <v>45078</v>
      </c>
      <c r="F6" s="189">
        <f>+VLOOKUP(I6&amp;COUNTIF($I$6:I6,I6),CARGAFACTURAS!$A:$M,7,0)</f>
        <v>530323.19999999995</v>
      </c>
      <c r="G6" s="189">
        <f>+VLOOKUP(I6&amp;COUNTIF($I$6:I6,I6),CARGAFACTURAS!$A:$M,12,0)</f>
        <v>4382.8363636363638</v>
      </c>
      <c r="I6" t="str">
        <f>+B6&amp;$J$4</f>
        <v>LA PROVIDENCIA DEL NOA SRLJUNIO 23</v>
      </c>
    </row>
    <row r="7" spans="1:10" x14ac:dyDescent="0.25">
      <c r="A7" s="176" t="s">
        <v>54</v>
      </c>
      <c r="B7" s="176" t="s">
        <v>11</v>
      </c>
      <c r="C7" s="176" t="s">
        <v>243</v>
      </c>
      <c r="D7" s="187" t="str">
        <f>+VLOOKUP(I7&amp;COUNTIF($I$6:I7,I7),CARGAFACTURAS!$A:$M,4,0)</f>
        <v>0002-00005902</v>
      </c>
      <c r="E7" s="188">
        <f>+VLOOKUP(I7&amp;COUNTIF($I$6:I7,I7),CARGAFACTURAS!$A:$M,5,0)</f>
        <v>45078</v>
      </c>
      <c r="F7" s="189">
        <f>+VLOOKUP(I7&amp;COUNTIF($I$6:I7,I7),CARGAFACTURAS!$A:$M,7,0)</f>
        <v>212129.28</v>
      </c>
      <c r="G7" s="189">
        <f>+VLOOKUP(I7&amp;COUNTIF($I$6:I7,I7),CARGAFACTURAS!$A:$M,12,0)</f>
        <v>1753.1345454545456</v>
      </c>
      <c r="I7" t="str">
        <f t="shared" ref="I7:I18" si="0">+B7&amp;$J$4</f>
        <v>LA PROVIDENCIA DEL NOA SRLJUNIO 23</v>
      </c>
    </row>
    <row r="8" spans="1:10" x14ac:dyDescent="0.25">
      <c r="A8" s="176" t="s">
        <v>99</v>
      </c>
      <c r="B8" s="176" t="s">
        <v>98</v>
      </c>
      <c r="C8" s="176" t="s">
        <v>243</v>
      </c>
      <c r="D8" s="187" t="str">
        <f>+VLOOKUP(I8&amp;COUNTIF($I$6:I8,I8),CARGAFACTURAS!$A:$M,4,0)</f>
        <v>0004-00000045</v>
      </c>
      <c r="E8" s="188">
        <f>+VLOOKUP(I8&amp;COUNTIF($I$6:I8,I8),CARGAFACTURAS!$A:$M,5,0)</f>
        <v>45082</v>
      </c>
      <c r="F8" s="189">
        <f>+VLOOKUP(I8&amp;COUNTIF($I$6:I8,I8),CARGAFACTURAS!$A:$M,7,0)</f>
        <v>82650</v>
      </c>
      <c r="G8" s="189">
        <f>+VLOOKUP(I8&amp;COUNTIF($I$6:I8,I8),CARGAFACTURAS!$A:$M,12,0)</f>
        <v>683.05785123966939</v>
      </c>
      <c r="I8" t="str">
        <f t="shared" si="0"/>
        <v>FULL TRACK S.R.L.JUNIO 23</v>
      </c>
    </row>
    <row r="9" spans="1:10" x14ac:dyDescent="0.25">
      <c r="A9" s="176" t="s">
        <v>99</v>
      </c>
      <c r="B9" s="176" t="s">
        <v>98</v>
      </c>
      <c r="C9" s="176" t="s">
        <v>243</v>
      </c>
      <c r="D9" s="187" t="str">
        <f>+VLOOKUP(I9&amp;COUNTIF($I$6:I9,I9),CARGAFACTURAS!$A:$M,4,0)</f>
        <v>0004-00000051</v>
      </c>
      <c r="E9" s="188">
        <f>+VLOOKUP(I9&amp;COUNTIF($I$6:I9,I9),CARGAFACTURAS!$A:$M,5,0)</f>
        <v>45092</v>
      </c>
      <c r="F9" s="189">
        <f>+VLOOKUP(I9&amp;COUNTIF($I$6:I9,I9),CARGAFACTURAS!$A:$M,7,0)</f>
        <v>739700</v>
      </c>
      <c r="G9" s="189">
        <f>+VLOOKUP(I9&amp;COUNTIF($I$6:I9,I9),CARGAFACTURAS!$A:$M,12,0)</f>
        <v>6113.2231404958675</v>
      </c>
      <c r="I9" t="str">
        <f t="shared" si="0"/>
        <v>FULL TRACK S.R.L.JUNIO 23</v>
      </c>
    </row>
    <row r="10" spans="1:10" x14ac:dyDescent="0.25">
      <c r="A10" s="176" t="s">
        <v>99</v>
      </c>
      <c r="B10" s="176" t="s">
        <v>98</v>
      </c>
      <c r="C10" s="176" t="s">
        <v>243</v>
      </c>
      <c r="D10" s="187" t="str">
        <f>+VLOOKUP(I10&amp;COUNTIF($I$6:I10,I10),CARGAFACTURAS!$A:$M,4,0)</f>
        <v>0004-00000052</v>
      </c>
      <c r="E10" s="188">
        <f>+VLOOKUP(I10&amp;COUNTIF($I$6:I10,I10),CARGAFACTURAS!$A:$M,5,0)</f>
        <v>45107</v>
      </c>
      <c r="F10" s="189">
        <f>+VLOOKUP(I10&amp;COUNTIF($I$6:I10,I10),CARGAFACTURAS!$A:$M,7,0)</f>
        <v>512200</v>
      </c>
      <c r="G10" s="189">
        <f>+VLOOKUP(I10&amp;COUNTIF($I$6:I10,I10),CARGAFACTURAS!$A:$M,12,0)</f>
        <v>4233.0578512396696</v>
      </c>
      <c r="I10" t="str">
        <f t="shared" si="0"/>
        <v>FULL TRACK S.R.L.JUNIO 23</v>
      </c>
    </row>
    <row r="11" spans="1:10" x14ac:dyDescent="0.25">
      <c r="A11" s="187" t="s">
        <v>208</v>
      </c>
      <c r="B11" s="187" t="s">
        <v>207</v>
      </c>
      <c r="C11" s="176" t="s">
        <v>243</v>
      </c>
      <c r="D11" s="187" t="str">
        <f>+VLOOKUP(I11&amp;COUNTIF($I$6:I11,I11),CARGAFACTURAS!$A:$M,4,0)</f>
        <v>0002-00000119</v>
      </c>
      <c r="E11" s="188">
        <f>+VLOOKUP(I11&amp;COUNTIF($I$6:I11,I11),CARGAFACTURAS!$A:$M,5,0)</f>
        <v>45093</v>
      </c>
      <c r="F11" s="189">
        <f>+VLOOKUP(I11&amp;COUNTIF($I$6:I11,I11),CARGAFACTURAS!$A:$M,7,0)</f>
        <v>148055.6</v>
      </c>
      <c r="G11" s="189">
        <f>+VLOOKUP(I11&amp;COUNTIF($I$6:I11,I11),CARGAFACTURAS!$A:$M,12,0)</f>
        <v>1223.6000000000001</v>
      </c>
      <c r="I11" t="str">
        <f t="shared" si="0"/>
        <v>SG IMPRESIONESJUNIO 23</v>
      </c>
    </row>
    <row r="12" spans="1:10" x14ac:dyDescent="0.25">
      <c r="A12" s="187"/>
      <c r="B12" s="187"/>
      <c r="C12" s="176"/>
      <c r="D12" s="176"/>
      <c r="E12" s="176"/>
      <c r="F12" s="113"/>
      <c r="G12" s="113"/>
      <c r="I12" t="str">
        <f t="shared" si="0"/>
        <v>JUNIO 23</v>
      </c>
    </row>
    <row r="13" spans="1:10" x14ac:dyDescent="0.25">
      <c r="A13" s="187"/>
      <c r="B13" s="187"/>
      <c r="C13" s="176"/>
      <c r="D13" s="176"/>
      <c r="E13" s="176"/>
      <c r="F13" s="113"/>
      <c r="G13" s="113"/>
      <c r="I13" t="str">
        <f t="shared" si="0"/>
        <v>JUNIO 23</v>
      </c>
    </row>
    <row r="14" spans="1:10" x14ac:dyDescent="0.25">
      <c r="A14" s="187"/>
      <c r="B14" s="187"/>
      <c r="C14" s="176"/>
      <c r="D14" s="176"/>
      <c r="E14" s="176"/>
      <c r="F14" s="113"/>
      <c r="G14" s="113"/>
      <c r="I14" t="str">
        <f t="shared" si="0"/>
        <v>JUNIO 23</v>
      </c>
    </row>
    <row r="15" spans="1:10" x14ac:dyDescent="0.25">
      <c r="A15" s="176"/>
      <c r="B15" s="176"/>
      <c r="C15" s="176"/>
      <c r="D15" s="176"/>
      <c r="E15" s="176"/>
      <c r="F15" s="113"/>
      <c r="G15" s="113"/>
      <c r="I15" t="str">
        <f t="shared" si="0"/>
        <v>JUNIO 23</v>
      </c>
    </row>
    <row r="16" spans="1:10" x14ac:dyDescent="0.25">
      <c r="A16" s="176"/>
      <c r="B16" s="176"/>
      <c r="C16" s="176"/>
      <c r="D16" s="176"/>
      <c r="E16" s="176"/>
      <c r="F16" s="113"/>
      <c r="G16" s="113"/>
      <c r="I16" t="str">
        <f t="shared" si="0"/>
        <v>JUNIO 23</v>
      </c>
    </row>
    <row r="17" spans="1:9" x14ac:dyDescent="0.25">
      <c r="A17" s="176"/>
      <c r="B17" s="176"/>
      <c r="C17" s="176"/>
      <c r="D17" s="176"/>
      <c r="E17" s="176"/>
      <c r="F17" s="113"/>
      <c r="G17" s="113"/>
      <c r="I17" t="str">
        <f t="shared" si="0"/>
        <v>JUNIO 23</v>
      </c>
    </row>
    <row r="18" spans="1:9" ht="15.75" thickBot="1" x14ac:dyDescent="0.3">
      <c r="A18" s="34"/>
      <c r="B18" s="34"/>
      <c r="C18" s="34"/>
      <c r="D18" s="34"/>
      <c r="E18" s="34"/>
      <c r="F18" s="128"/>
      <c r="G18" s="128"/>
      <c r="I18" t="str">
        <f t="shared" si="0"/>
        <v>JUNIO 23</v>
      </c>
    </row>
    <row r="19" spans="1:9" ht="15.75" thickBot="1" x14ac:dyDescent="0.3">
      <c r="A19" s="353"/>
      <c r="B19" s="354"/>
      <c r="C19" s="354"/>
      <c r="D19" s="354"/>
      <c r="E19" s="355"/>
      <c r="F19" s="190" t="s">
        <v>244</v>
      </c>
      <c r="G19" s="191">
        <f>SUM(G6:G18)</f>
        <v>18388.909752066116</v>
      </c>
    </row>
    <row r="25" spans="1:9" ht="60" customHeight="1" x14ac:dyDescent="0.25">
      <c r="E25" s="192" t="s">
        <v>245</v>
      </c>
      <c r="F25" s="183" t="s">
        <v>246</v>
      </c>
    </row>
    <row r="30" spans="1:9" x14ac:dyDescent="0.25">
      <c r="A30" t="s">
        <v>250</v>
      </c>
    </row>
    <row r="31" spans="1:9" x14ac:dyDescent="0.25">
      <c r="A31" t="s">
        <v>251</v>
      </c>
    </row>
  </sheetData>
  <mergeCells count="2">
    <mergeCell ref="F1:G1"/>
    <mergeCell ref="A19:E19"/>
  </mergeCells>
  <pageMargins left="0.25" right="0.25" top="0.75" bottom="0.75" header="0.3" footer="0.3"/>
  <pageSetup scale="85" fitToHeight="0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05844A-59BA-4DA1-A93A-FC6379D4A858}">
          <x14:formula1>
            <xm:f>'AUX23'!$A$2:$A$14</xm:f>
          </x14:formula1>
          <xm:sqref>J4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85CEE-61E4-4785-B534-A958A41D19A9}">
  <sheetPr>
    <pageSetUpPr fitToPage="1"/>
  </sheetPr>
  <dimension ref="A1:T146"/>
  <sheetViews>
    <sheetView view="pageBreakPreview" topLeftCell="B49" zoomScale="70" zoomScaleNormal="60" zoomScaleSheetLayoutView="70" workbookViewId="0">
      <selection activeCell="C73" sqref="C73"/>
    </sheetView>
  </sheetViews>
  <sheetFormatPr baseColWidth="10" defaultRowHeight="15" x14ac:dyDescent="0.25"/>
  <cols>
    <col min="1" max="1" width="6.85546875" customWidth="1"/>
    <col min="2" max="2" width="20.5703125" customWidth="1"/>
    <col min="3" max="3" width="20.85546875" customWidth="1"/>
    <col min="4" max="4" width="18.5703125" customWidth="1"/>
    <col min="5" max="5" width="18.42578125" customWidth="1"/>
    <col min="6" max="6" width="17.28515625" customWidth="1"/>
    <col min="7" max="7" width="36" customWidth="1"/>
    <col min="8" max="8" width="19.140625" customWidth="1"/>
    <col min="9" max="9" width="17.7109375" customWidth="1"/>
    <col min="10" max="10" width="16.5703125" customWidth="1"/>
    <col min="11" max="11" width="17.42578125" customWidth="1"/>
    <col min="12" max="12" width="19.85546875" customWidth="1"/>
    <col min="13" max="13" width="15.42578125" customWidth="1"/>
    <col min="14" max="14" width="21.140625" customWidth="1"/>
    <col min="15" max="15" width="19.140625" customWidth="1"/>
    <col min="16" max="16" width="11.42578125" hidden="1" customWidth="1"/>
    <col min="17" max="17" width="18.42578125" hidden="1" customWidth="1"/>
  </cols>
  <sheetData>
    <row r="1" spans="1:20" ht="15.75" thickBot="1" x14ac:dyDescent="0.3">
      <c r="A1" s="7"/>
      <c r="B1" s="109" t="s">
        <v>147</v>
      </c>
      <c r="C1" s="15"/>
      <c r="D1" s="6"/>
      <c r="E1" s="12"/>
      <c r="F1" s="32"/>
      <c r="G1" s="12"/>
      <c r="H1" s="12"/>
      <c r="I1" s="7"/>
      <c r="J1" s="7"/>
      <c r="K1" s="7"/>
      <c r="L1" s="7"/>
      <c r="M1" s="7"/>
      <c r="N1" s="7"/>
      <c r="O1" s="7"/>
      <c r="P1" s="13"/>
      <c r="Q1" s="100"/>
    </row>
    <row r="2" spans="1:20" ht="32.25" customHeight="1" x14ac:dyDescent="0.25">
      <c r="A2" s="363" t="s">
        <v>664</v>
      </c>
      <c r="B2" s="356" t="s">
        <v>72</v>
      </c>
      <c r="C2" s="205" t="s">
        <v>24</v>
      </c>
      <c r="D2" s="206" t="s">
        <v>61</v>
      </c>
      <c r="E2" s="207" t="s">
        <v>300</v>
      </c>
      <c r="F2" s="208" t="s">
        <v>299</v>
      </c>
      <c r="G2" s="206" t="s">
        <v>2</v>
      </c>
      <c r="H2" s="209" t="s">
        <v>3</v>
      </c>
      <c r="I2" s="206" t="s">
        <v>4</v>
      </c>
      <c r="J2" s="206" t="s">
        <v>5</v>
      </c>
      <c r="K2" s="207" t="s">
        <v>84</v>
      </c>
      <c r="L2" s="207" t="s">
        <v>86</v>
      </c>
      <c r="M2" s="207" t="s">
        <v>85</v>
      </c>
      <c r="N2" s="206" t="s">
        <v>457</v>
      </c>
      <c r="O2" s="206" t="s">
        <v>9</v>
      </c>
      <c r="P2" s="210" t="s">
        <v>76</v>
      </c>
      <c r="Q2" s="211" t="s">
        <v>79</v>
      </c>
      <c r="R2" s="218" t="s">
        <v>322</v>
      </c>
      <c r="S2" s="219" t="s">
        <v>230</v>
      </c>
      <c r="T2" s="219" t="s">
        <v>323</v>
      </c>
    </row>
    <row r="3" spans="1:20" ht="15.75" x14ac:dyDescent="0.25">
      <c r="A3" s="364"/>
      <c r="B3" s="357"/>
      <c r="C3" s="41" t="str">
        <f>IFERROR(VLOOKUP($S3,CARGAFACTURAS!$A$2:$Q$1500,6,0),0)</f>
        <v>20-13278210-6</v>
      </c>
      <c r="D3" s="220">
        <f>+IFERROR(VLOOKUP($S3,CARGAFACTURAS!$A$2:$Q$1500,5,0),0)</f>
        <v>45086</v>
      </c>
      <c r="E3" s="41" t="str">
        <f>+IFERROR(VLOOKUP($S3,CARGAFACTURAS!$A$2:$Q$1500,4,0),0)</f>
        <v>0013-00006402</v>
      </c>
      <c r="F3" s="41">
        <f>+IFERROR(VLOOKUP($S3,CARGAFACTURAS!$A$2:$Q$1500,14,0),0)</f>
        <v>36598078</v>
      </c>
      <c r="G3" s="224" t="s">
        <v>109</v>
      </c>
      <c r="H3" s="281">
        <f>+IFERROR(VLOOKUP($S3,CARGAFACTURAS!$A$2:$Q$1500,7,0),0)</f>
        <v>43117.77</v>
      </c>
      <c r="I3" s="227">
        <f>+IFERROR(VLOOKUP($S3,CARGAFACTURAS!$A$2:$Q$1500,8,0),0)</f>
        <v>538.97212499999989</v>
      </c>
      <c r="J3" s="227">
        <f>+IFERROR(VLOOKUP($S3,CARGAFACTURAS!$A$2:$Q$1500,9,0),0)</f>
        <v>2155.8884999999996</v>
      </c>
      <c r="K3" s="227">
        <f>+IFERROR(VLOOKUP($S3,CARGAFACTURAS!$A$2:$Q$1500,10,0),0)</f>
        <v>0</v>
      </c>
      <c r="L3" s="227">
        <f>+IFERROR(VLOOKUP($S3,CARGAFACTURAS!$A$2:$Q$1500,11,0),0)</f>
        <v>0</v>
      </c>
      <c r="M3" s="227">
        <f>+IFERROR(VLOOKUP($S3,CARGAFACTURAS!$A$2:$Q$1500,12,0),0)</f>
        <v>0</v>
      </c>
      <c r="N3" s="52">
        <f>+IFERROR(IF(F3="CC",0,VLOOKUP($S3,CARGAFACTURAS!$A$2:$Q$1500,13,0)),0)</f>
        <v>40422.909374999996</v>
      </c>
      <c r="O3" s="52">
        <f>IF(F3="CC",VLOOKUP($S3,CARGAFACTURAS!$A$2:$Q$1500,13,0),0)</f>
        <v>0</v>
      </c>
      <c r="P3" s="42"/>
      <c r="Q3" s="43"/>
      <c r="S3" t="str">
        <f>+T3&amp;COUNTIF($T$3:T3,T3)</f>
        <v>LEON LUIS CESARJUNIO 231</v>
      </c>
      <c r="T3" t="str">
        <f>+CLEAN(G3)&amp;CLEAN($B$1)</f>
        <v>LEON LUIS CESARJUNIO 23</v>
      </c>
    </row>
    <row r="4" spans="1:20" ht="15.75" x14ac:dyDescent="0.25">
      <c r="A4" s="364"/>
      <c r="B4" s="357"/>
      <c r="C4" s="41" t="str">
        <f>IFERROR(VLOOKUP($S4,CARGAFACTURAS!$A$2:$Q$1500,6,0),0)</f>
        <v>30-58351679-0</v>
      </c>
      <c r="D4" s="220">
        <f>+IFERROR(VLOOKUP($S4,CARGAFACTURAS!$A$2:$Q$1500,5,0),0)</f>
        <v>45085</v>
      </c>
      <c r="E4" s="41" t="str">
        <f>+IFERROR(VLOOKUP($S4,CARGAFACTURAS!$A$2:$Q$1500,4,0),0)</f>
        <v>0069-00071315</v>
      </c>
      <c r="F4" s="41">
        <f>+IFERROR(VLOOKUP($S4,CARGAFACTURAS!$A$2:$Q$1500,14,0),0)</f>
        <v>36597738</v>
      </c>
      <c r="G4" s="224" t="s">
        <v>10</v>
      </c>
      <c r="H4" s="281">
        <f>+IFERROR(VLOOKUP($S4,CARGAFACTURAS!$A$2:$Q$1500,7,0),0)</f>
        <v>70354.399999999994</v>
      </c>
      <c r="I4" s="227">
        <f>+IFERROR(VLOOKUP($S4,CARGAFACTURAS!$A$2:$Q$1500,8,0),0)</f>
        <v>879.43</v>
      </c>
      <c r="J4" s="227">
        <f>+IFERROR(VLOOKUP($S4,CARGAFACTURAS!$A$2:$Q$1500,9,0),0)</f>
        <v>3517.72</v>
      </c>
      <c r="K4" s="227">
        <f>+IFERROR(VLOOKUP($S4,CARGAFACTURAS!$A$2:$Q$1500,10,0),0)</f>
        <v>0</v>
      </c>
      <c r="L4" s="227">
        <f>+IFERROR(VLOOKUP($S4,CARGAFACTURAS!$A$2:$Q$1500,11,0),0)</f>
        <v>0</v>
      </c>
      <c r="M4" s="227">
        <f>+IFERROR(VLOOKUP($S4,CARGAFACTURAS!$A$2:$Q$1500,12,0),0)</f>
        <v>0</v>
      </c>
      <c r="N4" s="52">
        <f>+IFERROR(IF(F4="CC",0,VLOOKUP($S4,CARGAFACTURAS!$A$2:$Q$1500,13,0)),0)</f>
        <v>65957.25</v>
      </c>
      <c r="O4" s="52">
        <f>IF(F4="CC",VLOOKUP($S4,CARGAFACTURAS!$A$2:$Q$1500,13,0),0)</f>
        <v>0</v>
      </c>
      <c r="P4" s="42"/>
      <c r="Q4" s="43"/>
      <c r="S4" t="str">
        <f>+T4&amp;COUNTIF($T$3:T4,T4)</f>
        <v>LIBRERÍA SAN PABLO SRLJUNIO 231</v>
      </c>
      <c r="T4" t="str">
        <f t="shared" ref="T4" si="0">+CLEAN(G4)&amp;CLEAN($B$1)</f>
        <v>LIBRERÍA SAN PABLO SRLJUNIO 23</v>
      </c>
    </row>
    <row r="5" spans="1:20" ht="15.75" x14ac:dyDescent="0.25">
      <c r="A5" s="364"/>
      <c r="B5" s="357"/>
      <c r="C5" s="41" t="str">
        <f>IFERROR(VLOOKUP($S5,CARGAFACTURAS!$A$2:$Q$1500,6,0),0)</f>
        <v>30-71784900-7</v>
      </c>
      <c r="D5" s="220">
        <f>+IFERROR(VLOOKUP($S5,CARGAFACTURAS!$A$2:$Q$1500,5,0),0)</f>
        <v>45093</v>
      </c>
      <c r="E5" s="41" t="str">
        <f>+IFERROR(VLOOKUP($S5,CARGAFACTURAS!$A$2:$Q$1500,4,0),0)</f>
        <v>0002-00000119</v>
      </c>
      <c r="F5" s="41" t="str">
        <f>+IFERROR(VLOOKUP($S5,CARGAFACTURAS!$A$2:$Q$1500,14,0),0)</f>
        <v>36919029-37095820</v>
      </c>
      <c r="G5" s="135" t="s">
        <v>207</v>
      </c>
      <c r="H5" s="284">
        <f>+IFERROR(VLOOKUP($S5,CARGAFACTURAS!$A$2:$Q$1500,7,0),0)</f>
        <v>148055.6</v>
      </c>
      <c r="I5" s="227">
        <f>+IFERROR(VLOOKUP($S5,CARGAFACTURAS!$A$2:$Q$1500,8,0),0)</f>
        <v>3701.39</v>
      </c>
      <c r="J5" s="227">
        <f>+IFERROR(VLOOKUP($S5,CARGAFACTURAS!$A$2:$Q$1500,9,0),0)</f>
        <v>7402.78</v>
      </c>
      <c r="K5" s="227">
        <f>+IFERROR(VLOOKUP($S5,CARGAFACTURAS!$A$2:$Q$1500,10,0),0)</f>
        <v>0</v>
      </c>
      <c r="L5" s="227">
        <f>+IFERROR(VLOOKUP($S5,CARGAFACTURAS!$A$2:$Q$1500,11,0),0)</f>
        <v>274.32</v>
      </c>
      <c r="M5" s="227">
        <f>+IFERROR(VLOOKUP($S5,CARGAFACTURAS!$A$2:$Q$1500,12,0),0)</f>
        <v>1223.6000000000001</v>
      </c>
      <c r="N5" s="52">
        <f>+IFERROR(IF(F5="CC",0,VLOOKUP($S5,CARGAFACTURAS!$A$2:$Q$1500,13,0)),0)</f>
        <v>135453.50999999998</v>
      </c>
      <c r="O5" s="52">
        <f>IF(F5="CC",VLOOKUP($S5,CARGAFACTURAS!$A$2:$Q$1500,13,0),0)</f>
        <v>0</v>
      </c>
      <c r="P5" s="42"/>
      <c r="Q5" s="43"/>
      <c r="S5" t="str">
        <f>+T5&amp;COUNTIF($T$3:T5,T5)</f>
        <v>SG IMPRESIONESJUNIO 231</v>
      </c>
      <c r="T5" t="str">
        <f t="shared" ref="T5:T68" si="1">+CLEAN(G5)&amp;CLEAN($B$1)</f>
        <v>SG IMPRESIONESJUNIO 23</v>
      </c>
    </row>
    <row r="6" spans="1:20" ht="15.75" x14ac:dyDescent="0.25">
      <c r="A6" s="364"/>
      <c r="B6" s="357"/>
      <c r="C6" s="41" t="str">
        <f>IFERROR(VLOOKUP($S6,CARGAFACTURAS!$A$2:$Q$1500,6,0),0)</f>
        <v/>
      </c>
      <c r="D6" s="220">
        <f>+IFERROR(VLOOKUP($S6,CARGAFACTURAS!$A$2:$Q$1500,5,0),0)</f>
        <v>0</v>
      </c>
      <c r="E6" s="41">
        <f>+IFERROR(VLOOKUP($S6,CARGAFACTURAS!$A$2:$Q$1500,4,0),0)</f>
        <v>0</v>
      </c>
      <c r="F6" s="41" t="str">
        <f>+IFERROR(VLOOKUP($S6,CARGAFACTURAS!$A$2:$Q$1500,14,0),0)</f>
        <v>CC</v>
      </c>
      <c r="G6" s="135"/>
      <c r="H6" s="227">
        <f>+IFERROR(VLOOKUP($S6,CARGAFACTURAS!$A$2:$Q$1500,7,0),0)</f>
        <v>0</v>
      </c>
      <c r="I6" s="227">
        <f>+IFERROR(VLOOKUP($S6,CARGAFACTURAS!$A$2:$Q$1500,8,0),0)</f>
        <v>0</v>
      </c>
      <c r="J6" s="227">
        <f>+IFERROR(VLOOKUP($S6,CARGAFACTURAS!$A$2:$Q$1500,9,0),0)</f>
        <v>0</v>
      </c>
      <c r="K6" s="227">
        <f>+IFERROR(VLOOKUP($S6,CARGAFACTURAS!$A$2:$Q$1500,10,0),0)</f>
        <v>0</v>
      </c>
      <c r="L6" s="227">
        <f>+IFERROR(VLOOKUP($S6,CARGAFACTURAS!$A$2:$Q$1500,11,0),0)</f>
        <v>0</v>
      </c>
      <c r="M6" s="227">
        <f>+IFERROR(VLOOKUP($S6,CARGAFACTURAS!$A$2:$Q$1500,12,0),0)</f>
        <v>0</v>
      </c>
      <c r="N6" s="52">
        <f>+IFERROR(IF(F6="CC",0,VLOOKUP($S6,CARGAFACTURAS!$A$2:$Q$1500,13,0)),0)</f>
        <v>0</v>
      </c>
      <c r="O6" s="52">
        <f>IF(F6="CC",VLOOKUP($S6,CARGAFACTURAS!$A$2:$Q$1500,13,0),0)</f>
        <v>0</v>
      </c>
      <c r="P6" s="42"/>
      <c r="Q6" s="43"/>
      <c r="S6" t="str">
        <f>+T6&amp;COUNTIF($T$3:T6,T6)</f>
        <v>JUNIO 231</v>
      </c>
      <c r="T6" t="str">
        <f t="shared" si="1"/>
        <v>JUNIO 23</v>
      </c>
    </row>
    <row r="7" spans="1:20" ht="15.75" x14ac:dyDescent="0.25">
      <c r="A7" s="364"/>
      <c r="B7" s="357"/>
      <c r="C7" s="41" t="str">
        <f>IFERROR(VLOOKUP($S7,CARGAFACTURAS!$A$2:$Q$1500,6,0),0)</f>
        <v/>
      </c>
      <c r="D7" s="220">
        <f>+IFERROR(VLOOKUP($S7,CARGAFACTURAS!$A$2:$Q$1500,5,0),0)</f>
        <v>0</v>
      </c>
      <c r="E7" s="41">
        <f>+IFERROR(VLOOKUP($S7,CARGAFACTURAS!$A$2:$Q$1500,4,0),0)</f>
        <v>0</v>
      </c>
      <c r="F7" s="41" t="str">
        <f>+IFERROR(VLOOKUP($S7,CARGAFACTURAS!$A$2:$Q$1500,14,0),0)</f>
        <v>CC</v>
      </c>
      <c r="G7" s="135"/>
      <c r="H7" s="227">
        <f>+IFERROR(VLOOKUP($S7,CARGAFACTURAS!$A$2:$Q$1500,7,0),0)</f>
        <v>0</v>
      </c>
      <c r="I7" s="227">
        <f>+IFERROR(VLOOKUP($S7,CARGAFACTURAS!$A$2:$Q$1500,8,0),0)</f>
        <v>0</v>
      </c>
      <c r="J7" s="227">
        <f>+IFERROR(VLOOKUP($S7,CARGAFACTURAS!$A$2:$Q$1500,9,0),0)</f>
        <v>0</v>
      </c>
      <c r="K7" s="227">
        <f>+IFERROR(VLOOKUP($S7,CARGAFACTURAS!$A$2:$Q$1500,10,0),0)</f>
        <v>0</v>
      </c>
      <c r="L7" s="227">
        <f>+IFERROR(VLOOKUP($S7,CARGAFACTURAS!$A$2:$Q$1500,11,0),0)</f>
        <v>0</v>
      </c>
      <c r="M7" s="227">
        <f>+IFERROR(VLOOKUP($S7,CARGAFACTURAS!$A$2:$Q$1500,12,0),0)</f>
        <v>0</v>
      </c>
      <c r="N7" s="52">
        <f>+IFERROR(IF(F7="CC",0,VLOOKUP($S7,CARGAFACTURAS!$A$2:$Q$1500,13,0)),0)</f>
        <v>0</v>
      </c>
      <c r="O7" s="52">
        <f>IF(F7="CC",VLOOKUP($S7,CARGAFACTURAS!$A$2:$Q$1500,13,0),0)</f>
        <v>0</v>
      </c>
      <c r="P7" s="42"/>
      <c r="Q7" s="43"/>
      <c r="S7" t="str">
        <f>+T7&amp;COUNTIF($T$3:T7,T7)</f>
        <v>JUNIO 232</v>
      </c>
      <c r="T7" t="str">
        <f t="shared" si="1"/>
        <v>JUNIO 23</v>
      </c>
    </row>
    <row r="8" spans="1:20" ht="15.75" x14ac:dyDescent="0.25">
      <c r="A8" s="364"/>
      <c r="B8" s="357"/>
      <c r="C8" s="41" t="str">
        <f>IFERROR(VLOOKUP($S8,CARGAFACTURAS!$A$2:$Q$1500,6,0),0)</f>
        <v/>
      </c>
      <c r="D8" s="220">
        <f>+IFERROR(VLOOKUP($S8,CARGAFACTURAS!$A$2:$Q$1500,5,0),0)</f>
        <v>0</v>
      </c>
      <c r="E8" s="41">
        <f>+IFERROR(VLOOKUP($S8,CARGAFACTURAS!$A$2:$Q$1500,4,0),0)</f>
        <v>0</v>
      </c>
      <c r="F8" s="41" t="str">
        <f>+IFERROR(VLOOKUP($S8,CARGAFACTURAS!$A$2:$Q$1500,14,0),0)</f>
        <v>CC</v>
      </c>
      <c r="G8" s="135"/>
      <c r="H8" s="227">
        <f>+IFERROR(VLOOKUP($S8,CARGAFACTURAS!$A$2:$Q$1500,7,0),0)</f>
        <v>0</v>
      </c>
      <c r="I8" s="227">
        <f>+IFERROR(VLOOKUP($S8,CARGAFACTURAS!$A$2:$Q$1500,8,0),0)</f>
        <v>0</v>
      </c>
      <c r="J8" s="227">
        <f>+IFERROR(VLOOKUP($S8,CARGAFACTURAS!$A$2:$Q$1500,9,0),0)</f>
        <v>0</v>
      </c>
      <c r="K8" s="227">
        <f>+IFERROR(VLOOKUP($S8,CARGAFACTURAS!$A$2:$Q$1500,10,0),0)</f>
        <v>0</v>
      </c>
      <c r="L8" s="227">
        <f>+IFERROR(VLOOKUP($S8,CARGAFACTURAS!$A$2:$Q$1500,11,0),0)</f>
        <v>0</v>
      </c>
      <c r="M8" s="227">
        <f>+IFERROR(VLOOKUP($S8,CARGAFACTURAS!$A$2:$Q$1500,12,0),0)</f>
        <v>0</v>
      </c>
      <c r="N8" s="52">
        <f>+IFERROR(IF(F8="CC",0,VLOOKUP($S8,CARGAFACTURAS!$A$2:$Q$1500,13,0)),0)</f>
        <v>0</v>
      </c>
      <c r="O8" s="52">
        <f>IF(F8="CC",VLOOKUP($S8,CARGAFACTURAS!$A$2:$Q$1500,13,0),0)</f>
        <v>0</v>
      </c>
      <c r="P8" s="42"/>
      <c r="Q8" s="43"/>
      <c r="S8" t="str">
        <f>+T8&amp;COUNTIF($T$3:T8,T8)</f>
        <v>JUNIO 233</v>
      </c>
      <c r="T8" t="str">
        <f t="shared" si="1"/>
        <v>JUNIO 23</v>
      </c>
    </row>
    <row r="9" spans="1:20" ht="15.75" x14ac:dyDescent="0.25">
      <c r="A9" s="364"/>
      <c r="B9" s="357"/>
      <c r="C9" s="41" t="str">
        <f>IFERROR(VLOOKUP($S9,CARGAFACTURAS!$A$2:$Q$1500,6,0),0)</f>
        <v/>
      </c>
      <c r="D9" s="220">
        <f>+IFERROR(VLOOKUP($S9,CARGAFACTURAS!$A$2:$Q$1500,5,0),0)</f>
        <v>0</v>
      </c>
      <c r="E9" s="41">
        <f>+IFERROR(VLOOKUP($S9,CARGAFACTURAS!$A$2:$Q$1500,4,0),0)</f>
        <v>0</v>
      </c>
      <c r="F9" s="41" t="str">
        <f>+IFERROR(VLOOKUP($S9,CARGAFACTURAS!$A$2:$Q$1500,14,0),0)</f>
        <v>CC</v>
      </c>
      <c r="G9" s="135"/>
      <c r="H9" s="227">
        <f>+IFERROR(VLOOKUP($S9,CARGAFACTURAS!$A$2:$Q$1500,7,0),0)</f>
        <v>0</v>
      </c>
      <c r="I9" s="227">
        <f>+IFERROR(VLOOKUP($S9,CARGAFACTURAS!$A$2:$Q$1500,8,0),0)</f>
        <v>0</v>
      </c>
      <c r="J9" s="227">
        <f>+IFERROR(VLOOKUP($S9,CARGAFACTURAS!$A$2:$Q$1500,9,0),0)</f>
        <v>0</v>
      </c>
      <c r="K9" s="227">
        <f>+IFERROR(VLOOKUP($S9,CARGAFACTURAS!$A$2:$Q$1500,10,0),0)</f>
        <v>0</v>
      </c>
      <c r="L9" s="227">
        <f>+IFERROR(VLOOKUP($S9,CARGAFACTURAS!$A$2:$Q$1500,11,0),0)</f>
        <v>0</v>
      </c>
      <c r="M9" s="227">
        <f>+IFERROR(VLOOKUP($S9,CARGAFACTURAS!$A$2:$Q$1500,12,0),0)</f>
        <v>0</v>
      </c>
      <c r="N9" s="52">
        <f>+IFERROR(IF(F9="CC",0,VLOOKUP($S9,CARGAFACTURAS!$A$2:$Q$1500,13,0)),0)</f>
        <v>0</v>
      </c>
      <c r="O9" s="52">
        <f>IF(F9="CC",VLOOKUP($S9,CARGAFACTURAS!$A$2:$Q$1500,13,0),0)</f>
        <v>0</v>
      </c>
      <c r="P9" s="42"/>
      <c r="Q9" s="43"/>
      <c r="S9" t="str">
        <f>+T9&amp;COUNTIF($T$3:T9,T9)</f>
        <v>JUNIO 234</v>
      </c>
      <c r="T9" t="str">
        <f t="shared" si="1"/>
        <v>JUNIO 23</v>
      </c>
    </row>
    <row r="10" spans="1:20" ht="16.5" thickBot="1" x14ac:dyDescent="0.3">
      <c r="A10" s="364"/>
      <c r="B10" s="357"/>
      <c r="C10" s="41">
        <f>IFERROR(VLOOKUP($S10,CARGAFACTURAS!$A$2:$Q$1500,6,0),0)</f>
        <v>0</v>
      </c>
      <c r="D10" s="220">
        <f>+IFERROR(VLOOKUP($S10,CARGAFACTURAS!$A$2:$Q$1500,5,0),0)</f>
        <v>0</v>
      </c>
      <c r="E10" s="41">
        <f>+IFERROR(VLOOKUP($S10,CARGAFACTURAS!$A$2:$Q$1500,4,0),0)</f>
        <v>0</v>
      </c>
      <c r="F10" s="41">
        <f>+IFERROR(VLOOKUP($S10,CARGAFACTURAS!$A$2:$Q$1500,14,0),0)</f>
        <v>0</v>
      </c>
      <c r="G10" s="135"/>
      <c r="H10" s="227">
        <f>+IFERROR(VLOOKUP($S10,CARGAFACTURAS!$A$2:$Q$1500,7,0),0)</f>
        <v>0</v>
      </c>
      <c r="I10" s="227">
        <f>+IFERROR(VLOOKUP($S10,CARGAFACTURAS!$A$2:$Q$1500,8,0),0)</f>
        <v>0</v>
      </c>
      <c r="J10" s="227">
        <f>+IFERROR(VLOOKUP($S10,CARGAFACTURAS!$A$2:$Q$1500,9,0),0)</f>
        <v>0</v>
      </c>
      <c r="K10" s="227">
        <f>+IFERROR(VLOOKUP($S10,CARGAFACTURAS!$A$2:$Q$1500,10,0),0)</f>
        <v>0</v>
      </c>
      <c r="L10" s="227">
        <f>+IFERROR(VLOOKUP($S10,CARGAFACTURAS!$A$2:$Q$1500,11,0),0)</f>
        <v>0</v>
      </c>
      <c r="M10" s="227">
        <f>+IFERROR(VLOOKUP($S10,CARGAFACTURAS!$A$2:$Q$1500,12,0),0)</f>
        <v>0</v>
      </c>
      <c r="N10" s="52">
        <f>+IFERROR(IF(F10="CC",0,VLOOKUP($S10,CARGAFACTURAS!$A$2:$Q$1500,13,0)),0)</f>
        <v>0</v>
      </c>
      <c r="O10" s="52">
        <f>IF(F10="CC",VLOOKUP($S10,CARGAFACTURAS!$A$2:$Q$1500,13,0),0)</f>
        <v>0</v>
      </c>
      <c r="P10" s="42"/>
      <c r="Q10" s="43"/>
      <c r="S10" t="str">
        <f>+T10&amp;COUNTIF($T$3:T10,T10)</f>
        <v>JUNIO 235</v>
      </c>
      <c r="T10" t="str">
        <f t="shared" si="1"/>
        <v>JUNIO 23</v>
      </c>
    </row>
    <row r="11" spans="1:20" ht="16.5" thickBot="1" x14ac:dyDescent="0.3">
      <c r="A11" s="364"/>
      <c r="B11" s="358"/>
      <c r="C11" s="366"/>
      <c r="D11" s="367"/>
      <c r="E11" s="367"/>
      <c r="F11" s="367"/>
      <c r="G11" s="81" t="s">
        <v>15</v>
      </c>
      <c r="H11" s="225">
        <f t="shared" ref="H11:O11" si="2">SUM(H3:H10)</f>
        <v>261527.77</v>
      </c>
      <c r="I11" s="225">
        <f t="shared" si="2"/>
        <v>5119.7921249999999</v>
      </c>
      <c r="J11" s="225">
        <f t="shared" si="2"/>
        <v>13076.388499999999</v>
      </c>
      <c r="K11" s="225">
        <f t="shared" si="2"/>
        <v>0</v>
      </c>
      <c r="L11" s="225">
        <f t="shared" si="2"/>
        <v>274.32</v>
      </c>
      <c r="M11" s="225">
        <f t="shared" si="2"/>
        <v>1223.6000000000001</v>
      </c>
      <c r="N11" s="226">
        <f t="shared" si="2"/>
        <v>241833.66937499997</v>
      </c>
      <c r="O11" s="226">
        <f t="shared" si="2"/>
        <v>0</v>
      </c>
      <c r="P11" s="45"/>
      <c r="Q11" s="38"/>
      <c r="S11" t="str">
        <f>+T11&amp;COUNTIF($T$3:T11,T11)</f>
        <v>TOTALJUNIO 231</v>
      </c>
      <c r="T11" t="str">
        <f t="shared" si="1"/>
        <v>TOTALJUNIO 23</v>
      </c>
    </row>
    <row r="12" spans="1:20" ht="16.5" thickBot="1" x14ac:dyDescent="0.3">
      <c r="A12" s="364"/>
      <c r="B12" s="7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39"/>
      <c r="O12" s="47"/>
      <c r="P12" s="48"/>
      <c r="Q12" s="40"/>
      <c r="S12" t="str">
        <f>+T12&amp;COUNTIF($T$3:T12,T12)</f>
        <v>JUNIO 236</v>
      </c>
      <c r="T12" t="str">
        <f t="shared" si="1"/>
        <v>JUNIO 23</v>
      </c>
    </row>
    <row r="13" spans="1:20" ht="54" customHeight="1" x14ac:dyDescent="0.25">
      <c r="A13" s="364"/>
      <c r="B13" s="356" t="s">
        <v>71</v>
      </c>
      <c r="C13" s="236" t="s">
        <v>24</v>
      </c>
      <c r="D13" s="206" t="s">
        <v>61</v>
      </c>
      <c r="E13" s="207" t="s">
        <v>1</v>
      </c>
      <c r="F13" s="208" t="s">
        <v>113</v>
      </c>
      <c r="G13" s="207" t="s">
        <v>2</v>
      </c>
      <c r="H13" s="237" t="s">
        <v>3</v>
      </c>
      <c r="I13" s="207" t="s">
        <v>4</v>
      </c>
      <c r="J13" s="207" t="s">
        <v>5</v>
      </c>
      <c r="K13" s="207" t="s">
        <v>84</v>
      </c>
      <c r="L13" s="207" t="s">
        <v>86</v>
      </c>
      <c r="M13" s="207" t="s">
        <v>85</v>
      </c>
      <c r="N13" s="206" t="s">
        <v>457</v>
      </c>
      <c r="O13" s="238" t="s">
        <v>96</v>
      </c>
      <c r="P13" s="210" t="s">
        <v>76</v>
      </c>
      <c r="Q13" s="211" t="s">
        <v>15</v>
      </c>
      <c r="S13" t="str">
        <f>+T13&amp;COUNTIF($T$3:T13,T13)</f>
        <v>PROVEEDORJUNIO 231</v>
      </c>
      <c r="T13" t="str">
        <f t="shared" si="1"/>
        <v>PROVEEDORJUNIO 23</v>
      </c>
    </row>
    <row r="14" spans="1:20" ht="15.75" x14ac:dyDescent="0.25">
      <c r="A14" s="364"/>
      <c r="B14" s="357"/>
      <c r="C14" s="41" t="str">
        <f>IFERROR(VLOOKUP($S14,CARGAFACTURAS!$A$2:$Q$1500,6,0),0)</f>
        <v>30-68568395-0</v>
      </c>
      <c r="D14" s="220">
        <f>+IFERROR(VLOOKUP($S14,CARGAFACTURAS!$A$2:$Q$1500,5,0),0)</f>
        <v>45078</v>
      </c>
      <c r="E14" s="41" t="str">
        <f>+IFERROR(VLOOKUP($S14,CARGAFACTURAS!$A$2:$Q$1500,4,0),0)</f>
        <v>0002-00005901</v>
      </c>
      <c r="F14" s="41">
        <f>+IFERROR(VLOOKUP($S14,CARGAFACTURAS!$A$2:$Q$1500,14,0),0)</f>
        <v>36068209</v>
      </c>
      <c r="G14" s="135" t="s">
        <v>11</v>
      </c>
      <c r="H14" s="280">
        <f>+IFERROR(VLOOKUP($S14,CARGAFACTURAS!$A$2:$Q$1500,7,0),0)</f>
        <v>530323.19999999995</v>
      </c>
      <c r="I14" s="221">
        <f>+IFERROR(VLOOKUP($S14,CARGAFACTURAS!$A$2:$Q$1500,8,0),0)</f>
        <v>6629.04</v>
      </c>
      <c r="J14" s="221">
        <f>+IFERROR(VLOOKUP($S14,CARGAFACTURAS!$A$2:$Q$1500,9,0),0)</f>
        <v>26516.16</v>
      </c>
      <c r="K14" s="221">
        <f>+IFERROR(VLOOKUP($S14,CARGAFACTURAS!$A$2:$Q$1500,10,0),0)</f>
        <v>46032.053759999995</v>
      </c>
      <c r="L14" s="221">
        <f>+IFERROR(VLOOKUP($S14,CARGAFACTURAS!$A$2:$Q$1500,11,0),0)</f>
        <v>9263.0639999999985</v>
      </c>
      <c r="M14" s="221">
        <f>+IFERROR(VLOOKUP($S14,CARGAFACTURAS!$A$2:$Q$1500,12,0),0)</f>
        <v>4382.8363636363638</v>
      </c>
      <c r="N14" s="369">
        <f>+H14+H15-I14-I15-J14-J15-K14-K15-L14-L15-M14-M15</f>
        <v>613306.104226909</v>
      </c>
      <c r="O14" s="52">
        <f>IF(F14="CC",VLOOKUP($S14,CARGAFACTURAS!$A$2:$Q$1500,13,0),0)</f>
        <v>0</v>
      </c>
      <c r="P14" s="86"/>
      <c r="Q14" s="51"/>
      <c r="S14" t="str">
        <f>+T14&amp;COUNTIF($T$3:T14,T14)</f>
        <v>LA PROVIDENCIA DEL NOA SRLJUNIO 231</v>
      </c>
      <c r="T14" t="str">
        <f t="shared" si="1"/>
        <v>LA PROVIDENCIA DEL NOA SRLJUNIO 23</v>
      </c>
    </row>
    <row r="15" spans="1:20" ht="15.75" x14ac:dyDescent="0.25">
      <c r="A15" s="364"/>
      <c r="B15" s="357"/>
      <c r="C15" s="41" t="str">
        <f>IFERROR(VLOOKUP($S15,CARGAFACTURAS!$A$2:$Q$1500,6,0),0)</f>
        <v>30-68568395-0</v>
      </c>
      <c r="D15" s="220">
        <f>+IFERROR(VLOOKUP($S15,CARGAFACTURAS!$A$2:$Q$1500,5,0),0)</f>
        <v>45078</v>
      </c>
      <c r="E15" s="41" t="str">
        <f>+IFERROR(VLOOKUP($S15,CARGAFACTURAS!$A$2:$Q$1500,4,0),0)</f>
        <v>0002-00005902</v>
      </c>
      <c r="F15" s="41">
        <f>+IFERROR(VLOOKUP($S15,CARGAFACTURAS!$A$2:$Q$1500,14,0),0)</f>
        <v>36068209</v>
      </c>
      <c r="G15" s="135" t="s">
        <v>11</v>
      </c>
      <c r="H15" s="280">
        <f>+IFERROR(VLOOKUP($S15,CARGAFACTURAS!$A$2:$Q$1500,7,0),0)</f>
        <v>212129.28</v>
      </c>
      <c r="I15" s="221">
        <f>+IFERROR(VLOOKUP($S15,CARGAFACTURAS!$A$2:$Q$1500,8,0),0)</f>
        <v>2651.616</v>
      </c>
      <c r="J15" s="221">
        <f>+IFERROR(VLOOKUP($S15,CARGAFACTURAS!$A$2:$Q$1500,9,0),0)</f>
        <v>10606.464</v>
      </c>
      <c r="K15" s="221">
        <f>+IFERROR(VLOOKUP($S15,CARGAFACTURAS!$A$2:$Q$1500,10,0),0)</f>
        <v>18412.821504</v>
      </c>
      <c r="L15" s="221">
        <f>+IFERROR(VLOOKUP($S15,CARGAFACTURAS!$A$2:$Q$1500,11,0),0)</f>
        <v>2899.1855999999998</v>
      </c>
      <c r="M15" s="221">
        <f>+IFERROR(VLOOKUP($S15,CARGAFACTURAS!$A$2:$Q$1500,12,0),0)</f>
        <v>1753.1345454545456</v>
      </c>
      <c r="N15" s="369"/>
      <c r="O15" s="52">
        <f>IF(F15="CC",VLOOKUP($S15,CARGAFACTURAS!$A$2:$Q$1500,13,0),0)</f>
        <v>0</v>
      </c>
      <c r="P15" s="86"/>
      <c r="Q15" s="51"/>
      <c r="S15" t="str">
        <f>+T15&amp;COUNTIF($T$3:T15,T15)</f>
        <v>LA PROVIDENCIA DEL NOA SRLJUNIO 232</v>
      </c>
      <c r="T15" t="str">
        <f t="shared" si="1"/>
        <v>LA PROVIDENCIA DEL NOA SRLJUNIO 23</v>
      </c>
    </row>
    <row r="16" spans="1:20" ht="15.75" x14ac:dyDescent="0.25">
      <c r="A16" s="364"/>
      <c r="B16" s="357"/>
      <c r="C16" s="41" t="str">
        <f>IFERROR(VLOOKUP($S16,CARGAFACTURAS!$A$2:$Q$1500,6,0),0)</f>
        <v>30-65710669-7</v>
      </c>
      <c r="D16" s="220">
        <f>+IFERROR(VLOOKUP($S16,CARGAFACTURAS!$A$2:$Q$1500,5,0),0)</f>
        <v>45085</v>
      </c>
      <c r="E16" s="41" t="str">
        <f>+IFERROR(VLOOKUP($S16,CARGAFACTURAS!$A$2:$Q$1500,4,0),0)</f>
        <v>0004-00012810</v>
      </c>
      <c r="F16" s="41">
        <f>+IFERROR(VLOOKUP($S16,CARGAFACTURAS!$A$2:$Q$1500,14,0),0)</f>
        <v>36597935</v>
      </c>
      <c r="G16" s="135" t="s">
        <v>50</v>
      </c>
      <c r="H16" s="280">
        <f>+IFERROR(VLOOKUP($S16,CARGAFACTURAS!$A$2:$Q$1500,7,0),0)</f>
        <v>123890</v>
      </c>
      <c r="I16" s="221">
        <f>+IFERROR(VLOOKUP($S16,CARGAFACTURAS!$A$2:$Q$1500,8,0),0)</f>
        <v>3097.25</v>
      </c>
      <c r="J16" s="221">
        <f>+IFERROR(VLOOKUP($S16,CARGAFACTURAS!$A$2:$Q$1500,9,0),0)</f>
        <v>6194.5</v>
      </c>
      <c r="K16" s="221">
        <f>+IFERROR(VLOOKUP($S16,CARGAFACTURAS!$A$2:$Q$1500,10,0),0)</f>
        <v>0</v>
      </c>
      <c r="L16" s="221">
        <f>+IFERROR(VLOOKUP($S16,CARGAFACTURAS!$A$2:$Q$1500,11,0),0)</f>
        <v>0</v>
      </c>
      <c r="M16" s="221">
        <f>+IFERROR(VLOOKUP($S16,CARGAFACTURAS!$A$2:$Q$1500,12,0),0)</f>
        <v>0</v>
      </c>
      <c r="N16" s="52">
        <f>+IFERROR(IF(F16="CC",0,VLOOKUP($S16,CARGAFACTURAS!$A$2:$Q$1500,13,0)),0)</f>
        <v>114598.25</v>
      </c>
      <c r="O16" s="52">
        <f>IF(F16="CC",VLOOKUP($S16,CARGAFACTURAS!$A$2:$Q$1500,13,0),0)</f>
        <v>0</v>
      </c>
      <c r="P16" s="49"/>
      <c r="Q16" s="51"/>
      <c r="S16" t="str">
        <f>+T16&amp;COUNTIF($T$3:T16,T16)</f>
        <v>CEGE SRLJUNIO 231</v>
      </c>
      <c r="T16" t="str">
        <f t="shared" si="1"/>
        <v>CEGE SRLJUNIO 23</v>
      </c>
    </row>
    <row r="17" spans="1:20" ht="15.75" x14ac:dyDescent="0.25">
      <c r="A17" s="364"/>
      <c r="B17" s="357"/>
      <c r="C17" s="41" t="str">
        <f>IFERROR(VLOOKUP($S17,CARGAFACTURAS!$A$2:$Q$1500,6,0),0)</f>
        <v>20-22414023-2</v>
      </c>
      <c r="D17" s="220">
        <f>+IFERROR(VLOOKUP($S17,CARGAFACTURAS!$A$2:$Q$1500,5,0),0)</f>
        <v>45078</v>
      </c>
      <c r="E17" s="41" t="str">
        <f>+IFERROR(VLOOKUP($S17,CARGAFACTURAS!$A$2:$Q$1500,4,0),0)</f>
        <v>0008-00004655</v>
      </c>
      <c r="F17" s="41">
        <f>+IFERROR(VLOOKUP($S17,CARGAFACTURAS!$A$2:$Q$1500,14,0),0)</f>
        <v>36597525</v>
      </c>
      <c r="G17" s="135" t="s">
        <v>20</v>
      </c>
      <c r="H17" s="280">
        <f>+IFERROR(VLOOKUP($S17,CARGAFACTURAS!$A$2:$Q$1500,7,0),0)</f>
        <v>66450</v>
      </c>
      <c r="I17" s="221">
        <f>+IFERROR(VLOOKUP($S17,CARGAFACTURAS!$A$2:$Q$1500,8,0),0)</f>
        <v>0</v>
      </c>
      <c r="J17" s="221">
        <f>+IFERROR(VLOOKUP($S17,CARGAFACTURAS!$A$2:$Q$1500,9,0),0)</f>
        <v>1661.25</v>
      </c>
      <c r="K17" s="221">
        <f>+IFERROR(VLOOKUP($S17,CARGAFACTURAS!$A$2:$Q$1500,10,0),0)</f>
        <v>0</v>
      </c>
      <c r="L17" s="221">
        <f>+IFERROR(VLOOKUP($S17,CARGAFACTURAS!$A$2:$Q$1500,11,0),0)</f>
        <v>0</v>
      </c>
      <c r="M17" s="221">
        <f>+IFERROR(VLOOKUP($S17,CARGAFACTURAS!$A$2:$Q$1500,12,0),0)</f>
        <v>0</v>
      </c>
      <c r="N17" s="52">
        <f>+IFERROR(IF(F17="CC",0,VLOOKUP($S17,CARGAFACTURAS!$A$2:$Q$1500,13,0)),0)</f>
        <v>64788.75</v>
      </c>
      <c r="O17" s="52">
        <f>IF(F17="CC",VLOOKUP($S17,CARGAFACTURAS!$A$2:$Q$1500,13,0),0)</f>
        <v>0</v>
      </c>
      <c r="P17" s="49"/>
      <c r="Q17" s="51"/>
      <c r="S17" t="str">
        <f>+T17&amp;COUNTIF($T$3:T17,T17)</f>
        <v>WATERLIFE (VARONA CARLOS JOSE)JUNIO 231</v>
      </c>
      <c r="T17" t="str">
        <f t="shared" si="1"/>
        <v>WATERLIFE (VARONA CARLOS JOSE)JUNIO 23</v>
      </c>
    </row>
    <row r="18" spans="1:20" ht="15.75" x14ac:dyDescent="0.25">
      <c r="A18" s="364"/>
      <c r="B18" s="357"/>
      <c r="C18" s="41" t="str">
        <f>IFERROR(VLOOKUP($S18,CARGAFACTURAS!$A$2:$Q$1500,6,0),0)</f>
        <v>30-66328849-7</v>
      </c>
      <c r="D18" s="220">
        <f>+IFERROR(VLOOKUP($S18,CARGAFACTURAS!$A$2:$Q$1500,5,0),0)</f>
        <v>45092</v>
      </c>
      <c r="E18" s="41" t="str">
        <f>+IFERROR(VLOOKUP($S18,CARGAFACTURAS!$A$2:$Q$1500,4,0),0)</f>
        <v>1305-61651830</v>
      </c>
      <c r="F18" s="41">
        <f>+IFERROR(VLOOKUP($S18,CARGAFACTURAS!$A$2:$Q$1500,14,0),0)</f>
        <v>37095487</v>
      </c>
      <c r="G18" s="135" t="s">
        <v>18</v>
      </c>
      <c r="H18" s="280">
        <f>+IFERROR(VLOOKUP($S18,CARGAFACTURAS!$A$2:$Q$1500,7,0),0)</f>
        <v>901.91</v>
      </c>
      <c r="I18" s="221">
        <f>+IFERROR(VLOOKUP($S18,CARGAFACTURAS!$A$2:$Q$1500,8,0),0)</f>
        <v>0</v>
      </c>
      <c r="J18" s="221">
        <f>+IFERROR(VLOOKUP($S18,CARGAFACTURAS!$A$2:$Q$1500,9,0),0)</f>
        <v>0</v>
      </c>
      <c r="K18" s="221">
        <f>+IFERROR(VLOOKUP($S18,CARGAFACTURAS!$A$2:$Q$1500,10,0),0)</f>
        <v>0</v>
      </c>
      <c r="L18" s="221">
        <f>+IFERROR(VLOOKUP($S18,CARGAFACTURAS!$A$2:$Q$1500,11,0),0)</f>
        <v>0</v>
      </c>
      <c r="M18" s="221">
        <f>+IFERROR(VLOOKUP($S18,CARGAFACTURAS!$A$2:$Q$1500,12,0),0)</f>
        <v>0</v>
      </c>
      <c r="N18" s="52">
        <f>+IFERROR(IF(F18="CC",0,VLOOKUP($S18,CARGAFACTURAS!$A$2:$Q$1500,13,0)),0)</f>
        <v>901.91</v>
      </c>
      <c r="O18" s="52">
        <f>IF(F18="CC",VLOOKUP($S18,CARGAFACTURAS!$A$2:$Q$1500,13,0),0)</f>
        <v>0</v>
      </c>
      <c r="P18" s="49"/>
      <c r="Q18" s="51"/>
      <c r="S18" t="str">
        <f>+T18&amp;COUNTIF($T$3:T18,T18)</f>
        <v>CLARO (AMX ARGENTINA)JUNIO 231</v>
      </c>
      <c r="T18" t="str">
        <f t="shared" si="1"/>
        <v>CLARO (AMX ARGENTINA)JUNIO 23</v>
      </c>
    </row>
    <row r="19" spans="1:20" ht="15.75" x14ac:dyDescent="0.25">
      <c r="A19" s="364"/>
      <c r="B19" s="357"/>
      <c r="C19" s="41" t="str">
        <f>IFERROR(VLOOKUP($S19,CARGAFACTURAS!$A$2:$Q$1500,6,0),0)</f>
        <v>30-71648081-6</v>
      </c>
      <c r="D19" s="220">
        <f>+IFERROR(VLOOKUP($S19,CARGAFACTURAS!$A$2:$Q$1500,5,0),0)</f>
        <v>45082</v>
      </c>
      <c r="E19" s="41" t="str">
        <f>+IFERROR(VLOOKUP($S19,CARGAFACTURAS!$A$2:$Q$1500,4,0),0)</f>
        <v>0004-00000045</v>
      </c>
      <c r="F19" s="41">
        <f>+IFERROR(VLOOKUP($S19,CARGAFACTURAS!$A$2:$Q$1500,14,0),0)</f>
        <v>36597668</v>
      </c>
      <c r="G19" s="135" t="s">
        <v>98</v>
      </c>
      <c r="H19" s="280">
        <f>+IFERROR(VLOOKUP($S19,CARGAFACTURAS!$A$2:$Q$1500,7,0),0)</f>
        <v>82650</v>
      </c>
      <c r="I19" s="221">
        <f>+IFERROR(VLOOKUP($S19,CARGAFACTURAS!$A$2:$Q$1500,8,0),0)</f>
        <v>0</v>
      </c>
      <c r="J19" s="221">
        <f>+IFERROR(VLOOKUP($S19,CARGAFACTURAS!$A$2:$Q$1500,9,0),0)</f>
        <v>1239.75</v>
      </c>
      <c r="K19" s="221">
        <f>+IFERROR(VLOOKUP($S19,CARGAFACTURAS!$A$2:$Q$1500,10,0),0)</f>
        <v>0</v>
      </c>
      <c r="L19" s="221">
        <f>+IFERROR(VLOOKUP($S19,CARGAFACTURAS!$A$2:$Q$1500,11,0),0)</f>
        <v>309.60000000000002</v>
      </c>
      <c r="M19" s="221">
        <f>+IFERROR(VLOOKUP($S19,CARGAFACTURAS!$A$2:$Q$1500,12,0),0)</f>
        <v>683.05785123966939</v>
      </c>
      <c r="N19" s="52">
        <f>+IFERROR(IF(F19="CC",0,VLOOKUP($S19,CARGAFACTURAS!$A$2:$Q$1500,13,0)),0)</f>
        <v>80417.592148760319</v>
      </c>
      <c r="O19" s="52">
        <f>IF(F19="CC",VLOOKUP($S19,CARGAFACTURAS!$A$2:$Q$1500,13,0),0)</f>
        <v>0</v>
      </c>
      <c r="P19" s="49"/>
      <c r="Q19" s="51"/>
      <c r="S19" t="str">
        <f>+T19&amp;COUNTIF($T$3:T19,T19)</f>
        <v>FULL TRACK S.R.L.JUNIO 231</v>
      </c>
      <c r="T19" t="str">
        <f t="shared" si="1"/>
        <v>FULL TRACK S.R.L.JUNIO 23</v>
      </c>
    </row>
    <row r="20" spans="1:20" ht="15.75" x14ac:dyDescent="0.25">
      <c r="A20" s="364"/>
      <c r="B20" s="357"/>
      <c r="C20" s="41" t="str">
        <f>IFERROR(VLOOKUP($S20,CARGAFACTURAS!$A$2:$Q$1500,6,0),0)</f>
        <v>30-71648081-6</v>
      </c>
      <c r="D20" s="220">
        <f>+IFERROR(VLOOKUP($S20,CARGAFACTURAS!$A$2:$Q$1500,5,0),0)</f>
        <v>45092</v>
      </c>
      <c r="E20" s="41" t="str">
        <f>+IFERROR(VLOOKUP($S20,CARGAFACTURAS!$A$2:$Q$1500,4,0),0)</f>
        <v>0004-00000051</v>
      </c>
      <c r="F20" s="41">
        <f>+IFERROR(VLOOKUP($S20,CARGAFACTURAS!$A$2:$Q$1500,14,0),0)</f>
        <v>36919022</v>
      </c>
      <c r="G20" s="135" t="s">
        <v>98</v>
      </c>
      <c r="H20" s="280">
        <f>+IFERROR(VLOOKUP($S20,CARGAFACTURAS!$A$2:$Q$1500,7,0),0)</f>
        <v>739700</v>
      </c>
      <c r="I20" s="221">
        <f>+IFERROR(VLOOKUP($S20,CARGAFACTURAS!$A$2:$Q$1500,8,0),0)</f>
        <v>0</v>
      </c>
      <c r="J20" s="221">
        <f>+IFERROR(VLOOKUP($S20,CARGAFACTURAS!$A$2:$Q$1500,9,0),0)</f>
        <v>11095.5</v>
      </c>
      <c r="K20" s="221">
        <f>+IFERROR(VLOOKUP($S20,CARGAFACTURAS!$A$2:$Q$1500,10,0),0)</f>
        <v>0</v>
      </c>
      <c r="L20" s="221">
        <f>+IFERROR(VLOOKUP($S20,CARGAFACTURAS!$A$2:$Q$1500,11,0),0)</f>
        <v>13450.6</v>
      </c>
      <c r="M20" s="221">
        <f>+IFERROR(VLOOKUP($S20,CARGAFACTURAS!$A$2:$Q$1500,12,0),0)</f>
        <v>6113.2231404958675</v>
      </c>
      <c r="N20" s="52">
        <f>+IFERROR(IF(F20="CC",0,VLOOKUP($S20,CARGAFACTURAS!$A$2:$Q$1500,13,0)),0)</f>
        <v>709040.67685950419</v>
      </c>
      <c r="O20" s="52">
        <f>IF(F20="CC",VLOOKUP($S20,CARGAFACTURAS!$A$2:$Q$1500,13,0),0)</f>
        <v>0</v>
      </c>
      <c r="P20" s="49"/>
      <c r="Q20" s="51"/>
      <c r="S20" t="str">
        <f>+T20&amp;COUNTIF($T$3:T20,T20)</f>
        <v>FULL TRACK S.R.L.JUNIO 232</v>
      </c>
      <c r="T20" t="str">
        <f t="shared" si="1"/>
        <v>FULL TRACK S.R.L.JUNIO 23</v>
      </c>
    </row>
    <row r="21" spans="1:20" ht="15.75" x14ac:dyDescent="0.25">
      <c r="A21" s="364"/>
      <c r="B21" s="357"/>
      <c r="C21" s="41" t="str">
        <f>IFERROR(VLOOKUP($S21,CARGAFACTURAS!$A$2:$Q$1500,6,0),0)</f>
        <v>30-71648081-6</v>
      </c>
      <c r="D21" s="220">
        <f>+IFERROR(VLOOKUP($S21,CARGAFACTURAS!$A$2:$Q$1500,5,0),0)</f>
        <v>45107</v>
      </c>
      <c r="E21" s="41" t="str">
        <f>+IFERROR(VLOOKUP($S21,CARGAFACTURAS!$A$2:$Q$1500,4,0),0)</f>
        <v>0004-00000052</v>
      </c>
      <c r="F21" s="41">
        <f>+IFERROR(VLOOKUP($S21,CARGAFACTURAS!$A$2:$Q$1500,14,0),0)</f>
        <v>37606821</v>
      </c>
      <c r="G21" s="135" t="s">
        <v>98</v>
      </c>
      <c r="H21" s="280">
        <f>+IFERROR(VLOOKUP($S21,CARGAFACTURAS!$A$2:$Q$1500,7,0),0)</f>
        <v>512200</v>
      </c>
      <c r="I21" s="221">
        <f>+IFERROR(VLOOKUP($S21,CARGAFACTURAS!$A$2:$Q$1500,8,0),0)</f>
        <v>0</v>
      </c>
      <c r="J21" s="221">
        <f>+IFERROR(VLOOKUP($S21,CARGAFACTURAS!$A$2:$Q$1500,9,0),0)</f>
        <v>7683</v>
      </c>
      <c r="K21" s="221">
        <f>+IFERROR(VLOOKUP($S21,CARGAFACTURAS!$A$2:$Q$1500,10,0),0)</f>
        <v>0</v>
      </c>
      <c r="L21" s="221">
        <f>+IFERROR(VLOOKUP($S21,CARGAFACTURAS!$A$2:$Q$1500,11,0),0)</f>
        <v>8900.6</v>
      </c>
      <c r="M21" s="221">
        <f>+IFERROR(VLOOKUP($S21,CARGAFACTURAS!$A$2:$Q$1500,12,0),0)</f>
        <v>4233.0578512396696</v>
      </c>
      <c r="N21" s="52">
        <f>+IFERROR(IF(F21="CC",0,VLOOKUP($S21,CARGAFACTURAS!$A$2:$Q$1500,13,0)),0)</f>
        <v>491383.34214876033</v>
      </c>
      <c r="O21" s="52">
        <f>IF(F21="CC",VLOOKUP($S21,CARGAFACTURAS!$A$2:$Q$1500,13,0),0)</f>
        <v>0</v>
      </c>
      <c r="P21" s="49"/>
      <c r="Q21" s="51"/>
      <c r="S21" t="str">
        <f>+T21&amp;COUNTIF($T$3:T21,T21)</f>
        <v>FULL TRACK S.R.L.JUNIO 233</v>
      </c>
      <c r="T21" t="str">
        <f t="shared" si="1"/>
        <v>FULL TRACK S.R.L.JUNIO 23</v>
      </c>
    </row>
    <row r="22" spans="1:20" ht="15.75" x14ac:dyDescent="0.25">
      <c r="A22" s="364"/>
      <c r="B22" s="368"/>
      <c r="C22" s="41" t="str">
        <f>IFERROR(VLOOKUP($S22,CARGAFACTURAS!$A$2:$Q$1500,6,0),0)</f>
        <v>20-22167463-5</v>
      </c>
      <c r="D22" s="220">
        <f>+IFERROR(VLOOKUP($S22,CARGAFACTURAS!$A$2:$Q$1500,5,0),0)</f>
        <v>45089</v>
      </c>
      <c r="E22" s="41" t="str">
        <f>+IFERROR(VLOOKUP($S22,CARGAFACTURAS!$A$2:$Q$1500,4,0),0)</f>
        <v>0003-00000152</v>
      </c>
      <c r="F22" s="41">
        <f>+IFERROR(VLOOKUP($S22,CARGAFACTURAS!$A$2:$Q$1500,14,0),0)</f>
        <v>36068207</v>
      </c>
      <c r="G22" s="135" t="s">
        <v>59</v>
      </c>
      <c r="H22" s="280">
        <f>+IFERROR(VLOOKUP($S22,CARGAFACTURAS!$A$2:$Q$1500,7,0),0)</f>
        <v>48200</v>
      </c>
      <c r="I22" s="221">
        <f>+IFERROR(VLOOKUP($S22,CARGAFACTURAS!$A$2:$Q$1500,8,0),0)</f>
        <v>0</v>
      </c>
      <c r="J22" s="221">
        <f>+IFERROR(VLOOKUP($S22,CARGAFACTURAS!$A$2:$Q$1500,9,0),0)</f>
        <v>1205</v>
      </c>
      <c r="K22" s="221">
        <f>+IFERROR(VLOOKUP($S22,CARGAFACTURAS!$A$2:$Q$1500,10,0),0)</f>
        <v>0</v>
      </c>
      <c r="L22" s="221">
        <f>+IFERROR(VLOOKUP($S22,CARGAFACTURAS!$A$2:$Q$1500,11,0),0)</f>
        <v>0</v>
      </c>
      <c r="M22" s="221">
        <f>+IFERROR(VLOOKUP($S22,CARGAFACTURAS!$A$2:$Q$1500,12,0),0)</f>
        <v>0</v>
      </c>
      <c r="N22" s="52">
        <f>+IFERROR(IF(F22="CC",0,VLOOKUP($S22,CARGAFACTURAS!$A$2:$Q$1500,13,0)),0)</f>
        <v>46995</v>
      </c>
      <c r="O22" s="52">
        <f>IF(F22="CC",VLOOKUP($S22,CARGAFACTURAS!$A$2:$Q$1500,13,0),0)</f>
        <v>0</v>
      </c>
      <c r="P22" s="86"/>
      <c r="Q22" s="51"/>
      <c r="S22" t="str">
        <f>+T22&amp;COUNTIF($T$3:T22,T22)</f>
        <v>JORGE ROLANDO FRIAS (JF SERV. INF.)JUNIO 231</v>
      </c>
      <c r="T22" t="str">
        <f t="shared" si="1"/>
        <v>JORGE ROLANDO FRIAS (JF SERV. INF.)JUNIO 23</v>
      </c>
    </row>
    <row r="23" spans="1:20" ht="15.75" x14ac:dyDescent="0.25">
      <c r="A23" s="364"/>
      <c r="B23" s="368"/>
      <c r="C23" s="41" t="str">
        <f>IFERROR(VLOOKUP($S23,CARGAFACTURAS!$A$2:$Q$1500,6,0),0)</f>
        <v>30-50009071-1</v>
      </c>
      <c r="D23" s="220">
        <f>+IFERROR(VLOOKUP($S23,CARGAFACTURAS!$A$2:$Q$1500,5,0),0)</f>
        <v>45100</v>
      </c>
      <c r="E23" s="41" t="str">
        <f>+IFERROR(VLOOKUP($S23,CARGAFACTURAS!$A$2:$Q$1500,4,0),0)</f>
        <v>0084-00017948</v>
      </c>
      <c r="F23" s="41" t="str">
        <f>+IFERROR(VLOOKUP($S23,CARGAFACTURAS!$A$2:$Q$1500,14,0),0)</f>
        <v>CC</v>
      </c>
      <c r="G23" s="135" t="s">
        <v>540</v>
      </c>
      <c r="H23" s="280">
        <f>+IFERROR(VLOOKUP($S23,CARGAFACTURAS!$A$2:$Q$1500,7,0),0)</f>
        <v>6230.02</v>
      </c>
      <c r="I23" s="221">
        <f>+IFERROR(VLOOKUP($S23,CARGAFACTURAS!$A$2:$Q$1500,8,0),0)</f>
        <v>0</v>
      </c>
      <c r="J23" s="221">
        <f>+IFERROR(VLOOKUP($S23,CARGAFACTURAS!$A$2:$Q$1500,9,0),0)</f>
        <v>0</v>
      </c>
      <c r="K23" s="221">
        <f>+IFERROR(VLOOKUP($S23,CARGAFACTURAS!$A$2:$Q$1500,10,0),0)</f>
        <v>0</v>
      </c>
      <c r="L23" s="221">
        <f>+IFERROR(VLOOKUP($S23,CARGAFACTURAS!$A$2:$Q$1500,11,0),0)</f>
        <v>0</v>
      </c>
      <c r="M23" s="221">
        <f>+IFERROR(VLOOKUP($S23,CARGAFACTURAS!$A$2:$Q$1500,12,0),0)</f>
        <v>0</v>
      </c>
      <c r="N23" s="52">
        <f>+IFERROR(IF(F23="CC",0,VLOOKUP($S23,CARGAFACTURAS!$A$2:$Q$1500,13,0)),0)</f>
        <v>0</v>
      </c>
      <c r="O23" s="52">
        <f>IF(F23="CC",VLOOKUP($S23,CARGAFACTURAS!$A$2:$Q$1500,13,0),0)</f>
        <v>6230.02</v>
      </c>
      <c r="P23" s="86"/>
      <c r="Q23" s="51"/>
      <c r="S23" t="str">
        <f>+T23&amp;COUNTIF($T$3:T23,T23)</f>
        <v>LA GACETAJUNIO 231</v>
      </c>
      <c r="T23" t="str">
        <f t="shared" si="1"/>
        <v>LA GACETAJUNIO 23</v>
      </c>
    </row>
    <row r="24" spans="1:20" ht="15.75" x14ac:dyDescent="0.25">
      <c r="A24" s="364"/>
      <c r="B24" s="368"/>
      <c r="C24" s="41" t="str">
        <f>IFERROR(VLOOKUP($S24,CARGAFACTURAS!$A$2:$Q$1500,6,0),0)</f>
        <v>20-22414023-2</v>
      </c>
      <c r="D24" s="220">
        <f>+IFERROR(VLOOKUP($S24,CARGAFACTURAS!$A$2:$Q$1500,5,0),0)</f>
        <v>45108</v>
      </c>
      <c r="E24" s="41" t="str">
        <f>+IFERROR(VLOOKUP($S24,CARGAFACTURAS!$A$2:$Q$1500,4,0),0)</f>
        <v>0008-00004903</v>
      </c>
      <c r="F24" s="41">
        <f>+IFERROR(VLOOKUP($S24,CARGAFACTURAS!$A$2:$Q$1500,14,0),0)</f>
        <v>37607189</v>
      </c>
      <c r="G24" s="135" t="s">
        <v>20</v>
      </c>
      <c r="H24" s="280">
        <f>+IFERROR(VLOOKUP($S24,CARGAFACTURAS!$A$2:$Q$1500,7,0),0)</f>
        <v>69600</v>
      </c>
      <c r="I24" s="221">
        <f>+IFERROR(VLOOKUP($S24,CARGAFACTURAS!$A$2:$Q$1500,8,0),0)</f>
        <v>0</v>
      </c>
      <c r="J24" s="221">
        <f>+IFERROR(VLOOKUP($S24,CARGAFACTURAS!$A$2:$Q$1500,9,0),0)</f>
        <v>1740</v>
      </c>
      <c r="K24" s="221">
        <f>+IFERROR(VLOOKUP($S24,CARGAFACTURAS!$A$2:$Q$1500,10,0),0)</f>
        <v>0</v>
      </c>
      <c r="L24" s="221">
        <f>+IFERROR(VLOOKUP($S24,CARGAFACTURAS!$A$2:$Q$1500,11,0),0)</f>
        <v>0</v>
      </c>
      <c r="M24" s="221">
        <f>+IFERROR(VLOOKUP($S24,CARGAFACTURAS!$A$2:$Q$1500,12,0),0)</f>
        <v>0</v>
      </c>
      <c r="N24" s="52">
        <f>+IFERROR(IF(F24="CC",0,VLOOKUP($S24,CARGAFACTURAS!$A$2:$Q$1500,13,0)),0)</f>
        <v>67860</v>
      </c>
      <c r="O24" s="52">
        <f>IF(F24="CC",VLOOKUP($S24,CARGAFACTURAS!$A$2:$Q$1500,13,0),0)</f>
        <v>0</v>
      </c>
      <c r="P24" s="86"/>
      <c r="Q24" s="51"/>
      <c r="S24" t="str">
        <f>+T24&amp;COUNTIF($T$3:T24,T24)</f>
        <v>WATERLIFE (VARONA CARLOS JOSE)JUNIO 232</v>
      </c>
      <c r="T24" t="str">
        <f t="shared" si="1"/>
        <v>WATERLIFE (VARONA CARLOS JOSE)JUNIO 23</v>
      </c>
    </row>
    <row r="25" spans="1:20" ht="15.75" x14ac:dyDescent="0.25">
      <c r="A25" s="364"/>
      <c r="B25" s="368"/>
      <c r="C25" s="41">
        <f>IFERROR(VLOOKUP($S25,CARGAFACTURAS!$A$2:$Q$1500,6,0),0)</f>
        <v>0</v>
      </c>
      <c r="D25" s="220">
        <f>+IFERROR(VLOOKUP($S25,CARGAFACTURAS!$A$2:$Q$1500,5,0),0)</f>
        <v>0</v>
      </c>
      <c r="E25" s="41">
        <f>+IFERROR(VLOOKUP($S25,CARGAFACTURAS!$A$2:$Q$1500,4,0),0)</f>
        <v>0</v>
      </c>
      <c r="F25" s="41">
        <f>+IFERROR(VLOOKUP($S25,CARGAFACTURAS!$A$2:$Q$1500,14,0),0)</f>
        <v>0</v>
      </c>
      <c r="G25" s="135"/>
      <c r="H25" s="221">
        <f>+IFERROR(VLOOKUP($S25,CARGAFACTURAS!$A$2:$Q$1500,7,0),0)</f>
        <v>0</v>
      </c>
      <c r="I25" s="221">
        <f>+IFERROR(VLOOKUP($S25,CARGAFACTURAS!$A$2:$Q$1500,8,0),0)</f>
        <v>0</v>
      </c>
      <c r="J25" s="221">
        <f>+IFERROR(VLOOKUP($S25,CARGAFACTURAS!$A$2:$Q$1500,9,0),0)</f>
        <v>0</v>
      </c>
      <c r="K25" s="221">
        <f>+IFERROR(VLOOKUP($S25,CARGAFACTURAS!$A$2:$Q$1500,10,0),0)</f>
        <v>0</v>
      </c>
      <c r="L25" s="221">
        <f>+IFERROR(VLOOKUP($S25,CARGAFACTURAS!$A$2:$Q$1500,11,0),0)</f>
        <v>0</v>
      </c>
      <c r="M25" s="221">
        <f>+IFERROR(VLOOKUP($S25,CARGAFACTURAS!$A$2:$Q$1500,12,0),0)</f>
        <v>0</v>
      </c>
      <c r="N25" s="52">
        <f>+IFERROR(IF(F25="CC",0,VLOOKUP($S25,CARGAFACTURAS!$A$2:$Q$1500,13,0)),0)</f>
        <v>0</v>
      </c>
      <c r="O25" s="52">
        <f>IF(F25="CC",VLOOKUP($S25,CARGAFACTURAS!$A$2:$Q$1500,13,0),0)</f>
        <v>0</v>
      </c>
      <c r="P25" s="86"/>
      <c r="Q25" s="51"/>
      <c r="S25" t="str">
        <f>+T25&amp;COUNTIF($T$3:T25,T25)</f>
        <v>JUNIO 237</v>
      </c>
      <c r="T25" t="str">
        <f t="shared" si="1"/>
        <v>JUNIO 23</v>
      </c>
    </row>
    <row r="26" spans="1:20" ht="15.75" x14ac:dyDescent="0.25">
      <c r="A26" s="364"/>
      <c r="B26" s="368"/>
      <c r="C26" s="41" t="str">
        <f>IFERROR(VLOOKUP($S26,CARGAFACTURAS!$A$2:$Q$1500,6,0),0)</f>
        <v>30-70895858-8</v>
      </c>
      <c r="D26" s="220">
        <f>+IFERROR(VLOOKUP($S26,CARGAFACTURAS!$A$2:$Q$1500,5,0),0)</f>
        <v>45077</v>
      </c>
      <c r="E26" s="41" t="str">
        <f>+IFERROR(VLOOKUP($S26,CARGAFACTURAS!$A$2:$Q$1500,4,0),0)</f>
        <v>0003-00004897</v>
      </c>
      <c r="F26" s="41">
        <f>+IFERROR(VLOOKUP($S26,CARGAFACTURAS!$A$2:$Q$1500,14,0),0)</f>
        <v>36597602</v>
      </c>
      <c r="G26" s="135" t="s">
        <v>92</v>
      </c>
      <c r="H26" s="280">
        <f>+IFERROR(VLOOKUP($S26,CARGAFACTURAS!$A$2:$Q$1500,7,0),0)</f>
        <v>200618.12</v>
      </c>
      <c r="I26" s="221">
        <f>+IFERROR(VLOOKUP($S26,CARGAFACTURAS!$A$2:$Q$1500,8,0),0)</f>
        <v>0</v>
      </c>
      <c r="J26" s="221">
        <f>+IFERROR(VLOOKUP($S26,CARGAFACTURAS!$A$2:$Q$1500,9,0),0)</f>
        <v>0</v>
      </c>
      <c r="K26" s="221">
        <f>+IFERROR(VLOOKUP($S26,CARGAFACTURAS!$A$2:$Q$1500,10,0),0)</f>
        <v>0</v>
      </c>
      <c r="L26" s="221">
        <f>+IFERROR(VLOOKUP($S26,CARGAFACTURAS!$A$2:$Q$1500,11,0),0)</f>
        <v>0</v>
      </c>
      <c r="M26" s="221">
        <f>+IFERROR(VLOOKUP($S26,CARGAFACTURAS!$A$2:$Q$1500,12,0),0)</f>
        <v>0</v>
      </c>
      <c r="N26" s="361">
        <f>+IFERROR(IF(F26="CC",0,VLOOKUP($S26,CARGAFACTURAS!$A$2:$Q$1500,13,0)),0)+H27+H28+H29</f>
        <v>300927.18</v>
      </c>
      <c r="O26" s="52">
        <f>IF(F26="CC",VLOOKUP($S26,CARGAFACTURAS!$A$2:$Q$1500,13,0),0)</f>
        <v>0</v>
      </c>
      <c r="P26" s="86"/>
      <c r="Q26" s="51"/>
      <c r="S26" t="str">
        <f>+T26&amp;COUNTIF($T$3:T26,T26)</f>
        <v>COOP. DE TRAB. SAN LORENZO M JUNIO 231</v>
      </c>
      <c r="T26" t="str">
        <f t="shared" si="1"/>
        <v>COOP. DE TRAB. SAN LORENZO M JUNIO 23</v>
      </c>
    </row>
    <row r="27" spans="1:20" ht="15.75" x14ac:dyDescent="0.25">
      <c r="A27" s="364"/>
      <c r="B27" s="368"/>
      <c r="C27" s="41" t="str">
        <f>IFERROR(VLOOKUP($S27,CARGAFACTURAS!$A$2:$Q$1500,6,0),0)</f>
        <v>30-70895858-8</v>
      </c>
      <c r="D27" s="220">
        <f>+IFERROR(VLOOKUP($S27,CARGAFACTURAS!$A$2:$Q$1500,5,0),0)</f>
        <v>45077</v>
      </c>
      <c r="E27" s="41" t="str">
        <f>+IFERROR(VLOOKUP($S27,CARGAFACTURAS!$A$2:$Q$1500,4,0),0)</f>
        <v>0003-00004900</v>
      </c>
      <c r="F27" s="41">
        <f>+IFERROR(VLOOKUP($S27,CARGAFACTURAS!$A$2:$Q$1500,14,0),0)</f>
        <v>36597602</v>
      </c>
      <c r="G27" s="135" t="s">
        <v>92</v>
      </c>
      <c r="H27" s="280">
        <f>+IFERROR(VLOOKUP($S27,CARGAFACTURAS!$A$2:$Q$1500,7,0),0)</f>
        <v>100309.06</v>
      </c>
      <c r="I27" s="221">
        <f>+IFERROR(VLOOKUP($S27,CARGAFACTURAS!$A$2:$Q$1500,8,0),0)</f>
        <v>0</v>
      </c>
      <c r="J27" s="221">
        <f>+IFERROR(VLOOKUP($S27,CARGAFACTURAS!$A$2:$Q$1500,9,0),0)</f>
        <v>0</v>
      </c>
      <c r="K27" s="221">
        <f>+IFERROR(VLOOKUP($S27,CARGAFACTURAS!$A$2:$Q$1500,10,0),0)</f>
        <v>0</v>
      </c>
      <c r="L27" s="221">
        <f>+IFERROR(VLOOKUP($S27,CARGAFACTURAS!$A$2:$Q$1500,11,0),0)</f>
        <v>0</v>
      </c>
      <c r="M27" s="221">
        <f>+IFERROR(VLOOKUP($S27,CARGAFACTURAS!$A$2:$Q$1500,12,0),0)</f>
        <v>0</v>
      </c>
      <c r="N27" s="370"/>
      <c r="O27" s="52">
        <f>IF(F27="CC",VLOOKUP($S27,CARGAFACTURAS!$A$2:$Q$1500,13,0),0)</f>
        <v>0</v>
      </c>
      <c r="P27" s="86"/>
      <c r="Q27" s="51"/>
      <c r="S27" t="str">
        <f>+T27&amp;COUNTIF($T$3:T27,T27)</f>
        <v>COOP. DE TRAB. SAN LORENZO M JUNIO 232</v>
      </c>
      <c r="T27" t="str">
        <f t="shared" si="1"/>
        <v>COOP. DE TRAB. SAN LORENZO M JUNIO 23</v>
      </c>
    </row>
    <row r="28" spans="1:20" ht="15.75" x14ac:dyDescent="0.25">
      <c r="A28" s="364"/>
      <c r="B28" s="368"/>
      <c r="C28" s="41">
        <f>IFERROR(VLOOKUP($S28,CARGAFACTURAS!$A$2:$Q$1500,6,0),0)</f>
        <v>0</v>
      </c>
      <c r="D28" s="220">
        <f>+IFERROR(VLOOKUP($S28,CARGAFACTURAS!$A$2:$Q$1500,5,0),0)</f>
        <v>0</v>
      </c>
      <c r="E28" s="41">
        <f>+IFERROR(VLOOKUP($S28,CARGAFACTURAS!$A$2:$Q$1500,4,0),0)</f>
        <v>0</v>
      </c>
      <c r="F28" s="41">
        <f>+IFERROR(VLOOKUP($S28,CARGAFACTURAS!$A$2:$Q$1500,14,0),0)</f>
        <v>0</v>
      </c>
      <c r="G28" s="135"/>
      <c r="H28" s="221">
        <f>+IFERROR(VLOOKUP($S28,CARGAFACTURAS!$A$2:$Q$1500,7,0),0)</f>
        <v>0</v>
      </c>
      <c r="I28" s="221">
        <f>+IFERROR(VLOOKUP($S28,CARGAFACTURAS!$A$2:$Q$1500,8,0),0)</f>
        <v>0</v>
      </c>
      <c r="J28" s="221">
        <f>+IFERROR(VLOOKUP($S28,CARGAFACTURAS!$A$2:$Q$1500,9,0),0)</f>
        <v>0</v>
      </c>
      <c r="K28" s="221">
        <f>+IFERROR(VLOOKUP($S28,CARGAFACTURAS!$A$2:$Q$1500,10,0),0)</f>
        <v>0</v>
      </c>
      <c r="L28" s="221">
        <f>+IFERROR(VLOOKUP($S28,CARGAFACTURAS!$A$2:$Q$1500,11,0),0)</f>
        <v>0</v>
      </c>
      <c r="M28" s="221">
        <f>+IFERROR(VLOOKUP($S28,CARGAFACTURAS!$A$2:$Q$1500,12,0),0)</f>
        <v>0</v>
      </c>
      <c r="N28" s="52">
        <f>+IFERROR(IF(F28="CC",0,VLOOKUP($S28,CARGAFACTURAS!$A$2:$Q$1500,13,0)),0)</f>
        <v>0</v>
      </c>
      <c r="O28" s="52">
        <f>IF(F28="CC",VLOOKUP($S28,CARGAFACTURAS!$A$2:$Q$1500,13,0),0)</f>
        <v>0</v>
      </c>
      <c r="P28" s="86"/>
      <c r="Q28" s="51"/>
      <c r="S28" t="str">
        <f>+T28&amp;COUNTIF($T$3:T28,T28)</f>
        <v>JUNIO 238</v>
      </c>
      <c r="T28" t="str">
        <f t="shared" si="1"/>
        <v>JUNIO 23</v>
      </c>
    </row>
    <row r="29" spans="1:20" ht="15.75" x14ac:dyDescent="0.25">
      <c r="A29" s="364"/>
      <c r="B29" s="368"/>
      <c r="C29" s="41">
        <f>IFERROR(VLOOKUP($S29,CARGAFACTURAS!$A$2:$Q$1500,6,0),0)</f>
        <v>0</v>
      </c>
      <c r="D29" s="220">
        <f>+IFERROR(VLOOKUP($S29,CARGAFACTURAS!$A$2:$Q$1500,5,0),0)</f>
        <v>0</v>
      </c>
      <c r="E29" s="41">
        <f>+IFERROR(VLOOKUP($S29,CARGAFACTURAS!$A$2:$Q$1500,4,0),0)</f>
        <v>0</v>
      </c>
      <c r="F29" s="41">
        <f>+IFERROR(VLOOKUP($S29,CARGAFACTURAS!$A$2:$Q$1500,14,0),0)</f>
        <v>0</v>
      </c>
      <c r="G29" s="135"/>
      <c r="H29" s="221">
        <f>+IFERROR(VLOOKUP($S29,CARGAFACTURAS!$A$2:$Q$1500,7,0),0)</f>
        <v>0</v>
      </c>
      <c r="I29" s="221">
        <f>+IFERROR(VLOOKUP($S29,CARGAFACTURAS!$A$2:$Q$1500,8,0),0)</f>
        <v>0</v>
      </c>
      <c r="J29" s="221">
        <f>+IFERROR(VLOOKUP($S29,CARGAFACTURAS!$A$2:$Q$1500,9,0),0)</f>
        <v>0</v>
      </c>
      <c r="K29" s="221">
        <f>+IFERROR(VLOOKUP($S29,CARGAFACTURAS!$A$2:$Q$1500,10,0),0)</f>
        <v>0</v>
      </c>
      <c r="L29" s="221">
        <f>+IFERROR(VLOOKUP($S29,CARGAFACTURAS!$A$2:$Q$1500,11,0),0)</f>
        <v>0</v>
      </c>
      <c r="M29" s="221">
        <f>+IFERROR(VLOOKUP($S29,CARGAFACTURAS!$A$2:$Q$1500,12,0),0)</f>
        <v>0</v>
      </c>
      <c r="N29" s="52">
        <f>+IFERROR(IF(F29="CC",0,VLOOKUP($S29,CARGAFACTURAS!$A$2:$Q$1500,13,0)),0)</f>
        <v>0</v>
      </c>
      <c r="O29" s="52">
        <f>IF(F29="CC",VLOOKUP($S29,CARGAFACTURAS!$A$2:$Q$1500,13,0),0)</f>
        <v>0</v>
      </c>
      <c r="P29" s="86"/>
      <c r="Q29" s="51"/>
      <c r="S29" t="str">
        <f>+T29&amp;COUNTIF($T$3:T29,T29)</f>
        <v>JUNIO 239</v>
      </c>
      <c r="T29" t="str">
        <f t="shared" si="1"/>
        <v>JUNIO 23</v>
      </c>
    </row>
    <row r="30" spans="1:20" ht="15.75" x14ac:dyDescent="0.25">
      <c r="A30" s="364"/>
      <c r="B30" s="368"/>
      <c r="C30" s="41">
        <f>IFERROR(VLOOKUP($S30,CARGAFACTURAS!$A$2:$Q$1500,6,0),0)</f>
        <v>0</v>
      </c>
      <c r="D30" s="220">
        <f>+IFERROR(VLOOKUP($S30,CARGAFACTURAS!$A$2:$Q$1500,5,0),0)</f>
        <v>0</v>
      </c>
      <c r="E30" s="41">
        <f>+IFERROR(VLOOKUP($S30,CARGAFACTURAS!$A$2:$Q$1500,4,0),0)</f>
        <v>0</v>
      </c>
      <c r="F30" s="41">
        <f>+IFERROR(VLOOKUP($S30,CARGAFACTURAS!$A$2:$Q$1500,14,0),0)</f>
        <v>0</v>
      </c>
      <c r="G30" s="135"/>
      <c r="H30" s="221">
        <f>+IFERROR(VLOOKUP($S30,CARGAFACTURAS!$A$2:$Q$1500,7,0),0)</f>
        <v>0</v>
      </c>
      <c r="I30" s="221">
        <f>+IFERROR(VLOOKUP($S30,CARGAFACTURAS!$A$2:$Q$1500,8,0),0)</f>
        <v>0</v>
      </c>
      <c r="J30" s="221">
        <f>+IFERROR(VLOOKUP($S30,CARGAFACTURAS!$A$2:$Q$1500,9,0),0)</f>
        <v>0</v>
      </c>
      <c r="K30" s="221">
        <f>+IFERROR(VLOOKUP($S30,CARGAFACTURAS!$A$2:$Q$1500,10,0),0)</f>
        <v>0</v>
      </c>
      <c r="L30" s="221">
        <f>+IFERROR(VLOOKUP($S30,CARGAFACTURAS!$A$2:$Q$1500,11,0),0)</f>
        <v>0</v>
      </c>
      <c r="M30" s="221">
        <f>+IFERROR(VLOOKUP($S30,CARGAFACTURAS!$A$2:$Q$1500,12,0),0)</f>
        <v>0</v>
      </c>
      <c r="N30" s="52">
        <f>+IFERROR(IF(F30="CC",0,VLOOKUP($S30,CARGAFACTURAS!$A$2:$Q$1500,13,0)),0)</f>
        <v>0</v>
      </c>
      <c r="O30" s="52">
        <f>IF(F30="CC",VLOOKUP($S30,CARGAFACTURAS!$A$2:$Q$1500,13,0),0)</f>
        <v>0</v>
      </c>
      <c r="P30" s="86"/>
      <c r="Q30" s="51"/>
      <c r="S30" t="str">
        <f>+T30&amp;COUNTIF($T$3:T30,T30)</f>
        <v>JUNIO 2310</v>
      </c>
      <c r="T30" t="str">
        <f t="shared" si="1"/>
        <v>JUNIO 23</v>
      </c>
    </row>
    <row r="31" spans="1:20" ht="15.75" x14ac:dyDescent="0.25">
      <c r="A31" s="364"/>
      <c r="B31" s="368"/>
      <c r="C31" s="41">
        <f>IFERROR(VLOOKUP($S31,CARGAFACTURAS!$A$2:$Q$1500,6,0),0)</f>
        <v>0</v>
      </c>
      <c r="D31" s="220">
        <f>+IFERROR(VLOOKUP($S31,CARGAFACTURAS!$A$2:$Q$1500,5,0),0)</f>
        <v>0</v>
      </c>
      <c r="E31" s="41">
        <f>+IFERROR(VLOOKUP($S31,CARGAFACTURAS!$A$2:$Q$1500,4,0),0)</f>
        <v>0</v>
      </c>
      <c r="F31" s="41">
        <f>+IFERROR(VLOOKUP($S31,CARGAFACTURAS!$A$2:$Q$1500,14,0),0)</f>
        <v>0</v>
      </c>
      <c r="G31" s="135"/>
      <c r="H31" s="221">
        <f>+IFERROR(VLOOKUP($S31,CARGAFACTURAS!$A$2:$Q$1500,7,0),0)</f>
        <v>0</v>
      </c>
      <c r="I31" s="221">
        <f>+IFERROR(VLOOKUP($S31,CARGAFACTURAS!$A$2:$Q$1500,8,0),0)</f>
        <v>0</v>
      </c>
      <c r="J31" s="221">
        <f>+IFERROR(VLOOKUP($S31,CARGAFACTURAS!$A$2:$Q$1500,9,0),0)</f>
        <v>0</v>
      </c>
      <c r="K31" s="221">
        <f>+IFERROR(VLOOKUP($S31,CARGAFACTURAS!$A$2:$Q$1500,10,0),0)</f>
        <v>0</v>
      </c>
      <c r="L31" s="221">
        <f>+IFERROR(VLOOKUP($S31,CARGAFACTURAS!$A$2:$Q$1500,11,0),0)</f>
        <v>0</v>
      </c>
      <c r="M31" s="221">
        <f>+IFERROR(VLOOKUP($S31,CARGAFACTURAS!$A$2:$Q$1500,12,0),0)</f>
        <v>0</v>
      </c>
      <c r="N31" s="52">
        <f>+IFERROR(IF(F31="CC",0,VLOOKUP($S31,CARGAFACTURAS!$A$2:$Q$1500,13,0)),0)</f>
        <v>0</v>
      </c>
      <c r="O31" s="52">
        <f>IF(F31="CC",VLOOKUP($S31,CARGAFACTURAS!$A$2:$Q$1500,13,0),0)</f>
        <v>0</v>
      </c>
      <c r="P31" s="86"/>
      <c r="Q31" s="51"/>
      <c r="S31" t="str">
        <f>+T31&amp;COUNTIF($T$3:T31,T31)</f>
        <v>JUNIO 2311</v>
      </c>
      <c r="T31" t="str">
        <f t="shared" si="1"/>
        <v>JUNIO 23</v>
      </c>
    </row>
    <row r="32" spans="1:20" ht="16.5" thickBot="1" x14ac:dyDescent="0.3">
      <c r="A32" s="364"/>
      <c r="B32" s="368"/>
      <c r="C32" s="41">
        <f>IFERROR(VLOOKUP($S32,CARGAFACTURAS!$A$2:$Q$1500,6,0),0)</f>
        <v>0</v>
      </c>
      <c r="D32" s="220">
        <f>+IFERROR(VLOOKUP($S32,CARGAFACTURAS!$A$2:$Q$1500,5,0),0)</f>
        <v>0</v>
      </c>
      <c r="E32" s="41">
        <f>+IFERROR(VLOOKUP($S32,CARGAFACTURAS!$A$2:$Q$1500,4,0),0)</f>
        <v>0</v>
      </c>
      <c r="F32" s="41">
        <f>+IFERROR(VLOOKUP($S32,CARGAFACTURAS!$A$2:$Q$1500,14,0),0)</f>
        <v>0</v>
      </c>
      <c r="G32" s="135"/>
      <c r="H32" s="221">
        <f>+IFERROR(VLOOKUP($S32,CARGAFACTURAS!$A$2:$Q$1500,7,0),0)</f>
        <v>0</v>
      </c>
      <c r="I32" s="221">
        <f>+IFERROR(VLOOKUP($S32,CARGAFACTURAS!$A$2:$Q$1500,8,0),0)</f>
        <v>0</v>
      </c>
      <c r="J32" s="221">
        <f>+IFERROR(VLOOKUP($S32,CARGAFACTURAS!$A$2:$Q$1500,9,0),0)</f>
        <v>0</v>
      </c>
      <c r="K32" s="221">
        <f>+IFERROR(VLOOKUP($S32,CARGAFACTURAS!$A$2:$Q$1500,10,0),0)</f>
        <v>0</v>
      </c>
      <c r="L32" s="221">
        <f>+IFERROR(VLOOKUP($S32,CARGAFACTURAS!$A$2:$Q$1500,11,0),0)</f>
        <v>0</v>
      </c>
      <c r="M32" s="221">
        <f>+IFERROR(VLOOKUP($S32,CARGAFACTURAS!$A$2:$Q$1500,12,0),0)</f>
        <v>0</v>
      </c>
      <c r="N32" s="257">
        <f>+IFERROR(IF(F32="CC",0,VLOOKUP($S32,CARGAFACTURAS!$A$2:$Q$1500,13,0)),0)</f>
        <v>0</v>
      </c>
      <c r="O32" s="52">
        <f>IF(F32="CC",VLOOKUP($S32,CARGAFACTURAS!$A$2:$Q$1500,13,0),0)</f>
        <v>0</v>
      </c>
      <c r="P32" s="87"/>
      <c r="Q32" s="51"/>
      <c r="S32" t="str">
        <f>+T32&amp;COUNTIF($T$3:T32,T32)</f>
        <v>JUNIO 2312</v>
      </c>
      <c r="T32" t="str">
        <f t="shared" si="1"/>
        <v>JUNIO 23</v>
      </c>
    </row>
    <row r="33" spans="1:20" ht="16.5" thickBot="1" x14ac:dyDescent="0.3">
      <c r="A33" s="364"/>
      <c r="B33" s="358"/>
      <c r="C33" s="71"/>
      <c r="D33" s="72"/>
      <c r="E33" s="72"/>
      <c r="F33" s="72"/>
      <c r="G33" s="84" t="s">
        <v>15</v>
      </c>
      <c r="H33" s="114">
        <f>SUM(H14:H32)</f>
        <v>2693201.5900000003</v>
      </c>
      <c r="I33" s="118">
        <f>+SUM(I14:I32)</f>
        <v>12377.905999999999</v>
      </c>
      <c r="J33" s="119">
        <f>+SUM(J14:J32)</f>
        <v>67941.623999999996</v>
      </c>
      <c r="K33" s="73">
        <f>SUM(K14:K32)</f>
        <v>64444.875263999995</v>
      </c>
      <c r="L33" s="60">
        <f>SUM(L14:L32)</f>
        <v>34823.049599999998</v>
      </c>
      <c r="M33" s="60">
        <f>SUM(M14:M32)</f>
        <v>17165.309752066118</v>
      </c>
      <c r="N33" s="55">
        <f>SUM(N14:N32)</f>
        <v>2490218.8053839342</v>
      </c>
      <c r="O33" s="55">
        <f>+SUM(O14:O32)</f>
        <v>6230.02</v>
      </c>
      <c r="P33" s="83"/>
      <c r="Q33" s="88"/>
      <c r="S33" t="str">
        <f>+T33&amp;COUNTIF($T$3:T33,T33)</f>
        <v>TOTALJUNIO 232</v>
      </c>
      <c r="T33" t="str">
        <f t="shared" si="1"/>
        <v>TOTALJUNIO 23</v>
      </c>
    </row>
    <row r="34" spans="1:20" ht="16.5" thickBot="1" x14ac:dyDescent="0.3">
      <c r="A34" s="364"/>
      <c r="B34" s="7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7"/>
      <c r="O34" s="58"/>
      <c r="P34" s="58"/>
      <c r="Q34" s="39"/>
      <c r="S34" t="str">
        <f>+T34&amp;COUNTIF($T$3:T34,T34)</f>
        <v>JUNIO 2313</v>
      </c>
      <c r="T34" t="str">
        <f t="shared" si="1"/>
        <v>JUNIO 23</v>
      </c>
    </row>
    <row r="35" spans="1:20" s="240" customFormat="1" ht="47.25" x14ac:dyDescent="0.25">
      <c r="A35" s="364"/>
      <c r="B35" s="356" t="s">
        <v>70</v>
      </c>
      <c r="C35" s="236" t="s">
        <v>24</v>
      </c>
      <c r="D35" s="207" t="s">
        <v>61</v>
      </c>
      <c r="E35" s="207" t="s">
        <v>1</v>
      </c>
      <c r="F35" s="208" t="s">
        <v>113</v>
      </c>
      <c r="G35" s="239" t="s">
        <v>2</v>
      </c>
      <c r="H35" s="237" t="s">
        <v>3</v>
      </c>
      <c r="I35" s="207" t="s">
        <v>4</v>
      </c>
      <c r="J35" s="207" t="s">
        <v>5</v>
      </c>
      <c r="K35" s="207" t="s">
        <v>84</v>
      </c>
      <c r="L35" s="207" t="s">
        <v>86</v>
      </c>
      <c r="M35" s="207" t="s">
        <v>85</v>
      </c>
      <c r="N35" s="206" t="s">
        <v>111</v>
      </c>
      <c r="O35" s="207" t="s">
        <v>9</v>
      </c>
      <c r="P35" s="210" t="s">
        <v>76</v>
      </c>
      <c r="Q35" s="211" t="s">
        <v>15</v>
      </c>
      <c r="S35" t="str">
        <f>+T35&amp;COUNTIF($T$3:T35,T35)</f>
        <v>PROVEEDORJUNIO 232</v>
      </c>
      <c r="T35" t="str">
        <f t="shared" si="1"/>
        <v>PROVEEDORJUNIO 23</v>
      </c>
    </row>
    <row r="36" spans="1:20" ht="15.75" x14ac:dyDescent="0.25">
      <c r="A36" s="364"/>
      <c r="B36" s="357"/>
      <c r="C36" s="41" t="str">
        <f>IFERROR(VLOOKUP($S36,CARGAFACTURAS!$A$2:$Q$1500,6,0),0)</f>
        <v>20-30068293-2</v>
      </c>
      <c r="D36" s="220">
        <f>+IFERROR(VLOOKUP($S36,CARGAFACTURAS!$A$2:$Q$1500,5,0),0)</f>
        <v>45083</v>
      </c>
      <c r="E36" s="41" t="str">
        <f>+IFERROR(VLOOKUP($S36,CARGAFACTURAS!$A$2:$Q$1500,4,0),0)</f>
        <v>00011-00000714</v>
      </c>
      <c r="F36" s="41">
        <f>+IFERROR(VLOOKUP($S36,CARGAFACTURAS!$A$2:$Q$1500,14,0),0)</f>
        <v>36597464</v>
      </c>
      <c r="G36" s="135" t="s">
        <v>82</v>
      </c>
      <c r="H36" s="280">
        <f>+IFERROR(VLOOKUP($S36,CARGAFACTURAS!$A$2:$Q$1500,7,0),0)</f>
        <v>3000</v>
      </c>
      <c r="I36" s="221">
        <f>+IFERROR(VLOOKUP($S36,CARGAFACTURAS!$A$2:$Q$1500,8,0),0)</f>
        <v>0</v>
      </c>
      <c r="J36" s="221">
        <f>+IFERROR(VLOOKUP($S36,CARGAFACTURAS!$A$2:$Q$1500,9,0),0)</f>
        <v>0</v>
      </c>
      <c r="K36" s="221">
        <f>+IFERROR(VLOOKUP($S36,CARGAFACTURAS!$A$2:$Q$1500,10,0),0)</f>
        <v>0</v>
      </c>
      <c r="L36" s="221">
        <f>+IFERROR(VLOOKUP($S36,CARGAFACTURAS!$A$2:$Q$1500,11,0),0)</f>
        <v>0</v>
      </c>
      <c r="M36" s="221">
        <f>+IFERROR(VLOOKUP($S36,CARGAFACTURAS!$A$2:$Q$1500,12,0),0)</f>
        <v>0</v>
      </c>
      <c r="N36" s="52">
        <f>+IFERROR(IF(F36="CC",0,VLOOKUP($S36,CARGAFACTURAS!$A$2:$Q$1500,13,0)),0)</f>
        <v>3000</v>
      </c>
      <c r="O36" s="52">
        <f>IF(F36="CC",VLOOKUP($S36,CARGAFACTURAS!$A$2:$Q$1500,13,0),0)</f>
        <v>0</v>
      </c>
      <c r="P36" s="42"/>
      <c r="Q36" s="53"/>
      <c r="S36" t="str">
        <f>+T36&amp;COUNTIF($T$3:T36,T36)</f>
        <v>MAIMARA MAXIKIOSCOJUNIO 231</v>
      </c>
      <c r="T36" t="str">
        <f t="shared" si="1"/>
        <v>MAIMARA MAXIKIOSCOJUNIO 23</v>
      </c>
    </row>
    <row r="37" spans="1:20" ht="15.75" x14ac:dyDescent="0.25">
      <c r="A37" s="364"/>
      <c r="B37" s="357"/>
      <c r="C37" s="41" t="str">
        <f>IFERROR(VLOOKUP($S37,CARGAFACTURAS!$A$2:$Q$1500,6,0),0)</f>
        <v>20-30068293-2</v>
      </c>
      <c r="D37" s="220">
        <f>+IFERROR(VLOOKUP($S37,CARGAFACTURAS!$A$2:$Q$1500,5,0),0)</f>
        <v>45114</v>
      </c>
      <c r="E37" s="41" t="str">
        <f>+IFERROR(VLOOKUP($S37,CARGAFACTURAS!$A$2:$Q$1500,4,0),0)</f>
        <v>0011-00000742</v>
      </c>
      <c r="F37" s="41" t="str">
        <f>+IFERROR(VLOOKUP($S37,CARGAFACTURAS!$A$2:$Q$1500,14,0),0)</f>
        <v>CC</v>
      </c>
      <c r="G37" s="135" t="s">
        <v>82</v>
      </c>
      <c r="H37" s="280">
        <f>+IFERROR(VLOOKUP($S37,CARGAFACTURAS!$A$2:$Q$1500,7,0),0)</f>
        <v>1474.98</v>
      </c>
      <c r="I37" s="221">
        <f>+IFERROR(VLOOKUP($S37,CARGAFACTURAS!$A$2:$Q$1500,8,0),0)</f>
        <v>0</v>
      </c>
      <c r="J37" s="221">
        <f>+IFERROR(VLOOKUP($S37,CARGAFACTURAS!$A$2:$Q$1500,9,0),0)</f>
        <v>0</v>
      </c>
      <c r="K37" s="221">
        <f>+IFERROR(VLOOKUP($S37,CARGAFACTURAS!$A$2:$Q$1500,10,0),0)</f>
        <v>0</v>
      </c>
      <c r="L37" s="221">
        <f>+IFERROR(VLOOKUP($S37,CARGAFACTURAS!$A$2:$Q$1500,11,0),0)</f>
        <v>0</v>
      </c>
      <c r="M37" s="221">
        <f>+IFERROR(VLOOKUP($S37,CARGAFACTURAS!$A$2:$Q$1500,12,0),0)</f>
        <v>0</v>
      </c>
      <c r="N37" s="52">
        <f>+IFERROR(IF(F37="CC",0,VLOOKUP($S37,CARGAFACTURAS!$A$2:$Q$1500,13,0)),0)</f>
        <v>0</v>
      </c>
      <c r="O37" s="52">
        <f>IF(F37="CC",VLOOKUP($S37,CARGAFACTURAS!$A$2:$Q$1500,13,0),0)</f>
        <v>1474.98</v>
      </c>
      <c r="P37" s="42"/>
      <c r="Q37" s="53"/>
      <c r="S37" t="str">
        <f>+T37&amp;COUNTIF($T$3:T37,T37)</f>
        <v>MAIMARA MAXIKIOSCOJUNIO 232</v>
      </c>
      <c r="T37" t="str">
        <f t="shared" si="1"/>
        <v>MAIMARA MAXIKIOSCOJUNIO 23</v>
      </c>
    </row>
    <row r="38" spans="1:20" ht="15.75" x14ac:dyDescent="0.25">
      <c r="A38" s="364"/>
      <c r="B38" s="357"/>
      <c r="C38" s="41">
        <f>IFERROR(VLOOKUP($S38,CARGAFACTURAS!$A$2:$Q$1500,6,0),0)</f>
        <v>0</v>
      </c>
      <c r="D38" s="220">
        <f>+IFERROR(VLOOKUP($S38,CARGAFACTURAS!$A$2:$Q$1500,5,0),0)</f>
        <v>0</v>
      </c>
      <c r="E38" s="41">
        <f>+IFERROR(VLOOKUP($S38,CARGAFACTURAS!$A$2:$Q$1500,4,0),0)</f>
        <v>0</v>
      </c>
      <c r="F38" s="41">
        <f>+IFERROR(VLOOKUP($S38,CARGAFACTURAS!$A$2:$Q$1500,14,0),0)</f>
        <v>0</v>
      </c>
      <c r="G38" s="135"/>
      <c r="H38" s="221">
        <f>+IFERROR(VLOOKUP($S38,CARGAFACTURAS!$A$2:$Q$1500,7,0),0)</f>
        <v>0</v>
      </c>
      <c r="I38" s="221">
        <f>+IFERROR(VLOOKUP($S38,CARGAFACTURAS!$A$2:$Q$1500,8,0),0)</f>
        <v>0</v>
      </c>
      <c r="J38" s="221">
        <f>+IFERROR(VLOOKUP($S38,CARGAFACTURAS!$A$2:$Q$1500,9,0),0)</f>
        <v>0</v>
      </c>
      <c r="K38" s="221">
        <f>+IFERROR(VLOOKUP($S38,CARGAFACTURAS!$A$2:$Q$1500,10,0),0)</f>
        <v>0</v>
      </c>
      <c r="L38" s="221">
        <f>+IFERROR(VLOOKUP($S38,CARGAFACTURAS!$A$2:$Q$1500,11,0),0)</f>
        <v>0</v>
      </c>
      <c r="M38" s="221">
        <f>+IFERROR(VLOOKUP($S38,CARGAFACTURAS!$A$2:$Q$1500,12,0),0)</f>
        <v>0</v>
      </c>
      <c r="N38" s="52">
        <f>+IFERROR(IF(F38="CC",0,VLOOKUP($S38,CARGAFACTURAS!$A$2:$Q$1500,13,0)),0)</f>
        <v>0</v>
      </c>
      <c r="O38" s="52">
        <f>IF(F38="CC",VLOOKUP($S38,CARGAFACTURAS!$A$2:$Q$1500,13,0),0)</f>
        <v>0</v>
      </c>
      <c r="P38" s="42"/>
      <c r="Q38" s="53"/>
      <c r="S38" t="str">
        <f>+T38&amp;COUNTIF($T$3:T38,T38)</f>
        <v>JUNIO 2314</v>
      </c>
      <c r="T38" t="str">
        <f t="shared" si="1"/>
        <v>JUNIO 23</v>
      </c>
    </row>
    <row r="39" spans="1:20" ht="15.75" x14ac:dyDescent="0.25">
      <c r="A39" s="364"/>
      <c r="B39" s="357"/>
      <c r="C39" s="41">
        <f>IFERROR(VLOOKUP($S39,CARGAFACTURAS!$A$2:$Q$1500,6,0),0)</f>
        <v>0</v>
      </c>
      <c r="D39" s="220">
        <f>+IFERROR(VLOOKUP($S39,CARGAFACTURAS!$A$2:$Q$1500,5,0),0)</f>
        <v>0</v>
      </c>
      <c r="E39" s="41">
        <f>+IFERROR(VLOOKUP($S39,CARGAFACTURAS!$A$2:$Q$1500,4,0),0)</f>
        <v>0</v>
      </c>
      <c r="F39" s="41">
        <f>+IFERROR(VLOOKUP($S39,CARGAFACTURAS!$A$2:$Q$1500,14,0),0)</f>
        <v>0</v>
      </c>
      <c r="G39" s="135"/>
      <c r="H39" s="221">
        <f>+IFERROR(VLOOKUP($S39,CARGAFACTURAS!$A$2:$Q$1500,7,0),0)</f>
        <v>0</v>
      </c>
      <c r="I39" s="221">
        <f>+IFERROR(VLOOKUP($S39,CARGAFACTURAS!$A$2:$Q$1500,8,0),0)</f>
        <v>0</v>
      </c>
      <c r="J39" s="221">
        <f>+IFERROR(VLOOKUP($S39,CARGAFACTURAS!$A$2:$Q$1500,9,0),0)</f>
        <v>0</v>
      </c>
      <c r="K39" s="221">
        <f>+IFERROR(VLOOKUP($S39,CARGAFACTURAS!$A$2:$Q$1500,10,0),0)</f>
        <v>0</v>
      </c>
      <c r="L39" s="221">
        <f>+IFERROR(VLOOKUP($S39,CARGAFACTURAS!$A$2:$Q$1500,11,0),0)</f>
        <v>0</v>
      </c>
      <c r="M39" s="221">
        <f>+IFERROR(VLOOKUP($S39,CARGAFACTURAS!$A$2:$Q$1500,12,0),0)</f>
        <v>0</v>
      </c>
      <c r="N39" s="52">
        <f>+IFERROR(IF(F39="CC",0,VLOOKUP($S39,CARGAFACTURAS!$A$2:$Q$1500,13,0)),0)</f>
        <v>0</v>
      </c>
      <c r="O39" s="52">
        <f>IF(F39="CC",VLOOKUP($S39,CARGAFACTURAS!$A$2:$Q$1500,13,0),0)</f>
        <v>0</v>
      </c>
      <c r="P39" s="42"/>
      <c r="Q39" s="53"/>
      <c r="S39" t="str">
        <f>+T39&amp;COUNTIF($T$3:T39,T39)</f>
        <v>JUNIO 2315</v>
      </c>
      <c r="T39" t="str">
        <f t="shared" si="1"/>
        <v>JUNIO 23</v>
      </c>
    </row>
    <row r="40" spans="1:20" ht="16.5" thickBot="1" x14ac:dyDescent="0.3">
      <c r="A40" s="364"/>
      <c r="B40" s="357"/>
      <c r="C40" s="41">
        <f>IFERROR(VLOOKUP($S40,CARGAFACTURAS!$A$2:$Q$1500,6,0),0)</f>
        <v>0</v>
      </c>
      <c r="D40" s="220">
        <f>+IFERROR(VLOOKUP($S40,CARGAFACTURAS!$A$2:$Q$1500,5,0),0)</f>
        <v>0</v>
      </c>
      <c r="E40" s="41">
        <f>+IFERROR(VLOOKUP($S40,CARGAFACTURAS!$A$2:$Q$1500,4,0),0)</f>
        <v>0</v>
      </c>
      <c r="F40" s="41">
        <f>+IFERROR(VLOOKUP($S40,CARGAFACTURAS!$A$2:$Q$1500,14,0),0)</f>
        <v>0</v>
      </c>
      <c r="G40" s="135"/>
      <c r="H40" s="221">
        <f>+IFERROR(VLOOKUP($S40,CARGAFACTURAS!$A$2:$Q$1500,7,0),0)</f>
        <v>0</v>
      </c>
      <c r="I40" s="221">
        <f>+IFERROR(VLOOKUP($S40,CARGAFACTURAS!$A$2:$Q$1500,8,0),0)</f>
        <v>0</v>
      </c>
      <c r="J40" s="221">
        <f>+IFERROR(VLOOKUP($S40,CARGAFACTURAS!$A$2:$Q$1500,9,0),0)</f>
        <v>0</v>
      </c>
      <c r="K40" s="221">
        <f>+IFERROR(VLOOKUP($S40,CARGAFACTURAS!$A$2:$Q$1500,10,0),0)</f>
        <v>0</v>
      </c>
      <c r="L40" s="221">
        <f>+IFERROR(VLOOKUP($S40,CARGAFACTURAS!$A$2:$Q$1500,11,0),0)</f>
        <v>0</v>
      </c>
      <c r="M40" s="221">
        <f>+IFERROR(VLOOKUP($S40,CARGAFACTURAS!$A$2:$Q$1500,12,0),0)</f>
        <v>0</v>
      </c>
      <c r="N40" s="52">
        <f>+IFERROR(IF(F40="CC",0,VLOOKUP($S40,CARGAFACTURAS!$A$2:$Q$1500,13,0)),0)</f>
        <v>0</v>
      </c>
      <c r="O40" s="52">
        <f>IF(F40="CC",VLOOKUP($S40,CARGAFACTURAS!$A$2:$Q$1500,13,0),0)</f>
        <v>0</v>
      </c>
      <c r="P40" s="42"/>
      <c r="Q40" s="53"/>
      <c r="S40" t="str">
        <f>+T40&amp;COUNTIF($T$3:T40,T40)</f>
        <v>JUNIO 2316</v>
      </c>
      <c r="T40" t="str">
        <f t="shared" si="1"/>
        <v>JUNIO 23</v>
      </c>
    </row>
    <row r="41" spans="1:20" ht="16.5" thickBot="1" x14ac:dyDescent="0.3">
      <c r="A41" s="364"/>
      <c r="B41" s="358"/>
      <c r="C41" s="366"/>
      <c r="D41" s="367"/>
      <c r="E41" s="367"/>
      <c r="F41" s="367"/>
      <c r="G41" s="81" t="s">
        <v>15</v>
      </c>
      <c r="H41" s="116">
        <f>SUM(H36:H40)</f>
        <v>4474.9799999999996</v>
      </c>
      <c r="I41" s="80"/>
      <c r="J41" s="80"/>
      <c r="K41" s="80"/>
      <c r="L41" s="80"/>
      <c r="M41" s="44" t="s">
        <v>15</v>
      </c>
      <c r="N41" s="44">
        <f>SUM(N36:N40)</f>
        <v>3000</v>
      </c>
      <c r="O41" s="44">
        <f>SUM(O36:O40)</f>
        <v>1474.98</v>
      </c>
      <c r="P41" s="61"/>
      <c r="Q41" s="62"/>
      <c r="S41" t="str">
        <f>+T41&amp;COUNTIF($T$3:T41,T41)</f>
        <v>TOTALJUNIO 233</v>
      </c>
      <c r="T41" t="str">
        <f t="shared" si="1"/>
        <v>TOTALJUNIO 23</v>
      </c>
    </row>
    <row r="42" spans="1:20" ht="16.5" thickBot="1" x14ac:dyDescent="0.3">
      <c r="A42" s="364"/>
      <c r="B42" s="7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39"/>
      <c r="P42" s="48"/>
      <c r="Q42" s="63"/>
      <c r="S42" t="str">
        <f>+T42&amp;COUNTIF($T$3:T42,T42)</f>
        <v>JUNIO 2317</v>
      </c>
      <c r="T42" t="str">
        <f t="shared" si="1"/>
        <v>JUNIO 23</v>
      </c>
    </row>
    <row r="43" spans="1:20" s="240" customFormat="1" ht="54" customHeight="1" x14ac:dyDescent="0.25">
      <c r="A43" s="364"/>
      <c r="B43" s="356" t="s">
        <v>69</v>
      </c>
      <c r="C43" s="236" t="s">
        <v>24</v>
      </c>
      <c r="D43" s="207" t="s">
        <v>61</v>
      </c>
      <c r="E43" s="207" t="s">
        <v>1</v>
      </c>
      <c r="F43" s="208" t="s">
        <v>113</v>
      </c>
      <c r="G43" s="239" t="s">
        <v>2</v>
      </c>
      <c r="H43" s="237" t="s">
        <v>3</v>
      </c>
      <c r="I43" s="207" t="s">
        <v>4</v>
      </c>
      <c r="J43" s="207" t="s">
        <v>5</v>
      </c>
      <c r="K43" s="207" t="s">
        <v>84</v>
      </c>
      <c r="L43" s="207" t="s">
        <v>86</v>
      </c>
      <c r="M43" s="207" t="s">
        <v>85</v>
      </c>
      <c r="N43" s="207" t="s">
        <v>457</v>
      </c>
      <c r="O43" s="207" t="s">
        <v>9</v>
      </c>
      <c r="P43" s="210" t="s">
        <v>76</v>
      </c>
      <c r="Q43" s="211" t="s">
        <v>15</v>
      </c>
      <c r="S43" t="str">
        <f>+T43&amp;COUNTIF($T$3:T43,T43)</f>
        <v>PROVEEDORJUNIO 233</v>
      </c>
      <c r="T43" t="str">
        <f t="shared" si="1"/>
        <v>PROVEEDORJUNIO 23</v>
      </c>
    </row>
    <row r="44" spans="1:20" ht="15.75" x14ac:dyDescent="0.25">
      <c r="A44" s="364"/>
      <c r="B44" s="357"/>
      <c r="C44" s="41" t="str">
        <f>IFERROR(VLOOKUP($S44,CARGAFACTURAS!$A$2:$Q$1500,6,0),0)</f>
        <v>30-71753417-0</v>
      </c>
      <c r="D44" s="220">
        <f>+IFERROR(VLOOKUP($S44,CARGAFACTURAS!$A$2:$Q$1500,5,0),0)</f>
        <v>45065</v>
      </c>
      <c r="E44" s="41" t="str">
        <f>+IFERROR(VLOOKUP($S44,CARGAFACTURAS!$A$2:$Q$1500,4,0),0)</f>
        <v>0001-00000303</v>
      </c>
      <c r="F44" s="41">
        <f>+IFERROR(VLOOKUP($S44,CARGAFACTURAS!$A$2:$Q$1500,14,0),0)</f>
        <v>35956315</v>
      </c>
      <c r="G44" s="135" t="s">
        <v>136</v>
      </c>
      <c r="H44" s="280">
        <f>+IFERROR(VLOOKUP($S44,CARGAFACTURAS!$A$2:$Q$1500,7,0),0)</f>
        <v>4400</v>
      </c>
      <c r="I44" s="221">
        <f>+IFERROR(VLOOKUP($S44,CARGAFACTURAS!$A$2:$Q$1500,8,0),0)</f>
        <v>0</v>
      </c>
      <c r="J44" s="221">
        <f>+IFERROR(VLOOKUP($S44,CARGAFACTURAS!$A$2:$Q$1500,9,0),0)</f>
        <v>0</v>
      </c>
      <c r="K44" s="221">
        <f>+IFERROR(VLOOKUP($S44,CARGAFACTURAS!$A$2:$Q$1500,10,0),0)</f>
        <v>0</v>
      </c>
      <c r="L44" s="221">
        <f>+IFERROR(VLOOKUP($S44,CARGAFACTURAS!$A$2:$Q$1500,11,0),0)</f>
        <v>0</v>
      </c>
      <c r="M44" s="221">
        <f>+IFERROR(VLOOKUP($S44,CARGAFACTURAS!$A$2:$Q$1500,12,0),0)</f>
        <v>0</v>
      </c>
      <c r="N44" s="52">
        <f>+IFERROR(IF(F44="CC",0,VLOOKUP($S44,CARGAFACTURAS!$A$2:$Q$1500,13,0)),0)</f>
        <v>4400</v>
      </c>
      <c r="O44" s="52">
        <f>IF(F44="CC",VLOOKUP($S44,CARGAFACTURAS!$A$2:$Q$1500,13,0),0)</f>
        <v>0</v>
      </c>
      <c r="P44" s="64"/>
      <c r="Q44" s="50"/>
      <c r="S44" t="str">
        <f>+T44&amp;COUNTIF($T$3:T44,T44)</f>
        <v>LOFT COMPUTACION SASJUNIO 231</v>
      </c>
      <c r="T44" t="str">
        <f t="shared" ref="T44:T52" si="3">+CLEAN(G44)&amp;CLEAN($B$1)</f>
        <v>LOFT COMPUTACION SASJUNIO 23</v>
      </c>
    </row>
    <row r="45" spans="1:20" ht="15.75" x14ac:dyDescent="0.25">
      <c r="A45" s="364"/>
      <c r="B45" s="357"/>
      <c r="C45" s="41" t="str">
        <f>IFERROR(VLOOKUP($S45,CARGAFACTURAS!$A$2:$Q$1500,6,0),0)</f>
        <v>20-16216700-7</v>
      </c>
      <c r="D45" s="220">
        <f>+IFERROR(VLOOKUP($S45,CARGAFACTURAS!$A$2:$Q$1500,5,0),0)</f>
        <v>45037</v>
      </c>
      <c r="E45" s="41" t="str">
        <f>+IFERROR(VLOOKUP($S45,CARGAFACTURAS!$A$2:$Q$1500,4,0),0)</f>
        <v>0003-00002434</v>
      </c>
      <c r="F45" s="41" t="str">
        <f>+IFERROR(VLOOKUP($S45,CARGAFACTURAS!$A$2:$Q$1500,14,0),0)</f>
        <v>CC</v>
      </c>
      <c r="G45" s="135" t="s">
        <v>188</v>
      </c>
      <c r="H45" s="280">
        <f>+IFERROR(VLOOKUP($S45,CARGAFACTURAS!$A$2:$Q$1500,7,0),0)</f>
        <v>4600</v>
      </c>
      <c r="I45" s="221">
        <f>+IFERROR(VLOOKUP($S45,CARGAFACTURAS!$A$2:$Q$1500,8,0),0)</f>
        <v>0</v>
      </c>
      <c r="J45" s="221">
        <f>+IFERROR(VLOOKUP($S45,CARGAFACTURAS!$A$2:$Q$1500,9,0),0)</f>
        <v>0</v>
      </c>
      <c r="K45" s="221">
        <f>+IFERROR(VLOOKUP($S45,CARGAFACTURAS!$A$2:$Q$1500,10,0),0)</f>
        <v>0</v>
      </c>
      <c r="L45" s="221">
        <f>+IFERROR(VLOOKUP($S45,CARGAFACTURAS!$A$2:$Q$1500,11,0),0)</f>
        <v>0</v>
      </c>
      <c r="M45" s="221">
        <f>+IFERROR(VLOOKUP($S45,CARGAFACTURAS!$A$2:$Q$1500,12,0),0)</f>
        <v>0</v>
      </c>
      <c r="N45" s="52">
        <f>+IFERROR(IF(F45="CC",0,VLOOKUP($S45,CARGAFACTURAS!$A$2:$Q$1500,13,0)),0)</f>
        <v>0</v>
      </c>
      <c r="O45" s="52">
        <f>IF(F45="CC",VLOOKUP($S45,CARGAFACTURAS!$A$2:$Q$1500,13,0),0)</f>
        <v>4600</v>
      </c>
      <c r="P45" s="64"/>
      <c r="Q45" s="50"/>
      <c r="S45" t="str">
        <f>+T45&amp;COUNTIF($T$3:T45,T45)</f>
        <v>ROTTA FRANCISCO(COMPUMAQ)JUNIO 231</v>
      </c>
      <c r="T45" t="str">
        <f t="shared" si="3"/>
        <v>ROTTA FRANCISCO(COMPUMAQ)JUNIO 23</v>
      </c>
    </row>
    <row r="46" spans="1:20" ht="15.75" x14ac:dyDescent="0.25">
      <c r="A46" s="364"/>
      <c r="B46" s="357"/>
      <c r="C46" s="41" t="str">
        <f>IFERROR(VLOOKUP($S46,CARGAFACTURAS!$A$2:$Q$1500,6,0),0)</f>
        <v>20-31729103-6</v>
      </c>
      <c r="D46" s="220">
        <f>+IFERROR(VLOOKUP($S46,CARGAFACTURAS!$A$2:$Q$1500,5,0),0)</f>
        <v>45085</v>
      </c>
      <c r="E46" s="41" t="str">
        <f>+IFERROR(VLOOKUP($S46,CARGAFACTURAS!$A$2:$Q$1500,4,0),0)</f>
        <v>0005-00000995</v>
      </c>
      <c r="F46" s="41">
        <f>+IFERROR(VLOOKUP($S46,CARGAFACTURAS!$A$2:$Q$1500,14,0),0)</f>
        <v>36597868</v>
      </c>
      <c r="G46" s="135" t="s">
        <v>104</v>
      </c>
      <c r="H46" s="280">
        <f>+IFERROR(VLOOKUP($S46,CARGAFACTURAS!$A$2:$Q$1500,7,0),0)</f>
        <v>25605.3</v>
      </c>
      <c r="I46" s="221">
        <f>+IFERROR(VLOOKUP($S46,CARGAFACTURAS!$A$2:$Q$1500,8,0),0)</f>
        <v>320.06625000000003</v>
      </c>
      <c r="J46" s="221">
        <f>+IFERROR(VLOOKUP($S46,CARGAFACTURAS!$A$2:$Q$1500,9,0),0)</f>
        <v>1280.2650000000001</v>
      </c>
      <c r="K46" s="221">
        <f>+IFERROR(VLOOKUP($S46,CARGAFACTURAS!$A$2:$Q$1500,10,0),0)</f>
        <v>0</v>
      </c>
      <c r="L46" s="221">
        <f>+IFERROR(VLOOKUP($S46,CARGAFACTURAS!$A$2:$Q$1500,11,0),0)</f>
        <v>0</v>
      </c>
      <c r="M46" s="221">
        <f>+IFERROR(VLOOKUP($S46,CARGAFACTURAS!$A$2:$Q$1500,12,0),0)</f>
        <v>0</v>
      </c>
      <c r="N46" s="52">
        <f>+IFERROR(IF(F46="CC",0,VLOOKUP($S46,CARGAFACTURAS!$A$2:$Q$1500,13,0)),0)</f>
        <v>24004.96875</v>
      </c>
      <c r="O46" s="52">
        <f>IF(F46="CC",VLOOKUP($S46,CARGAFACTURAS!$A$2:$Q$1500,13,0),0)</f>
        <v>0</v>
      </c>
      <c r="P46" s="64"/>
      <c r="Q46" s="65"/>
      <c r="S46" t="str">
        <f>+T46&amp;COUNTIF($T$3:T46,T46)</f>
        <v>ESCOBEDO LUCAS NICOLAS (PAPERTUC)JUNIO 231</v>
      </c>
      <c r="T46" t="str">
        <f t="shared" si="3"/>
        <v>ESCOBEDO LUCAS NICOLAS (PAPERTUC)JUNIO 23</v>
      </c>
    </row>
    <row r="47" spans="1:20" ht="15.75" x14ac:dyDescent="0.25">
      <c r="A47" s="364"/>
      <c r="B47" s="357"/>
      <c r="C47" s="41" t="str">
        <f>IFERROR(VLOOKUP($S47,CARGAFACTURAS!$A$2:$Q$1500,6,0),0)</f>
        <v>20-34285327-8</v>
      </c>
      <c r="D47" s="220">
        <f>+IFERROR(VLOOKUP($S47,CARGAFACTURAS!$A$2:$Q$1500,5,0),0)</f>
        <v>45085</v>
      </c>
      <c r="E47" s="41" t="str">
        <f>+IFERROR(VLOOKUP($S47,CARGAFACTURAS!$A$2:$Q$1500,4,0),0)</f>
        <v>0009-00011385</v>
      </c>
      <c r="F47" s="41">
        <f>+IFERROR(VLOOKUP($S47,CARGAFACTURAS!$A$2:$Q$1500,14,0),0)</f>
        <v>36597807</v>
      </c>
      <c r="G47" s="135" t="s">
        <v>114</v>
      </c>
      <c r="H47" s="280">
        <f>+IFERROR(VLOOKUP($S47,CARGAFACTURAS!$A$2:$Q$1500,7,0),0)</f>
        <v>33291.800000000003</v>
      </c>
      <c r="I47" s="221">
        <f>+IFERROR(VLOOKUP($S47,CARGAFACTURAS!$A$2:$Q$1500,8,0),0)</f>
        <v>416.14749999999998</v>
      </c>
      <c r="J47" s="221">
        <f>+IFERROR(VLOOKUP($S47,CARGAFACTURAS!$A$2:$Q$1500,9,0),0)</f>
        <v>1664.59</v>
      </c>
      <c r="K47" s="221">
        <f>+IFERROR(VLOOKUP($S47,CARGAFACTURAS!$A$2:$Q$1500,10,0),0)</f>
        <v>0</v>
      </c>
      <c r="L47" s="221">
        <f>+IFERROR(VLOOKUP($S47,CARGAFACTURAS!$A$2:$Q$1500,11,0),0)</f>
        <v>0</v>
      </c>
      <c r="M47" s="221">
        <f>+IFERROR(VLOOKUP($S47,CARGAFACTURAS!$A$2:$Q$1500,12,0),0)</f>
        <v>0</v>
      </c>
      <c r="N47" s="52">
        <f>+IFERROR(IF(F47="CC",0,VLOOKUP($S47,CARGAFACTURAS!$A$2:$Q$1500,13,0)),0)</f>
        <v>31211.062500000004</v>
      </c>
      <c r="O47" s="52">
        <f>IF(F47="CC",VLOOKUP($S47,CARGAFACTURAS!$A$2:$Q$1500,13,0),0)</f>
        <v>0</v>
      </c>
      <c r="P47" s="64"/>
      <c r="Q47" s="65"/>
      <c r="S47" t="str">
        <f>+T47&amp;COUNTIF($T$3:T47,T47)</f>
        <v>GOMEZ PARDO RAUL(LIMPLUS)JUNIO 231</v>
      </c>
      <c r="T47" t="str">
        <f t="shared" si="3"/>
        <v>GOMEZ PARDO RAUL(LIMPLUS)JUNIO 23</v>
      </c>
    </row>
    <row r="48" spans="1:20" ht="15.75" x14ac:dyDescent="0.25">
      <c r="A48" s="364"/>
      <c r="B48" s="357"/>
      <c r="C48" s="41" t="str">
        <f>IFERROR(VLOOKUP($S48,CARGAFACTURAS!$A$2:$Q$1500,6,0),0)</f>
        <v>30-71787724-8</v>
      </c>
      <c r="D48" s="220">
        <f>+IFERROR(VLOOKUP($S48,CARGAFACTURAS!$A$2:$Q$1500,5,0),0)</f>
        <v>45106</v>
      </c>
      <c r="E48" s="41" t="str">
        <f>+IFERROR(VLOOKUP($S48,CARGAFACTURAS!$A$2:$Q$1500,4,0),0)</f>
        <v>0001-00000001</v>
      </c>
      <c r="F48" s="41">
        <f>+IFERROR(VLOOKUP($S48,CARGAFACTURAS!$A$2:$Q$1500,14,0),0)</f>
        <v>37302091</v>
      </c>
      <c r="G48" s="135" t="s">
        <v>616</v>
      </c>
      <c r="H48" s="280">
        <f>+IFERROR(VLOOKUP($S48,CARGAFACTURAS!$A$2:$Q$1500,7,0),0)</f>
        <v>35000</v>
      </c>
      <c r="I48" s="221">
        <f>+IFERROR(VLOOKUP($S48,CARGAFACTURAS!$A$2:$Q$1500,8,0),0)</f>
        <v>875</v>
      </c>
      <c r="J48" s="221">
        <f>+IFERROR(VLOOKUP($S48,CARGAFACTURAS!$A$2:$Q$1500,9,0),0)</f>
        <v>875</v>
      </c>
      <c r="K48" s="221">
        <f>+IFERROR(VLOOKUP($S48,CARGAFACTURAS!$A$2:$Q$1500,10,0),0)</f>
        <v>0</v>
      </c>
      <c r="L48" s="221">
        <f>+IFERROR(VLOOKUP($S48,CARGAFACTURAS!$A$2:$Q$1500,11,0),0)</f>
        <v>0</v>
      </c>
      <c r="M48" s="221">
        <f>+IFERROR(VLOOKUP($S48,CARGAFACTURAS!$A$2:$Q$1500,12,0),0)</f>
        <v>0</v>
      </c>
      <c r="N48" s="52">
        <f>+IFERROR(IF(F48="CC",0,VLOOKUP($S48,CARGAFACTURAS!$A$2:$Q$1500,13,0)),0)</f>
        <v>33250</v>
      </c>
      <c r="O48" s="52">
        <f>IF(F48="CC",VLOOKUP($S48,CARGAFACTURAS!$A$2:$Q$1500,13,0),0)</f>
        <v>0</v>
      </c>
      <c r="P48" s="64"/>
      <c r="Q48" s="65"/>
      <c r="S48" t="str">
        <f>+T48&amp;COUNTIF($T$3:T48,T48)</f>
        <v>COOPPERATIVA LA CAÑADA SOLUCIONES LIMITADAJUNIO 231</v>
      </c>
      <c r="T48" t="str">
        <f t="shared" si="3"/>
        <v>COOPPERATIVA LA CAÑADA SOLUCIONES LIMITADAJUNIO 23</v>
      </c>
    </row>
    <row r="49" spans="1:20" ht="15.75" x14ac:dyDescent="0.25">
      <c r="A49" s="364"/>
      <c r="B49" s="357"/>
      <c r="C49" s="41" t="str">
        <f>IFERROR(VLOOKUP($S49,CARGAFACTURAS!$A$2:$Q$1500,6,0),0)</f>
        <v>20-16933019-1</v>
      </c>
      <c r="D49" s="220">
        <f>+IFERROR(VLOOKUP($S49,CARGAFACTURAS!$A$2:$Q$1500,5,0),0)</f>
        <v>45061</v>
      </c>
      <c r="E49" s="41" t="str">
        <f>+IFERROR(VLOOKUP($S49,CARGAFACTURAS!$A$2:$Q$1500,4,0),0)</f>
        <v>0005-00001700</v>
      </c>
      <c r="F49" s="41" t="str">
        <f>+IFERROR(VLOOKUP($S49,CARGAFACTURAS!$A$2:$Q$1500,14,0),0)</f>
        <v>CC</v>
      </c>
      <c r="G49" s="135" t="s">
        <v>560</v>
      </c>
      <c r="H49" s="280">
        <f>+IFERROR(VLOOKUP($S49,CARGAFACTURAS!$A$2:$Q$1500,7,0),0)</f>
        <v>9690.64</v>
      </c>
      <c r="I49" s="221">
        <f>+IFERROR(VLOOKUP($S49,CARGAFACTURAS!$A$2:$Q$1500,8,0),0)</f>
        <v>0</v>
      </c>
      <c r="J49" s="221">
        <f>+IFERROR(VLOOKUP($S49,CARGAFACTURAS!$A$2:$Q$1500,9,0),0)</f>
        <v>0</v>
      </c>
      <c r="K49" s="221">
        <f>+IFERROR(VLOOKUP($S49,CARGAFACTURAS!$A$2:$Q$1500,10,0),0)</f>
        <v>0</v>
      </c>
      <c r="L49" s="221">
        <f>+IFERROR(VLOOKUP($S49,CARGAFACTURAS!$A$2:$Q$1500,11,0),0)</f>
        <v>0</v>
      </c>
      <c r="M49" s="221">
        <f>+IFERROR(VLOOKUP($S49,CARGAFACTURAS!$A$2:$Q$1500,12,0),0)</f>
        <v>0</v>
      </c>
      <c r="N49" s="52">
        <f>+IFERROR(IF(F49="CC",0,VLOOKUP($S49,CARGAFACTURAS!$A$2:$Q$1500,13,0)),0)</f>
        <v>0</v>
      </c>
      <c r="O49" s="52">
        <f>IF(F49="CC",VLOOKUP($S49,CARGAFACTURAS!$A$2:$Q$1500,13,0),0)</f>
        <v>9690.64</v>
      </c>
      <c r="P49" s="64"/>
      <c r="Q49" s="65"/>
      <c r="S49" t="str">
        <f>+T49&amp;COUNTIF($T$3:T49,T49)</f>
        <v>SUCESION DE NUÑEZ CAMPERO MARIO ROBERTOJUNIO 231</v>
      </c>
      <c r="T49" t="str">
        <f t="shared" si="3"/>
        <v>SUCESION DE NUÑEZ CAMPERO MARIO ROBERTOJUNIO 23</v>
      </c>
    </row>
    <row r="50" spans="1:20" ht="15.75" x14ac:dyDescent="0.25">
      <c r="A50" s="364"/>
      <c r="B50" s="357"/>
      <c r="C50" s="41" t="str">
        <f>IFERROR(VLOOKUP($S50,CARGAFACTURAS!$A$2:$Q$1500,6,0),0)</f>
        <v>20-34285327-8</v>
      </c>
      <c r="D50" s="220">
        <f>+IFERROR(VLOOKUP($S50,CARGAFACTURAS!$A$2:$Q$1500,5,0),0)</f>
        <v>45089</v>
      </c>
      <c r="E50" s="41" t="str">
        <f>+IFERROR(VLOOKUP($S50,CARGAFACTURAS!$A$2:$Q$1500,4,0),0)</f>
        <v>0008-00018297</v>
      </c>
      <c r="F50" s="41" t="str">
        <f>+IFERROR(VLOOKUP($S50,CARGAFACTURAS!$A$2:$Q$1500,14,0),0)</f>
        <v>CC</v>
      </c>
      <c r="G50" s="135" t="s">
        <v>114</v>
      </c>
      <c r="H50" s="280">
        <f>+IFERROR(VLOOKUP($S50,CARGAFACTURAS!$A$2:$Q$1500,7,0),0)</f>
        <v>3444.63</v>
      </c>
      <c r="I50" s="221">
        <f>+IFERROR(VLOOKUP($S50,CARGAFACTURAS!$A$2:$Q$1500,8,0),0)</f>
        <v>0</v>
      </c>
      <c r="J50" s="221">
        <f>+IFERROR(VLOOKUP($S50,CARGAFACTURAS!$A$2:$Q$1500,9,0),0)</f>
        <v>0</v>
      </c>
      <c r="K50" s="221">
        <f>+IFERROR(VLOOKUP($S50,CARGAFACTURAS!$A$2:$Q$1500,10,0),0)</f>
        <v>0</v>
      </c>
      <c r="L50" s="221">
        <f>+IFERROR(VLOOKUP($S50,CARGAFACTURAS!$A$2:$Q$1500,11,0),0)</f>
        <v>0</v>
      </c>
      <c r="M50" s="221">
        <f>+IFERROR(VLOOKUP($S50,CARGAFACTURAS!$A$2:$Q$1500,12,0),0)</f>
        <v>0</v>
      </c>
      <c r="N50" s="52">
        <f>+IFERROR(IF(F50="CC",0,VLOOKUP($S50,CARGAFACTURAS!$A$2:$Q$1500,13,0)),0)</f>
        <v>0</v>
      </c>
      <c r="O50" s="52">
        <f>IF(F50="CC",VLOOKUP($S50,CARGAFACTURAS!$A$2:$Q$1500,13,0),0)</f>
        <v>3444.63</v>
      </c>
      <c r="P50" s="64"/>
      <c r="Q50" s="65"/>
      <c r="S50" t="str">
        <f>+T50&amp;COUNTIF($T$3:T50,T50)</f>
        <v>GOMEZ PARDO RAUL(LIMPLUS)JUNIO 232</v>
      </c>
      <c r="T50" t="str">
        <f t="shared" si="3"/>
        <v>GOMEZ PARDO RAUL(LIMPLUS)JUNIO 23</v>
      </c>
    </row>
    <row r="51" spans="1:20" ht="15.75" x14ac:dyDescent="0.25">
      <c r="A51" s="364"/>
      <c r="B51" s="357"/>
      <c r="C51" s="41" t="str">
        <f>IFERROR(VLOOKUP($S51,CARGAFACTURAS!$A$2:$Q$1500,6,0),0)</f>
        <v>20-39477352-3</v>
      </c>
      <c r="D51" s="220">
        <f>+IFERROR(VLOOKUP($S51,CARGAFACTURAS!$A$2:$Q$1500,5,0),0)</f>
        <v>45085</v>
      </c>
      <c r="E51" s="41" t="str">
        <f>+IFERROR(VLOOKUP($S51,CARGAFACTURAS!$A$2:$Q$1500,4,0),0)</f>
        <v>0005-00001642</v>
      </c>
      <c r="F51" s="41" t="str">
        <f>+IFERROR(VLOOKUP($S51,CARGAFACTURAS!$A$2:$Q$1500,14,0),0)</f>
        <v>CC</v>
      </c>
      <c r="G51" s="135" t="s">
        <v>340</v>
      </c>
      <c r="H51" s="280">
        <f>+IFERROR(VLOOKUP($S51,CARGAFACTURAS!$A$2:$Q$1500,7,0),0)</f>
        <v>1680</v>
      </c>
      <c r="I51" s="221">
        <f>+IFERROR(VLOOKUP($S51,CARGAFACTURAS!$A$2:$Q$1500,8,0),0)</f>
        <v>0</v>
      </c>
      <c r="J51" s="221">
        <f>+IFERROR(VLOOKUP($S51,CARGAFACTURAS!$A$2:$Q$1500,9,0),0)</f>
        <v>0</v>
      </c>
      <c r="K51" s="221">
        <f>+IFERROR(VLOOKUP($S51,CARGAFACTURAS!$A$2:$Q$1500,10,0),0)</f>
        <v>0</v>
      </c>
      <c r="L51" s="221">
        <f>+IFERROR(VLOOKUP($S51,CARGAFACTURAS!$A$2:$Q$1500,11,0),0)</f>
        <v>0</v>
      </c>
      <c r="M51" s="221">
        <f>+IFERROR(VLOOKUP($S51,CARGAFACTURAS!$A$2:$Q$1500,12,0),0)</f>
        <v>0</v>
      </c>
      <c r="N51" s="52">
        <f>+IFERROR(IF(F51="CC",0,VLOOKUP($S51,CARGAFACTURAS!$A$2:$Q$1500,13,0)),0)</f>
        <v>0</v>
      </c>
      <c r="O51" s="52">
        <f>IF(F51="CC",VLOOKUP($S51,CARGAFACTURAS!$A$2:$Q$1500,13,0),0)</f>
        <v>1680</v>
      </c>
      <c r="P51" s="64"/>
      <c r="Q51" s="65"/>
      <c r="S51" t="str">
        <f>+T51&amp;COUNTIF($T$3:T51,T51)</f>
        <v>NAGLE JORGE ELIAS(FERRETERIA)JUNIO 231</v>
      </c>
      <c r="T51" t="str">
        <f t="shared" si="3"/>
        <v>NAGLE JORGE ELIAS(FERRETERIA)JUNIO 23</v>
      </c>
    </row>
    <row r="52" spans="1:20" ht="15.75" x14ac:dyDescent="0.25">
      <c r="A52" s="364"/>
      <c r="B52" s="357"/>
      <c r="C52" s="41" t="str">
        <f>IFERROR(VLOOKUP($S52,CARGAFACTURAS!$A$2:$Q$1500,6,0),0)</f>
        <v>20-36867900-4</v>
      </c>
      <c r="D52" s="220">
        <f>+IFERROR(VLOOKUP($S52,CARGAFACTURAS!$A$2:$Q$1500,5,0),0)</f>
        <v>45107</v>
      </c>
      <c r="E52" s="41" t="str">
        <f>+IFERROR(VLOOKUP($S52,CARGAFACTURAS!$A$2:$Q$1500,4,0),0)</f>
        <v>0010-00007338</v>
      </c>
      <c r="F52" s="41" t="str">
        <f>+IFERROR(VLOOKUP($S52,CARGAFACTURAS!$A$2:$Q$1500,14,0),0)</f>
        <v>CC</v>
      </c>
      <c r="G52" s="135" t="s">
        <v>639</v>
      </c>
      <c r="H52" s="280">
        <f>+IFERROR(VLOOKUP($S52,CARGAFACTURAS!$A$2:$Q$1500,7,0),0)</f>
        <v>6200</v>
      </c>
      <c r="I52" s="221">
        <f>+IFERROR(VLOOKUP($S52,CARGAFACTURAS!$A$2:$Q$1500,8,0),0)</f>
        <v>0</v>
      </c>
      <c r="J52" s="221">
        <f>+IFERROR(VLOOKUP($S52,CARGAFACTURAS!$A$2:$Q$1500,9,0),0)</f>
        <v>0</v>
      </c>
      <c r="K52" s="221">
        <f>+IFERROR(VLOOKUP($S52,CARGAFACTURAS!$A$2:$Q$1500,10,0),0)</f>
        <v>0</v>
      </c>
      <c r="L52" s="221">
        <f>+IFERROR(VLOOKUP($S52,CARGAFACTURAS!$A$2:$Q$1500,11,0),0)</f>
        <v>0</v>
      </c>
      <c r="M52" s="221">
        <f>+IFERROR(VLOOKUP($S52,CARGAFACTURAS!$A$2:$Q$1500,12,0),0)</f>
        <v>0</v>
      </c>
      <c r="N52" s="52">
        <f>+IFERROR(IF(F52="CC",0,VLOOKUP($S52,CARGAFACTURAS!$A$2:$Q$1500,13,0)),0)</f>
        <v>0</v>
      </c>
      <c r="O52" s="52">
        <f>IF(F52="CC",VLOOKUP($S52,CARGAFACTURAS!$A$2:$Q$1500,13,0),0)</f>
        <v>6200</v>
      </c>
      <c r="P52" s="64"/>
      <c r="Q52" s="65"/>
      <c r="S52" t="str">
        <f>+T52&amp;COUNTIF($T$3:T52,T52)</f>
        <v>ANDRADA NICOLAS MATIASJUNIO 231</v>
      </c>
      <c r="T52" t="str">
        <f t="shared" si="3"/>
        <v>ANDRADA NICOLAS MATIASJUNIO 23</v>
      </c>
    </row>
    <row r="53" spans="1:20" ht="15.75" x14ac:dyDescent="0.25">
      <c r="A53" s="364"/>
      <c r="B53" s="357"/>
      <c r="C53" s="41" t="str">
        <f>IFERROR(VLOOKUP($S53,CARGAFACTURAS!$A$2:$Q$1500,6,0),0)</f>
        <v>20-16933019-1</v>
      </c>
      <c r="D53" s="220">
        <f>+IFERROR(VLOOKUP($S53,CARGAFACTURAS!$A$2:$Q$1500,5,0),0)</f>
        <v>45086</v>
      </c>
      <c r="E53" s="41" t="str">
        <f>+IFERROR(VLOOKUP($S53,CARGAFACTURAS!$A$2:$Q$1500,4,0),0)</f>
        <v>0005-00001778</v>
      </c>
      <c r="F53" s="41">
        <f>+IFERROR(VLOOKUP($S53,CARGAFACTURAS!$A$2:$Q$1500,14,0),0)</f>
        <v>36604937</v>
      </c>
      <c r="G53" s="135" t="s">
        <v>560</v>
      </c>
      <c r="H53" s="280">
        <f>+IFERROR(VLOOKUP($S53,CARGAFACTURAS!$A$2:$Q$1500,7,0),0)</f>
        <v>2468.64</v>
      </c>
      <c r="I53" s="221">
        <f>+IFERROR(VLOOKUP($S53,CARGAFACTURAS!$A$2:$Q$1500,8,0),0)</f>
        <v>0</v>
      </c>
      <c r="J53" s="221">
        <f>+IFERROR(VLOOKUP($S53,CARGAFACTURAS!$A$2:$Q$1500,9,0),0)</f>
        <v>0</v>
      </c>
      <c r="K53" s="221">
        <f>+IFERROR(VLOOKUP($S53,CARGAFACTURAS!$A$2:$Q$1500,10,0),0)</f>
        <v>0</v>
      </c>
      <c r="L53" s="221">
        <f>+IFERROR(VLOOKUP($S53,CARGAFACTURAS!$A$2:$Q$1500,11,0),0)</f>
        <v>0</v>
      </c>
      <c r="M53" s="221">
        <f>+IFERROR(VLOOKUP($S53,CARGAFACTURAS!$A$2:$Q$1500,12,0),0)</f>
        <v>0</v>
      </c>
      <c r="N53" s="52">
        <f>+IFERROR(IF(F53="CC",0,VLOOKUP($S53,CARGAFACTURAS!$A$2:$Q$1500,13,0)),0)</f>
        <v>2468.64</v>
      </c>
      <c r="O53" s="52">
        <f>IF(F53="CC",VLOOKUP($S53,CARGAFACTURAS!$A$2:$Q$1500,13,0),0)</f>
        <v>0</v>
      </c>
      <c r="P53" s="64"/>
      <c r="Q53" s="65"/>
      <c r="S53" t="str">
        <f>+T53&amp;COUNTIF($T$3:T53,T53)</f>
        <v>SUCESION DE NUÑEZ CAMPERO MARIO ROBERTOJUNIO 232</v>
      </c>
      <c r="T53" t="str">
        <f t="shared" si="1"/>
        <v>SUCESION DE NUÑEZ CAMPERO MARIO ROBERTOJUNIO 23</v>
      </c>
    </row>
    <row r="54" spans="1:20" ht="15.75" x14ac:dyDescent="0.25">
      <c r="A54" s="364"/>
      <c r="B54" s="357"/>
      <c r="C54" s="41" t="str">
        <f>IFERROR(VLOOKUP($S54,CARGAFACTURAS!$A$2:$Q$1500,6,0),0)</f>
        <v>30-71787724-8</v>
      </c>
      <c r="D54" s="220">
        <f>+IFERROR(VLOOKUP($S54,CARGAFACTURAS!$A$2:$Q$1500,5,0),0)</f>
        <v>45111</v>
      </c>
      <c r="E54" s="41" t="str">
        <f>+IFERROR(VLOOKUP($S54,CARGAFACTURAS!$A$2:$Q$1500,4,0),0)</f>
        <v>0001-00000002</v>
      </c>
      <c r="F54" s="41">
        <f>+IFERROR(VLOOKUP($S54,CARGAFACTURAS!$A$2:$Q$1500,14,0),0)</f>
        <v>37606936</v>
      </c>
      <c r="G54" s="135" t="s">
        <v>616</v>
      </c>
      <c r="H54" s="280">
        <f>+IFERROR(VLOOKUP($S54,CARGAFACTURAS!$A$2:$Q$1500,7,0),0)</f>
        <v>15000</v>
      </c>
      <c r="I54" s="221">
        <f>+IFERROR(VLOOKUP($S54,CARGAFACTURAS!$A$2:$Q$1500,8,0),0)</f>
        <v>0</v>
      </c>
      <c r="J54" s="221">
        <f>+IFERROR(VLOOKUP($S54,CARGAFACTURAS!$A$2:$Q$1500,9,0),0)</f>
        <v>375</v>
      </c>
      <c r="K54" s="221">
        <f>+IFERROR(VLOOKUP($S54,CARGAFACTURAS!$A$2:$Q$1500,10,0),0)</f>
        <v>0</v>
      </c>
      <c r="L54" s="221">
        <f>+IFERROR(VLOOKUP($S54,CARGAFACTURAS!$A$2:$Q$1500,11,0),0)</f>
        <v>0</v>
      </c>
      <c r="M54" s="221">
        <f>+IFERROR(VLOOKUP($S54,CARGAFACTURAS!$A$2:$Q$1500,12,0),0)</f>
        <v>0</v>
      </c>
      <c r="N54" s="52">
        <f>+IFERROR(IF(F54="CC",0,VLOOKUP($S54,CARGAFACTURAS!$A$2:$Q$1500,13,0)),0)</f>
        <v>14625</v>
      </c>
      <c r="O54" s="52">
        <f>IF(F54="CC",VLOOKUP($S54,CARGAFACTURAS!$A$2:$Q$1500,13,0),0)</f>
        <v>0</v>
      </c>
      <c r="P54" s="64"/>
      <c r="Q54" s="65"/>
      <c r="S54" t="str">
        <f>+T54&amp;COUNTIF($T$3:T54,T54)</f>
        <v>COOPPERATIVA LA CAÑADA SOLUCIONES LIMITADAJUNIO 232</v>
      </c>
      <c r="T54" t="str">
        <f t="shared" si="1"/>
        <v>COOPPERATIVA LA CAÑADA SOLUCIONES LIMITADAJUNIO 23</v>
      </c>
    </row>
    <row r="55" spans="1:20" ht="15.75" hidden="1" x14ac:dyDescent="0.25">
      <c r="A55" s="364"/>
      <c r="B55" s="357"/>
      <c r="C55" s="41">
        <f>IFERROR(VLOOKUP($S55,CARGAFACTURAS!$A$2:$Q$1500,6,0),0)</f>
        <v>0</v>
      </c>
      <c r="D55" s="220">
        <f>+IFERROR(VLOOKUP($S55,CARGAFACTURAS!$A$2:$Q$1500,5,0),0)</f>
        <v>0</v>
      </c>
      <c r="E55" s="41">
        <f>+IFERROR(VLOOKUP($S55,CARGAFACTURAS!$A$2:$Q$1500,4,0),0)</f>
        <v>0</v>
      </c>
      <c r="F55" s="41">
        <f>+IFERROR(VLOOKUP($S55,CARGAFACTURAS!$A$2:$Q$1500,14,0),0)</f>
        <v>0</v>
      </c>
      <c r="G55" s="135"/>
      <c r="H55" s="221">
        <f>+IFERROR(VLOOKUP($S55,CARGAFACTURAS!$A$2:$Q$1500,7,0),0)</f>
        <v>0</v>
      </c>
      <c r="I55" s="221">
        <f>+IFERROR(VLOOKUP($S55,CARGAFACTURAS!$A$2:$Q$1500,8,0),0)</f>
        <v>0</v>
      </c>
      <c r="J55" s="221">
        <f>+IFERROR(VLOOKUP($S55,CARGAFACTURAS!$A$2:$Q$1500,9,0),0)</f>
        <v>0</v>
      </c>
      <c r="K55" s="221">
        <f>+IFERROR(VLOOKUP($S55,CARGAFACTURAS!$A$2:$Q$1500,10,0),0)</f>
        <v>0</v>
      </c>
      <c r="L55" s="221">
        <f>+IFERROR(VLOOKUP($S55,CARGAFACTURAS!$A$2:$Q$1500,11,0),0)</f>
        <v>0</v>
      </c>
      <c r="M55" s="221">
        <f>+IFERROR(VLOOKUP($S55,CARGAFACTURAS!$A$2:$Q$1500,12,0),0)</f>
        <v>0</v>
      </c>
      <c r="N55" s="52">
        <f>+IFERROR(IF(F55="CC",0,VLOOKUP($S55,CARGAFACTURAS!$A$2:$Q$1500,13,0)),0)</f>
        <v>0</v>
      </c>
      <c r="O55" s="52">
        <f>IF(F55="CC",VLOOKUP($S55,CARGAFACTURAS!$A$2:$Q$1500,13,0),0)</f>
        <v>0</v>
      </c>
      <c r="P55" s="64"/>
      <c r="Q55" s="65"/>
      <c r="S55" t="str">
        <f>+T55&amp;COUNTIF($T$3:T55,T55)</f>
        <v>JUNIO 2318</v>
      </c>
      <c r="T55" t="str">
        <f t="shared" si="1"/>
        <v>JUNIO 23</v>
      </c>
    </row>
    <row r="56" spans="1:20" ht="15.75" hidden="1" x14ac:dyDescent="0.25">
      <c r="A56" s="364"/>
      <c r="B56" s="357"/>
      <c r="C56" s="41">
        <f>IFERROR(VLOOKUP($S56,CARGAFACTURAS!$A$2:$Q$1500,6,0),0)</f>
        <v>0</v>
      </c>
      <c r="D56" s="220">
        <f>+IFERROR(VLOOKUP($S56,CARGAFACTURAS!$A$2:$Q$1500,5,0),0)</f>
        <v>0</v>
      </c>
      <c r="E56" s="41">
        <f>+IFERROR(VLOOKUP($S56,CARGAFACTURAS!$A$2:$Q$1500,4,0),0)</f>
        <v>0</v>
      </c>
      <c r="F56" s="41">
        <f>+IFERROR(VLOOKUP($S56,CARGAFACTURAS!$A$2:$Q$1500,14,0),0)</f>
        <v>0</v>
      </c>
      <c r="G56" s="135"/>
      <c r="H56" s="221">
        <f>+IFERROR(VLOOKUP($S56,CARGAFACTURAS!$A$2:$Q$1500,7,0),0)</f>
        <v>0</v>
      </c>
      <c r="I56" s="221">
        <f>+IFERROR(VLOOKUP($S56,CARGAFACTURAS!$A$2:$Q$1500,8,0),0)</f>
        <v>0</v>
      </c>
      <c r="J56" s="221">
        <f>+IFERROR(VLOOKUP($S56,CARGAFACTURAS!$A$2:$Q$1500,9,0),0)</f>
        <v>0</v>
      </c>
      <c r="K56" s="221">
        <f>+IFERROR(VLOOKUP($S56,CARGAFACTURAS!$A$2:$Q$1500,10,0),0)</f>
        <v>0</v>
      </c>
      <c r="L56" s="221">
        <f>+IFERROR(VLOOKUP($S56,CARGAFACTURAS!$A$2:$Q$1500,11,0),0)</f>
        <v>0</v>
      </c>
      <c r="M56" s="221">
        <f>+IFERROR(VLOOKUP($S56,CARGAFACTURAS!$A$2:$Q$1500,12,0),0)</f>
        <v>0</v>
      </c>
      <c r="N56" s="52">
        <f>+IFERROR(IF(F56="CC",0,VLOOKUP($S56,CARGAFACTURAS!$A$2:$Q$1500,13,0)),0)</f>
        <v>0</v>
      </c>
      <c r="O56" s="52">
        <f>IF(F56="CC",VLOOKUP($S56,CARGAFACTURAS!$A$2:$Q$1500,13,0),0)</f>
        <v>0</v>
      </c>
      <c r="P56" s="64"/>
      <c r="Q56" s="65"/>
      <c r="S56" t="str">
        <f>+T56&amp;COUNTIF($T$3:T56,T56)</f>
        <v>JUNIO 2319</v>
      </c>
      <c r="T56" t="str">
        <f t="shared" si="1"/>
        <v>JUNIO 23</v>
      </c>
    </row>
    <row r="57" spans="1:20" ht="15.75" hidden="1" x14ac:dyDescent="0.25">
      <c r="A57" s="364"/>
      <c r="B57" s="357"/>
      <c r="C57" s="41">
        <f>IFERROR(VLOOKUP($S57,CARGAFACTURAS!$A$2:$Q$1500,6,0),0)</f>
        <v>0</v>
      </c>
      <c r="D57" s="220">
        <f>+IFERROR(VLOOKUP($S57,CARGAFACTURAS!$A$2:$Q$1500,5,0),0)</f>
        <v>0</v>
      </c>
      <c r="E57" s="41">
        <f>+IFERROR(VLOOKUP($S57,CARGAFACTURAS!$A$2:$Q$1500,4,0),0)</f>
        <v>0</v>
      </c>
      <c r="F57" s="41">
        <f>+IFERROR(VLOOKUP($S57,CARGAFACTURAS!$A$2:$Q$1500,14,0),0)</f>
        <v>0</v>
      </c>
      <c r="G57" s="135"/>
      <c r="H57" s="221">
        <f>+IFERROR(VLOOKUP($S57,CARGAFACTURAS!$A$2:$Q$1500,7,0),0)</f>
        <v>0</v>
      </c>
      <c r="I57" s="221">
        <f>+IFERROR(VLOOKUP($S57,CARGAFACTURAS!$A$2:$Q$1500,8,0),0)</f>
        <v>0</v>
      </c>
      <c r="J57" s="221">
        <f>+IFERROR(VLOOKUP($S57,CARGAFACTURAS!$A$2:$Q$1500,9,0),0)</f>
        <v>0</v>
      </c>
      <c r="K57" s="221">
        <f>+IFERROR(VLOOKUP($S57,CARGAFACTURAS!$A$2:$Q$1500,10,0),0)</f>
        <v>0</v>
      </c>
      <c r="L57" s="221">
        <f>+IFERROR(VLOOKUP($S57,CARGAFACTURAS!$A$2:$Q$1500,11,0),0)</f>
        <v>0</v>
      </c>
      <c r="M57" s="221">
        <f>+IFERROR(VLOOKUP($S57,CARGAFACTURAS!$A$2:$Q$1500,12,0),0)</f>
        <v>0</v>
      </c>
      <c r="N57" s="52">
        <f>+IFERROR(IF(F57="CC",0,VLOOKUP($S57,CARGAFACTURAS!$A$2:$Q$1500,13,0)),0)</f>
        <v>0</v>
      </c>
      <c r="O57" s="52">
        <f>IF(F57="CC",VLOOKUP($S57,CARGAFACTURAS!$A$2:$Q$1500,13,0),0)</f>
        <v>0</v>
      </c>
      <c r="P57" s="64"/>
      <c r="Q57" s="65"/>
      <c r="S57" t="str">
        <f>+T57&amp;COUNTIF($T$3:T57,T57)</f>
        <v>JUNIO 2320</v>
      </c>
      <c r="T57" t="str">
        <f t="shared" si="1"/>
        <v>JUNIO 23</v>
      </c>
    </row>
    <row r="58" spans="1:20" ht="15.75" x14ac:dyDescent="0.25">
      <c r="A58" s="364"/>
      <c r="B58" s="357"/>
      <c r="C58" s="41">
        <f>IFERROR(VLOOKUP($S58,CARGAFACTURAS!$A$2:$Q$1500,6,0),0)</f>
        <v>0</v>
      </c>
      <c r="D58" s="220">
        <f>+IFERROR(VLOOKUP($S58,CARGAFACTURAS!$A$2:$Q$1500,5,0),0)</f>
        <v>0</v>
      </c>
      <c r="E58" s="41">
        <f>+IFERROR(VLOOKUP($S58,CARGAFACTURAS!$A$2:$Q$1500,4,0),0)</f>
        <v>0</v>
      </c>
      <c r="F58" s="41">
        <f>+IFERROR(VLOOKUP($S58,CARGAFACTURAS!$A$2:$Q$1500,14,0),0)</f>
        <v>0</v>
      </c>
      <c r="G58" s="135"/>
      <c r="H58" s="285">
        <f>+IFERROR(VLOOKUP($S58,CARGAFACTURAS!$A$2:$Q$1500,7,0),0)</f>
        <v>0</v>
      </c>
      <c r="I58" s="221">
        <f>+IFERROR(VLOOKUP($S58,CARGAFACTURAS!$A$2:$Q$1500,8,0),0)</f>
        <v>0</v>
      </c>
      <c r="J58" s="221">
        <f>+IFERROR(VLOOKUP($S58,CARGAFACTURAS!$A$2:$Q$1500,9,0),0)</f>
        <v>0</v>
      </c>
      <c r="K58" s="221">
        <f>+IFERROR(VLOOKUP($S58,CARGAFACTURAS!$A$2:$Q$1500,10,0),0)</f>
        <v>0</v>
      </c>
      <c r="L58" s="221">
        <f>+IFERROR(VLOOKUP($S58,CARGAFACTURAS!$A$2:$Q$1500,11,0),0)</f>
        <v>0</v>
      </c>
      <c r="M58" s="221">
        <f>+IFERROR(VLOOKUP($S58,CARGAFACTURAS!$A$2:$Q$1500,12,0),0)</f>
        <v>0</v>
      </c>
      <c r="N58" s="52">
        <f>+IFERROR(IF(F58="CC",0,VLOOKUP($S58,CARGAFACTURAS!$A$2:$Q$1500,13,0)),0)</f>
        <v>0</v>
      </c>
      <c r="O58" s="52">
        <f>IF(F58="CC",VLOOKUP($S58,CARGAFACTURAS!$A$2:$Q$1500,13,0),0)</f>
        <v>0</v>
      </c>
      <c r="P58" s="64"/>
      <c r="Q58" s="65"/>
      <c r="S58" t="str">
        <f>+T58&amp;COUNTIF($T$3:T58,T58)</f>
        <v>JUNIO 2321</v>
      </c>
      <c r="T58" t="str">
        <f t="shared" si="1"/>
        <v>JUNIO 23</v>
      </c>
    </row>
    <row r="59" spans="1:20" ht="15.75" x14ac:dyDescent="0.25">
      <c r="A59" s="364"/>
      <c r="B59" s="357"/>
      <c r="C59" s="41">
        <f>IFERROR(VLOOKUP($S59,CARGAFACTURAS!$A$2:$Q$1500,6,0),0)</f>
        <v>0</v>
      </c>
      <c r="D59" s="220">
        <f>+IFERROR(VLOOKUP($S59,CARGAFACTURAS!$A$2:$Q$1500,5,0),0)</f>
        <v>0</v>
      </c>
      <c r="E59" s="41">
        <f>+IFERROR(VLOOKUP($S59,CARGAFACTURAS!$A$2:$Q$1500,4,0),0)</f>
        <v>0</v>
      </c>
      <c r="F59" s="41">
        <f>+IFERROR(VLOOKUP($S59,CARGAFACTURAS!$A$2:$Q$1500,14,0),0)</f>
        <v>0</v>
      </c>
      <c r="G59" s="135"/>
      <c r="H59" s="221">
        <f>+IFERROR(VLOOKUP($S59,CARGAFACTURAS!$A$2:$Q$1500,7,0),0)</f>
        <v>0</v>
      </c>
      <c r="I59" s="221">
        <f>+IFERROR(VLOOKUP($S59,CARGAFACTURAS!$A$2:$Q$1500,8,0),0)</f>
        <v>0</v>
      </c>
      <c r="J59" s="221">
        <f>+IFERROR(VLOOKUP($S59,CARGAFACTURAS!$A$2:$Q$1500,9,0),0)</f>
        <v>0</v>
      </c>
      <c r="K59" s="221">
        <f>+IFERROR(VLOOKUP($S59,CARGAFACTURAS!$A$2:$Q$1500,10,0),0)</f>
        <v>0</v>
      </c>
      <c r="L59" s="221">
        <f>+IFERROR(VLOOKUP($S59,CARGAFACTURAS!$A$2:$Q$1500,11,0),0)</f>
        <v>0</v>
      </c>
      <c r="M59" s="221">
        <f>+IFERROR(VLOOKUP($S59,CARGAFACTURAS!$A$2:$Q$1500,12,0),0)</f>
        <v>0</v>
      </c>
      <c r="N59" s="52">
        <f>+IFERROR(IF(F59="CC",0,VLOOKUP($S59,CARGAFACTURAS!$A$2:$Q$1500,13,0)),0)</f>
        <v>0</v>
      </c>
      <c r="O59" s="52">
        <f>IF(F59="CC",VLOOKUP($S59,CARGAFACTURAS!$A$2:$Q$1500,13,0),0)</f>
        <v>0</v>
      </c>
      <c r="P59" s="64"/>
      <c r="Q59" s="65"/>
      <c r="S59" t="str">
        <f>+T59&amp;COUNTIF($T$3:T59,T59)</f>
        <v>JUNIO 2322</v>
      </c>
      <c r="T59" t="str">
        <f t="shared" si="1"/>
        <v>JUNIO 23</v>
      </c>
    </row>
    <row r="60" spans="1:20" ht="16.5" thickBot="1" x14ac:dyDescent="0.3">
      <c r="A60" s="364"/>
      <c r="B60" s="357"/>
      <c r="C60" s="41">
        <f>IFERROR(VLOOKUP($S60,CARGAFACTURAS!$A$2:$Q$1500,6,0),0)</f>
        <v>0</v>
      </c>
      <c r="D60" s="220">
        <f>+IFERROR(VLOOKUP($S60,CARGAFACTURAS!$A$2:$Q$1500,5,0),0)</f>
        <v>0</v>
      </c>
      <c r="E60" s="41">
        <f>+IFERROR(VLOOKUP($S60,CARGAFACTURAS!$A$2:$Q$1500,4,0),0)</f>
        <v>0</v>
      </c>
      <c r="F60" s="41">
        <f>+IFERROR(VLOOKUP($S60,CARGAFACTURAS!$A$2:$Q$1500,14,0),0)</f>
        <v>0</v>
      </c>
      <c r="G60" s="135"/>
      <c r="H60" s="221">
        <f>+IFERROR(VLOOKUP($S60,CARGAFACTURAS!$A$2:$Q$1500,7,0),0)</f>
        <v>0</v>
      </c>
      <c r="I60" s="221">
        <f>+IFERROR(VLOOKUP($S60,CARGAFACTURAS!$A$2:$Q$1500,8,0),0)</f>
        <v>0</v>
      </c>
      <c r="J60" s="221">
        <f>+IFERROR(VLOOKUP($S60,CARGAFACTURAS!$A$2:$Q$1500,9,0),0)</f>
        <v>0</v>
      </c>
      <c r="K60" s="221">
        <f>+IFERROR(VLOOKUP($S60,CARGAFACTURAS!$A$2:$Q$1500,10,0),0)</f>
        <v>0</v>
      </c>
      <c r="L60" s="221">
        <f>+IFERROR(VLOOKUP($S60,CARGAFACTURAS!$A$2:$Q$1500,11,0),0)</f>
        <v>0</v>
      </c>
      <c r="M60" s="221">
        <f>+IFERROR(VLOOKUP($S60,CARGAFACTURAS!$A$2:$Q$1500,12,0),0)</f>
        <v>0</v>
      </c>
      <c r="N60" s="52">
        <f>+IFERROR(IF(F60="CC",0,VLOOKUP($S60,CARGAFACTURAS!$A$2:$Q$1500,13,0)),0)</f>
        <v>0</v>
      </c>
      <c r="O60" s="52">
        <f>IF(F60="CC",VLOOKUP($S60,CARGAFACTURAS!$A$2:$Q$1500,13,0),0)</f>
        <v>0</v>
      </c>
      <c r="P60" s="64"/>
      <c r="Q60" s="65"/>
      <c r="S60" t="str">
        <f>+T60&amp;COUNTIF($T$3:T60,T60)</f>
        <v>JUNIO 2323</v>
      </c>
      <c r="T60" t="str">
        <f t="shared" si="1"/>
        <v>JUNIO 23</v>
      </c>
    </row>
    <row r="61" spans="1:20" ht="16.5" thickBot="1" x14ac:dyDescent="0.3">
      <c r="A61" s="364"/>
      <c r="B61" s="358"/>
      <c r="C61" s="71"/>
      <c r="D61" s="72"/>
      <c r="E61" s="72"/>
      <c r="F61" s="72"/>
      <c r="G61" s="84" t="s">
        <v>15</v>
      </c>
      <c r="H61" s="114">
        <f>SUM(H44:H60)</f>
        <v>141381.01</v>
      </c>
      <c r="I61" s="118">
        <f>+SUM(I38:I60)</f>
        <v>1611.2137499999999</v>
      </c>
      <c r="J61" s="119">
        <f>+SUM(J38:J60)</f>
        <v>4194.8549999999996</v>
      </c>
      <c r="K61" s="82"/>
      <c r="L61" s="82"/>
      <c r="M61" s="71" t="s">
        <v>15</v>
      </c>
      <c r="N61" s="223">
        <f>SUM(N44:N60)</f>
        <v>109959.67125</v>
      </c>
      <c r="O61" s="229">
        <f>SUM(O44:O60)</f>
        <v>25615.27</v>
      </c>
      <c r="P61" s="66"/>
      <c r="Q61" s="37"/>
      <c r="S61" t="str">
        <f>+T61&amp;COUNTIF($T$3:T61,T61)</f>
        <v>TOTALJUNIO 234</v>
      </c>
      <c r="T61" t="str">
        <f t="shared" si="1"/>
        <v>TOTALJUNIO 23</v>
      </c>
    </row>
    <row r="62" spans="1:20" ht="16.5" thickBot="1" x14ac:dyDescent="0.3">
      <c r="A62" s="364"/>
      <c r="B62" s="7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39"/>
      <c r="P62" s="67"/>
      <c r="Q62" s="39"/>
      <c r="S62" t="str">
        <f>+T62&amp;COUNTIF($T$3:T62,T62)</f>
        <v>JUNIO 2324</v>
      </c>
      <c r="T62" t="str">
        <f t="shared" si="1"/>
        <v>JUNIO 23</v>
      </c>
    </row>
    <row r="63" spans="1:20" ht="15.75" customHeight="1" x14ac:dyDescent="0.25">
      <c r="A63" s="364"/>
      <c r="B63" s="356" t="s">
        <v>14</v>
      </c>
      <c r="C63" s="69" t="s">
        <v>24</v>
      </c>
      <c r="D63" s="75" t="s">
        <v>61</v>
      </c>
      <c r="E63" s="75" t="s">
        <v>1</v>
      </c>
      <c r="F63" s="76" t="s">
        <v>113</v>
      </c>
      <c r="G63" s="70" t="s">
        <v>2</v>
      </c>
      <c r="H63" s="79" t="s">
        <v>3</v>
      </c>
      <c r="I63" s="75" t="s">
        <v>4</v>
      </c>
      <c r="J63" s="75" t="s">
        <v>5</v>
      </c>
      <c r="K63" s="75" t="s">
        <v>84</v>
      </c>
      <c r="L63" s="75" t="s">
        <v>86</v>
      </c>
      <c r="M63" s="75" t="s">
        <v>85</v>
      </c>
      <c r="N63" s="74" t="s">
        <v>111</v>
      </c>
      <c r="O63" s="75" t="s">
        <v>12</v>
      </c>
      <c r="P63" s="77" t="s">
        <v>76</v>
      </c>
      <c r="Q63" s="78" t="s">
        <v>15</v>
      </c>
      <c r="S63" t="str">
        <f>+T63&amp;COUNTIF($T$3:T63,T63)</f>
        <v>PROVEEDORJUNIO 234</v>
      </c>
      <c r="T63" t="str">
        <f t="shared" si="1"/>
        <v>PROVEEDORJUNIO 23</v>
      </c>
    </row>
    <row r="64" spans="1:20" ht="15.75" x14ac:dyDescent="0.25">
      <c r="A64" s="364"/>
      <c r="B64" s="357"/>
      <c r="C64" s="41">
        <f>IFERROR(VLOOKUP($S64,CARGAFACTURAS!$A$2:$Q$1500,6,0),0)</f>
        <v>0</v>
      </c>
      <c r="D64" s="220">
        <f>+IFERROR(VLOOKUP($S64,CARGAFACTURAS!$A$2:$Q$1500,5,0),0)</f>
        <v>0</v>
      </c>
      <c r="E64" s="41">
        <f>+IFERROR(VLOOKUP($S64,CARGAFACTURAS!$A$2:$Q$1500,4,0),0)</f>
        <v>0</v>
      </c>
      <c r="F64" s="41">
        <f>+IFERROR(VLOOKUP($S64,CARGAFACTURAS!$A$2:$Q$1500,14,0),0)</f>
        <v>0</v>
      </c>
      <c r="G64" s="135"/>
      <c r="H64" s="221">
        <f>+IFERROR(VLOOKUP($S64,CARGAFACTURAS!$A$2:$Q$1500,7,0),0)</f>
        <v>0</v>
      </c>
      <c r="I64" s="221">
        <f>+IFERROR(VLOOKUP($S64,CARGAFACTURAS!$A$2:$Q$1500,8,0),0)</f>
        <v>0</v>
      </c>
      <c r="J64" s="221">
        <f>+IFERROR(VLOOKUP($S64,CARGAFACTURAS!$A$2:$Q$1500,9,0),0)</f>
        <v>0</v>
      </c>
      <c r="K64" s="221">
        <f>+IFERROR(VLOOKUP($S64,CARGAFACTURAS!$A$2:$Q$1500,10,0),0)</f>
        <v>0</v>
      </c>
      <c r="L64" s="221">
        <f>+IFERROR(VLOOKUP($S64,CARGAFACTURAS!$A$2:$Q$1500,11,0),0)</f>
        <v>0</v>
      </c>
      <c r="M64" s="221">
        <f>+IFERROR(VLOOKUP($S64,CARGAFACTURAS!$A$2:$Q$1500,12,0),0)</f>
        <v>0</v>
      </c>
      <c r="N64" s="59"/>
      <c r="O64" s="59">
        <f t="shared" ref="O64:O66" si="4">H64</f>
        <v>0</v>
      </c>
      <c r="P64" s="136"/>
      <c r="Q64" s="137"/>
      <c r="S64" t="str">
        <f>+T64&amp;COUNTIF($T$3:T64,T64)</f>
        <v>JUNIO 2325</v>
      </c>
      <c r="T64" t="str">
        <f t="shared" si="1"/>
        <v>JUNIO 23</v>
      </c>
    </row>
    <row r="65" spans="1:20" ht="15.75" x14ac:dyDescent="0.25">
      <c r="A65" s="364"/>
      <c r="B65" s="357"/>
      <c r="C65" s="41">
        <f>IFERROR(VLOOKUP($S65,CARGAFACTURAS!$A$2:$Q$1500,6,0),0)</f>
        <v>0</v>
      </c>
      <c r="D65" s="220">
        <f>+IFERROR(VLOOKUP($S65,CARGAFACTURAS!$A$2:$Q$1500,5,0),0)</f>
        <v>0</v>
      </c>
      <c r="E65" s="41">
        <f>+IFERROR(VLOOKUP($S65,CARGAFACTURAS!$A$2:$Q$1500,4,0),0)</f>
        <v>0</v>
      </c>
      <c r="F65" s="41">
        <f>+IFERROR(VLOOKUP($S65,CARGAFACTURAS!$A$2:$Q$1500,14,0),0)</f>
        <v>0</v>
      </c>
      <c r="G65" s="135"/>
      <c r="H65" s="221">
        <f>+IFERROR(VLOOKUP($S65,CARGAFACTURAS!$A$2:$Q$1500,7,0),0)</f>
        <v>0</v>
      </c>
      <c r="I65" s="221">
        <f>+IFERROR(VLOOKUP($S65,CARGAFACTURAS!$A$2:$Q$1500,8,0),0)</f>
        <v>0</v>
      </c>
      <c r="J65" s="221">
        <f>+IFERROR(VLOOKUP($S65,CARGAFACTURAS!$A$2:$Q$1500,9,0),0)</f>
        <v>0</v>
      </c>
      <c r="K65" s="221">
        <f>+IFERROR(VLOOKUP($S65,CARGAFACTURAS!$A$2:$Q$1500,10,0),0)</f>
        <v>0</v>
      </c>
      <c r="L65" s="221">
        <f>+IFERROR(VLOOKUP($S65,CARGAFACTURAS!$A$2:$Q$1500,11,0),0)</f>
        <v>0</v>
      </c>
      <c r="M65" s="221">
        <f>+IFERROR(VLOOKUP($S65,CARGAFACTURAS!$A$2:$Q$1500,12,0),0)</f>
        <v>0</v>
      </c>
      <c r="N65" s="59"/>
      <c r="O65" s="59">
        <f t="shared" si="4"/>
        <v>0</v>
      </c>
      <c r="P65" s="136"/>
      <c r="Q65" s="137"/>
      <c r="S65" t="str">
        <f>+T65&amp;COUNTIF($T$3:T65,T65)</f>
        <v>JUNIO 2326</v>
      </c>
      <c r="T65" t="str">
        <f t="shared" si="1"/>
        <v>JUNIO 23</v>
      </c>
    </row>
    <row r="66" spans="1:20" ht="16.5" thickBot="1" x14ac:dyDescent="0.3">
      <c r="A66" s="364"/>
      <c r="B66" s="357"/>
      <c r="C66" s="41">
        <f>IFERROR(VLOOKUP($S66,CARGAFACTURAS!$A$2:$Q$1500,6,0),0)</f>
        <v>0</v>
      </c>
      <c r="D66" s="220">
        <f>+IFERROR(VLOOKUP($S66,CARGAFACTURAS!$A$2:$Q$1500,5,0),0)</f>
        <v>0</v>
      </c>
      <c r="E66" s="41">
        <f>+IFERROR(VLOOKUP($S66,CARGAFACTURAS!$A$2:$Q$1500,4,0),0)</f>
        <v>0</v>
      </c>
      <c r="F66" s="41">
        <f>+IFERROR(VLOOKUP($S66,CARGAFACTURAS!$A$2:$Q$1500,14,0),0)</f>
        <v>0</v>
      </c>
      <c r="G66" s="135"/>
      <c r="H66" s="221">
        <f>+IFERROR(VLOOKUP($S66,CARGAFACTURAS!$A$2:$Q$1500,7,0),0)</f>
        <v>0</v>
      </c>
      <c r="I66" s="221">
        <f>+IFERROR(VLOOKUP($S66,CARGAFACTURAS!$A$2:$Q$1500,8,0),0)</f>
        <v>0</v>
      </c>
      <c r="J66" s="221">
        <f>+IFERROR(VLOOKUP($S66,CARGAFACTURAS!$A$2:$Q$1500,9,0),0)</f>
        <v>0</v>
      </c>
      <c r="K66" s="221">
        <f>+IFERROR(VLOOKUP($S66,CARGAFACTURAS!$A$2:$Q$1500,10,0),0)</f>
        <v>0</v>
      </c>
      <c r="L66" s="221">
        <f>+IFERROR(VLOOKUP($S66,CARGAFACTURAS!$A$2:$Q$1500,11,0),0)</f>
        <v>0</v>
      </c>
      <c r="M66" s="221">
        <f>+IFERROR(VLOOKUP($S66,CARGAFACTURAS!$A$2:$Q$1500,12,0),0)</f>
        <v>0</v>
      </c>
      <c r="N66" s="59"/>
      <c r="O66" s="59">
        <f t="shared" si="4"/>
        <v>0</v>
      </c>
      <c r="P66" s="136"/>
      <c r="Q66" s="137"/>
      <c r="S66" t="str">
        <f>+T66&amp;COUNTIF($T$3:T66,T66)</f>
        <v>JUNIO 2327</v>
      </c>
      <c r="T66" t="str">
        <f t="shared" si="1"/>
        <v>JUNIO 23</v>
      </c>
    </row>
    <row r="67" spans="1:20" ht="16.5" thickBot="1" x14ac:dyDescent="0.3">
      <c r="A67" s="364"/>
      <c r="B67" s="358"/>
      <c r="C67" s="71"/>
      <c r="D67" s="72"/>
      <c r="E67" s="72"/>
      <c r="F67" s="72"/>
      <c r="G67" s="84" t="s">
        <v>15</v>
      </c>
      <c r="H67" s="114">
        <f>SUM(H64:H66)</f>
        <v>0</v>
      </c>
      <c r="I67" s="82"/>
      <c r="J67" s="82"/>
      <c r="K67" s="82"/>
      <c r="L67" s="82"/>
      <c r="M67" s="71" t="s">
        <v>15</v>
      </c>
      <c r="N67" s="114">
        <f>SUM(N64:N66)</f>
        <v>0</v>
      </c>
      <c r="O67" s="114">
        <f>SUM(O64:O66)</f>
        <v>0</v>
      </c>
      <c r="P67" s="66"/>
      <c r="Q67" s="37"/>
      <c r="S67" t="str">
        <f>+T67&amp;COUNTIF($T$3:T67,T67)</f>
        <v>TOTALJUNIO 235</v>
      </c>
      <c r="T67" t="str">
        <f t="shared" si="1"/>
        <v>TOTALJUNIO 23</v>
      </c>
    </row>
    <row r="68" spans="1:20" ht="16.5" thickBot="1" x14ac:dyDescent="0.3">
      <c r="A68" s="364"/>
      <c r="B68" s="7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39"/>
      <c r="P68" s="67"/>
      <c r="Q68" s="39"/>
      <c r="S68" t="str">
        <f>+T68&amp;COUNTIF($T$3:T68,T68)</f>
        <v>JUNIO 2328</v>
      </c>
      <c r="T68" t="str">
        <f t="shared" si="1"/>
        <v>JUNIO 23</v>
      </c>
    </row>
    <row r="69" spans="1:20" ht="52.5" customHeight="1" thickBot="1" x14ac:dyDescent="0.3">
      <c r="A69" s="364"/>
      <c r="B69" s="356" t="s">
        <v>73</v>
      </c>
      <c r="C69" s="129" t="s">
        <v>60</v>
      </c>
      <c r="D69" s="130" t="s">
        <v>19</v>
      </c>
      <c r="E69" s="131" t="s">
        <v>52</v>
      </c>
      <c r="F69" s="239" t="s">
        <v>348</v>
      </c>
      <c r="G69" s="242" t="s">
        <v>347</v>
      </c>
      <c r="H69" s="132"/>
      <c r="I69" s="379" t="s">
        <v>15</v>
      </c>
      <c r="J69" s="380"/>
      <c r="K69" s="133"/>
      <c r="L69" s="133"/>
      <c r="M69" s="133"/>
      <c r="N69" s="276" t="s">
        <v>112</v>
      </c>
      <c r="O69" s="275" t="s">
        <v>324</v>
      </c>
      <c r="P69" s="371" t="s">
        <v>324</v>
      </c>
      <c r="Q69" s="372"/>
      <c r="S69" t="str">
        <f>+T69&amp;COUNTIF($T$3:T69,T69)</f>
        <v>EFECTIVO/ CHEQUE/ TRANSFERENCIAJUNIO 231</v>
      </c>
      <c r="T69" t="str">
        <f t="shared" ref="T69:T90" si="5">+CLEAN(G69)&amp;CLEAN($B$1)</f>
        <v>EFECTIVO/ CHEQUE/ TRANSFERENCIAJUNIO 23</v>
      </c>
    </row>
    <row r="70" spans="1:20" ht="18.75" x14ac:dyDescent="0.25">
      <c r="A70" s="364"/>
      <c r="B70" s="357"/>
      <c r="C70" s="90">
        <v>360000200970925</v>
      </c>
      <c r="D70" s="92" t="s">
        <v>16</v>
      </c>
      <c r="E70" s="282"/>
      <c r="F70" s="96">
        <f>+J11+J33+J61</f>
        <v>85212.867499999993</v>
      </c>
      <c r="G70" s="93" t="s">
        <v>6</v>
      </c>
      <c r="H70" s="68"/>
      <c r="I70" s="381">
        <f>+H11+H33+H41+H61</f>
        <v>3100585.3500000006</v>
      </c>
      <c r="J70" s="382"/>
      <c r="K70" s="110"/>
      <c r="L70" s="110"/>
      <c r="M70" s="110"/>
      <c r="N70" s="391">
        <f>+N11+N33+N41+N61+N67</f>
        <v>2845012.1460089344</v>
      </c>
      <c r="O70" s="392">
        <f>+O11+O33+O41+O61+O67</f>
        <v>33320.270000000004</v>
      </c>
      <c r="P70" s="373"/>
      <c r="Q70" s="374"/>
      <c r="S70" t="str">
        <f>+T70&amp;COUNTIF($T$3:T70,T70)</f>
        <v>CHEQUEJUNIO 231</v>
      </c>
      <c r="T70" t="str">
        <f t="shared" si="5"/>
        <v>CHEQUEJUNIO 23</v>
      </c>
    </row>
    <row r="71" spans="1:20" ht="18.75" x14ac:dyDescent="0.25">
      <c r="A71" s="364"/>
      <c r="B71" s="357"/>
      <c r="C71" s="90">
        <v>360000000514510</v>
      </c>
      <c r="D71" s="235" t="s">
        <v>665</v>
      </c>
      <c r="E71" s="96">
        <f>+F71-0</f>
        <v>19108.911874999998</v>
      </c>
      <c r="F71" s="385">
        <f>+I11+I33+I61</f>
        <v>19108.911874999998</v>
      </c>
      <c r="G71" s="389" t="s">
        <v>349</v>
      </c>
      <c r="H71" s="68"/>
      <c r="I71" s="383"/>
      <c r="J71" s="384"/>
      <c r="K71" s="111"/>
      <c r="L71" s="111"/>
      <c r="M71" s="111"/>
      <c r="N71" s="391"/>
      <c r="O71" s="393"/>
      <c r="P71" s="375"/>
      <c r="Q71" s="376"/>
      <c r="S71" t="str">
        <f>+T71&amp;COUNTIF($T$3:T71,T71)</f>
        <v>RAPIPAGO-EFECTIVOJUNIO 231</v>
      </c>
      <c r="T71" t="str">
        <f t="shared" si="5"/>
        <v>RAPIPAGO-EFECTIVOJUNIO 23</v>
      </c>
    </row>
    <row r="72" spans="1:20" ht="16.5" thickBot="1" x14ac:dyDescent="0.3">
      <c r="A72" s="364"/>
      <c r="B72" s="357"/>
      <c r="C72" s="90">
        <v>360000000514510</v>
      </c>
      <c r="D72" s="235" t="s">
        <v>666</v>
      </c>
      <c r="E72" s="96">
        <v>0</v>
      </c>
      <c r="F72" s="386"/>
      <c r="G72" s="390"/>
      <c r="H72" s="68"/>
      <c r="I72" s="387" t="s">
        <v>78</v>
      </c>
      <c r="J72" s="388"/>
      <c r="K72" s="112"/>
      <c r="L72" s="112"/>
      <c r="M72" s="112"/>
      <c r="N72" s="394">
        <f>+B95+B96+B97-I70</f>
        <v>1944.3099999995902</v>
      </c>
      <c r="O72" s="395"/>
      <c r="P72" s="277"/>
      <c r="Q72" s="278"/>
      <c r="S72" t="str">
        <f>+T72&amp;COUNTIF($T$3:T72,T72)</f>
        <v>JUNIO 2329</v>
      </c>
      <c r="T72" t="str">
        <f t="shared" si="5"/>
        <v>JUNIO 23</v>
      </c>
    </row>
    <row r="73" spans="1:20" ht="15.75" x14ac:dyDescent="0.25">
      <c r="A73" s="364"/>
      <c r="B73" s="357"/>
      <c r="C73" s="90">
        <v>360000200984294</v>
      </c>
      <c r="D73" s="54" t="s">
        <v>84</v>
      </c>
      <c r="E73" s="120"/>
      <c r="F73" s="283">
        <f>+K33</f>
        <v>64444.875263999995</v>
      </c>
      <c r="G73" s="93" t="s">
        <v>260</v>
      </c>
      <c r="H73" s="7"/>
      <c r="I73" s="7"/>
      <c r="J73" s="8"/>
      <c r="K73" s="8"/>
      <c r="L73" s="8"/>
      <c r="M73" s="8"/>
      <c r="N73" s="16"/>
      <c r="O73" s="8"/>
      <c r="P73" s="14"/>
      <c r="Q73" s="31"/>
      <c r="S73" t="str">
        <f>+T73&amp;COUNTIF($T$3:T73,T73)</f>
        <v>TRANSFERENCIAJUNIO 231</v>
      </c>
      <c r="T73" t="str">
        <f t="shared" si="5"/>
        <v>TRANSFERENCIAJUNIO 23</v>
      </c>
    </row>
    <row r="74" spans="1:20" ht="15.75" x14ac:dyDescent="0.25">
      <c r="A74" s="364"/>
      <c r="B74" s="357"/>
      <c r="C74" s="90">
        <v>360000200984294</v>
      </c>
      <c r="D74" s="54" t="s">
        <v>87</v>
      </c>
      <c r="E74" s="121"/>
      <c r="F74" s="283">
        <f>+L11+L33</f>
        <v>35097.369599999998</v>
      </c>
      <c r="G74" s="93" t="s">
        <v>260</v>
      </c>
      <c r="H74" s="31"/>
      <c r="I74" s="8"/>
      <c r="J74" s="3"/>
      <c r="K74" s="3"/>
      <c r="L74" s="3"/>
      <c r="M74" s="3"/>
      <c r="N74" s="8"/>
      <c r="O74" s="8"/>
      <c r="P74" s="14"/>
      <c r="Q74" s="7"/>
      <c r="S74" t="str">
        <f>+T74&amp;COUNTIF($T$3:T74,T74)</f>
        <v>TRANSFERENCIAJUNIO 232</v>
      </c>
      <c r="T74" t="str">
        <f t="shared" si="5"/>
        <v>TRANSFERENCIAJUNIO 23</v>
      </c>
    </row>
    <row r="75" spans="1:20" ht="16.5" thickBot="1" x14ac:dyDescent="0.3">
      <c r="A75" s="365"/>
      <c r="B75" s="358"/>
      <c r="C75" s="91">
        <v>360000200984294</v>
      </c>
      <c r="D75" s="94" t="s">
        <v>88</v>
      </c>
      <c r="E75" s="122"/>
      <c r="F75" s="286">
        <f>+M11+M33</f>
        <v>18388.909752066116</v>
      </c>
      <c r="G75" s="93" t="s">
        <v>260</v>
      </c>
      <c r="H75" s="7"/>
      <c r="I75" s="31"/>
      <c r="J75" s="31"/>
      <c r="K75" s="7"/>
      <c r="L75" s="7"/>
      <c r="M75" s="7"/>
      <c r="N75" s="8"/>
      <c r="O75" s="31"/>
      <c r="P75" s="31"/>
      <c r="Q75" s="31"/>
      <c r="S75" t="str">
        <f>+T75&amp;COUNTIF($T$3:T75,T75)</f>
        <v>TRANSFERENCIAJUNIO 233</v>
      </c>
      <c r="T75" t="str">
        <f t="shared" si="5"/>
        <v>TRANSFERENCIAJUNIO 23</v>
      </c>
    </row>
    <row r="76" spans="1:20" ht="16.5" thickBot="1" x14ac:dyDescent="0.3">
      <c r="A76" s="7"/>
      <c r="B76" s="7"/>
      <c r="C76" s="7"/>
      <c r="D76" s="6"/>
      <c r="E76" s="31"/>
      <c r="F76" s="222">
        <f>SUM(F70:F75)</f>
        <v>222252.93399106612</v>
      </c>
      <c r="G76" s="7"/>
      <c r="H76" s="7"/>
      <c r="I76" s="31"/>
      <c r="J76" s="7"/>
      <c r="K76" s="7"/>
      <c r="L76" s="7"/>
      <c r="M76" s="7"/>
      <c r="N76" s="7"/>
      <c r="O76" s="31"/>
      <c r="P76" s="31"/>
      <c r="Q76" s="31"/>
      <c r="S76" t="str">
        <f>+T76&amp;COUNTIF($T$3:T76,T76)</f>
        <v>JUNIO 2330</v>
      </c>
      <c r="T76" t="str">
        <f t="shared" si="5"/>
        <v>JUNIO 23</v>
      </c>
    </row>
    <row r="77" spans="1:20" ht="15.75" x14ac:dyDescent="0.25">
      <c r="A77" s="7"/>
      <c r="B77" s="7"/>
      <c r="C77" s="7"/>
      <c r="D77" s="6"/>
      <c r="E77" s="31"/>
      <c r="F77" s="68"/>
      <c r="G77" s="7"/>
      <c r="H77" s="31"/>
      <c r="I77" s="31"/>
      <c r="J77" s="7"/>
      <c r="K77" s="7"/>
      <c r="L77" s="7"/>
      <c r="M77" s="7"/>
      <c r="N77" s="31"/>
      <c r="O77" s="31"/>
      <c r="P77" s="31"/>
      <c r="Q77" s="31"/>
      <c r="S77" t="str">
        <f>+T77&amp;COUNTIF($T$3:T77,T77)</f>
        <v>JUNIO 2331</v>
      </c>
      <c r="T77" t="str">
        <f t="shared" si="5"/>
        <v>JUNIO 23</v>
      </c>
    </row>
    <row r="78" spans="1:20" ht="15.75" hidden="1" x14ac:dyDescent="0.25">
      <c r="A78" s="7"/>
      <c r="B78" s="7"/>
      <c r="C78" s="7"/>
      <c r="D78" s="6"/>
      <c r="E78" s="31"/>
      <c r="F78" s="68"/>
      <c r="G78" s="7"/>
      <c r="H78" s="7"/>
      <c r="I78" s="31"/>
      <c r="J78" s="7"/>
      <c r="K78" s="7"/>
      <c r="L78" s="7"/>
      <c r="M78" s="6"/>
      <c r="N78" s="31"/>
      <c r="O78" s="31"/>
      <c r="P78" s="31"/>
      <c r="Q78" s="31"/>
      <c r="S78" t="str">
        <f>+T78&amp;COUNTIF($T$3:T78,T78)</f>
        <v>JUNIO 2332</v>
      </c>
      <c r="T78" t="str">
        <f t="shared" si="5"/>
        <v>JUNIO 23</v>
      </c>
    </row>
    <row r="79" spans="1:20" ht="15.75" hidden="1" x14ac:dyDescent="0.25">
      <c r="A79" s="7"/>
      <c r="B79" s="7"/>
      <c r="C79" s="7"/>
      <c r="D79" s="6"/>
      <c r="E79" s="31"/>
      <c r="F79" s="68"/>
      <c r="G79" s="7"/>
      <c r="H79" s="7"/>
      <c r="I79" s="31"/>
      <c r="J79" s="7"/>
      <c r="K79" s="7"/>
      <c r="L79" s="7"/>
      <c r="M79" s="7"/>
      <c r="N79" s="7"/>
      <c r="O79" s="31"/>
      <c r="P79" s="31"/>
      <c r="Q79" s="31"/>
      <c r="S79" t="str">
        <f>+T79&amp;COUNTIF($T$3:T79,T79)</f>
        <v>JUNIO 2333</v>
      </c>
      <c r="T79" t="str">
        <f t="shared" si="5"/>
        <v>JUNIO 23</v>
      </c>
    </row>
    <row r="80" spans="1:20" ht="15.75" hidden="1" x14ac:dyDescent="0.25">
      <c r="A80" s="7"/>
      <c r="B80" s="7"/>
      <c r="C80" s="7"/>
      <c r="D80" s="6"/>
      <c r="E80" s="31"/>
      <c r="F80" s="68"/>
      <c r="G80" s="7"/>
      <c r="H80" s="7"/>
      <c r="I80" s="31"/>
      <c r="J80" s="7"/>
      <c r="K80" s="7"/>
      <c r="L80" s="7"/>
      <c r="M80" s="7"/>
      <c r="N80" s="7"/>
      <c r="O80" s="31"/>
      <c r="P80" s="31"/>
      <c r="Q80" s="31"/>
      <c r="S80" t="str">
        <f>+T80&amp;COUNTIF($T$3:T80,T80)</f>
        <v>JUNIO 2334</v>
      </c>
      <c r="T80" t="str">
        <f t="shared" si="5"/>
        <v>JUNIO 23</v>
      </c>
    </row>
    <row r="81" spans="1:20" ht="15.75" hidden="1" x14ac:dyDescent="0.25">
      <c r="A81" s="7"/>
      <c r="B81" s="7"/>
      <c r="C81" s="7"/>
      <c r="D81" s="6"/>
      <c r="E81" s="31"/>
      <c r="F81" s="68"/>
      <c r="G81" s="7"/>
      <c r="H81" s="7"/>
      <c r="I81" s="31"/>
      <c r="J81" s="7"/>
      <c r="K81" s="7"/>
      <c r="L81" s="7"/>
      <c r="M81" s="7"/>
      <c r="N81" s="7"/>
      <c r="O81" s="31"/>
      <c r="P81" s="31"/>
      <c r="Q81" s="31"/>
      <c r="S81" t="str">
        <f>+T81&amp;COUNTIF($T$3:T81,T81)</f>
        <v>JUNIO 2335</v>
      </c>
      <c r="T81" t="str">
        <f t="shared" si="5"/>
        <v>JUNIO 23</v>
      </c>
    </row>
    <row r="82" spans="1:20" ht="15.75" x14ac:dyDescent="0.25">
      <c r="A82" s="7"/>
      <c r="B82" s="7"/>
      <c r="C82" s="7"/>
      <c r="D82" s="6"/>
      <c r="E82" s="31"/>
      <c r="F82" s="68"/>
      <c r="G82" s="7"/>
      <c r="H82" s="7"/>
      <c r="I82" s="31"/>
      <c r="J82" s="7"/>
      <c r="K82" s="7"/>
      <c r="L82" s="7"/>
      <c r="M82" s="7"/>
      <c r="N82" s="7"/>
      <c r="O82" s="31"/>
      <c r="P82" s="31"/>
      <c r="Q82" s="31"/>
      <c r="S82" t="str">
        <f>+T82&amp;COUNTIF($T$3:T82,T82)</f>
        <v>JUNIO 2336</v>
      </c>
      <c r="T82" t="str">
        <f t="shared" si="5"/>
        <v>JUNIO 23</v>
      </c>
    </row>
    <row r="83" spans="1:20" ht="15.75" hidden="1" x14ac:dyDescent="0.25">
      <c r="A83" s="7"/>
      <c r="B83" s="7"/>
      <c r="C83" s="7"/>
      <c r="D83" s="6"/>
      <c r="E83" s="31"/>
      <c r="F83" s="68"/>
      <c r="G83" s="7"/>
      <c r="H83" s="7"/>
      <c r="I83" s="31"/>
      <c r="J83" s="7"/>
      <c r="K83" s="7"/>
      <c r="L83" s="7"/>
      <c r="M83" s="7"/>
      <c r="N83" s="7"/>
      <c r="O83" s="31"/>
      <c r="P83" s="31"/>
      <c r="Q83" s="31"/>
      <c r="S83" t="str">
        <f>+T83&amp;COUNTIF($T$3:T83,T83)</f>
        <v>JUNIO 2337</v>
      </c>
      <c r="T83" t="str">
        <f t="shared" si="5"/>
        <v>JUNIO 23</v>
      </c>
    </row>
    <row r="84" spans="1:20" ht="15.75" hidden="1" x14ac:dyDescent="0.25">
      <c r="A84" s="7"/>
      <c r="B84" s="7"/>
      <c r="C84" s="7"/>
      <c r="D84" s="6"/>
      <c r="E84" s="31"/>
      <c r="F84" s="68"/>
      <c r="G84" s="7"/>
      <c r="H84" s="7"/>
      <c r="I84" s="31"/>
      <c r="J84" s="7"/>
      <c r="K84" s="7"/>
      <c r="L84" s="7"/>
      <c r="M84" s="7"/>
      <c r="N84" s="7"/>
      <c r="O84" s="31"/>
      <c r="P84" s="31"/>
      <c r="Q84" s="31"/>
      <c r="S84" t="str">
        <f>+T84&amp;COUNTIF($T$3:T84,T84)</f>
        <v>JUNIO 2338</v>
      </c>
      <c r="T84" t="str">
        <f t="shared" si="5"/>
        <v>JUNIO 23</v>
      </c>
    </row>
    <row r="85" spans="1:20" hidden="1" x14ac:dyDescent="0.25">
      <c r="A85" s="7"/>
      <c r="B85" s="7"/>
      <c r="C85" s="7"/>
      <c r="D85" s="6"/>
      <c r="E85" s="31"/>
      <c r="F85" s="115"/>
      <c r="G85" s="7"/>
      <c r="H85" s="31"/>
      <c r="I85" s="31"/>
      <c r="J85" s="7"/>
      <c r="K85" s="7"/>
      <c r="L85" s="7"/>
      <c r="M85" s="7"/>
      <c r="N85" s="7"/>
      <c r="O85" s="31"/>
      <c r="P85" s="31"/>
      <c r="Q85" s="31"/>
      <c r="S85" t="str">
        <f>+T85&amp;COUNTIF($T$3:T85,T85)</f>
        <v>JUNIO 2339</v>
      </c>
      <c r="T85" t="str">
        <f t="shared" si="5"/>
        <v>JUNIO 23</v>
      </c>
    </row>
    <row r="86" spans="1:20" hidden="1" x14ac:dyDescent="0.25">
      <c r="A86" s="7"/>
      <c r="B86" s="7"/>
      <c r="C86" s="7"/>
      <c r="D86" s="6"/>
      <c r="E86" s="31"/>
      <c r="F86" s="32"/>
      <c r="G86" s="7"/>
      <c r="H86" s="31"/>
      <c r="I86" s="31"/>
      <c r="J86" s="7"/>
      <c r="K86" s="7"/>
      <c r="L86" s="7"/>
      <c r="M86" s="7"/>
      <c r="N86" s="6"/>
      <c r="O86" s="6"/>
      <c r="P86" s="31"/>
      <c r="Q86" s="85"/>
      <c r="S86" t="str">
        <f>+T86&amp;COUNTIF($T$3:T86,T86)</f>
        <v>JUNIO 2340</v>
      </c>
      <c r="T86" t="str">
        <f t="shared" si="5"/>
        <v>JUNIO 23</v>
      </c>
    </row>
    <row r="87" spans="1:20" hidden="1" x14ac:dyDescent="0.25">
      <c r="A87" s="7"/>
      <c r="B87" s="7"/>
      <c r="C87" s="7"/>
      <c r="D87" s="6"/>
      <c r="E87" s="31"/>
      <c r="F87" s="32"/>
      <c r="G87" s="123"/>
      <c r="H87" s="124"/>
      <c r="I87" s="124"/>
      <c r="J87" s="124"/>
      <c r="K87" s="124"/>
      <c r="L87" s="124"/>
      <c r="M87" s="124"/>
      <c r="N87" s="124"/>
      <c r="O87" s="124"/>
      <c r="P87" s="31"/>
      <c r="Q87" s="31"/>
      <c r="S87" t="str">
        <f>+T87&amp;COUNTIF($T$3:T87,T87)</f>
        <v>JUNIO 2341</v>
      </c>
      <c r="T87" t="str">
        <f t="shared" si="5"/>
        <v>JUNIO 23</v>
      </c>
    </row>
    <row r="88" spans="1:20" x14ac:dyDescent="0.25">
      <c r="A88" s="7"/>
      <c r="B88" s="7"/>
      <c r="C88" s="7"/>
      <c r="D88" s="7"/>
      <c r="E88" s="6"/>
      <c r="F88" s="32"/>
      <c r="G88" s="7"/>
      <c r="H88" s="7"/>
      <c r="I88" s="7"/>
      <c r="J88" s="7"/>
      <c r="K88" s="7"/>
      <c r="L88" s="7"/>
      <c r="M88" s="7"/>
      <c r="N88" s="7"/>
      <c r="O88" s="7"/>
      <c r="P88" s="7"/>
      <c r="Q88" s="31"/>
      <c r="S88" t="str">
        <f>+T88&amp;COUNTIF($T$3:T88,T88)</f>
        <v>JUNIO 2342</v>
      </c>
      <c r="T88" t="str">
        <f t="shared" si="5"/>
        <v>JUNIO 23</v>
      </c>
    </row>
    <row r="89" spans="1:20" x14ac:dyDescent="0.25">
      <c r="A89" s="7"/>
      <c r="B89" s="7"/>
      <c r="C89" s="377" t="s">
        <v>74</v>
      </c>
      <c r="D89" s="16"/>
      <c r="E89" s="15"/>
      <c r="F89" s="378" t="s">
        <v>65</v>
      </c>
      <c r="G89" s="378"/>
      <c r="H89" s="36"/>
      <c r="I89" s="16"/>
      <c r="J89" s="378" t="s">
        <v>66</v>
      </c>
      <c r="K89" s="378"/>
      <c r="L89" s="16"/>
      <c r="M89" s="16"/>
      <c r="N89" s="7"/>
      <c r="O89" s="31"/>
      <c r="P89" s="7"/>
      <c r="Q89" s="8"/>
      <c r="S89" t="str">
        <f>+T89&amp;COUNTIF($T$3:T89,T89)</f>
        <v>JUNIO 2343</v>
      </c>
      <c r="T89" t="str">
        <f t="shared" si="5"/>
        <v>JUNIO 23</v>
      </c>
    </row>
    <row r="90" spans="1:20" x14ac:dyDescent="0.25">
      <c r="A90" s="7"/>
      <c r="B90" s="7"/>
      <c r="C90" s="377"/>
      <c r="D90" s="16"/>
      <c r="E90" s="15"/>
      <c r="F90" s="378"/>
      <c r="G90" s="378"/>
      <c r="H90" s="36"/>
      <c r="I90" s="16"/>
      <c r="J90" s="378"/>
      <c r="K90" s="378"/>
      <c r="L90" s="16"/>
      <c r="M90" s="16"/>
      <c r="N90" s="6"/>
      <c r="O90" s="6"/>
      <c r="P90" s="7"/>
      <c r="Q90" s="8"/>
      <c r="S90" t="str">
        <f>+T90&amp;COUNTIF($T$3:T90,T90)</f>
        <v>JUNIO 2344</v>
      </c>
      <c r="T90" t="str">
        <f t="shared" si="5"/>
        <v>JUNIO 23</v>
      </c>
    </row>
    <row r="91" spans="1:20" x14ac:dyDescent="0.25">
      <c r="A91" s="7"/>
      <c r="B91" s="7"/>
      <c r="C91" s="7"/>
      <c r="D91" s="7"/>
      <c r="E91" s="7"/>
      <c r="F91" s="32"/>
      <c r="G91" s="7"/>
      <c r="H91" s="7"/>
      <c r="I91" s="7"/>
      <c r="J91" s="125"/>
      <c r="K91" s="7"/>
      <c r="L91" s="7"/>
      <c r="M91" s="7"/>
      <c r="N91" s="124"/>
      <c r="O91" s="124"/>
      <c r="P91" s="7"/>
      <c r="Q91" s="7"/>
    </row>
    <row r="92" spans="1:20" ht="15.75" thickBot="1" x14ac:dyDescent="0.3"/>
    <row r="93" spans="1:20" x14ac:dyDescent="0.25">
      <c r="A93" s="230"/>
      <c r="B93" s="231"/>
      <c r="C93" s="231"/>
      <c r="D93" s="231"/>
      <c r="E93" s="231"/>
      <c r="F93" s="232"/>
    </row>
    <row r="94" spans="1:20" ht="15.75" thickBot="1" x14ac:dyDescent="0.3">
      <c r="A94" s="157"/>
      <c r="B94" t="s">
        <v>326</v>
      </c>
      <c r="F94" s="152"/>
    </row>
    <row r="95" spans="1:20" x14ac:dyDescent="0.25">
      <c r="A95" s="157"/>
      <c r="B95" s="279">
        <f>+F95</f>
        <v>2952529.66</v>
      </c>
      <c r="E95" s="11" t="s">
        <v>325</v>
      </c>
      <c r="F95" s="134">
        <v>2952529.66</v>
      </c>
      <c r="G95">
        <v>2952529.66</v>
      </c>
      <c r="H95">
        <v>448500</v>
      </c>
      <c r="I95">
        <v>742452.48</v>
      </c>
      <c r="J95">
        <v>300927.18</v>
      </c>
      <c r="K95">
        <v>1378000</v>
      </c>
      <c r="L95">
        <v>82650</v>
      </c>
      <c r="M95">
        <v>170000</v>
      </c>
      <c r="N95">
        <v>2.3283064365386963E-10</v>
      </c>
    </row>
    <row r="96" spans="1:20" x14ac:dyDescent="0.25">
      <c r="A96" s="157"/>
      <c r="B96" s="169"/>
      <c r="E96" s="228" t="s">
        <v>101</v>
      </c>
      <c r="F96" s="134">
        <v>448500</v>
      </c>
    </row>
    <row r="97" spans="1:6" x14ac:dyDescent="0.25">
      <c r="A97" s="157"/>
      <c r="B97" s="169">
        <v>150000</v>
      </c>
      <c r="E97" s="228" t="s">
        <v>102</v>
      </c>
      <c r="F97" s="134">
        <v>742452.48</v>
      </c>
    </row>
    <row r="98" spans="1:6" ht="15.75" thickBot="1" x14ac:dyDescent="0.3">
      <c r="A98" s="157"/>
      <c r="B98" s="89"/>
      <c r="C98" t="s">
        <v>329</v>
      </c>
      <c r="D98" t="s">
        <v>328</v>
      </c>
      <c r="E98" s="228" t="s">
        <v>164</v>
      </c>
      <c r="F98" s="134">
        <v>300927.18</v>
      </c>
    </row>
    <row r="99" spans="1:6" x14ac:dyDescent="0.25">
      <c r="A99" s="157" t="s">
        <v>327</v>
      </c>
      <c r="B99" s="1">
        <f>H11+H33+H41+H61</f>
        <v>3100585.3500000006</v>
      </c>
      <c r="C99" s="1">
        <f>+N11+O11+N33+O33+N41+O41+N61+O61+F76</f>
        <v>3100585.3500000006</v>
      </c>
      <c r="D99" s="217">
        <f>+SUM(B95:B98)-C99</f>
        <v>1944.3099999995902</v>
      </c>
      <c r="E99" s="228" t="s">
        <v>124</v>
      </c>
      <c r="F99" s="134">
        <v>1378000</v>
      </c>
    </row>
    <row r="100" spans="1:6" x14ac:dyDescent="0.25">
      <c r="A100" s="157" t="s">
        <v>328</v>
      </c>
      <c r="B100" s="217">
        <f>+B95+B97+B98+B96-B99</f>
        <v>1944.3099999995902</v>
      </c>
      <c r="D100" s="217">
        <f>+D99-B100</f>
        <v>0</v>
      </c>
      <c r="E100" s="228" t="s">
        <v>330</v>
      </c>
      <c r="F100" s="233">
        <v>82650</v>
      </c>
    </row>
    <row r="101" spans="1:6" x14ac:dyDescent="0.25">
      <c r="A101" s="157"/>
      <c r="E101" s="228" t="s">
        <v>202</v>
      </c>
      <c r="F101" s="233">
        <v>150000</v>
      </c>
    </row>
    <row r="102" spans="1:6" x14ac:dyDescent="0.25">
      <c r="A102" s="157"/>
      <c r="E102" s="228" t="s">
        <v>213</v>
      </c>
      <c r="F102" s="233">
        <f>+SUM(F96:F101)-F95</f>
        <v>150000</v>
      </c>
    </row>
    <row r="103" spans="1:6" x14ac:dyDescent="0.25">
      <c r="A103" s="157"/>
      <c r="F103" s="152"/>
    </row>
    <row r="104" spans="1:6" x14ac:dyDescent="0.25">
      <c r="A104" s="157"/>
      <c r="F104" s="152"/>
    </row>
    <row r="105" spans="1:6" x14ac:dyDescent="0.25">
      <c r="A105" s="157"/>
      <c r="C105" s="217"/>
      <c r="E105" s="228" t="s">
        <v>420</v>
      </c>
      <c r="F105" s="134">
        <f>+F95-C99</f>
        <v>-148055.69000000041</v>
      </c>
    </row>
    <row r="106" spans="1:6" x14ac:dyDescent="0.25">
      <c r="A106" s="157"/>
      <c r="B106" s="217">
        <f>+D99-B100</f>
        <v>0</v>
      </c>
      <c r="E106" s="228" t="s">
        <v>124</v>
      </c>
      <c r="F106" s="134">
        <f>+H21</f>
        <v>512200</v>
      </c>
    </row>
    <row r="107" spans="1:6" x14ac:dyDescent="0.25">
      <c r="A107" s="157"/>
      <c r="C107" s="217"/>
      <c r="E107" s="228" t="s">
        <v>331</v>
      </c>
      <c r="F107" s="134">
        <f>+H22</f>
        <v>48200</v>
      </c>
    </row>
    <row r="108" spans="1:6" x14ac:dyDescent="0.25">
      <c r="A108" s="157"/>
      <c r="E108" s="228" t="s">
        <v>125</v>
      </c>
      <c r="F108" s="134">
        <f>+F99-F106-F107</f>
        <v>817600</v>
      </c>
    </row>
    <row r="109" spans="1:6" x14ac:dyDescent="0.25">
      <c r="A109" s="157"/>
      <c r="E109" s="228" t="s">
        <v>332</v>
      </c>
      <c r="F109" s="134">
        <v>0</v>
      </c>
    </row>
    <row r="110" spans="1:6" x14ac:dyDescent="0.25">
      <c r="A110" s="157"/>
      <c r="E110" s="228" t="s">
        <v>421</v>
      </c>
      <c r="F110" s="134">
        <f>+F105-F108</f>
        <v>-965655.69000000041</v>
      </c>
    </row>
    <row r="111" spans="1:6" x14ac:dyDescent="0.25">
      <c r="A111" s="157"/>
      <c r="F111" s="147"/>
    </row>
    <row r="112" spans="1:6" x14ac:dyDescent="0.25">
      <c r="A112" s="157"/>
      <c r="F112" s="147"/>
    </row>
    <row r="113" spans="1:6" x14ac:dyDescent="0.25">
      <c r="A113" s="157"/>
      <c r="F113" s="147"/>
    </row>
    <row r="114" spans="1:6" x14ac:dyDescent="0.25">
      <c r="A114" s="157"/>
      <c r="F114" s="152"/>
    </row>
    <row r="115" spans="1:6" x14ac:dyDescent="0.25">
      <c r="A115" s="157"/>
      <c r="F115" s="152"/>
    </row>
    <row r="116" spans="1:6" ht="15.75" thickBot="1" x14ac:dyDescent="0.3">
      <c r="A116" s="158"/>
      <c r="B116" s="153"/>
      <c r="C116" s="153"/>
      <c r="D116" s="153"/>
      <c r="E116" s="153"/>
      <c r="F116" s="155"/>
    </row>
    <row r="118" spans="1:6" ht="15.75" thickBot="1" x14ac:dyDescent="0.3">
      <c r="B118" t="s">
        <v>333</v>
      </c>
    </row>
    <row r="119" spans="1:6" ht="15.75" x14ac:dyDescent="0.25">
      <c r="B119" s="356" t="s">
        <v>73</v>
      </c>
      <c r="C119" s="129" t="s">
        <v>60</v>
      </c>
      <c r="D119" s="130" t="s">
        <v>19</v>
      </c>
      <c r="E119" s="131" t="s">
        <v>52</v>
      </c>
      <c r="F119" s="130" t="s">
        <v>77</v>
      </c>
    </row>
    <row r="120" spans="1:6" ht="15.75" x14ac:dyDescent="0.25">
      <c r="B120" s="357"/>
      <c r="C120" s="90">
        <v>360000200970925</v>
      </c>
      <c r="D120" s="92" t="s">
        <v>16</v>
      </c>
      <c r="E120" s="107"/>
      <c r="F120" s="108">
        <v>0</v>
      </c>
    </row>
    <row r="121" spans="1:6" ht="15.75" x14ac:dyDescent="0.25">
      <c r="B121" s="357"/>
      <c r="C121" s="90">
        <v>360000000514510</v>
      </c>
      <c r="D121" s="92" t="s">
        <v>17</v>
      </c>
      <c r="E121" s="359"/>
      <c r="F121" s="361">
        <v>0</v>
      </c>
    </row>
    <row r="122" spans="1:6" ht="15.75" x14ac:dyDescent="0.25">
      <c r="B122" s="357"/>
      <c r="C122" s="90">
        <v>360000000514510</v>
      </c>
      <c r="D122" s="54" t="s">
        <v>75</v>
      </c>
      <c r="E122" s="360"/>
      <c r="F122" s="362"/>
    </row>
    <row r="123" spans="1:6" ht="15.75" x14ac:dyDescent="0.25">
      <c r="B123" s="357"/>
      <c r="C123" s="90">
        <v>360000200984294</v>
      </c>
      <c r="D123" s="54" t="s">
        <v>84</v>
      </c>
      <c r="E123" s="120"/>
      <c r="F123" s="96">
        <f>+K91</f>
        <v>0</v>
      </c>
    </row>
    <row r="124" spans="1:6" ht="15.75" x14ac:dyDescent="0.25">
      <c r="B124" s="357"/>
      <c r="C124" s="90">
        <v>360000200984294</v>
      </c>
      <c r="D124" s="54" t="s">
        <v>87</v>
      </c>
      <c r="E124" s="121"/>
      <c r="F124" s="96">
        <f>+L61+L91</f>
        <v>0</v>
      </c>
    </row>
    <row r="125" spans="1:6" ht="16.5" thickBot="1" x14ac:dyDescent="0.3">
      <c r="B125" s="358"/>
      <c r="C125" s="91">
        <v>360000200984294</v>
      </c>
      <c r="D125" s="94" t="s">
        <v>88</v>
      </c>
      <c r="E125" s="122"/>
      <c r="F125" s="95">
        <v>0</v>
      </c>
    </row>
    <row r="128" spans="1:6" ht="15.75" thickBot="1" x14ac:dyDescent="0.3">
      <c r="B128" t="s">
        <v>334</v>
      </c>
    </row>
    <row r="129" spans="2:6" ht="15.75" x14ac:dyDescent="0.25">
      <c r="B129" s="356" t="s">
        <v>73</v>
      </c>
      <c r="C129" s="129" t="s">
        <v>60</v>
      </c>
      <c r="D129" s="130" t="s">
        <v>19</v>
      </c>
      <c r="E129" s="131" t="s">
        <v>52</v>
      </c>
      <c r="F129" s="130" t="s">
        <v>77</v>
      </c>
    </row>
    <row r="130" spans="2:6" ht="15.75" x14ac:dyDescent="0.25">
      <c r="B130" s="357"/>
      <c r="C130" s="90">
        <v>360000200970925</v>
      </c>
      <c r="D130" s="92" t="s">
        <v>16</v>
      </c>
      <c r="E130" s="107"/>
      <c r="F130" s="108">
        <f>+J71+J101</f>
        <v>0</v>
      </c>
    </row>
    <row r="131" spans="2:6" ht="15.75" x14ac:dyDescent="0.25">
      <c r="B131" s="357"/>
      <c r="C131" s="90">
        <v>360000000514510</v>
      </c>
      <c r="D131" s="92" t="s">
        <v>17</v>
      </c>
      <c r="E131" s="359"/>
      <c r="F131" s="361">
        <f>+I71+I101</f>
        <v>0</v>
      </c>
    </row>
    <row r="132" spans="2:6" ht="15.75" x14ac:dyDescent="0.25">
      <c r="B132" s="357"/>
      <c r="C132" s="90">
        <v>360000000514510</v>
      </c>
      <c r="D132" s="54" t="s">
        <v>75</v>
      </c>
      <c r="E132" s="360"/>
      <c r="F132" s="362"/>
    </row>
    <row r="133" spans="2:6" ht="15.75" x14ac:dyDescent="0.25">
      <c r="B133" s="357"/>
      <c r="C133" s="90">
        <v>360000200984294</v>
      </c>
      <c r="D133" s="54" t="s">
        <v>84</v>
      </c>
      <c r="E133" s="120"/>
      <c r="F133" s="96">
        <f>+K101</f>
        <v>0</v>
      </c>
    </row>
    <row r="134" spans="2:6" ht="15.75" x14ac:dyDescent="0.25">
      <c r="B134" s="357"/>
      <c r="C134" s="90">
        <v>360000200984294</v>
      </c>
      <c r="D134" s="54" t="s">
        <v>87</v>
      </c>
      <c r="E134" s="121"/>
      <c r="F134" s="96">
        <f>+L71+L101</f>
        <v>0</v>
      </c>
    </row>
    <row r="135" spans="2:6" ht="16.5" thickBot="1" x14ac:dyDescent="0.3">
      <c r="B135" s="358"/>
      <c r="C135" s="91">
        <v>360000200984294</v>
      </c>
      <c r="D135" s="94" t="s">
        <v>88</v>
      </c>
      <c r="E135" s="122"/>
      <c r="F135" s="95">
        <v>0</v>
      </c>
    </row>
    <row r="138" spans="2:6" ht="15.75" thickBot="1" x14ac:dyDescent="0.3">
      <c r="B138" t="s">
        <v>335</v>
      </c>
    </row>
    <row r="139" spans="2:6" ht="15.75" x14ac:dyDescent="0.25">
      <c r="B139" s="356" t="s">
        <v>73</v>
      </c>
      <c r="C139" s="129" t="s">
        <v>60</v>
      </c>
      <c r="D139" s="130" t="s">
        <v>19</v>
      </c>
      <c r="E139" s="131" t="s">
        <v>52</v>
      </c>
      <c r="F139" s="130" t="s">
        <v>77</v>
      </c>
    </row>
    <row r="140" spans="2:6" ht="15.75" x14ac:dyDescent="0.25">
      <c r="B140" s="357"/>
      <c r="C140" s="90">
        <v>360000200970925</v>
      </c>
      <c r="D140" s="92" t="s">
        <v>16</v>
      </c>
      <c r="E140" s="107"/>
      <c r="F140" s="108">
        <f>+F70+F120+F130</f>
        <v>85212.867499999993</v>
      </c>
    </row>
    <row r="141" spans="2:6" ht="15.75" x14ac:dyDescent="0.25">
      <c r="B141" s="357"/>
      <c r="C141" s="90">
        <v>360000000514510</v>
      </c>
      <c r="D141" s="92" t="s">
        <v>17</v>
      </c>
      <c r="E141" s="359"/>
      <c r="F141" s="361">
        <f>+E71+F121+F131</f>
        <v>19108.911874999998</v>
      </c>
    </row>
    <row r="142" spans="2:6" ht="15.75" x14ac:dyDescent="0.25">
      <c r="B142" s="357"/>
      <c r="C142" s="90">
        <v>360000000514510</v>
      </c>
      <c r="D142" s="54" t="s">
        <v>75</v>
      </c>
      <c r="E142" s="360"/>
      <c r="F142" s="362"/>
    </row>
    <row r="143" spans="2:6" ht="15.75" x14ac:dyDescent="0.25">
      <c r="B143" s="357"/>
      <c r="C143" s="90">
        <v>360000200984294</v>
      </c>
      <c r="D143" s="54" t="s">
        <v>84</v>
      </c>
      <c r="E143" s="120"/>
      <c r="F143" s="96">
        <f>+F73+F123+F133</f>
        <v>64444.875263999995</v>
      </c>
    </row>
    <row r="144" spans="2:6" ht="15.75" x14ac:dyDescent="0.25">
      <c r="B144" s="357"/>
      <c r="C144" s="90">
        <v>360000200984294</v>
      </c>
      <c r="D144" s="54" t="s">
        <v>87</v>
      </c>
      <c r="E144" s="121"/>
      <c r="F144" s="96">
        <f>+F74+F124+F134</f>
        <v>35097.369599999998</v>
      </c>
    </row>
    <row r="145" spans="2:6" ht="16.5" thickBot="1" x14ac:dyDescent="0.3">
      <c r="B145" s="358"/>
      <c r="C145" s="91">
        <v>360000200984294</v>
      </c>
      <c r="D145" s="94" t="s">
        <v>88</v>
      </c>
      <c r="E145" s="122"/>
      <c r="F145" s="95">
        <f>+F75+F125+F135</f>
        <v>18388.909752066116</v>
      </c>
    </row>
    <row r="146" spans="2:6" x14ac:dyDescent="0.25">
      <c r="F146" s="1">
        <f>+SUM(F140:F145)</f>
        <v>222252.93399106612</v>
      </c>
    </row>
  </sheetData>
  <autoFilter ref="C2:T90" xr:uid="{47A85CEE-61E4-4785-B534-A958A41D19A9}"/>
  <mergeCells count="33">
    <mergeCell ref="P69:Q69"/>
    <mergeCell ref="P70:Q71"/>
    <mergeCell ref="C89:C90"/>
    <mergeCell ref="F89:G90"/>
    <mergeCell ref="I69:J69"/>
    <mergeCell ref="I70:J71"/>
    <mergeCell ref="F71:F72"/>
    <mergeCell ref="I72:J72"/>
    <mergeCell ref="G71:G72"/>
    <mergeCell ref="J89:K90"/>
    <mergeCell ref="N70:N71"/>
    <mergeCell ref="O70:O71"/>
    <mergeCell ref="N72:O72"/>
    <mergeCell ref="N14:N15"/>
    <mergeCell ref="B35:B41"/>
    <mergeCell ref="C41:F41"/>
    <mergeCell ref="B43:B61"/>
    <mergeCell ref="N26:N27"/>
    <mergeCell ref="B119:B125"/>
    <mergeCell ref="E121:E122"/>
    <mergeCell ref="F121:F122"/>
    <mergeCell ref="A2:A75"/>
    <mergeCell ref="B2:B11"/>
    <mergeCell ref="C11:F11"/>
    <mergeCell ref="B13:B33"/>
    <mergeCell ref="B63:B67"/>
    <mergeCell ref="B69:B75"/>
    <mergeCell ref="B129:B135"/>
    <mergeCell ref="E131:E132"/>
    <mergeCell ref="F131:F132"/>
    <mergeCell ref="B139:B145"/>
    <mergeCell ref="E141:E142"/>
    <mergeCell ref="F141:F142"/>
  </mergeCells>
  <pageMargins left="0.25" right="0.25" top="0.75" bottom="0.75" header="0.3" footer="0.3"/>
  <pageSetup paperSize="9" scale="50" fitToHeight="0" orientation="landscape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A8A0CBB-0B48-4846-965E-B371349C0ACE}">
          <x14:formula1>
            <xm:f>'AUX23'!$D$2:$D$34</xm:f>
          </x14:formula1>
          <xm:sqref>G26:G29 G18:G21 G36:G37 G14:G16 G3:G4 G44:G47 G50</xm:sqref>
        </x14:dataValidation>
        <x14:dataValidation type="list" allowBlank="1" showInputMessage="1" showErrorMessage="1" xr:uid="{CCE0D7C4-F5F6-4B4D-A285-15164060C556}">
          <x14:formula1>
            <xm:f>'AUX23'!$A$2:$A$18</xm:f>
          </x14:formula1>
          <xm:sqref>B1</xm:sqref>
        </x14:dataValidation>
        <x14:dataValidation type="list" allowBlank="1" showInputMessage="1" showErrorMessage="1" xr:uid="{50A91F44-3B20-4329-A6F8-21F3CD7E9433}">
          <x14:formula1>
            <xm:f>'AUX23'!$D$2:$D$60</xm:f>
          </x14:formula1>
          <xm:sqref>G22</xm:sqref>
        </x14:dataValidation>
        <x14:dataValidation type="list" allowBlank="1" showInputMessage="1" showErrorMessage="1" xr:uid="{895AC49F-74BA-432A-92E1-D6529ADD8C3D}">
          <x14:formula1>
            <xm:f>'AUX23'!$D$2:$D$70</xm:f>
          </x14:formula1>
          <xm:sqref>G17 G24</xm:sqref>
        </x14:dataValidation>
        <x14:dataValidation type="list" allowBlank="1" showInputMessage="1" showErrorMessage="1" xr:uid="{67D77AC0-3AA2-4C1B-8A38-B21BF760C166}">
          <x14:formula1>
            <xm:f>'AUX23'!$D$2:$D$80</xm:f>
          </x14:formula1>
          <xm:sqref>G64:G66 G38:G40 G51:G60 G25 G30:G32 G48:G49 G23 G5:G10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DBC7D-8D09-45DF-B84F-910706D41FA3}">
  <dimension ref="A1:L53"/>
  <sheetViews>
    <sheetView workbookViewId="0">
      <selection activeCell="C14" sqref="C14"/>
    </sheetView>
  </sheetViews>
  <sheetFormatPr baseColWidth="10" defaultRowHeight="15" x14ac:dyDescent="0.25"/>
  <cols>
    <col min="1" max="1" width="22.5703125" customWidth="1"/>
    <col min="2" max="2" width="30.7109375" customWidth="1"/>
    <col min="3" max="3" width="15" customWidth="1"/>
    <col min="8" max="8" width="20.42578125" bestFit="1" customWidth="1"/>
    <col min="9" max="9" width="30.140625" customWidth="1"/>
  </cols>
  <sheetData>
    <row r="1" spans="1:12" x14ac:dyDescent="0.25">
      <c r="C1" t="s">
        <v>148</v>
      </c>
      <c r="L1">
        <v>2</v>
      </c>
    </row>
    <row r="4" spans="1:12" ht="30" customHeight="1" x14ac:dyDescent="0.25">
      <c r="A4" s="255" t="s">
        <v>41</v>
      </c>
      <c r="B4" s="256" t="s">
        <v>20</v>
      </c>
      <c r="H4" s="252" t="s">
        <v>41</v>
      </c>
      <c r="I4" s="252" t="s">
        <v>11</v>
      </c>
    </row>
    <row r="5" spans="1:12" x14ac:dyDescent="0.25">
      <c r="A5" s="11" t="s">
        <v>472</v>
      </c>
      <c r="B5" s="113">
        <f>+SUMIF(CARGAFACTURAS!Q:Q,'INFORME INDIVIDUAL'!$B$4&amp;'INFORME INDIVIDUAL'!$C$1,CARGAFACTURAS!M:M)</f>
        <v>61717.5</v>
      </c>
      <c r="H5" s="11" t="s">
        <v>417</v>
      </c>
      <c r="I5" s="134">
        <f>+SUMIF(CARGAFACTURAS!A:A,'INFORME INDIVIDUAL'!I4&amp;'INFORME INDIVIDUAL'!C1&amp;'INFORME INDIVIDUAL'!L1,CARGAFACTURAS!M:M)</f>
        <v>175806.05835054544</v>
      </c>
    </row>
    <row r="6" spans="1:12" x14ac:dyDescent="0.25">
      <c r="A6" s="11" t="s">
        <v>4</v>
      </c>
      <c r="B6" s="113">
        <f>+SUMIF(CARGAFACTURAS!Q:Q,'INFORME INDIVIDUAL'!$B$4&amp;'INFORME INDIVIDUAL'!$C$1,CARGAFACTURAS!H:H)</f>
        <v>0</v>
      </c>
      <c r="H6" s="11" t="s">
        <v>4</v>
      </c>
      <c r="I6" s="134">
        <f>+SUMIF(CARGAFACTURAS!A:A,'INFORME INDIVIDUAL'!I4&amp;'INFORME INDIVIDUAL'!C1&amp;'INFORME INDIVIDUAL'!L1,CARGAFACTURAS!H:H)</f>
        <v>2651.616</v>
      </c>
    </row>
    <row r="7" spans="1:12" x14ac:dyDescent="0.25">
      <c r="A7" s="11" t="s">
        <v>5</v>
      </c>
      <c r="B7" s="113">
        <f>+SUMIF(CARGAFACTURAS!Q:Q,'INFORME INDIVIDUAL'!$B$4&amp;'INFORME INDIVIDUAL'!$C$1,CARGAFACTURAS!I:I)</f>
        <v>1582.5</v>
      </c>
      <c r="H7" s="11" t="s">
        <v>5</v>
      </c>
      <c r="I7" s="134">
        <f>+SUMIF(CARGAFACTURAS!A:A,'INFORME INDIVIDUAL'!I4&amp;'INFORME INDIVIDUAL'!C1&amp;'INFORME INDIVIDUAL'!L1,CARGAFACTURAS!I:I)</f>
        <v>10606.464</v>
      </c>
    </row>
    <row r="8" spans="1:12" x14ac:dyDescent="0.25">
      <c r="A8" s="11" t="s">
        <v>84</v>
      </c>
      <c r="B8" s="113">
        <f>+SUMIF(CARGAFACTURAS!Q:Q,'INFORME INDIVIDUAL'!$B$4&amp;'INFORME INDIVIDUAL'!$C$1,CARGAFACTURAS!J:J)</f>
        <v>0</v>
      </c>
      <c r="H8" s="11" t="s">
        <v>84</v>
      </c>
      <c r="I8" s="134">
        <f>+SUMIF(CARGAFACTURAS!A:A,'INFORME INDIVIDUAL'!I4&amp;'INFORME INDIVIDUAL'!C1&amp;'INFORME INDIVIDUAL'!L1,CARGAFACTURAS!J:J)</f>
        <v>18412.821504</v>
      </c>
    </row>
    <row r="9" spans="1:12" x14ac:dyDescent="0.25">
      <c r="A9" s="11" t="s">
        <v>85</v>
      </c>
      <c r="B9" s="113">
        <f>+SUMIF(CARGAFACTURAS!Q:Q,'INFORME INDIVIDUAL'!$B$4&amp;'INFORME INDIVIDUAL'!$C$1,CARGAFACTURAS!L:L)</f>
        <v>0</v>
      </c>
      <c r="H9" s="11" t="s">
        <v>85</v>
      </c>
      <c r="I9" s="134">
        <f>+SUMIF(CARGAFACTURAS!A:A,'INFORME INDIVIDUAL'!I4&amp;'INFORME INDIVIDUAL'!C1&amp;'INFORME INDIVIDUAL'!L1,CARGAFACTURAS!L:L)</f>
        <v>1753.1345454545456</v>
      </c>
    </row>
    <row r="10" spans="1:12" x14ac:dyDescent="0.25">
      <c r="A10" s="11" t="s">
        <v>197</v>
      </c>
      <c r="B10" s="113">
        <f>+SUMIF(CARGAFACTURAS!Q:Q,'INFORME INDIVIDUAL'!$B$4&amp;'INFORME INDIVIDUAL'!$C$1,CARGAFACTURAS!K:K)</f>
        <v>0</v>
      </c>
      <c r="H10" s="11" t="s">
        <v>197</v>
      </c>
      <c r="I10" s="134">
        <f>+SUMIF(CARGAFACTURAS!A:A,'INFORME INDIVIDUAL'!I4&amp;'INFORME INDIVIDUAL'!C1&amp;'INFORME INDIVIDUAL'!L1,CARGAFACTURAS!K:K)</f>
        <v>2899.1855999999998</v>
      </c>
    </row>
    <row r="11" spans="1:12" x14ac:dyDescent="0.25">
      <c r="A11" s="11" t="s">
        <v>551</v>
      </c>
      <c r="B11" s="254"/>
      <c r="H11" s="11" t="s">
        <v>418</v>
      </c>
      <c r="I11" s="253"/>
    </row>
    <row r="12" spans="1:12" x14ac:dyDescent="0.25">
      <c r="A12" s="11" t="s">
        <v>123</v>
      </c>
      <c r="B12" s="113">
        <f>+SUMIF(CARGAFACTURAS!Q:Q,'INFORME INDIVIDUAL'!$B$4&amp;'INFORME INDIVIDUAL'!$C$1,CARGAFACTURAS!G:G)</f>
        <v>63300</v>
      </c>
      <c r="H12" s="11" t="s">
        <v>123</v>
      </c>
      <c r="I12" s="134">
        <f>+SUMIF(CARGAFACTURAS!A:A,'INFORME INDIVIDUAL'!I4&amp;'INFORME INDIVIDUAL'!C1&amp;'INFORME INDIVIDUAL'!L1,CARGAFACTURAS!G:G)</f>
        <v>212129.28</v>
      </c>
    </row>
    <row r="14" spans="1:12" x14ac:dyDescent="0.25">
      <c r="H14" s="259"/>
      <c r="I14" s="260"/>
    </row>
    <row r="15" spans="1:12" x14ac:dyDescent="0.25">
      <c r="H15" s="259"/>
      <c r="I15" s="261"/>
    </row>
    <row r="21" spans="8:9" x14ac:dyDescent="0.25">
      <c r="H21" s="252" t="s">
        <v>41</v>
      </c>
      <c r="I21" s="252" t="s">
        <v>11</v>
      </c>
    </row>
    <row r="22" spans="8:9" x14ac:dyDescent="0.25">
      <c r="H22" s="11" t="s">
        <v>417</v>
      </c>
      <c r="I22" s="134">
        <v>100179.95255345455</v>
      </c>
    </row>
    <row r="23" spans="8:9" x14ac:dyDescent="0.25">
      <c r="H23" s="11" t="s">
        <v>4</v>
      </c>
      <c r="I23" s="134">
        <v>1502.193</v>
      </c>
    </row>
    <row r="24" spans="8:9" x14ac:dyDescent="0.25">
      <c r="H24" s="11" t="s">
        <v>5</v>
      </c>
      <c r="I24" s="134">
        <v>6008.7719999999999</v>
      </c>
    </row>
    <row r="25" spans="8:9" x14ac:dyDescent="0.25">
      <c r="H25" s="11" t="s">
        <v>84</v>
      </c>
      <c r="I25" s="134">
        <v>10431.228192</v>
      </c>
    </row>
    <row r="26" spans="8:9" x14ac:dyDescent="0.25">
      <c r="H26" s="11" t="s">
        <v>85</v>
      </c>
      <c r="I26" s="134">
        <v>993.1854545454546</v>
      </c>
    </row>
    <row r="27" spans="8:9" x14ac:dyDescent="0.25">
      <c r="H27" s="11" t="s">
        <v>197</v>
      </c>
      <c r="I27" s="134">
        <v>1060.1088</v>
      </c>
    </row>
    <row r="28" spans="8:9" x14ac:dyDescent="0.25">
      <c r="H28" s="11" t="s">
        <v>596</v>
      </c>
      <c r="I28" s="253">
        <v>36068204</v>
      </c>
    </row>
    <row r="29" spans="8:9" x14ac:dyDescent="0.25">
      <c r="H29" s="11" t="s">
        <v>123</v>
      </c>
      <c r="I29" s="134">
        <f>+SUM(I22:I27)</f>
        <v>120175.44</v>
      </c>
    </row>
    <row r="31" spans="8:9" x14ac:dyDescent="0.25">
      <c r="H31" s="252" t="s">
        <v>41</v>
      </c>
      <c r="I31" s="252" t="s">
        <v>11</v>
      </c>
    </row>
    <row r="32" spans="8:9" x14ac:dyDescent="0.25">
      <c r="H32" s="11" t="s">
        <v>417</v>
      </c>
      <c r="I32" s="134">
        <v>269605.71999999997</v>
      </c>
    </row>
    <row r="33" spans="1:9" x14ac:dyDescent="0.25">
      <c r="H33" s="11" t="s">
        <v>4</v>
      </c>
      <c r="I33" s="134">
        <v>4028.61</v>
      </c>
    </row>
    <row r="34" spans="1:9" x14ac:dyDescent="0.25">
      <c r="H34" s="11" t="s">
        <v>5</v>
      </c>
      <c r="I34" s="134">
        <v>16114.43</v>
      </c>
    </row>
    <row r="35" spans="1:9" x14ac:dyDescent="0.25">
      <c r="H35" s="11" t="s">
        <v>84</v>
      </c>
      <c r="I35" s="134">
        <v>27974.66</v>
      </c>
    </row>
    <row r="36" spans="1:9" x14ac:dyDescent="0.25">
      <c r="H36" s="11" t="s">
        <v>85</v>
      </c>
      <c r="I36" s="134">
        <v>2663.54</v>
      </c>
    </row>
    <row r="37" spans="1:9" x14ac:dyDescent="0.25">
      <c r="H37" s="11" t="s">
        <v>197</v>
      </c>
      <c r="I37" s="134">
        <v>1901.72</v>
      </c>
    </row>
    <row r="38" spans="1:9" x14ac:dyDescent="0.25">
      <c r="H38" s="11" t="s">
        <v>596</v>
      </c>
      <c r="I38" s="253">
        <v>36068204</v>
      </c>
    </row>
    <row r="39" spans="1:9" x14ac:dyDescent="0.25">
      <c r="A39" s="255" t="s">
        <v>41</v>
      </c>
      <c r="B39" s="256" t="s">
        <v>673</v>
      </c>
      <c r="H39" s="11" t="s">
        <v>123</v>
      </c>
      <c r="I39" s="134">
        <f>+SUM(I32:I37)</f>
        <v>322288.67999999988</v>
      </c>
    </row>
    <row r="40" spans="1:9" x14ac:dyDescent="0.25">
      <c r="A40" s="11" t="s">
        <v>472</v>
      </c>
      <c r="B40" s="113">
        <v>22687.5</v>
      </c>
    </row>
    <row r="41" spans="1:9" x14ac:dyDescent="0.25">
      <c r="A41" s="11" t="s">
        <v>4</v>
      </c>
      <c r="B41" s="113">
        <v>302.5</v>
      </c>
    </row>
    <row r="42" spans="1:9" x14ac:dyDescent="0.25">
      <c r="A42" s="11" t="s">
        <v>5</v>
      </c>
      <c r="B42" s="113">
        <v>1210</v>
      </c>
    </row>
    <row r="43" spans="1:9" x14ac:dyDescent="0.25">
      <c r="A43" s="11" t="s">
        <v>84</v>
      </c>
      <c r="B43" s="113">
        <v>0</v>
      </c>
    </row>
    <row r="44" spans="1:9" x14ac:dyDescent="0.25">
      <c r="A44" s="11" t="s">
        <v>85</v>
      </c>
      <c r="B44" s="113">
        <v>0</v>
      </c>
    </row>
    <row r="45" spans="1:9" x14ac:dyDescent="0.25">
      <c r="A45" s="11" t="s">
        <v>197</v>
      </c>
      <c r="B45" s="113">
        <v>0</v>
      </c>
      <c r="H45" s="252" t="s">
        <v>41</v>
      </c>
      <c r="I45" s="252" t="s">
        <v>11</v>
      </c>
    </row>
    <row r="46" spans="1:9" x14ac:dyDescent="0.25">
      <c r="A46" s="11" t="s">
        <v>551</v>
      </c>
      <c r="B46" s="254"/>
      <c r="H46" s="11" t="s">
        <v>417</v>
      </c>
      <c r="I46" s="134">
        <v>613306.1</v>
      </c>
    </row>
    <row r="47" spans="1:9" x14ac:dyDescent="0.25">
      <c r="A47" s="11" t="s">
        <v>123</v>
      </c>
      <c r="B47" s="113">
        <f>+B40+B41+B42+B43+B44+B45</f>
        <v>24200</v>
      </c>
      <c r="H47" s="11" t="s">
        <v>4</v>
      </c>
      <c r="I47" s="134">
        <v>9280.66</v>
      </c>
    </row>
    <row r="48" spans="1:9" x14ac:dyDescent="0.25">
      <c r="H48" s="11" t="s">
        <v>5</v>
      </c>
      <c r="I48" s="134">
        <v>37122.620000000003</v>
      </c>
    </row>
    <row r="49" spans="8:9" x14ac:dyDescent="0.25">
      <c r="H49" s="11" t="s">
        <v>84</v>
      </c>
      <c r="I49" s="134">
        <v>64444.88</v>
      </c>
    </row>
    <row r="50" spans="8:9" x14ac:dyDescent="0.25">
      <c r="H50" s="11" t="s">
        <v>85</v>
      </c>
      <c r="I50" s="134">
        <v>6135.97</v>
      </c>
    </row>
    <row r="51" spans="8:9" x14ac:dyDescent="0.25">
      <c r="H51" s="11" t="s">
        <v>197</v>
      </c>
      <c r="I51" s="134">
        <v>12162.25</v>
      </c>
    </row>
    <row r="52" spans="8:9" x14ac:dyDescent="0.25">
      <c r="H52" s="11" t="s">
        <v>596</v>
      </c>
      <c r="I52" s="253">
        <v>36068209</v>
      </c>
    </row>
    <row r="53" spans="8:9" x14ac:dyDescent="0.25">
      <c r="H53" s="11" t="s">
        <v>123</v>
      </c>
      <c r="I53" s="134">
        <f>+SUM(I46:I51)</f>
        <v>742452.48</v>
      </c>
    </row>
  </sheetData>
  <dataValidations count="1">
    <dataValidation type="list" allowBlank="1" showInputMessage="1" showErrorMessage="1" sqref="L1" xr:uid="{4436E48B-498D-4C00-853A-36630E4AE60D}">
      <formula1>"1,2,3,4,5"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6A226F8-75C2-4A73-9A66-9D78AA037143}">
          <x14:formula1>
            <xm:f>'AUX23'!$D$2:$D$50</xm:f>
          </x14:formula1>
          <xm:sqref>I45 I31 I21</xm:sqref>
        </x14:dataValidation>
        <x14:dataValidation type="list" allowBlank="1" showInputMessage="1" showErrorMessage="1" xr:uid="{BDB6DDCC-0E11-4C84-ACE1-C68196E24F6F}">
          <x14:formula1>
            <xm:f>'AUX23'!$A$2:$A$15</xm:f>
          </x14:formula1>
          <xm:sqref>C1</xm:sqref>
        </x14:dataValidation>
        <x14:dataValidation type="list" allowBlank="1" showInputMessage="1" showErrorMessage="1" xr:uid="{1381907E-AEC2-4F0B-BBB3-59593D30B848}">
          <x14:formula1>
            <xm:f>'AUX23'!$D$2:$D$70</xm:f>
          </x14:formula1>
          <xm:sqref>B4 I4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BB1-AA90-466D-9F18-910FD30070B6}">
  <sheetPr>
    <pageSetUpPr fitToPage="1"/>
  </sheetPr>
  <dimension ref="A1:O33"/>
  <sheetViews>
    <sheetView topLeftCell="A10" workbookViewId="0">
      <selection activeCell="C19" sqref="C19"/>
    </sheetView>
  </sheetViews>
  <sheetFormatPr baseColWidth="10" defaultRowHeight="15" x14ac:dyDescent="0.25"/>
  <cols>
    <col min="1" max="1" width="3.28515625" customWidth="1"/>
    <col min="2" max="2" width="13.85546875" customWidth="1"/>
    <col min="3" max="3" width="29.28515625" customWidth="1"/>
    <col min="4" max="4" width="28.140625" customWidth="1"/>
    <col min="5" max="5" width="18.28515625" customWidth="1"/>
    <col min="6" max="6" width="21.85546875" hidden="1" customWidth="1"/>
    <col min="7" max="7" width="21.140625" customWidth="1"/>
    <col min="8" max="8" width="18.28515625" customWidth="1"/>
    <col min="9" max="9" width="12.28515625" customWidth="1"/>
    <col min="10" max="10" width="12.42578125" customWidth="1"/>
    <col min="11" max="11" width="11.28515625" customWidth="1"/>
    <col min="12" max="12" width="9.7109375" customWidth="1"/>
  </cols>
  <sheetData>
    <row r="1" spans="1:15" ht="15.75" thickBot="1" x14ac:dyDescent="0.3">
      <c r="A1" s="264" t="s">
        <v>216</v>
      </c>
      <c r="B1" s="265" t="s">
        <v>24</v>
      </c>
      <c r="C1" s="265" t="s">
        <v>41</v>
      </c>
      <c r="D1" s="265" t="s">
        <v>42</v>
      </c>
      <c r="E1" s="265" t="s">
        <v>43</v>
      </c>
      <c r="F1" s="265" t="s">
        <v>44</v>
      </c>
      <c r="G1" s="265" t="s">
        <v>45</v>
      </c>
      <c r="H1" s="265" t="s">
        <v>68</v>
      </c>
      <c r="I1" s="265" t="s">
        <v>360</v>
      </c>
      <c r="J1" s="266" t="s">
        <v>47</v>
      </c>
      <c r="K1" s="175" t="s">
        <v>243</v>
      </c>
      <c r="L1" s="175" t="s">
        <v>217</v>
      </c>
      <c r="M1" t="s">
        <v>148</v>
      </c>
      <c r="N1" s="234" t="s">
        <v>338</v>
      </c>
      <c r="O1">
        <v>7</v>
      </c>
    </row>
    <row r="2" spans="1:15" x14ac:dyDescent="0.25">
      <c r="A2" s="178" t="str">
        <f>M2&amp;COUNTIF($M$2:M2,M2)</f>
        <v>LA PROVIDENCIA DEL NOA SRLJULIO 231</v>
      </c>
      <c r="B2" s="267" t="str">
        <f>+IFERROR(VLOOKUP(A2,CARGAFACTURAS!$A:$P,6,0),"")</f>
        <v>30-68568395-0</v>
      </c>
      <c r="C2" s="267" t="s">
        <v>11</v>
      </c>
      <c r="D2" s="267" t="str">
        <f>+IF(C2&lt;&gt;"",VLOOKUP(C2,'AUX23'!$D$1:$L$65,2,0),"")</f>
        <v>CORDOBA 119</v>
      </c>
      <c r="E2" s="267" t="str">
        <f>+IF(C2&lt;&gt;"",VLOOKUP(A2,CARGAFACTURAS!$A:$P,4,0),"")</f>
        <v>0002-000006007</v>
      </c>
      <c r="F2" s="267"/>
      <c r="G2" s="268">
        <f>+IF(C2&lt;&gt;"",IFERROR(VLOOKUP(A2,CARGAFACTURAS!$A:$P,5,0),""),"")</f>
        <v>45110</v>
      </c>
      <c r="H2" s="269">
        <f>+IFERROR(VLOOKUP(A2,CARGAFACTURAS!$A:$P,7,0),0)</f>
        <v>583355.55200000003</v>
      </c>
      <c r="I2" s="287">
        <f>+IFERROR(VLOOKUP(A2,CARGAFACTURAS!$A:$P,9,0),0)</f>
        <v>29167.777600000001</v>
      </c>
      <c r="J2" s="267" t="s">
        <v>49</v>
      </c>
      <c r="K2" s="270" t="str">
        <f>+IF(C2&lt;&gt;"",VLOOKUP(C2,'AUX23'!$D$1:$M$65,10,0),"")</f>
        <v>B</v>
      </c>
      <c r="L2">
        <f>+IF(C2&lt;&gt;"",VLOOKUP(C2,'AUX23'!$D$1:$M$65,4,0),"")</f>
        <v>5</v>
      </c>
      <c r="M2" t="str">
        <f>+IF(C2&lt;&gt;"",C2&amp;$M$1,"")</f>
        <v>LA PROVIDENCIA DEL NOA SRLJULIO 23</v>
      </c>
    </row>
    <row r="3" spans="1:15" x14ac:dyDescent="0.25">
      <c r="A3" s="271" t="str">
        <f>M3&amp;COUNTIF($M$2:M3,M3)</f>
        <v>LA PROVIDENCIA DEL NOA SRLJULIO 232</v>
      </c>
      <c r="B3" s="11" t="str">
        <f>+IFERROR(VLOOKUP(A3,CARGAFACTURAS!$A:$P,6,0),"")</f>
        <v>30-68568395-0</v>
      </c>
      <c r="C3" s="11" t="s">
        <v>11</v>
      </c>
      <c r="D3" s="11" t="str">
        <f>+IF(C3&lt;&gt;"",VLOOKUP(C3,'AUX23'!$D$1:$L$65,2,0),"")</f>
        <v>CORDOBA 119</v>
      </c>
      <c r="E3" s="11" t="str">
        <f>+IF(C3&lt;&gt;"",VLOOKUP(A3,CARGAFACTURAS!$A:$P,4,0),"")</f>
        <v>0002-000006008</v>
      </c>
      <c r="F3" s="11"/>
      <c r="G3" s="245">
        <f>+IF(C3&lt;&gt;"",IFERROR(VLOOKUP(A3,CARGAFACTURAS!$A:$P,5,0),""),"")</f>
        <v>45110</v>
      </c>
      <c r="H3" s="134">
        <f>+IFERROR(VLOOKUP(A3,CARGAFACTURAS!$A:$P,7,0),0)</f>
        <v>212129.28</v>
      </c>
      <c r="I3" s="201">
        <f>+IFERROR(VLOOKUP(A3,CARGAFACTURAS!$A:$P,9,0),0)</f>
        <v>10606.464</v>
      </c>
      <c r="J3" s="11" t="s">
        <v>49</v>
      </c>
      <c r="K3" s="272" t="str">
        <f>+IF(C3&lt;&gt;"",VLOOKUP(C3,'AUX23'!$D$1:$M$65,10,0),"")</f>
        <v>B</v>
      </c>
      <c r="L3">
        <f>+IF(C3&lt;&gt;"",VLOOKUP(C3,'AUX23'!$D$1:$M$65,4,0),"")</f>
        <v>5</v>
      </c>
      <c r="M3" t="str">
        <f t="shared" ref="M3:M18" si="0">+IF(C3&lt;&gt;"",C3&amp;$M$1,"")</f>
        <v>LA PROVIDENCIA DEL NOA SRLJULIO 23</v>
      </c>
    </row>
    <row r="4" spans="1:15" x14ac:dyDescent="0.25">
      <c r="A4" s="271" t="str">
        <f>M4&amp;COUNTIF($M$2:M4,M4)</f>
        <v>LIBRERÍA SAN PABLO SRLJULIO 231</v>
      </c>
      <c r="B4" s="11" t="str">
        <f>+IFERROR(VLOOKUP(A4,CARGAFACTURAS!$A:$P,6,0),"")</f>
        <v>30-58351679-0</v>
      </c>
      <c r="C4" s="11" t="s">
        <v>10</v>
      </c>
      <c r="D4" s="11" t="str">
        <f>+IF(C4&lt;&gt;"",VLOOKUP(C4,'AUX23'!$D$1:$L$65,2,0),"")</f>
        <v>SAN MARTIN 628</v>
      </c>
      <c r="E4" s="11" t="str">
        <f>+IF(C4&lt;&gt;"",VLOOKUP(A4,CARGAFACTURAS!$A:$P,4,0),"")</f>
        <v>0069-00071789</v>
      </c>
      <c r="F4" s="11"/>
      <c r="G4" s="245">
        <f>+IF(C4&lt;&gt;"",IFERROR(VLOOKUP(A4,CARGAFACTURAS!$A:$P,5,0),""),"")</f>
        <v>45113</v>
      </c>
      <c r="H4" s="134">
        <f>+IFERROR(VLOOKUP(A4,CARGAFACTURAS!$A:$P,7,0),0)</f>
        <v>19868.77</v>
      </c>
      <c r="I4" s="201">
        <f>+IFERROR(VLOOKUP(A4,CARGAFACTURAS!$A:$P,9,0),0)</f>
        <v>993.43850000000009</v>
      </c>
      <c r="J4" s="11" t="s">
        <v>49</v>
      </c>
      <c r="K4" s="272" t="str">
        <f>+IF(C4&lt;&gt;"",VLOOKUP(C4,'AUX23'!$D$1:$M$65,10,0),"")</f>
        <v>B</v>
      </c>
      <c r="L4">
        <f>+IF(C4&lt;&gt;"",VLOOKUP(C4,'AUX23'!$D$1:$M$65,4,0),"")</f>
        <v>5</v>
      </c>
      <c r="M4" t="str">
        <f t="shared" si="0"/>
        <v>LIBRERÍA SAN PABLO SRLJULIO 23</v>
      </c>
    </row>
    <row r="5" spans="1:15" x14ac:dyDescent="0.25">
      <c r="A5" s="271" t="str">
        <f>M5&amp;COUNTIF($M$2:M5,M5)</f>
        <v>CEGE SRLJULIO 231</v>
      </c>
      <c r="B5" s="11" t="str">
        <f>+IFERROR(VLOOKUP(A5,CARGAFACTURAS!$A:$P,6,0),"")</f>
        <v>30-65710669-7</v>
      </c>
      <c r="C5" s="11" t="s">
        <v>50</v>
      </c>
      <c r="D5" s="11" t="str">
        <f>+IF(C5&lt;&gt;"",VLOOKUP(C5,'AUX23'!$D$1:$L$65,2,0),"")</f>
        <v>24 DE SEPTIEMBRE 1090</v>
      </c>
      <c r="E5" s="11" t="str">
        <f>+IF(C5&lt;&gt;"",VLOOKUP(A5,CARGAFACTURAS!$A:$P,4,0),"")</f>
        <v>0004-00013003</v>
      </c>
      <c r="F5" s="11"/>
      <c r="G5" s="245">
        <f>+IF(C5&lt;&gt;"",IFERROR(VLOOKUP(A5,CARGAFACTURAS!$A:$P,5,0),""),"")</f>
        <v>45114</v>
      </c>
      <c r="H5" s="134">
        <f>+IFERROR(VLOOKUP(A5,CARGAFACTURAS!$A:$P,7,0),0)</f>
        <v>123890</v>
      </c>
      <c r="I5" s="134">
        <f>+IFERROR(VLOOKUP(A5,CARGAFACTURAS!$A:$P,9,0),0)</f>
        <v>6194.5</v>
      </c>
      <c r="J5" s="11" t="s">
        <v>49</v>
      </c>
      <c r="K5" s="272" t="str">
        <f>+IF(C5&lt;&gt;"",VLOOKUP(C5,'AUX23'!$D$1:$M$65,10,0),"")</f>
        <v>B</v>
      </c>
      <c r="L5">
        <f>+IF(C5&lt;&gt;"",VLOOKUP(C5,'AUX23'!$D$1:$M$65,4,0),"")</f>
        <v>5</v>
      </c>
      <c r="M5" t="str">
        <f t="shared" si="0"/>
        <v>CEGE SRLJULIO 23</v>
      </c>
    </row>
    <row r="6" spans="1:15" x14ac:dyDescent="0.25">
      <c r="A6" s="271" t="str">
        <f>M6&amp;COUNTIF($M$2:M6,M6)</f>
        <v>FULL TRACK S.R.L.JULIO 231</v>
      </c>
      <c r="B6" s="11" t="str">
        <f>+IFERROR(VLOOKUP(A6,CARGAFACTURAS!$A:$P,6,0),"")</f>
        <v>30-71648081-6</v>
      </c>
      <c r="C6" s="11" t="s">
        <v>98</v>
      </c>
      <c r="D6" s="11" t="str">
        <f>+IF(C6&lt;&gt;"",VLOOKUP(C6,'AUX23'!$D$1:$L$65,2,0),"")</f>
        <v>ISLA SOLDEDAD 2420</v>
      </c>
      <c r="E6" s="11" t="str">
        <f>+IF(C6&lt;&gt;"",VLOOKUP(A6,CARGAFACTURAS!$A:$P,4,0),"")</f>
        <v>0004-00000053</v>
      </c>
      <c r="F6" s="11"/>
      <c r="G6" s="245">
        <f>+IF(C6&lt;&gt;"",IFERROR(VLOOKUP(A6,CARGAFACTURAS!$A:$P,5,0),""),"")</f>
        <v>45110</v>
      </c>
      <c r="H6" s="134">
        <f>+IFERROR(VLOOKUP(A6,CARGAFACTURAS!$A:$P,7,0),0)</f>
        <v>89700</v>
      </c>
      <c r="I6" s="134">
        <f>+IFERROR(VLOOKUP(A6,CARGAFACTURAS!$A:$P,9,0),0)</f>
        <v>1345.5</v>
      </c>
      <c r="J6" s="11" t="s">
        <v>49</v>
      </c>
      <c r="K6" s="272" t="str">
        <f>+IF(C6&lt;&gt;"",VLOOKUP(C6,'AUX23'!$D$1:$M$65,10,0),"")</f>
        <v>B</v>
      </c>
      <c r="L6">
        <f>+IF(C6&lt;&gt;"",VLOOKUP(C6,'AUX23'!$D$1:$M$65,4,0),"")</f>
        <v>1.5</v>
      </c>
      <c r="M6" t="str">
        <f t="shared" si="0"/>
        <v>FULL TRACK S.R.L.JULIO 23</v>
      </c>
    </row>
    <row r="7" spans="1:15" x14ac:dyDescent="0.25">
      <c r="A7" s="271" t="str">
        <f>M7&amp;COUNTIF($M$2:M7,M7)</f>
        <v>TUMBURUS PEDRO RUBENJULIO 231</v>
      </c>
      <c r="B7" s="11" t="str">
        <f>+IFERROR(VLOOKUP(A7,CARGAFACTURAS!$A:$P,6,0),"")</f>
        <v>20-13628911-0</v>
      </c>
      <c r="C7" s="11" t="s">
        <v>442</v>
      </c>
      <c r="D7" s="11" t="str">
        <f>+IF(C7&lt;&gt;"",VLOOKUP(C7,'AUX23'!$D$1:$L$65,2,0),"")</f>
        <v>CONGRESO 86</v>
      </c>
      <c r="E7" s="11" t="str">
        <f>+IF(C7&lt;&gt;"",VLOOKUP(A7,CARGAFACTURAS!$A:$P,4,0),"")</f>
        <v>0003-00001730</v>
      </c>
      <c r="F7" s="11"/>
      <c r="G7" s="245">
        <f>+IF(C7&lt;&gt;"",IFERROR(VLOOKUP(A7,CARGAFACTURAS!$A:$P,5,0),""),"")</f>
        <v>45113</v>
      </c>
      <c r="H7" s="134">
        <f>+IFERROR(VLOOKUP(A7,CARGAFACTURAS!$A:$P,7,0),0)</f>
        <v>11800.11</v>
      </c>
      <c r="I7" s="134">
        <f>+IFERROR(VLOOKUP(A7,CARGAFACTURAS!$A:$P,9,0),0)</f>
        <v>413.00385</v>
      </c>
      <c r="J7" s="11" t="s">
        <v>49</v>
      </c>
      <c r="K7" s="272" t="str">
        <f>+IF(C7&lt;&gt;"",VLOOKUP(C7,'AUX23'!$D$1:$M$65,10,0),"")</f>
        <v>B</v>
      </c>
      <c r="L7">
        <f>+IF(C7&lt;&gt;"",VLOOKUP(C7,'AUX23'!$D$1:$M$65,4,0),"")</f>
        <v>3.5</v>
      </c>
      <c r="M7" t="str">
        <f t="shared" si="0"/>
        <v>TUMBURUS PEDRO RUBENJULIO 23</v>
      </c>
    </row>
    <row r="8" spans="1:15" x14ac:dyDescent="0.25">
      <c r="A8" s="289" t="s">
        <v>695</v>
      </c>
      <c r="B8" s="11" t="str">
        <f>+IFERROR(VLOOKUP(A8,CARGAFACTURAS!$A:$P,6,0),"")</f>
        <v>30-58351679-0</v>
      </c>
      <c r="C8" s="11" t="s">
        <v>10</v>
      </c>
      <c r="D8" s="11" t="str">
        <f>+IF(C8&lt;&gt;"",VLOOKUP(C8,'AUX23'!$D$1:$L$65,2,0),"")</f>
        <v>SAN MARTIN 628</v>
      </c>
      <c r="E8" s="11" t="str">
        <f>+IF(C8&lt;&gt;"",VLOOKUP(A8,CARGAFACTURAS!$A:$P,4,0),"")</f>
        <v>0069-00071876</v>
      </c>
      <c r="F8" s="11"/>
      <c r="G8" s="245">
        <f>+IF(C8&lt;&gt;"",IFERROR(VLOOKUP(A8,CARGAFACTURAS!$A:$P,5,0),""),"")</f>
        <v>45120</v>
      </c>
      <c r="H8" s="134">
        <f>+IFERROR(VLOOKUP(A8,CARGAFACTURAS!$A:$P,7,0),0)</f>
        <v>66307.47</v>
      </c>
      <c r="I8" s="134">
        <f>+IFERROR(VLOOKUP(A8,CARGAFACTURAS!$A:$P,9,0),0)</f>
        <v>3315.3734999999997</v>
      </c>
      <c r="J8" s="11" t="s">
        <v>49</v>
      </c>
      <c r="K8" s="272" t="str">
        <f>+IF(C8&lt;&gt;"",VLOOKUP(C8,'AUX23'!$D$1:$M$65,10,0),"")</f>
        <v>B</v>
      </c>
      <c r="L8">
        <f>+IF(C8&lt;&gt;"",VLOOKUP(C8,'AUX23'!$D$1:$M$65,4,0),"")</f>
        <v>5</v>
      </c>
      <c r="M8" t="str">
        <f t="shared" si="0"/>
        <v>LIBRERÍA SAN PABLO SRLJULIO 23</v>
      </c>
    </row>
    <row r="9" spans="1:15" x14ac:dyDescent="0.25">
      <c r="A9" s="271" t="str">
        <f>M9&amp;COUNTIF($M$2:M9,M9)</f>
        <v>GOMEZ PARDO RAUL(LIMPLUS)JULIO 231</v>
      </c>
      <c r="B9" s="11" t="str">
        <f>+IFERROR(VLOOKUP(A9,CARGAFACTURAS!$A:$P,6,0),"")</f>
        <v>20-34285327-8</v>
      </c>
      <c r="C9" s="11" t="s">
        <v>114</v>
      </c>
      <c r="D9" s="11" t="str">
        <f>+IF(C9&lt;&gt;"",VLOOKUP(C9,'AUX23'!$D$1:$L$65,2,0),"")</f>
        <v>CORDOBA 809</v>
      </c>
      <c r="E9" s="11" t="str">
        <f>+IF(C9&lt;&gt;"",VLOOKUP(A9,CARGAFACTURAS!$A:$P,4,0),"")</f>
        <v>0009-00012372</v>
      </c>
      <c r="F9" s="11"/>
      <c r="G9" s="245">
        <f>+IF(C9&lt;&gt;"",IFERROR(VLOOKUP(A9,CARGAFACTURAS!$A:$P,5,0),""),"")</f>
        <v>45120</v>
      </c>
      <c r="H9" s="134">
        <f>+IFERROR(VLOOKUP(A9,CARGAFACTURAS!$A:$P,7,0),0)</f>
        <v>46788.27</v>
      </c>
      <c r="I9" s="134">
        <f>+IFERROR(VLOOKUP(A9,CARGAFACTURAS!$A:$P,9,0),0)</f>
        <v>2339.4134999999997</v>
      </c>
      <c r="J9" s="11" t="s">
        <v>49</v>
      </c>
      <c r="K9" s="272" t="str">
        <f>+IF(C9&lt;&gt;"",VLOOKUP(C9,'AUX23'!$D$1:$M$65,10,0),"")</f>
        <v>B</v>
      </c>
      <c r="L9">
        <f>+IF(C9&lt;&gt;"",VLOOKUP(C9,'AUX23'!$D$1:$M$65,4,0),"")</f>
        <v>5</v>
      </c>
      <c r="M9" t="str">
        <f t="shared" si="0"/>
        <v>GOMEZ PARDO RAUL(LIMPLUS)JULIO 23</v>
      </c>
    </row>
    <row r="10" spans="1:15" x14ac:dyDescent="0.25">
      <c r="A10" s="271" t="str">
        <f>M10&amp;COUNTIF($M$2:M10,M10)</f>
        <v>ROTTA FRANCISCO(COMPUMAQ)JULIO 231</v>
      </c>
      <c r="B10" s="11" t="str">
        <f>+IFERROR(VLOOKUP(A10,CARGAFACTURAS!$A:$P,6,0),"")</f>
        <v>20-16216700-7</v>
      </c>
      <c r="C10" s="11" t="s">
        <v>188</v>
      </c>
      <c r="D10" s="11" t="str">
        <f>+IF(C10&lt;&gt;"",VLOOKUP(C10,'AUX23'!$D$1:$L$65,2,0),"")</f>
        <v>MONTEAGUDO BERNARDO 50</v>
      </c>
      <c r="E10" s="11" t="str">
        <f>+IF(C10&lt;&gt;"",VLOOKUP(A10,CARGAFACTURAS!$A:$P,4,0),"")</f>
        <v>0003-00002673</v>
      </c>
      <c r="F10" s="11"/>
      <c r="G10" s="245">
        <f>+IF(C10&lt;&gt;"",IFERROR(VLOOKUP(A10,CARGAFACTURAS!$A:$P,5,0),""),"")</f>
        <v>45120</v>
      </c>
      <c r="H10" s="134">
        <f>+IFERROR(VLOOKUP(A10,CARGAFACTURAS!$A:$P,7,0),0)</f>
        <v>26500</v>
      </c>
      <c r="I10" s="134">
        <f>+IFERROR(VLOOKUP(A10,CARGAFACTURAS!$A:$P,9,0),0)</f>
        <v>1325</v>
      </c>
      <c r="J10" s="11" t="s">
        <v>49</v>
      </c>
      <c r="K10" s="272" t="str">
        <f>+IF(C10&lt;&gt;"",VLOOKUP(C10,'AUX23'!$D$1:$M$65,10,0),"")</f>
        <v>B</v>
      </c>
      <c r="L10">
        <f>+IF(C10&lt;&gt;"",VLOOKUP(C10,'AUX23'!$D$1:$M$65,4,0),"")</f>
        <v>5</v>
      </c>
      <c r="M10" t="str">
        <f t="shared" si="0"/>
        <v>ROTTA FRANCISCO(COMPUMAQ)JULIO 23</v>
      </c>
    </row>
    <row r="11" spans="1:15" x14ac:dyDescent="0.25">
      <c r="A11" s="271" t="str">
        <f>M11&amp;COUNTIF($M$2:M11,M11)</f>
        <v>ESCOBEDO LUCAS NICOLAS (PAPERTUC)JULIO 231</v>
      </c>
      <c r="B11" s="11" t="str">
        <f>+IFERROR(VLOOKUP(A11,CARGAFACTURAS!$A:$P,6,0),"")</f>
        <v>20-31729103-6</v>
      </c>
      <c r="C11" s="11" t="s">
        <v>104</v>
      </c>
      <c r="D11" s="11" t="str">
        <f>+IF(C11&lt;&gt;"",VLOOKUP(C11,'AUX23'!$D$1:$L$65,2,0),"")</f>
        <v>PERU 2929</v>
      </c>
      <c r="E11" s="11" t="str">
        <f>+IF(C11&lt;&gt;"",VLOOKUP(A11,CARGAFACTURAS!$A:$P,4,0),"")</f>
        <v>0005-00001012</v>
      </c>
      <c r="F11" s="11"/>
      <c r="G11" s="245">
        <f>+IF(C11&lt;&gt;"",IFERROR(VLOOKUP(A11,CARGAFACTURAS!$A:$P,5,0),""),"")</f>
        <v>45120</v>
      </c>
      <c r="H11" s="134">
        <f>+IFERROR(VLOOKUP(A11,CARGAFACTURAS!$A:$P,7,0),0)</f>
        <v>40562.199999999997</v>
      </c>
      <c r="I11" s="134">
        <f>+IFERROR(VLOOKUP(A11,CARGAFACTURAS!$A:$P,9,0),0)</f>
        <v>2028.11</v>
      </c>
      <c r="J11" s="11" t="s">
        <v>49</v>
      </c>
      <c r="K11" s="272" t="str">
        <f>+IF(C11&lt;&gt;"",VLOOKUP(C11,'AUX23'!$D$1:$M$65,10,0),"")</f>
        <v>B</v>
      </c>
      <c r="L11">
        <f>+IF(C11&lt;&gt;"",VLOOKUP(C11,'AUX23'!$D$1:$M$65,4,0),"")</f>
        <v>5</v>
      </c>
      <c r="M11" t="str">
        <f t="shared" si="0"/>
        <v>ESCOBEDO LUCAS NICOLAS (PAPERTUC)JULIO 23</v>
      </c>
    </row>
    <row r="12" spans="1:15" x14ac:dyDescent="0.25">
      <c r="A12" s="271" t="str">
        <f>M12&amp;COUNTIF($M$2:M12,M12)</f>
        <v>ROTTA FRANCISCO(COMPUMAQ)JULIO 232</v>
      </c>
      <c r="B12" s="11" t="str">
        <f>+IFERROR(VLOOKUP(A12,CARGAFACTURAS!$A:$P,6,0),"")</f>
        <v>20-16216700-7</v>
      </c>
      <c r="C12" s="11" t="s">
        <v>188</v>
      </c>
      <c r="D12" s="11" t="str">
        <f>+IF(C12&lt;&gt;"",VLOOKUP(C12,'AUX23'!$D$1:$L$65,2,0),"")</f>
        <v>MONTEAGUDO BERNARDO 50</v>
      </c>
      <c r="E12" s="11" t="str">
        <f>+IF(C12&lt;&gt;"",VLOOKUP(A12,CARGAFACTURAS!$A:$P,4,0),"")</f>
        <v>0003-00002675</v>
      </c>
      <c r="F12" s="11"/>
      <c r="G12" s="245">
        <f>+IF(C12&lt;&gt;"",IFERROR(VLOOKUP(A12,CARGAFACTURAS!$A:$P,5,0),""),"")</f>
        <v>45120</v>
      </c>
      <c r="H12" s="134">
        <f>+IFERROR(VLOOKUP(A12,CARGAFACTURAS!$A:$P,7,0),0)</f>
        <v>25500</v>
      </c>
      <c r="I12" s="134">
        <f>+IFERROR(VLOOKUP(A12,CARGAFACTURAS!$A:$P,9,0),0)</f>
        <v>1275</v>
      </c>
      <c r="J12" s="11" t="s">
        <v>49</v>
      </c>
      <c r="K12" s="272" t="str">
        <f>+IF(C12&lt;&gt;"",VLOOKUP(C12,'AUX23'!$D$1:$M$65,10,0),"")</f>
        <v>B</v>
      </c>
      <c r="L12">
        <f>+IF(C12&lt;&gt;"",VLOOKUP(C12,'AUX23'!$D$1:$M$65,4,0),"")</f>
        <v>5</v>
      </c>
      <c r="M12" t="str">
        <f t="shared" si="0"/>
        <v>ROTTA FRANCISCO(COMPUMAQ)JULIO 23</v>
      </c>
    </row>
    <row r="13" spans="1:15" x14ac:dyDescent="0.25">
      <c r="A13" s="271" t="str">
        <f>M13&amp;COUNTIF($M$2:M13,M13)</f>
        <v>DOLSA SAJULIO 231</v>
      </c>
      <c r="B13" s="11" t="str">
        <f>+IFERROR(VLOOKUP(A13,CARGAFACTURAS!$A:$P,6,0),"")</f>
        <v>30-71162078-4</v>
      </c>
      <c r="C13" s="11" t="s">
        <v>571</v>
      </c>
      <c r="D13" s="11" t="str">
        <f>+IF(C13&lt;&gt;"",VLOOKUP(C13,'AUX23'!$D$1:$L$65,2,0),"")</f>
        <v>AV ALEM 333</v>
      </c>
      <c r="E13" s="11" t="str">
        <f>+IF(C13&lt;&gt;"",VLOOKUP(A13,CARGAFACTURAS!$A:$P,4,0),"")</f>
        <v>0006-00006702</v>
      </c>
      <c r="F13" s="11"/>
      <c r="G13" s="245">
        <f>+IF(C13&lt;&gt;"",IFERROR(VLOOKUP(A13,CARGAFACTURAS!$A:$P,5,0),""),"")</f>
        <v>45120</v>
      </c>
      <c r="H13" s="134">
        <f>+IFERROR(VLOOKUP(A13,CARGAFACTURAS!$A:$P,7,0),0)</f>
        <v>28450.01</v>
      </c>
      <c r="I13" s="134">
        <f>+IFERROR(VLOOKUP(A13,CARGAFACTURAS!$A:$P,9,0),0)</f>
        <v>1422.5004999999999</v>
      </c>
      <c r="J13" s="11" t="s">
        <v>49</v>
      </c>
      <c r="K13" s="272" t="str">
        <f>+IF(C13&lt;&gt;"",VLOOKUP(C13,'AUX23'!$D$1:$M$65,10,0),"")</f>
        <v>B</v>
      </c>
      <c r="L13">
        <f>+IF(C13&lt;&gt;"",VLOOKUP(C13,'AUX23'!$D$1:$M$65,4,0),"")</f>
        <v>5</v>
      </c>
      <c r="M13" t="str">
        <f t="shared" si="0"/>
        <v>DOLSA SAJULIO 23</v>
      </c>
    </row>
    <row r="14" spans="1:15" x14ac:dyDescent="0.25">
      <c r="A14" s="271" t="str">
        <f>M14&amp;COUNTIF($M$2:M14,M14)</f>
        <v>LEON LUIS CESARJULIO 231</v>
      </c>
      <c r="B14" s="11" t="str">
        <f>+IFERROR(VLOOKUP(A14,CARGAFACTURAS!$A:$P,6,0),"")</f>
        <v>20-13278210-6</v>
      </c>
      <c r="C14" s="11" t="s">
        <v>109</v>
      </c>
      <c r="D14" s="11" t="str">
        <f>+IF(C14&lt;&gt;"",VLOOKUP(C14,'AUX23'!$D$1:$L$65,2,0),"")</f>
        <v>JUNIN 273</v>
      </c>
      <c r="E14" s="11" t="str">
        <f>+IF(C14&lt;&gt;"",VLOOKUP(A14,CARGAFACTURAS!$A:$P,4,0),"")</f>
        <v>0013-00008315</v>
      </c>
      <c r="F14" s="11"/>
      <c r="G14" s="245">
        <f>+IF(C14&lt;&gt;"",IFERROR(VLOOKUP(A14,CARGAFACTURAS!$A:$P,5,0),""),"")</f>
        <v>45121</v>
      </c>
      <c r="H14" s="134">
        <f>+IFERROR(VLOOKUP(A14,CARGAFACTURAS!$A:$P,7,0),0)</f>
        <v>22589.7</v>
      </c>
      <c r="I14" s="134">
        <f>+IFERROR(VLOOKUP(A14,CARGAFACTURAS!$A:$P,9,0),0)</f>
        <v>1129.4849999999999</v>
      </c>
      <c r="J14" s="11" t="s">
        <v>49</v>
      </c>
      <c r="K14" s="272" t="str">
        <f>+IF(C14&lt;&gt;"",VLOOKUP(C14,'AUX23'!$D$1:$M$65,10,0),"")</f>
        <v>B</v>
      </c>
      <c r="L14">
        <f>+IF(C14&lt;&gt;"",VLOOKUP(C14,'AUX23'!$D$1:$M$65,4,0),"")</f>
        <v>5</v>
      </c>
      <c r="M14" t="str">
        <f t="shared" si="0"/>
        <v>LEON LUIS CESARJULIO 23</v>
      </c>
    </row>
    <row r="15" spans="1:15" x14ac:dyDescent="0.25">
      <c r="A15" s="271" t="str">
        <f>M15&amp;COUNTIF($M$2:M15,M15)</f>
        <v>CANIVARES ANTONIO OTILIOJULIO 231</v>
      </c>
      <c r="B15" s="11" t="str">
        <f>+IFERROR(VLOOKUP(A15,CARGAFACTURAS!$A:$P,6,0),"")</f>
        <v>20-07067141-8</v>
      </c>
      <c r="C15" s="11" t="s">
        <v>119</v>
      </c>
      <c r="D15" s="11" t="str">
        <f>+IF(C15&lt;&gt;"",VLOOKUP(C15,'AUX23'!$D$1:$L$65,2,0),"")</f>
        <v>AV SIRIA 1691</v>
      </c>
      <c r="E15" s="11" t="str">
        <f>+IF(C15&lt;&gt;"",VLOOKUP(A15,CARGAFACTURAS!$A:$P,4,0),"")</f>
        <v>0002-00000648</v>
      </c>
      <c r="F15" s="11"/>
      <c r="G15" s="245">
        <f>+IF(C15&lt;&gt;"",IFERROR(VLOOKUP(A15,CARGAFACTURAS!$A:$P,5,0),""),"")</f>
        <v>45120</v>
      </c>
      <c r="H15" s="134">
        <f>+IFERROR(VLOOKUP(A15,CARGAFACTURAS!$A:$P,7,0),0)</f>
        <v>19000</v>
      </c>
      <c r="I15" s="134">
        <f>+IFERROR(VLOOKUP(A15,CARGAFACTURAS!$A:$P,9,0),0)</f>
        <v>285</v>
      </c>
      <c r="J15" s="11" t="s">
        <v>49</v>
      </c>
      <c r="K15" s="272" t="str">
        <f>+IF(C15&lt;&gt;"",VLOOKUP(C15,'AUX23'!$D$1:$M$65,10,0),"")</f>
        <v>C</v>
      </c>
      <c r="L15">
        <f>+IF(C15&lt;&gt;"",VLOOKUP(C15,'AUX23'!$D$1:$M$65,4,0),"")</f>
        <v>1.5</v>
      </c>
      <c r="M15" t="str">
        <f t="shared" si="0"/>
        <v>CANIVARES ANTONIO OTILIOJULIO 23</v>
      </c>
    </row>
    <row r="16" spans="1:15" x14ac:dyDescent="0.25">
      <c r="A16" s="271" t="str">
        <f>M16&amp;COUNTIF($M$2:M16,M16)</f>
        <v>RODRIGUEZ ZELADA ROMULO FACUNDO(JOSULO)JULIO 231</v>
      </c>
      <c r="B16" s="11" t="str">
        <f>+IFERROR(VLOOKUP(A16,CARGAFACTURAS!$A:$P,6,0),"")</f>
        <v>20-29532277-3</v>
      </c>
      <c r="C16" s="11" t="s">
        <v>720</v>
      </c>
      <c r="D16" s="11" t="str">
        <f>+IF(C16&lt;&gt;"",VLOOKUP(C16,'AUX23'!$D$1:$L$65,2,0),"")</f>
        <v>LAS PIEDRAS 375</v>
      </c>
      <c r="E16" s="11" t="str">
        <f>+IF(C16&lt;&gt;"",VLOOKUP(A16,CARGAFACTURAS!$A:$P,4,0),"")</f>
        <v>0003-00000190</v>
      </c>
      <c r="F16" s="11"/>
      <c r="G16" s="245">
        <f>+IF(C16&lt;&gt;"",IFERROR(VLOOKUP(A16,CARGAFACTURAS!$A:$P,5,0),""),"")</f>
        <v>45134</v>
      </c>
      <c r="H16" s="134">
        <f>+IFERROR(VLOOKUP(A16,CARGAFACTURAS!$A:$P,7,0),0)</f>
        <v>36300</v>
      </c>
      <c r="I16" s="134">
        <f>+IFERROR(VLOOKUP(A16,CARGAFACTURAS!$A:$P,9,0),0)</f>
        <v>1270.5</v>
      </c>
      <c r="J16" s="11" t="s">
        <v>49</v>
      </c>
      <c r="K16" s="272" t="str">
        <f>+IF(C16&lt;&gt;"",VLOOKUP(C16,'AUX23'!$D$1:$M$65,10,0),"")</f>
        <v>B</v>
      </c>
      <c r="L16">
        <f>+IF(C16&lt;&gt;"",VLOOKUP(C16,'AUX23'!$D$1:$M$65,4,0),"")</f>
        <v>3.5</v>
      </c>
      <c r="M16" t="str">
        <f t="shared" si="0"/>
        <v>RODRIGUEZ ZELADA ROMULO FACUNDO(JOSULO)JULIO 23</v>
      </c>
    </row>
    <row r="17" spans="1:13" x14ac:dyDescent="0.25">
      <c r="A17" s="271" t="str">
        <f>M17&amp;COUNTIF($M$2:M17,M17)</f>
        <v>FULL TRACK S.R.L.JULIO 232</v>
      </c>
      <c r="B17" s="11" t="str">
        <f>+IFERROR(VLOOKUP(A17,CARGAFACTURAS!$A:$P,6,0),"")</f>
        <v>30-71648081-6</v>
      </c>
      <c r="C17" s="11" t="s">
        <v>98</v>
      </c>
      <c r="D17" s="11" t="str">
        <f>+IF(C17&lt;&gt;"",VLOOKUP(C17,'AUX23'!$D$1:$L$65,2,0),"")</f>
        <v>ISLA SOLDEDAD 2420</v>
      </c>
      <c r="E17" s="11" t="str">
        <f>+IF(C17&lt;&gt;"",VLOOKUP(A17,CARGAFACTURAS!$A:$P,4,0),"")</f>
        <v>0004-00000054</v>
      </c>
      <c r="F17" s="11"/>
      <c r="G17" s="245">
        <f>+IF(C17&lt;&gt;"",IFERROR(VLOOKUP(A17,CARGAFACTURAS!$A:$P,5,0),""),"")</f>
        <v>45121</v>
      </c>
      <c r="H17" s="134">
        <f>+IFERROR(VLOOKUP(A17,CARGAFACTURAS!$A:$P,7,0),0)</f>
        <v>592800</v>
      </c>
      <c r="I17" s="134">
        <f>+IFERROR(VLOOKUP(A17,CARGAFACTURAS!$A:$P,9,0),0)</f>
        <v>8892</v>
      </c>
      <c r="J17" s="11" t="s">
        <v>49</v>
      </c>
      <c r="K17" s="272" t="str">
        <f>+IF(C17&lt;&gt;"",VLOOKUP(C17,'AUX23'!$D$1:$M$65,10,0),"")</f>
        <v>B</v>
      </c>
      <c r="L17">
        <f>+IF(C17&lt;&gt;"",VLOOKUP(C17,'AUX23'!$D$1:$M$65,4,0),"")</f>
        <v>1.5</v>
      </c>
      <c r="M17" t="str">
        <f t="shared" si="0"/>
        <v>FULL TRACK S.R.L.JULIO 23</v>
      </c>
    </row>
    <row r="18" spans="1:13" x14ac:dyDescent="0.25">
      <c r="A18" s="271" t="str">
        <f>M18&amp;COUNTIF($M$2:M18,M18)</f>
        <v>CANIVARE ROQUE JAVIERJULIO 231</v>
      </c>
      <c r="B18" s="11" t="str">
        <f>+IFERROR(VLOOKUP(A18,CARGAFACTURAS!$A:$P,6,0),"")</f>
        <v>20-16933464-2</v>
      </c>
      <c r="C18" s="11" t="s">
        <v>698</v>
      </c>
      <c r="D18" s="11" t="str">
        <f>+IF(C18&lt;&gt;"",VLOOKUP(C18,'AUX23'!$D$1:$L$65,2,0),"")</f>
        <v>JUNIN 961</v>
      </c>
      <c r="E18" s="11" t="str">
        <f>+IF(C18&lt;&gt;"",VLOOKUP(A18,CARGAFACTURAS!$A:$P,4,0),"")</f>
        <v>0002-00000609</v>
      </c>
      <c r="F18" s="11"/>
      <c r="G18" s="245">
        <f>+IF(C18&lt;&gt;"",IFERROR(VLOOKUP(A18,CARGAFACTURAS!$A:$P,5,0),""),"")</f>
        <v>45127</v>
      </c>
      <c r="H18" s="134">
        <f>+IFERROR(VLOOKUP(A18,CARGAFACTURAS!$A:$P,7,0),0)</f>
        <v>19000</v>
      </c>
      <c r="I18" s="134">
        <f>+IFERROR(VLOOKUP(A18,CARGAFACTURAS!$A:$P,9,0),0)</f>
        <v>665</v>
      </c>
      <c r="J18" s="11" t="s">
        <v>49</v>
      </c>
      <c r="K18" s="272" t="str">
        <f>+IF(C18&lt;&gt;"",VLOOKUP(C18,'AUX23'!$D$1:$M$65,10,0),"")</f>
        <v>C</v>
      </c>
      <c r="L18">
        <f>+IF(C18&lt;&gt;"",VLOOKUP(C18,'AUX23'!$D$1:$M$65,4,0),"")</f>
        <v>3.5</v>
      </c>
      <c r="M18" t="str">
        <f t="shared" si="0"/>
        <v>CANIVARE ROQUE JAVIERJULIO 23</v>
      </c>
    </row>
    <row r="19" spans="1:13" x14ac:dyDescent="0.25">
      <c r="A19" s="271" t="str">
        <f>M19&amp;COUNTIF($M$2:M19,M19)</f>
        <v>PANTHER DISTRIBUCIONES SRLJULIO 231</v>
      </c>
      <c r="B19" s="11" t="str">
        <f>+IFERROR(VLOOKUP(A19,CARGAFACTURAS!$A:$P,6,0),"")</f>
        <v>30-71639844-3</v>
      </c>
      <c r="C19" t="s">
        <v>805</v>
      </c>
      <c r="D19" s="11" t="str">
        <f>+IF(C19&lt;&gt;"",VLOOKUP(C19,'AUX23'!$D$1:$L$65,2,0),"")</f>
        <v>LAPRIDA 137</v>
      </c>
      <c r="E19" s="11" t="str">
        <f>+IF(C19&lt;&gt;"",VLOOKUP(A19,CARGAFACTURAS!$A:$P,4,0),"")</f>
        <v>0001-00009940</v>
      </c>
      <c r="F19" s="11"/>
      <c r="G19" s="245">
        <f>+IF(C19&lt;&gt;"",IFERROR(VLOOKUP(A19,CARGAFACTURAS!$A:$P,5,0),""),"")</f>
        <v>45132</v>
      </c>
      <c r="H19" s="134">
        <f>+IFERROR(VLOOKUP(A19,CARGAFACTURAS!$A:$P,7,0),0)</f>
        <v>40023.879999999997</v>
      </c>
      <c r="I19" s="134">
        <f>+IFERROR(VLOOKUP(A19,CARGAFACTURAS!$A:$P,9,0),0)</f>
        <v>2001.194</v>
      </c>
      <c r="J19" s="11" t="s">
        <v>49</v>
      </c>
      <c r="K19" s="272" t="str">
        <f>+IF(C19&lt;&gt;"",VLOOKUP(C19,'AUX23'!$D$1:$M$65,10,0),"")</f>
        <v>B</v>
      </c>
      <c r="L19">
        <f>+IF(C19&lt;&gt;"",VLOOKUP(C19,'AUX23'!$D$1:$M$65,4,0),"")</f>
        <v>5</v>
      </c>
      <c r="M19" t="str">
        <f t="shared" ref="M19:M23" si="1">+IF(C19&lt;&gt;"",C19&amp;$M$1,"")</f>
        <v>PANTHER DISTRIBUCIONES SRLJULIO 23</v>
      </c>
    </row>
    <row r="20" spans="1:13" x14ac:dyDescent="0.25">
      <c r="A20" s="271" t="str">
        <f>M20&amp;COUNTIF($M$2:M20,M20)</f>
        <v>BERNIS ERNESTO FEDERICO(ALL TECH)JULIO 231</v>
      </c>
      <c r="B20" s="11" t="str">
        <f>+IFERROR(VLOOKUP(A20,CARGAFACTURAS!$A:$P,6,0),"")</f>
        <v>20-26782059-8</v>
      </c>
      <c r="C20" s="11" t="s">
        <v>726</v>
      </c>
      <c r="D20" s="11" t="str">
        <f>+IF(C20&lt;&gt;"",VLOOKUP(C20,'AUX23'!$D$1:$L$65,2,0),"")</f>
        <v>AV JUAN B JUSTO 1039</v>
      </c>
      <c r="E20" s="11" t="str">
        <f>+IF(C20&lt;&gt;"",VLOOKUP(A20,CARGAFACTURAS!$A:$P,4,0),"")</f>
        <v>0004-00000378</v>
      </c>
      <c r="F20" s="11"/>
      <c r="G20" s="245">
        <f>+IF(C20&lt;&gt;"",IFERROR(VLOOKUP(A20,CARGAFACTURAS!$A:$P,5,0),""),"")</f>
        <v>45134</v>
      </c>
      <c r="H20" s="134">
        <f>+IFERROR(VLOOKUP(A20,CARGAFACTURAS!$A:$P,7,0),0)</f>
        <v>36177</v>
      </c>
      <c r="I20" s="134">
        <f>+IFERROR(VLOOKUP(A20,CARGAFACTURAS!$A:$P,9,0),0)</f>
        <v>1808.85</v>
      </c>
      <c r="J20" s="11" t="s">
        <v>49</v>
      </c>
      <c r="K20" s="272" t="str">
        <f>+IF(C20&lt;&gt;"",VLOOKUP(C20,'AUX23'!$D$1:$M$65,10,0),"")</f>
        <v>B</v>
      </c>
      <c r="L20">
        <f>+IF(C20&lt;&gt;"",VLOOKUP(C20,'AUX23'!$D$1:$M$65,4,0),"")</f>
        <v>5</v>
      </c>
      <c r="M20" t="str">
        <f t="shared" si="1"/>
        <v>BERNIS ERNESTO FEDERICO(ALL TECH)JULIO 23</v>
      </c>
    </row>
    <row r="21" spans="1:13" x14ac:dyDescent="0.25">
      <c r="A21" s="271" t="str">
        <f>M21&amp;COUNTIF($M$2:M21,M21)</f>
        <v>ROTTA FRANCISCO(COMPUMAQ)JULIO 233</v>
      </c>
      <c r="B21" s="11" t="str">
        <f>+IFERROR(VLOOKUP(A21,CARGAFACTURAS!$A:$P,6,0),"")</f>
        <v>20-16216700-7</v>
      </c>
      <c r="C21" s="11" t="s">
        <v>188</v>
      </c>
      <c r="D21" s="11" t="str">
        <f>+IF(C21&lt;&gt;"",VLOOKUP(C21,'AUX23'!$D$1:$L$65,2,0),"")</f>
        <v>MONTEAGUDO BERNARDO 50</v>
      </c>
      <c r="E21" s="11" t="str">
        <f>+IF(C21&lt;&gt;"",VLOOKUP(A21,CARGAFACTURAS!$A:$P,4,0),"")</f>
        <v>0003-00002736</v>
      </c>
      <c r="F21" s="11"/>
      <c r="G21" s="245">
        <f>+IF(C21&lt;&gt;"",IFERROR(VLOOKUP(A21,CARGAFACTURAS!$A:$P,5,0),""),"")</f>
        <v>45142</v>
      </c>
      <c r="H21" s="134">
        <f>+IFERROR(VLOOKUP(A21,CARGAFACTURAS!$A:$P,7,0),0)</f>
        <v>10600</v>
      </c>
      <c r="I21" s="134">
        <f>+IFERROR(VLOOKUP(A21,CARGAFACTURAS!$A:$P,9,0),0)</f>
        <v>530</v>
      </c>
      <c r="J21" s="11" t="s">
        <v>49</v>
      </c>
      <c r="K21" s="272" t="str">
        <f>+IF(C21&lt;&gt;"",VLOOKUP(C21,'AUX23'!$D$1:$M$65,10,0),"")</f>
        <v>B</v>
      </c>
      <c r="L21">
        <f>+IF(C21&lt;&gt;"",VLOOKUP(C21,'AUX23'!$D$1:$M$65,4,0),"")</f>
        <v>5</v>
      </c>
      <c r="M21" t="str">
        <f t="shared" si="1"/>
        <v>ROTTA FRANCISCO(COMPUMAQ)JULIO 23</v>
      </c>
    </row>
    <row r="22" spans="1:13" x14ac:dyDescent="0.25">
      <c r="A22" s="11" t="str">
        <f>M22&amp;COUNTIF($M$2:M22,M22)</f>
        <v>FULL TRACK S.R.L.JULIO 233</v>
      </c>
      <c r="B22" s="11" t="str">
        <f>+IFERROR(VLOOKUP(A22,CARGAFACTURAS!$A:$P,6,0),"")</f>
        <v>30-71648081-6</v>
      </c>
      <c r="C22" s="11" t="s">
        <v>98</v>
      </c>
      <c r="D22" s="11" t="str">
        <f>+IF(C22&lt;&gt;"",VLOOKUP(C22,'AUX23'!$D$1:$L$65,2,0),"")</f>
        <v>ISLA SOLDEDAD 2420</v>
      </c>
      <c r="E22" s="11" t="str">
        <f>+IF(C22&lt;&gt;"",VLOOKUP(A22,CARGAFACTURAS!$A:$P,4,0),"")</f>
        <v>0004-00000056</v>
      </c>
      <c r="F22" s="11"/>
      <c r="G22" s="245">
        <f>+IF(C22&lt;&gt;"",IFERROR(VLOOKUP(A22,CARGAFACTURAS!$A:$P,5,0),""),"")</f>
        <v>45138</v>
      </c>
      <c r="H22" s="134">
        <f>+IFERROR(VLOOKUP(A22,CARGAFACTURAS!$A:$P,7,0),0)</f>
        <v>54600</v>
      </c>
      <c r="I22" s="134">
        <f>+IFERROR(VLOOKUP(A22,CARGAFACTURAS!$A:$P,9,0),0)</f>
        <v>819</v>
      </c>
      <c r="J22" s="11" t="s">
        <v>49</v>
      </c>
      <c r="K22" s="272" t="str">
        <f>+IF(C22&lt;&gt;"",VLOOKUP(C22,'AUX23'!$D$1:$M$65,10,0),"")</f>
        <v>B</v>
      </c>
      <c r="L22">
        <f>+IF(C22&lt;&gt;"",VLOOKUP(C22,'AUX23'!$D$1:$M$65,4,0),"")</f>
        <v>1.5</v>
      </c>
      <c r="M22" t="str">
        <f t="shared" si="1"/>
        <v>FULL TRACK S.R.L.JULIO 23</v>
      </c>
    </row>
    <row r="23" spans="1:13" x14ac:dyDescent="0.25">
      <c r="A23" s="11" t="str">
        <f>M23&amp;COUNTIF($M$2:M23,M23)</f>
        <v>FULL TRACK S.R.L.JULIO 234</v>
      </c>
      <c r="B23" s="11" t="str">
        <f>+IFERROR(VLOOKUP(A23,CARGAFACTURAS!$A:$P,6,0),"")</f>
        <v>30-71648081-6</v>
      </c>
      <c r="C23" s="11" t="s">
        <v>98</v>
      </c>
      <c r="D23" s="11" t="str">
        <f>+IF(C23&lt;&gt;"",VLOOKUP(C23,'AUX23'!$D$1:$L$65,2,0),"")</f>
        <v>ISLA SOLDEDAD 2420</v>
      </c>
      <c r="E23" s="11" t="str">
        <f>+IF(C23&lt;&gt;"",VLOOKUP(A23,CARGAFACTURAS!$A:$P,4,0),"")</f>
        <v>0004-00000055</v>
      </c>
      <c r="F23" s="11"/>
      <c r="G23" s="245">
        <f>+IF(C23&lt;&gt;"",IFERROR(VLOOKUP(A23,CARGAFACTURAS!$A:$P,5,0),""),"")</f>
        <v>45138</v>
      </c>
      <c r="H23" s="134">
        <f>+IFERROR(VLOOKUP(A23,CARGAFACTURAS!$A:$P,7,0),0)</f>
        <v>583700</v>
      </c>
      <c r="I23" s="134">
        <f>+IFERROR(VLOOKUP(A23,CARGAFACTURAS!$A:$P,9,0),0)</f>
        <v>8755.5</v>
      </c>
      <c r="J23" s="11" t="s">
        <v>49</v>
      </c>
      <c r="K23" s="272" t="str">
        <f>+IF(C23&lt;&gt;"",VLOOKUP(C23,'AUX23'!$D$1:$M$65,10,0),"")</f>
        <v>B</v>
      </c>
      <c r="L23">
        <f>+IF(C23&lt;&gt;"",VLOOKUP(C23,'AUX23'!$D$1:$M$65,4,0),"")</f>
        <v>1.5</v>
      </c>
      <c r="M23" t="str">
        <f t="shared" si="1"/>
        <v>FULL TRACK S.R.L.JULIO 23</v>
      </c>
    </row>
    <row r="24" spans="1:13" x14ac:dyDescent="0.25">
      <c r="A24" s="11" t="str">
        <f>M24&amp;COUNTIF($M$2:M24,M24)</f>
        <v>WATERLIFE (VARONA CARLOS JOSE)JULIO 231</v>
      </c>
      <c r="B24" s="11" t="str">
        <f>+IFERROR(VLOOKUP(A24,CARGAFACTURAS!$A:$P,6,0),"")</f>
        <v>20-22414023-2</v>
      </c>
      <c r="C24" s="11" t="s">
        <v>20</v>
      </c>
      <c r="D24" s="11" t="str">
        <f>+IF(C24&lt;&gt;"",VLOOKUP(C24,'AUX23'!$D$1:$L$65,2,0),"")</f>
        <v>BOULEVARD 9 DE JULIO 1249</v>
      </c>
      <c r="E24" s="11" t="str">
        <f>+IF(C24&lt;&gt;"",VLOOKUP(A24,CARGAFACTURAS!$A:$P,4,0),"")</f>
        <v>0008-00004962</v>
      </c>
      <c r="F24" s="11"/>
      <c r="G24" s="245">
        <f>+IF(C24&lt;&gt;"",IFERROR(VLOOKUP(A24,CARGAFACTURAS!$A:$P,5,0),""),"")</f>
        <v>45139</v>
      </c>
      <c r="H24" s="134">
        <f>+IFERROR(VLOOKUP(A24,CARGAFACTURAS!$A:$P,7,0),0)</f>
        <v>63300</v>
      </c>
      <c r="I24" s="134">
        <f>+IFERROR(VLOOKUP(A24,CARGAFACTURAS!$A:$P,9,0),0)</f>
        <v>1582.5</v>
      </c>
      <c r="J24" s="11" t="s">
        <v>362</v>
      </c>
      <c r="K24" s="272" t="str">
        <f>+IF(C24&lt;&gt;"",VLOOKUP(C24,'AUX23'!$D$1:$M$65,10,0),"")</f>
        <v>B</v>
      </c>
      <c r="L24">
        <f>+IF(C24&lt;&gt;"",VLOOKUP(C24,'AUX23'!$D$1:$M$65,4,0),"")</f>
        <v>2.5</v>
      </c>
      <c r="M24" t="str">
        <f t="shared" ref="M24" si="2">+IF(C24&lt;&gt;"",C24&amp;$M$1,"")</f>
        <v>WATERLIFE (VARONA CARLOS JOSE)JULIO 23</v>
      </c>
    </row>
    <row r="25" spans="1:13" x14ac:dyDescent="0.25">
      <c r="A25" s="99" t="s">
        <v>803</v>
      </c>
      <c r="B25" s="11" t="str">
        <f>+IFERROR(VLOOKUP(A25,CARGAFACTURAS!$A:$P,6,0),"")</f>
        <v>33-71635571-9</v>
      </c>
      <c r="C25" s="11" t="s">
        <v>673</v>
      </c>
      <c r="D25" s="11" t="str">
        <f>+IF(C25&lt;&gt;"",VLOOKUP(C25,'AUX23'!$D$1:$L$65,2,0),"")</f>
        <v>JUNIN 234</v>
      </c>
      <c r="E25" s="11" t="str">
        <f>+IF(C25&lt;&gt;"",VLOOKUP(A25,CARGAFACTURAS!$A:$P,4,0),"")</f>
        <v>0003-00019664</v>
      </c>
      <c r="F25" s="11"/>
      <c r="G25" s="245">
        <f>+IF(C25&lt;&gt;"",IFERROR(VLOOKUP(A25,CARGAFACTURAS!$A:$P,5,0),""),"")</f>
        <v>45142</v>
      </c>
      <c r="H25" s="134">
        <f>+IFERROR(VLOOKUP(A25,CARGAFACTURAS!$A:$P,7,0),0)</f>
        <v>24200</v>
      </c>
      <c r="I25" s="134">
        <f>+IFERROR(VLOOKUP(A25,CARGAFACTURAS!$A:$P,9,0),0)</f>
        <v>1210</v>
      </c>
      <c r="J25" s="11" t="s">
        <v>799</v>
      </c>
      <c r="K25" s="272" t="str">
        <f>+IF(C25&lt;&gt;"",VLOOKUP(C25,'AUX23'!$D$1:$M$65,10,0),"")</f>
        <v>B</v>
      </c>
      <c r="L25">
        <f>+IF(C25&lt;&gt;"",VLOOKUP(C25,'AUX23'!$D$1:$M$65,4,0),"")</f>
        <v>5</v>
      </c>
      <c r="M25" t="str">
        <f t="shared" ref="M25:M30" si="3">+IF(C25&lt;&gt;"",C25&amp;$M$1,"")</f>
        <v>MULTISHOP SASJULIO 23</v>
      </c>
    </row>
    <row r="26" spans="1:13" x14ac:dyDescent="0.25">
      <c r="A26" s="11" t="str">
        <f>M26&amp;COUNTIF($M$2:M26,M26)</f>
        <v>LEON LUIS CESARJULIO 232</v>
      </c>
      <c r="B26" s="11" t="str">
        <f>+IFERROR(VLOOKUP(A26,CARGAFACTURAS!$A:$P,6,0),"")</f>
        <v>20-13278210-6</v>
      </c>
      <c r="C26" s="11" t="s">
        <v>109</v>
      </c>
      <c r="D26" s="11" t="str">
        <f>+IF(C26&lt;&gt;"",VLOOKUP(C26,'AUX23'!$D$1:$L$65,2,0),"")</f>
        <v>JUNIN 273</v>
      </c>
      <c r="E26" s="11" t="str">
        <f>+IF(C26&lt;&gt;"",VLOOKUP(A26,CARGAFACTURAS!$A:$P,4,0),"")</f>
        <v>0013-00009724</v>
      </c>
      <c r="F26" s="11"/>
      <c r="G26" s="245">
        <f>+IF(C26&lt;&gt;"",IFERROR(VLOOKUP(A26,CARGAFACTURAS!$A:$P,5,0),""),"")</f>
        <v>45149</v>
      </c>
      <c r="H26" s="134">
        <f>+IFERROR(VLOOKUP(A26,CARGAFACTURAS!$A:$P,7,0),0)</f>
        <v>66851.41</v>
      </c>
      <c r="I26" s="134">
        <f>+IFERROR(VLOOKUP(A26,CARGAFACTURAS!$A:$P,9,0),0)</f>
        <v>3342.5705000000003</v>
      </c>
      <c r="J26" s="11" t="s">
        <v>800</v>
      </c>
      <c r="K26" s="272" t="str">
        <f>+IF(C26&lt;&gt;"",VLOOKUP(C26,'AUX23'!$D$1:$M$65,10,0),"")</f>
        <v>B</v>
      </c>
      <c r="L26">
        <f>+IF(C26&lt;&gt;"",VLOOKUP(C26,'AUX23'!$D$1:$M$65,4,0),"")</f>
        <v>5</v>
      </c>
      <c r="M26" t="str">
        <f t="shared" si="3"/>
        <v>LEON LUIS CESARJULIO 23</v>
      </c>
    </row>
    <row r="27" spans="1:13" x14ac:dyDescent="0.25">
      <c r="A27" s="11" t="str">
        <f>M27&amp;COUNTIF($M$2:M27,M27)</f>
        <v>DOLSA SAJULIO 232</v>
      </c>
      <c r="B27" s="11" t="str">
        <f>+IFERROR(VLOOKUP(A27,CARGAFACTURAS!$A:$P,6,0),"")</f>
        <v>30-71162078-4</v>
      </c>
      <c r="C27" s="11" t="s">
        <v>571</v>
      </c>
      <c r="D27" s="11" t="str">
        <f>+IF(C27&lt;&gt;"",VLOOKUP(C27,'AUX23'!$D$1:$L$65,2,0),"")</f>
        <v>AV ALEM 333</v>
      </c>
      <c r="E27" s="11" t="str">
        <f>+IF(C27&lt;&gt;"",VLOOKUP(A27,CARGAFACTURAS!$A:$P,4,0),"")</f>
        <v>0006-00006792</v>
      </c>
      <c r="F27" s="11"/>
      <c r="G27" s="245">
        <f>+IF(C27&lt;&gt;"",IFERROR(VLOOKUP(A27,CARGAFACTURAS!$A:$P,5,0),""),"")</f>
        <v>45142</v>
      </c>
      <c r="H27" s="134">
        <f>+IFERROR(VLOOKUP(A27,CARGAFACTURAS!$A:$P,7,0),0)</f>
        <v>31350.06</v>
      </c>
      <c r="I27" s="134">
        <f>+IFERROR(VLOOKUP(A27,CARGAFACTURAS!$A:$P,9,0),0)</f>
        <v>1567.5030000000002</v>
      </c>
      <c r="J27" s="11" t="s">
        <v>363</v>
      </c>
      <c r="K27" s="272" t="str">
        <f>+IF(C27&lt;&gt;"",VLOOKUP(C27,'AUX23'!$D$1:$M$65,10,0),"")</f>
        <v>B</v>
      </c>
      <c r="L27">
        <f>+IF(C27&lt;&gt;"",VLOOKUP(C27,'AUX23'!$D$1:$M$65,4,0),"")</f>
        <v>5</v>
      </c>
      <c r="M27" t="str">
        <f t="shared" si="3"/>
        <v>DOLSA SAJULIO 23</v>
      </c>
    </row>
    <row r="28" spans="1:13" x14ac:dyDescent="0.25">
      <c r="A28" s="11" t="str">
        <f>M28&amp;COUNTIF($M$2:M28,M28)</f>
        <v>1</v>
      </c>
      <c r="B28" s="11" t="str">
        <f>+IFERROR(VLOOKUP(A28,CARGAFACTURAS!$A:$P,6,0),"")</f>
        <v/>
      </c>
      <c r="C28" s="11"/>
      <c r="D28" s="11" t="str">
        <f>+IF(C28&lt;&gt;"",VLOOKUP(C28,'AUX23'!$D$1:$L$65,2,0),"")</f>
        <v/>
      </c>
      <c r="E28" s="11" t="str">
        <f>+IF(C28&lt;&gt;"",VLOOKUP(A28,CARGAFACTURAS!$A:$P,4,0),"")</f>
        <v/>
      </c>
      <c r="F28" s="11"/>
      <c r="G28" s="245" t="str">
        <f>+IF(C28&lt;&gt;"",IFERROR(VLOOKUP(A28,CARGAFACTURAS!$A:$P,5,0),""),"")</f>
        <v/>
      </c>
      <c r="H28" s="134">
        <f>+IFERROR(VLOOKUP(A28,CARGAFACTURAS!$A:$P,7,0),0)</f>
        <v>0</v>
      </c>
      <c r="I28" s="134">
        <f>+IFERROR(VLOOKUP(A28,CARGAFACTURAS!$A:$P,9,0),0)</f>
        <v>0</v>
      </c>
      <c r="J28" s="11" t="s">
        <v>364</v>
      </c>
      <c r="K28" s="272" t="str">
        <f>+IF(C28&lt;&gt;"",VLOOKUP(C28,'AUX23'!$D$1:$M$65,10,0),"")</f>
        <v/>
      </c>
      <c r="L28" t="str">
        <f>+IF(C28&lt;&gt;"",VLOOKUP(C28,'AUX23'!$D$1:$M$65,4,0),"")</f>
        <v/>
      </c>
      <c r="M28" t="str">
        <f t="shared" si="3"/>
        <v/>
      </c>
    </row>
    <row r="29" spans="1:13" x14ac:dyDescent="0.25">
      <c r="A29" s="11" t="str">
        <f>M29&amp;COUNTIF($M$2:M29,M29)</f>
        <v>2</v>
      </c>
      <c r="B29" s="11" t="str">
        <f>+IFERROR(VLOOKUP(A29,CARGAFACTURAS!$A:$P,6,0),"")</f>
        <v/>
      </c>
      <c r="C29" s="11"/>
      <c r="D29" s="11" t="str">
        <f>+IF(C29&lt;&gt;"",VLOOKUP(C29,'AUX23'!$D$1:$L$65,2,0),"")</f>
        <v/>
      </c>
      <c r="E29" s="11" t="str">
        <f>+IF(C29&lt;&gt;"",VLOOKUP(A29,CARGAFACTURAS!$A:$P,4,0),"")</f>
        <v/>
      </c>
      <c r="F29" s="11"/>
      <c r="G29" s="245" t="str">
        <f>+IF(C29&lt;&gt;"",IFERROR(VLOOKUP(A29,CARGAFACTURAS!$A:$P,5,0),""),"")</f>
        <v/>
      </c>
      <c r="H29" s="134">
        <f>+IFERROR(VLOOKUP(A29,CARGAFACTURAS!$A:$P,7,0),0)</f>
        <v>0</v>
      </c>
      <c r="I29" s="134">
        <f>+IFERROR(VLOOKUP(A29,CARGAFACTURAS!$A:$P,9,0),0)</f>
        <v>0</v>
      </c>
      <c r="J29" s="11" t="s">
        <v>801</v>
      </c>
      <c r="K29" s="272" t="str">
        <f>+IF(C29&lt;&gt;"",VLOOKUP(C29,'AUX23'!$D$1:$M$65,10,0),"")</f>
        <v/>
      </c>
      <c r="L29" t="str">
        <f>+IF(C29&lt;&gt;"",VLOOKUP(C29,'AUX23'!$D$1:$M$65,4,0),"")</f>
        <v/>
      </c>
      <c r="M29" t="str">
        <f t="shared" si="3"/>
        <v/>
      </c>
    </row>
    <row r="30" spans="1:13" x14ac:dyDescent="0.25">
      <c r="A30" s="11" t="str">
        <f>M30&amp;COUNTIF($M$2:M30,M30)</f>
        <v>3</v>
      </c>
      <c r="B30" s="11" t="str">
        <f>+IFERROR(VLOOKUP(A30,CARGAFACTURAS!$A:$P,6,0),"")</f>
        <v/>
      </c>
      <c r="C30" s="11"/>
      <c r="D30" s="11" t="str">
        <f>+IF(C30&lt;&gt;"",VLOOKUP(C30,'AUX23'!$D$1:$L$65,2,0),"")</f>
        <v/>
      </c>
      <c r="E30" s="11" t="str">
        <f>+IF(C30&lt;&gt;"",VLOOKUP(A30,CARGAFACTURAS!$A:$P,4,0),"")</f>
        <v/>
      </c>
      <c r="F30" s="11"/>
      <c r="G30" s="245" t="str">
        <f>+IF(C30&lt;&gt;"",IFERROR(VLOOKUP(A30,CARGAFACTURAS!$A:$P,5,0),""),"")</f>
        <v/>
      </c>
      <c r="H30" s="134">
        <f>+IFERROR(VLOOKUP(A30,CARGAFACTURAS!$A:$P,7,0),0)</f>
        <v>0</v>
      </c>
      <c r="I30" s="134">
        <f>+IFERROR(VLOOKUP(A30,CARGAFACTURAS!$A:$P,9,0),0)</f>
        <v>0</v>
      </c>
      <c r="J30" s="11" t="s">
        <v>802</v>
      </c>
      <c r="K30" s="272" t="str">
        <f>+IF(C30&lt;&gt;"",VLOOKUP(C30,'AUX23'!$D$1:$M$65,10,0),"")</f>
        <v/>
      </c>
      <c r="L30" t="str">
        <f>+IF(C30&lt;&gt;"",VLOOKUP(C30,'AUX23'!$D$1:$M$65,4,0),"")</f>
        <v/>
      </c>
      <c r="M30" t="str">
        <f t="shared" si="3"/>
        <v/>
      </c>
    </row>
    <row r="32" spans="1:13" ht="15.75" thickBot="1" x14ac:dyDescent="0.3"/>
    <row r="33" spans="8:9" ht="15.75" thickBot="1" x14ac:dyDescent="0.3">
      <c r="H33" s="127" t="s">
        <v>361</v>
      </c>
      <c r="I33" s="182">
        <f>+SUM(I2:I30)</f>
        <v>94285.183950000021</v>
      </c>
    </row>
  </sheetData>
  <phoneticPr fontId="18" type="noConversion"/>
  <dataValidations count="1">
    <dataValidation type="list" allowBlank="1" showInputMessage="1" showErrorMessage="1" sqref="O1" xr:uid="{12FA0D65-D587-4D30-AB1C-AA3001431EA5}">
      <formula1>"1,2,3,4,5,6,7,8"</formula1>
    </dataValidation>
  </dataValidations>
  <pageMargins left="0.7" right="0.7" top="0.75" bottom="0.75" header="0.3" footer="0.3"/>
  <pageSetup scale="52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BD85C56-9667-43BC-A476-89820EF37CEC}">
          <x14:formula1>
            <xm:f>'AUX23'!$A$2:$A$9</xm:f>
          </x14:formula1>
          <xm:sqref>M1</xm:sqref>
        </x14:dataValidation>
        <x14:dataValidation type="list" allowBlank="1" showInputMessage="1" showErrorMessage="1" xr:uid="{83715C28-94DB-45FC-9D77-9CFA0F00E82E}">
          <x14:formula1>
            <xm:f>'AUX23'!$D$2:$D$131</xm:f>
          </x14:formula1>
          <xm:sqref>C2:C18 C20:C30</xm:sqref>
        </x14:dataValidation>
        <x14:dataValidation type="list" allowBlank="1" showInputMessage="1" showErrorMessage="1" xr:uid="{739F4F44-3752-4584-A3FB-35D5CCE889D0}">
          <x14:formula1>
            <xm:f>'AUX23'!$D$2:$D$70</xm:f>
          </x14:formula1>
          <xm:sqref>C19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61E04-2EB0-4FBB-89FB-F37F6B70E767}">
  <dimension ref="A1:O100"/>
  <sheetViews>
    <sheetView workbookViewId="0">
      <selection activeCell="G54" sqref="G54"/>
    </sheetView>
  </sheetViews>
  <sheetFormatPr baseColWidth="10" defaultRowHeight="15" x14ac:dyDescent="0.25"/>
  <cols>
    <col min="1" max="1" width="42.140625" customWidth="1"/>
    <col min="2" max="2" width="15.5703125" customWidth="1"/>
    <col min="3" max="3" width="29.28515625" customWidth="1"/>
    <col min="4" max="4" width="25.28515625" hidden="1" customWidth="1"/>
    <col min="5" max="5" width="21.85546875" hidden="1" customWidth="1"/>
    <col min="6" max="6" width="21.140625" hidden="1" customWidth="1"/>
    <col min="7" max="7" width="18.28515625" customWidth="1"/>
    <col min="8" max="8" width="12.28515625" hidden="1" customWidth="1"/>
    <col min="9" max="9" width="12.42578125" hidden="1" customWidth="1"/>
    <col min="10" max="10" width="4.7109375" customWidth="1"/>
    <col min="11" max="11" width="16.28515625" customWidth="1"/>
    <col min="14" max="14" width="17.7109375" customWidth="1"/>
    <col min="15" max="15" width="18.140625" customWidth="1"/>
  </cols>
  <sheetData>
    <row r="1" spans="1:14" x14ac:dyDescent="0.25">
      <c r="A1" s="178" t="s">
        <v>216</v>
      </c>
      <c r="B1" s="179" t="s">
        <v>24</v>
      </c>
      <c r="C1" s="179" t="s">
        <v>41</v>
      </c>
      <c r="D1" s="179" t="s">
        <v>43</v>
      </c>
      <c r="E1" s="179" t="s">
        <v>44</v>
      </c>
      <c r="F1" s="179" t="s">
        <v>45</v>
      </c>
      <c r="G1" s="179" t="s">
        <v>68</v>
      </c>
      <c r="H1" s="179" t="s">
        <v>46</v>
      </c>
      <c r="I1" s="180" t="s">
        <v>47</v>
      </c>
      <c r="K1" s="175" t="s">
        <v>217</v>
      </c>
      <c r="L1" t="s">
        <v>148</v>
      </c>
      <c r="M1" s="234" t="s">
        <v>338</v>
      </c>
      <c r="N1">
        <v>7</v>
      </c>
    </row>
    <row r="2" spans="1:14" x14ac:dyDescent="0.25">
      <c r="A2" s="157" t="str">
        <f>L2&amp;COUNTIF($L$2:L2,L2)</f>
        <v>LEON LUIS CESARJULIO 231</v>
      </c>
      <c r="B2" t="str">
        <f>+IFERROR(VLOOKUP(A2,CARGAFACTURAS!$A:$P,6,0),"")</f>
        <v>20-13278210-6</v>
      </c>
      <c r="C2" s="11" t="s">
        <v>109</v>
      </c>
      <c r="D2" s="11"/>
      <c r="E2" s="11"/>
      <c r="F2" s="245"/>
      <c r="G2" s="134">
        <f>+SUMIFS(CARGAFACTURAS!G:G,CARGAFACTURAS!Q:Q,'I MENSUAL'!L2)</f>
        <v>89441.11</v>
      </c>
      <c r="H2" s="146"/>
      <c r="I2" s="152"/>
      <c r="K2" t="str">
        <f>+VLOOKUP(C2,'AUX23'!$D$1:$N$70,11,0)</f>
        <v>01-LIBRERÍA</v>
      </c>
      <c r="L2" t="str">
        <f t="shared" ref="L2:L28" si="0">+IF(C2&lt;&gt;"",C2&amp;$L$1,"")</f>
        <v>LEON LUIS CESARJULIO 23</v>
      </c>
    </row>
    <row r="3" spans="1:14" x14ac:dyDescent="0.25">
      <c r="A3" s="157" t="str">
        <f>L3&amp;COUNTIF($L$2:L3,L3)</f>
        <v>LIBRERÍA SAN PABLO SRLJULIO 231</v>
      </c>
      <c r="B3" t="str">
        <f>+IFERROR(VLOOKUP(A3,CARGAFACTURAS!$A:$P,6,0),"")</f>
        <v>30-58351679-0</v>
      </c>
      <c r="C3" s="11" t="s">
        <v>10</v>
      </c>
      <c r="D3" s="11"/>
      <c r="E3" s="11"/>
      <c r="F3" s="245"/>
      <c r="G3" s="134">
        <f>+SUMIFS(CARGAFACTURAS!G:G,CARGAFACTURAS!Q:Q,'I MENSUAL'!L3)</f>
        <v>92661.27</v>
      </c>
      <c r="H3" s="146">
        <f>+IFERROR(VLOOKUP(A3,CARGAFACTURAS!$A:$P,8,0),0)</f>
        <v>0</v>
      </c>
      <c r="I3" s="152" t="s">
        <v>364</v>
      </c>
      <c r="K3" t="str">
        <f>+VLOOKUP(C3,'AUX23'!$D$1:$N$70,11,0)</f>
        <v>01-LIBRERÍA</v>
      </c>
      <c r="L3" t="str">
        <f t="shared" si="0"/>
        <v>LIBRERÍA SAN PABLO SRLJULIO 23</v>
      </c>
    </row>
    <row r="4" spans="1:14" x14ac:dyDescent="0.25">
      <c r="A4" s="157" t="str">
        <f>L4&amp;COUNTIF($L$2:L4,L4)</f>
        <v>TUMBURUS PEDRO RUBENJULIO 231</v>
      </c>
      <c r="B4" t="str">
        <f>+IFERROR(VLOOKUP(A4,CARGAFACTURAS!$A:$P,6,0),"")</f>
        <v>20-13628911-0</v>
      </c>
      <c r="C4" s="11" t="s">
        <v>442</v>
      </c>
      <c r="D4" s="11"/>
      <c r="E4" s="11"/>
      <c r="F4" s="11"/>
      <c r="G4" s="134">
        <f>+SUMIFS(CARGAFACTURAS!G:G,CARGAFACTURAS!Q:Q,'I MENSUAL'!L4)</f>
        <v>11800.11</v>
      </c>
      <c r="H4" s="146"/>
      <c r="I4" s="152"/>
      <c r="K4" t="str">
        <f>+VLOOKUP(C4,'AUX23'!$D$1:$N$70,11,0)</f>
        <v>01-LIBRERÍA</v>
      </c>
      <c r="L4" t="str">
        <f t="shared" si="0"/>
        <v>TUMBURUS PEDRO RUBENJULIO 23</v>
      </c>
    </row>
    <row r="5" spans="1:14" x14ac:dyDescent="0.25">
      <c r="A5" s="157" t="str">
        <f>L5&amp;COUNTIF($L$1:L6,L5)</f>
        <v>ASOCIACION CIVIL SOC. TUC. DE RADIOLOGIA SOTURAD JULIO 231</v>
      </c>
      <c r="B5" t="str">
        <f>+IFERROR(VLOOKUP(A5,CARGAFACTURAS!$A:$P,6,0),"")</f>
        <v>30-71481139-4</v>
      </c>
      <c r="C5" s="11" t="s">
        <v>746</v>
      </c>
      <c r="D5" s="11" t="str">
        <f>+IF(C5&lt;&gt;"",VLOOKUP(A5,CARGAFACTURAS!$A:$P,4,0),"")</f>
        <v>0002-00000026</v>
      </c>
      <c r="E5" s="11" t="s">
        <v>226</v>
      </c>
      <c r="F5" s="245">
        <f>+IF(C5&lt;&gt;"",IFERROR(VLOOKUP(A5,CARGAFACTURAS!$A:$P,5,0),""),"")</f>
        <v>45140</v>
      </c>
      <c r="G5" s="134">
        <f>+SUMIFS(CARGAFACTURAS!G:G,CARGAFACTURAS!Q:Q,'I MENSUAL'!L5)</f>
        <v>300000</v>
      </c>
      <c r="H5" s="146">
        <f>+IFERROR(VLOOKUP(A5,CARGAFACTURAS!$A:$P,8,0),0)</f>
        <v>7500</v>
      </c>
      <c r="I5" s="152" t="s">
        <v>49</v>
      </c>
      <c r="K5" t="str">
        <f>+VLOOKUP(C5,'AUX23'!$D$1:$N$70,11,0)</f>
        <v>02-SERVICIOS</v>
      </c>
      <c r="L5" t="str">
        <f t="shared" si="0"/>
        <v>ASOCIACION CIVIL SOC. TUC. DE RADIOLOGIA SOTURAD JULIO 23</v>
      </c>
    </row>
    <row r="6" spans="1:14" x14ac:dyDescent="0.25">
      <c r="A6" s="157" t="str">
        <f>L6&amp;COUNTIF($L$2:L6,L6)</f>
        <v>CANIVARE ROQUE JAVIERJULIO 231</v>
      </c>
      <c r="B6" t="str">
        <f>+IFERROR(VLOOKUP(A6,CARGAFACTURAS!$A:$P,6,0),"")</f>
        <v>20-16933464-2</v>
      </c>
      <c r="C6" s="11" t="s">
        <v>698</v>
      </c>
      <c r="D6" s="11" t="str">
        <f>+IF(C6&lt;&gt;"",VLOOKUP(A6,CARGAFACTURAS!$A:$P,4,0),"")</f>
        <v>0002-00000609</v>
      </c>
      <c r="E6" s="11" t="s">
        <v>225</v>
      </c>
      <c r="F6" s="245">
        <f>+IF(C6&lt;&gt;"",IFERROR(VLOOKUP(A6,CARGAFACTURAS!$A:$P,5,0),""),"")</f>
        <v>45127</v>
      </c>
      <c r="G6" s="134">
        <f>+SUMIFS(CARGAFACTURAS!G:G,CARGAFACTURAS!Q:Q,'I MENSUAL'!L6)</f>
        <v>19000</v>
      </c>
      <c r="H6" s="146">
        <f>+IFERROR(VLOOKUP(A6,CARGAFACTURAS!$A:$P,8,0),0)</f>
        <v>0</v>
      </c>
      <c r="I6" s="152" t="s">
        <v>49</v>
      </c>
      <c r="K6" t="str">
        <f>+VLOOKUP(C6,'AUX23'!$D$1:$N$70,11,0)</f>
        <v>02-SERVICIOS</v>
      </c>
      <c r="L6" t="str">
        <f t="shared" si="0"/>
        <v>CANIVARE ROQUE JAVIERJULIO 23</v>
      </c>
    </row>
    <row r="7" spans="1:14" x14ac:dyDescent="0.25">
      <c r="A7" s="157" t="str">
        <f>L7&amp;COUNTIF($L$2:L7,L7)</f>
        <v>CEGE SRLJULIO 231</v>
      </c>
      <c r="B7" t="str">
        <f>+IFERROR(VLOOKUP(A7,CARGAFACTURAS!$A:$P,6,0),"")</f>
        <v>30-65710669-7</v>
      </c>
      <c r="C7" s="11" t="s">
        <v>50</v>
      </c>
      <c r="D7" s="11"/>
      <c r="E7" s="11"/>
      <c r="F7" s="245"/>
      <c r="G7" s="134">
        <f>+SUMIFS(CARGAFACTURAS!G:G,CARGAFACTURAS!Q:Q,'I MENSUAL'!L7)</f>
        <v>123890</v>
      </c>
      <c r="H7" s="146">
        <f>+IFERROR(VLOOKUP(A7,CARGAFACTURAS!$A:$P,8,0),0)</f>
        <v>3097.25</v>
      </c>
      <c r="I7" s="152" t="s">
        <v>49</v>
      </c>
      <c r="K7" t="str">
        <f>+VLOOKUP(C7,'AUX23'!$D$1:$N$70,11,0)</f>
        <v>02-SERVICIOS</v>
      </c>
      <c r="L7" t="str">
        <f t="shared" si="0"/>
        <v>CEGE SRLJULIO 23</v>
      </c>
    </row>
    <row r="8" spans="1:14" x14ac:dyDescent="0.25">
      <c r="A8" s="157" t="str">
        <f>L8&amp;COUNTIF($L$2:L8,L8)</f>
        <v>CLARO (AMX ARGENTINA)JULIO 231</v>
      </c>
      <c r="B8" t="str">
        <f>+IFERROR(VLOOKUP(A8,CARGAFACTURAS!$A:$P,6,0),"")</f>
        <v>30-66328849-7</v>
      </c>
      <c r="C8" s="11" t="s">
        <v>18</v>
      </c>
      <c r="D8" s="11"/>
      <c r="E8" s="11"/>
      <c r="F8" s="245"/>
      <c r="G8" s="134">
        <f>+SUMIFS(CARGAFACTURAS!G:G,CARGAFACTURAS!Q:Q,'I MENSUAL'!L8)</f>
        <v>22901.67</v>
      </c>
      <c r="H8" s="146"/>
      <c r="I8" s="152"/>
      <c r="K8" t="str">
        <f>+VLOOKUP(C8,'AUX23'!$D$1:$N$70,11,0)</f>
        <v>02-SERVICIOS</v>
      </c>
      <c r="L8" t="str">
        <f t="shared" si="0"/>
        <v>CLARO (AMX ARGENTINA)JULIO 23</v>
      </c>
    </row>
    <row r="9" spans="1:14" x14ac:dyDescent="0.25">
      <c r="A9" s="157" t="str">
        <f>L9&amp;COUNTIF($L$2:L9,L9)</f>
        <v>COOP. DE TRAB. SAN LORENZO M JULIO 231</v>
      </c>
      <c r="B9" t="str">
        <f>+IFERROR(VLOOKUP(A9,CARGAFACTURAS!$A:$P,6,0),"")</f>
        <v>30-70895858-8</v>
      </c>
      <c r="C9" s="11" t="s">
        <v>92</v>
      </c>
      <c r="D9" s="11"/>
      <c r="E9" s="11"/>
      <c r="F9" s="245"/>
      <c r="G9" s="134">
        <f>+SUMIFS(CARGAFACTURAS!G:G,CARGAFACTURAS!Q:Q,'I MENSUAL'!L9)</f>
        <v>300927.18</v>
      </c>
      <c r="H9" s="146"/>
      <c r="I9" s="152"/>
      <c r="K9" t="str">
        <f>+VLOOKUP(C9,'AUX23'!$D$1:$N$70,11,0)</f>
        <v>02-SERVICIOS</v>
      </c>
      <c r="L9" t="str">
        <f t="shared" si="0"/>
        <v>COOP. DE TRAB. SAN LORENZO M JULIO 23</v>
      </c>
    </row>
    <row r="10" spans="1:14" x14ac:dyDescent="0.25">
      <c r="A10" s="157" t="str">
        <f>L10&amp;COUNTIF($L$2:L10,L10)</f>
        <v>FULL TRACK S.R.L.JULIO 231</v>
      </c>
      <c r="B10" t="str">
        <f>+IFERROR(VLOOKUP(A10,CARGAFACTURAS!$A:$P,6,0),"")</f>
        <v>30-71648081-6</v>
      </c>
      <c r="C10" s="11" t="s">
        <v>98</v>
      </c>
      <c r="D10" s="11" t="str">
        <f>+IF(C10&lt;&gt;"",VLOOKUP(A10,CARGAFACTURAS!$A:$P,4,0),"")</f>
        <v>0004-00000053</v>
      </c>
      <c r="E10" s="11"/>
      <c r="F10" s="245">
        <f>+IF(C10&lt;&gt;"",IFERROR(VLOOKUP(A10,CARGAFACTURAS!$A:$P,5,0),""),"")</f>
        <v>45110</v>
      </c>
      <c r="G10" s="134">
        <f>+SUMIFS(CARGAFACTURAS!G:G,CARGAFACTURAS!Q:Q,'I MENSUAL'!L10)</f>
        <v>1320800</v>
      </c>
      <c r="H10" s="146">
        <f>+IFERROR(VLOOKUP(A10,CARGAFACTURAS!$A:$P,8,0),0)</f>
        <v>0</v>
      </c>
      <c r="I10" s="152" t="s">
        <v>49</v>
      </c>
      <c r="K10" t="str">
        <f>+VLOOKUP(C10,'AUX23'!$D$1:$N$70,11,0)</f>
        <v>02-SERVICIOS</v>
      </c>
      <c r="L10" t="str">
        <f t="shared" si="0"/>
        <v>FULL TRACK S.R.L.JULIO 23</v>
      </c>
    </row>
    <row r="11" spans="1:14" x14ac:dyDescent="0.25">
      <c r="A11" s="157" t="str">
        <f>L11&amp;COUNTIF($L$2:L11,L11)</f>
        <v>LA PROVIDENCIA DEL NOA SRLJULIO 231</v>
      </c>
      <c r="B11" t="str">
        <f>+IFERROR(VLOOKUP(A11,CARGAFACTURAS!$A:$P,6,0),"")</f>
        <v>30-68568395-0</v>
      </c>
      <c r="C11" s="11" t="s">
        <v>11</v>
      </c>
      <c r="D11" s="11"/>
      <c r="E11" s="11"/>
      <c r="F11" s="245"/>
      <c r="G11" s="134">
        <f>+SUMIFS(CARGAFACTURAS!G:G,CARGAFACTURAS!Q:Q,'I MENSUAL'!L11)</f>
        <v>795484.83200000005</v>
      </c>
      <c r="H11" s="146"/>
      <c r="I11" s="152"/>
      <c r="K11" t="str">
        <f>+VLOOKUP(C11,'AUX23'!$D$1:$N$70,11,0)</f>
        <v>02-SERVICIOS</v>
      </c>
      <c r="L11" t="str">
        <f t="shared" si="0"/>
        <v>LA PROVIDENCIA DEL NOA SRLJULIO 23</v>
      </c>
    </row>
    <row r="12" spans="1:14" ht="15.75" thickBot="1" x14ac:dyDescent="0.3">
      <c r="A12" s="157" t="str">
        <f>L12&amp;COUNTIF($L$2:L12,L12)</f>
        <v>RODRIGUEZ ZELADA ROMULO FACUNDO(JOSULO)JULIO 231</v>
      </c>
      <c r="B12" t="str">
        <f>+IFERROR(VLOOKUP(A12,CARGAFACTURAS!$A:$P,6,0),"")</f>
        <v>20-29532277-3</v>
      </c>
      <c r="C12" s="11" t="s">
        <v>720</v>
      </c>
      <c r="D12" s="11"/>
      <c r="E12" s="11"/>
      <c r="F12" s="11"/>
      <c r="G12" s="134">
        <f>+SUMIFS(CARGAFACTURAS!G:G,CARGAFACTURAS!Q:Q,'I MENSUAL'!L12)</f>
        <v>36300</v>
      </c>
      <c r="H12" s="153"/>
      <c r="I12" s="155"/>
      <c r="K12" t="str">
        <f>+VLOOKUP(C12,'AUX23'!$D$1:$N$70,11,0)</f>
        <v>02-SERVICIOS</v>
      </c>
      <c r="L12" t="str">
        <f t="shared" si="0"/>
        <v>RODRIGUEZ ZELADA ROMULO FACUNDO(JOSULO)JULIO 23</v>
      </c>
    </row>
    <row r="13" spans="1:14" ht="15.75" thickBot="1" x14ac:dyDescent="0.3">
      <c r="A13" s="157" t="str">
        <f>L13&amp;COUNTIF($L$2:L13,L13)</f>
        <v>SOCIEDAD DE OFTALMOLOGIA DE TUCUMANJULIO 231</v>
      </c>
      <c r="B13" t="str">
        <f>+IFERROR(VLOOKUP(A13,CARGAFACTURAS!$A:$P,6,0),"")</f>
        <v>30-70945940-2</v>
      </c>
      <c r="C13" s="11" t="s">
        <v>743</v>
      </c>
      <c r="D13" s="11"/>
      <c r="E13" s="11"/>
      <c r="F13" s="245"/>
      <c r="G13" s="134">
        <f>+SUMIFS(CARGAFACTURAS!G:G,CARGAFACTURAS!Q:Q,'I MENSUAL'!L13)</f>
        <v>300000</v>
      </c>
      <c r="H13" s="149"/>
      <c r="I13" s="155"/>
      <c r="K13" t="str">
        <f>+VLOOKUP(C13,'AUX23'!$D$1:$N$70,11,0)</f>
        <v>02-SERVICIOS</v>
      </c>
      <c r="L13" t="str">
        <f t="shared" si="0"/>
        <v>SOCIEDAD DE OFTALMOLOGIA DE TUCUMANJULIO 23</v>
      </c>
    </row>
    <row r="14" spans="1:14" ht="15.75" thickBot="1" x14ac:dyDescent="0.3">
      <c r="A14" s="157" t="str">
        <f>L14&amp;COUNTIF($L$2:L14,L14)</f>
        <v>WATERLIFE (VARONA CARLOS JOSE)JULIO 231</v>
      </c>
      <c r="B14" t="str">
        <f>+IFERROR(VLOOKUP(A14,CARGAFACTURAS!$A:$P,6,0),"")</f>
        <v>20-22414023-2</v>
      </c>
      <c r="C14" s="11" t="s">
        <v>20</v>
      </c>
      <c r="D14" s="11"/>
      <c r="E14" s="11"/>
      <c r="F14" s="11"/>
      <c r="G14" s="134">
        <f>+SUMIFS(CARGAFACTURAS!G:G,CARGAFACTURAS!Q:Q,'I MENSUAL'!L14)</f>
        <v>63300</v>
      </c>
      <c r="H14" s="149"/>
      <c r="I14" s="155"/>
      <c r="K14" t="str">
        <f>+VLOOKUP(C14,'AUX23'!$D$1:$N$70,11,0)</f>
        <v>02-SERVICIOS</v>
      </c>
      <c r="L14" t="str">
        <f t="shared" si="0"/>
        <v>WATERLIFE (VARONA CARLOS JOSE)JULIO 23</v>
      </c>
    </row>
    <row r="15" spans="1:14" ht="15.75" thickBot="1" x14ac:dyDescent="0.3">
      <c r="A15" s="157" t="str">
        <f>L15&amp;COUNTIF($L$2:L15,L15)</f>
        <v>CARREFOURJULIO 231</v>
      </c>
      <c r="B15" t="str">
        <f>+IFERROR(VLOOKUP(A15,CARGAFACTURAS!$A:$P,6,0),"")</f>
        <v/>
      </c>
      <c r="C15" s="11" t="s">
        <v>117</v>
      </c>
      <c r="D15" s="11"/>
      <c r="E15" s="11"/>
      <c r="F15" s="245"/>
      <c r="G15" s="134">
        <f>+SUMIFS(CARGAFACTURAS!G:G,CARGAFACTURAS!Q:Q,'I MENSUAL'!L15)</f>
        <v>0</v>
      </c>
      <c r="H15" s="149"/>
      <c r="I15" s="155"/>
      <c r="K15" t="str">
        <f>+VLOOKUP(C15,'AUX23'!$D$1:$N$70,11,0)</f>
        <v>03-VIVERES</v>
      </c>
      <c r="L15" t="str">
        <f t="shared" si="0"/>
        <v>CARREFOURJULIO 23</v>
      </c>
    </row>
    <row r="16" spans="1:14" ht="15.75" thickBot="1" x14ac:dyDescent="0.3">
      <c r="A16" s="157" t="str">
        <f>L16&amp;COUNTIF($L$2:L16,L16)</f>
        <v>MAIMARA MAXIKIOSCOJULIO 231</v>
      </c>
      <c r="B16" t="str">
        <f>+IFERROR(VLOOKUP(A16,CARGAFACTURAS!$A:$P,6,0),"")</f>
        <v>20-30068293-2</v>
      </c>
      <c r="C16" s="11" t="s">
        <v>82</v>
      </c>
      <c r="D16" s="11" t="str">
        <f>+IF(C16&lt;&gt;"",VLOOKUP(A16,CARGAFACTURAS!$A:$P,4,0),"")</f>
        <v>0011-00000741</v>
      </c>
      <c r="E16" s="11"/>
      <c r="F16" s="245">
        <f>+IF(C16&lt;&gt;"",IFERROR(VLOOKUP(A16,CARGAFACTURAS!$A:$P,5,0),""),"")</f>
        <v>45114</v>
      </c>
      <c r="G16" s="134">
        <f>+SUMIFS(CARGAFACTURAS!G:G,CARGAFACTURAS!Q:Q,'I MENSUAL'!L16)</f>
        <v>14941.31</v>
      </c>
      <c r="H16" s="149">
        <f>+IFERROR(VLOOKUP(A16,CARGAFACTURAS!$A:$P,8,0),0)</f>
        <v>0</v>
      </c>
      <c r="I16" s="155" t="s">
        <v>363</v>
      </c>
      <c r="K16" t="str">
        <f>+VLOOKUP(C16,'AUX23'!$D$1:$N$70,11,0)</f>
        <v>03-VIVERES</v>
      </c>
      <c r="L16" t="str">
        <f t="shared" si="0"/>
        <v>MAIMARA MAXIKIOSCOJULIO 23</v>
      </c>
    </row>
    <row r="17" spans="1:12" ht="15.75" thickBot="1" x14ac:dyDescent="0.3">
      <c r="A17" s="157" t="str">
        <f>L17&amp;COUNTIF($L$2:L17,L17)</f>
        <v>BERNIS ERNESTO FEDERICO(ALL TECH)JULIO 231</v>
      </c>
      <c r="B17" t="str">
        <f>+IFERROR(VLOOKUP(A17,CARGAFACTURAS!$A:$P,6,0),"")</f>
        <v>20-26782059-8</v>
      </c>
      <c r="C17" s="11" t="s">
        <v>726</v>
      </c>
      <c r="D17" s="11"/>
      <c r="E17" s="11"/>
      <c r="F17" s="245"/>
      <c r="G17" s="134">
        <f>+SUMIFS(CARGAFACTURAS!G:G,CARGAFACTURAS!Q:Q,'I MENSUAL'!L17)</f>
        <v>36177</v>
      </c>
      <c r="H17" s="149"/>
      <c r="I17" s="155"/>
      <c r="K17" t="str">
        <f>+VLOOKUP(C17,'AUX23'!$D$1:$N$70,11,0)</f>
        <v>04-MANTENIMIENTO</v>
      </c>
      <c r="L17" t="str">
        <f t="shared" si="0"/>
        <v>BERNIS ERNESTO FEDERICO(ALL TECH)JULIO 23</v>
      </c>
    </row>
    <row r="18" spans="1:12" ht="15.75" thickBot="1" x14ac:dyDescent="0.3">
      <c r="A18" s="157" t="str">
        <f>L18&amp;COUNTIF($L$2:L18,L18)</f>
        <v>CANIVARES ANTONIO OTILIOJULIO 231</v>
      </c>
      <c r="B18" t="str">
        <f>+IFERROR(VLOOKUP(A18,CARGAFACTURAS!$A:$P,6,0),"")</f>
        <v>20-07067141-8</v>
      </c>
      <c r="C18" s="11" t="s">
        <v>119</v>
      </c>
      <c r="D18" s="11" t="str">
        <f>+IF(C18&lt;&gt;"",VLOOKUP(A18,CARGAFACTURAS!$A:$P,4,0),"")</f>
        <v>0002-00000648</v>
      </c>
      <c r="E18" s="11" t="s">
        <v>222</v>
      </c>
      <c r="F18" s="245">
        <f>+IF(C18&lt;&gt;"",IFERROR(VLOOKUP(A18,CARGAFACTURAS!$A:$P,5,0),""),"")</f>
        <v>45120</v>
      </c>
      <c r="G18" s="134">
        <f>+SUMIFS(CARGAFACTURAS!G:G,CARGAFACTURAS!Q:Q,'I MENSUAL'!L18)</f>
        <v>19000</v>
      </c>
      <c r="H18" s="149">
        <f>+IFERROR(VLOOKUP(A18,CARGAFACTURAS!$A:$P,8,0),0)</f>
        <v>0</v>
      </c>
      <c r="I18" s="155" t="s">
        <v>49</v>
      </c>
      <c r="K18" t="str">
        <f>+VLOOKUP(C18,'AUX23'!$D$1:$N$70,11,0)</f>
        <v>04-MANTENIMIENTO</v>
      </c>
      <c r="L18" t="str">
        <f t="shared" si="0"/>
        <v>CANIVARES ANTONIO OTILIOJULIO 23</v>
      </c>
    </row>
    <row r="19" spans="1:12" ht="15.75" thickBot="1" x14ac:dyDescent="0.3">
      <c r="A19" s="157" t="str">
        <f>L19&amp;COUNTIF($L$2:L19,L19)</f>
        <v>DOLSA SAJULIO 231</v>
      </c>
      <c r="B19" t="str">
        <f>+IFERROR(VLOOKUP(A19,CARGAFACTURAS!$A:$P,6,0),"")</f>
        <v>30-71162078-4</v>
      </c>
      <c r="C19" s="11" t="s">
        <v>571</v>
      </c>
      <c r="D19" s="11" t="str">
        <f>+IF(C19&lt;&gt;"",VLOOKUP(A19,CARGAFACTURAS!$A:$P,4,0),"")</f>
        <v>0006-00006702</v>
      </c>
      <c r="E19" s="11"/>
      <c r="F19" s="245">
        <f>+IF(C19&lt;&gt;"",IFERROR(VLOOKUP(A19,CARGAFACTURAS!$A:$P,5,0),""),"")</f>
        <v>45120</v>
      </c>
      <c r="G19" s="134">
        <f>+SUMIFS(CARGAFACTURAS!G:G,CARGAFACTURAS!Q:Q,'I MENSUAL'!L19)</f>
        <v>59800.07</v>
      </c>
      <c r="H19" s="149">
        <f>+IFERROR(VLOOKUP(A19,CARGAFACTURAS!$A:$P,8,0),0)</f>
        <v>355.62512499999997</v>
      </c>
      <c r="I19" s="155" t="s">
        <v>49</v>
      </c>
      <c r="K19" t="str">
        <f>+VLOOKUP(C19,'AUX23'!$D$1:$N$70,11,0)</f>
        <v>04-MANTENIMIENTO</v>
      </c>
      <c r="L19" t="str">
        <f t="shared" si="0"/>
        <v>DOLSA SAJULIO 23</v>
      </c>
    </row>
    <row r="20" spans="1:12" ht="15.75" thickBot="1" x14ac:dyDescent="0.3">
      <c r="A20" s="157" t="str">
        <f>L20&amp;COUNTIF($L$2:L20,L20)</f>
        <v>ESCOBEDO LUCAS NICOLAS (PAPERTUC)JULIO 231</v>
      </c>
      <c r="B20" t="str">
        <f>+IFERROR(VLOOKUP(A20,CARGAFACTURAS!$A:$P,6,0),"")</f>
        <v>20-31729103-6</v>
      </c>
      <c r="C20" s="11" t="s">
        <v>104</v>
      </c>
      <c r="D20" s="11" t="str">
        <f>+IF(C20&lt;&gt;"",VLOOKUP(A20,CARGAFACTURAS!$A:$P,4,0),"")</f>
        <v>0005-00001012</v>
      </c>
      <c r="E20" s="11" t="s">
        <v>227</v>
      </c>
      <c r="F20" s="245">
        <f>+IF(C20&lt;&gt;"",IFERROR(VLOOKUP(A20,CARGAFACTURAS!$A:$P,5,0),""),"")</f>
        <v>45120</v>
      </c>
      <c r="G20" s="134">
        <f>+SUMIFS(CARGAFACTURAS!G:G,CARGAFACTURAS!Q:Q,'I MENSUAL'!L20)</f>
        <v>46551.7</v>
      </c>
      <c r="H20" s="149">
        <f>+IFERROR(VLOOKUP(A20,CARGAFACTURAS!$A:$P,8,0),0)</f>
        <v>507.02749999999997</v>
      </c>
      <c r="I20" s="155" t="s">
        <v>49</v>
      </c>
      <c r="K20" t="str">
        <f>+VLOOKUP(C20,'AUX23'!$D$1:$N$70,11,0)</f>
        <v>04-MANTENIMIENTO</v>
      </c>
      <c r="L20" t="str">
        <f t="shared" si="0"/>
        <v>ESCOBEDO LUCAS NICOLAS (PAPERTUC)JULIO 23</v>
      </c>
    </row>
    <row r="21" spans="1:12" ht="15.75" thickBot="1" x14ac:dyDescent="0.3">
      <c r="A21" s="157" t="str">
        <f>L21&amp;COUNTIF($L$2:L21,L21)</f>
        <v>GOMEZ PARDO RAUL(LIMPLUS)JULIO 231</v>
      </c>
      <c r="B21" t="str">
        <f>+IFERROR(VLOOKUP(A21,CARGAFACTURAS!$A:$P,6,0),"")</f>
        <v>20-34285327-8</v>
      </c>
      <c r="C21" s="11" t="s">
        <v>114</v>
      </c>
      <c r="D21" s="11"/>
      <c r="E21" s="11"/>
      <c r="F21" s="245"/>
      <c r="G21" s="134">
        <f>+SUMIFS(CARGAFACTURAS!G:G,CARGAFACTURAS!Q:Q,'I MENSUAL'!L21)</f>
        <v>46788.27</v>
      </c>
      <c r="H21" s="149"/>
      <c r="I21" s="155"/>
      <c r="K21" t="str">
        <f>+VLOOKUP(C21,'AUX23'!$D$1:$N$70,11,0)</f>
        <v>04-MANTENIMIENTO</v>
      </c>
      <c r="L21" t="str">
        <f t="shared" si="0"/>
        <v>GOMEZ PARDO RAUL(LIMPLUS)JULIO 23</v>
      </c>
    </row>
    <row r="22" spans="1:12" ht="15.75" thickBot="1" x14ac:dyDescent="0.3">
      <c r="A22" s="157" t="str">
        <f>L22&amp;COUNTIF($L$2:L22,L22)</f>
        <v>MOLINA GONZALO RAULJULIO 231</v>
      </c>
      <c r="B22" t="str">
        <f>+IFERROR(VLOOKUP(A22,CARGAFACTURAS!$A:$P,6,0),"")</f>
        <v>24-31254109-9</v>
      </c>
      <c r="C22" s="11" t="s">
        <v>643</v>
      </c>
      <c r="D22" s="11"/>
      <c r="E22" s="11"/>
      <c r="F22" s="245"/>
      <c r="G22" s="134">
        <f>+SUMIFS(CARGAFACTURAS!G:G,CARGAFACTURAS!Q:Q,'I MENSUAL'!L22)</f>
        <v>16800</v>
      </c>
      <c r="H22" s="149"/>
      <c r="I22" s="155"/>
      <c r="K22" t="str">
        <f>+VLOOKUP(C22,'AUX23'!$D$1:$N$70,11,0)</f>
        <v>04-MANTENIMIENTO</v>
      </c>
      <c r="L22" t="str">
        <f t="shared" si="0"/>
        <v>MOLINA GONZALO RAULJULIO 23</v>
      </c>
    </row>
    <row r="23" spans="1:12" ht="15.75" thickBot="1" x14ac:dyDescent="0.3">
      <c r="A23" s="157" t="str">
        <f>L23&amp;COUNTIF($L$2:L23,L23)</f>
        <v>MULTISHOP SASJULIO 231</v>
      </c>
      <c r="B23" t="str">
        <f>+IFERROR(VLOOKUP(A23,CARGAFACTURAS!$A:$P,6,0),"")</f>
        <v>33-71635571-9</v>
      </c>
      <c r="C23" s="11" t="s">
        <v>673</v>
      </c>
      <c r="D23" s="11"/>
      <c r="E23" s="11"/>
      <c r="F23" s="245"/>
      <c r="G23" s="134">
        <f>+SUMIFS(CARGAFACTURAS!G:G,CARGAFACTURAS!Q:Q,'I MENSUAL'!L23)</f>
        <v>36880</v>
      </c>
      <c r="H23" s="149">
        <f>+IFERROR(VLOOKUP(A23,CARGAFACTURAS!$A:$P,8,0),0)</f>
        <v>0</v>
      </c>
      <c r="I23" s="155" t="s">
        <v>49</v>
      </c>
      <c r="K23" t="str">
        <f>+VLOOKUP(C23,'AUX23'!$D$1:$N$70,11,0)</f>
        <v>04-MANTENIMIENTO</v>
      </c>
      <c r="L23" t="str">
        <f t="shared" si="0"/>
        <v>MULTISHOP SASJULIO 23</v>
      </c>
    </row>
    <row r="24" spans="1:12" ht="15.75" thickBot="1" x14ac:dyDescent="0.3">
      <c r="A24" s="157" t="str">
        <f>L24&amp;COUNTIF($L$2:L24,L24)</f>
        <v>NAGLE JORGE ELIAS(FERRETERIA)JULIO 231</v>
      </c>
      <c r="B24" t="str">
        <f>+IFERROR(VLOOKUP(A24,CARGAFACTURAS!$A:$P,6,0),"")</f>
        <v>20-39477352-3</v>
      </c>
      <c r="C24" s="11" t="s">
        <v>340</v>
      </c>
      <c r="D24" s="11" t="str">
        <f>+IF(C24&lt;&gt;"",VLOOKUP(A24,CARGAFACTURAS!$A:$P,4,0),"")</f>
        <v>0005-00001796</v>
      </c>
      <c r="E24" s="11" t="s">
        <v>223</v>
      </c>
      <c r="F24" s="245">
        <f>+IF(C24&lt;&gt;"",IFERROR(VLOOKUP(A24,CARGAFACTURAS!$A:$P,5,0),""),"")</f>
        <v>45139</v>
      </c>
      <c r="G24" s="134">
        <f>+SUMIFS(CARGAFACTURAS!G:G,CARGAFACTURAS!Q:Q,'I MENSUAL'!L24)</f>
        <v>5260</v>
      </c>
      <c r="H24" s="149">
        <f>+IFERROR(VLOOKUP(A24,CARGAFACTURAS!$A:$P,8,0),0)</f>
        <v>0</v>
      </c>
      <c r="I24" s="155" t="s">
        <v>49</v>
      </c>
      <c r="K24" t="str">
        <f>+VLOOKUP(C24,'AUX23'!$D$1:$N$70,11,0)</f>
        <v>04-MANTENIMIENTO</v>
      </c>
      <c r="L24" t="str">
        <f t="shared" si="0"/>
        <v>NAGLE JORGE ELIAS(FERRETERIA)JULIO 23</v>
      </c>
    </row>
    <row r="25" spans="1:12" x14ac:dyDescent="0.25">
      <c r="A25" s="157" t="str">
        <f>L25&amp;COUNTIF($L$2:L25,L25)</f>
        <v>PANTHER DISRIBUCIONES SRLJULIO 231</v>
      </c>
      <c r="B25" t="str">
        <f>+IFERROR(VLOOKUP(A25,CARGAFACTURAS!$A:$P,6,0),"")</f>
        <v/>
      </c>
      <c r="C25" s="11" t="s">
        <v>728</v>
      </c>
      <c r="D25" s="292"/>
      <c r="E25" s="11"/>
      <c r="F25" s="245"/>
      <c r="G25" s="134">
        <f>+SUMIFS(CARGAFACTURAS!G:G,CARGAFACTURAS!Q:Q,'I MENSUAL'!L25)</f>
        <v>0</v>
      </c>
      <c r="H25" s="146">
        <f>+IFERROR(VLOOKUP(A25,CARGAFACTURAS!$A:$P,8,0),0)</f>
        <v>0</v>
      </c>
      <c r="I25" t="s">
        <v>362</v>
      </c>
      <c r="K25" t="e">
        <f>+VLOOKUP(C25,'AUX23'!$D$1:$N$70,11,0)</f>
        <v>#N/A</v>
      </c>
      <c r="L25" t="str">
        <f t="shared" si="0"/>
        <v>PANTHER DISRIBUCIONES SRLJULIO 23</v>
      </c>
    </row>
    <row r="26" spans="1:12" x14ac:dyDescent="0.25">
      <c r="A26" s="157" t="str">
        <f>L26&amp;COUNTIF($L$2:L26,L26)</f>
        <v>PUERTAS RUBEN ALBERTO(PLASTINORT)JULIO 231</v>
      </c>
      <c r="B26" t="str">
        <f>+IFERROR(VLOOKUP(A26,CARGAFACTURAS!$A:$P,6,0),"")</f>
        <v>20-12576284-1</v>
      </c>
      <c r="C26" s="11" t="s">
        <v>107</v>
      </c>
      <c r="D26" s="292" t="str">
        <f>+IF(C26&lt;&gt;"",VLOOKUP(A26,CARGAFACTURAS!$A:$P,4,0),"")</f>
        <v>0006-00042664</v>
      </c>
      <c r="E26" s="11"/>
      <c r="F26" s="245">
        <f>+IF(C26&lt;&gt;"",IFERROR(VLOOKUP(A26,CARGAFACTURAS!$A:$P,5,0),""),"")</f>
        <v>45120</v>
      </c>
      <c r="G26" s="134">
        <f>+SUMIFS(CARGAFACTURAS!G:G,CARGAFACTURAS!Q:Q,'I MENSUAL'!L26)</f>
        <v>6300</v>
      </c>
      <c r="H26" s="146">
        <f>+IFERROR(VLOOKUP(A26,CARGAFACTURAS!$A:$P,8,0),0)</f>
        <v>0</v>
      </c>
      <c r="I26" t="s">
        <v>49</v>
      </c>
      <c r="K26" t="str">
        <f>+VLOOKUP(C26,'AUX23'!$D$1:$N$70,11,0)</f>
        <v>04-MANTENIMIENTO</v>
      </c>
      <c r="L26" t="str">
        <f t="shared" si="0"/>
        <v>PUERTAS RUBEN ALBERTO(PLASTINORT)JULIO 23</v>
      </c>
    </row>
    <row r="27" spans="1:12" x14ac:dyDescent="0.25">
      <c r="A27" s="157" t="str">
        <f>L27&amp;COUNTIF($L$2:L27,L27)</f>
        <v>REINA ELECTRONICA SASJULIO 231</v>
      </c>
      <c r="B27" t="str">
        <f>+IFERROR(VLOOKUP(A27,CARGAFACTURAS!$A:$P,6,0),"")</f>
        <v>30-71779827-5</v>
      </c>
      <c r="C27" s="11" t="s">
        <v>702</v>
      </c>
      <c r="D27" t="str">
        <f>+IF(C27&lt;&gt;"",VLOOKUP(A27,CARGAFACTURAS!$A:$P,4,0),"")</f>
        <v>0001-00000021</v>
      </c>
      <c r="E27" t="s">
        <v>224</v>
      </c>
      <c r="F27" s="177">
        <f>+IF(C27&lt;&gt;"",IFERROR(VLOOKUP(A27,CARGAFACTURAS!$A:$P,5,0),""),"")</f>
        <v>45128</v>
      </c>
      <c r="G27" s="134">
        <f>+SUMIFS(CARGAFACTURAS!G:G,CARGAFACTURAS!Q:Q,'I MENSUAL'!L27)</f>
        <v>13200</v>
      </c>
      <c r="H27" s="146">
        <f>+IFERROR(VLOOKUP(A27,CARGAFACTURAS!$A:$P,8,0),0)</f>
        <v>0</v>
      </c>
      <c r="I27" t="s">
        <v>49</v>
      </c>
      <c r="K27" t="str">
        <f>+VLOOKUP(C27,'AUX23'!$D$1:$N$70,11,0)</f>
        <v>04-MANTENIMIENTO</v>
      </c>
      <c r="L27" t="str">
        <f t="shared" si="0"/>
        <v>REINA ELECTRONICA SASJULIO 23</v>
      </c>
    </row>
    <row r="28" spans="1:12" x14ac:dyDescent="0.25">
      <c r="A28" s="157" t="str">
        <f>L28&amp;COUNTIF($L$2:L28,L28)</f>
        <v>ROTTA FRANCISCO(COMPUMAQ)JULIO 231</v>
      </c>
      <c r="B28" t="str">
        <f>+IFERROR(VLOOKUP(A28,CARGAFACTURAS!$A:$P,6,0),"")</f>
        <v>20-16216700-7</v>
      </c>
      <c r="C28" s="11" t="s">
        <v>188</v>
      </c>
      <c r="D28" t="str">
        <f>+IF(C28&lt;&gt;"",VLOOKUP(A28,CARGAFACTURAS!$A:$P,4,0),"")</f>
        <v>0003-00002673</v>
      </c>
      <c r="F28" s="177">
        <f>+IF(C28&lt;&gt;"",IFERROR(VLOOKUP(A28,CARGAFACTURAS!$A:$P,5,0),""),"")</f>
        <v>45120</v>
      </c>
      <c r="G28" s="134">
        <f>+SUMIFS(CARGAFACTURAS!G:G,CARGAFACTURAS!Q:Q,'I MENSUAL'!L28)</f>
        <v>71200</v>
      </c>
      <c r="H28" s="146">
        <f>+IFERROR(VLOOKUP(A28,CARGAFACTURAS!$A:$P,8,0),0)</f>
        <v>331.25</v>
      </c>
      <c r="I28" t="s">
        <v>49</v>
      </c>
      <c r="K28" t="str">
        <f>+VLOOKUP(C28,'AUX23'!$D$1:$N$70,11,0)</f>
        <v>04-MANTENIMIENTO</v>
      </c>
      <c r="L28" t="str">
        <f t="shared" si="0"/>
        <v>ROTTA FRANCISCO(COMPUMAQ)JULIO 23</v>
      </c>
    </row>
    <row r="29" spans="1:12" x14ac:dyDescent="0.25">
      <c r="A29" s="157" t="str">
        <f>L29&amp;COUNTIF($L$2:L29,L29)</f>
        <v>1</v>
      </c>
      <c r="B29" t="str">
        <f>+IFERROR(VLOOKUP(A29,CARGAFACTURAS!$A:$P,6,0),"")</f>
        <v/>
      </c>
      <c r="G29" s="134">
        <f>+SUMIFS(CARGAFACTURAS!G:G,CARGAFACTURAS!Q:Q,'I MENSUAL'!L29)</f>
        <v>0</v>
      </c>
      <c r="H29" s="146"/>
      <c r="K29" t="e">
        <f>+VLOOKUP(C29,'AUX23'!$D$1:$N$70,11,0)</f>
        <v>#N/A</v>
      </c>
      <c r="L29" t="str">
        <f t="shared" ref="L29:L45" si="1">+IF(C29&lt;&gt;"",C29&amp;$L$1,"")</f>
        <v/>
      </c>
    </row>
    <row r="30" spans="1:12" x14ac:dyDescent="0.25">
      <c r="A30" s="157" t="str">
        <f>L30&amp;COUNTIF($L$2:L30,L30)</f>
        <v>2</v>
      </c>
      <c r="B30" t="str">
        <f>+IFERROR(VLOOKUP(A30,CARGAFACTURAS!$A:$P,6,0),"")</f>
        <v/>
      </c>
      <c r="G30" s="134">
        <f>+SUMIFS(CARGAFACTURAS!G:G,CARGAFACTURAS!Q:Q,'I MENSUAL'!L30)</f>
        <v>0</v>
      </c>
      <c r="H30" s="146"/>
      <c r="K30" t="e">
        <f>+VLOOKUP(C30,'AUX23'!$D$1:$N$70,11,0)</f>
        <v>#N/A</v>
      </c>
      <c r="L30" t="str">
        <f t="shared" si="1"/>
        <v/>
      </c>
    </row>
    <row r="31" spans="1:12" x14ac:dyDescent="0.25">
      <c r="A31" s="157" t="str">
        <f>L31&amp;COUNTIF($L$2:L31,L31)</f>
        <v>3</v>
      </c>
      <c r="B31" t="str">
        <f>+IFERROR(VLOOKUP(A31,CARGAFACTURAS!$A:$P,6,0),"")</f>
        <v/>
      </c>
      <c r="G31" s="134">
        <f>+SUMIFS(CARGAFACTURAS!G:G,CARGAFACTURAS!Q:Q,'I MENSUAL'!L31)</f>
        <v>0</v>
      </c>
      <c r="H31" s="146"/>
      <c r="K31" t="e">
        <f>+VLOOKUP(C31,'AUX23'!$D$1:$N$70,11,0)</f>
        <v>#N/A</v>
      </c>
      <c r="L31" t="str">
        <f t="shared" si="1"/>
        <v/>
      </c>
    </row>
    <row r="32" spans="1:12" x14ac:dyDescent="0.25">
      <c r="A32" s="157" t="str">
        <f>L32&amp;COUNTIF($L$2:L32,L32)</f>
        <v>4</v>
      </c>
      <c r="B32" t="str">
        <f>+IFERROR(VLOOKUP(A32,CARGAFACTURAS!$A:$P,6,0),"")</f>
        <v/>
      </c>
      <c r="G32" s="134">
        <f>+SUMIFS(CARGAFACTURAS!G:G,CARGAFACTURAS!Q:Q,'I MENSUAL'!L32)</f>
        <v>0</v>
      </c>
      <c r="H32" s="146"/>
      <c r="K32" t="e">
        <f>+VLOOKUP(C32,'AUX23'!$D$1:$N$70,11,0)</f>
        <v>#N/A</v>
      </c>
      <c r="L32" t="str">
        <f t="shared" si="1"/>
        <v/>
      </c>
    </row>
    <row r="33" spans="1:12" x14ac:dyDescent="0.25">
      <c r="A33" s="157" t="str">
        <f>L33&amp;COUNTIF($L$2:L33,L33)</f>
        <v>5</v>
      </c>
      <c r="B33" t="str">
        <f>+IFERROR(VLOOKUP(A33,CARGAFACTURAS!$A:$P,6,0),"")</f>
        <v/>
      </c>
      <c r="G33" s="134">
        <f>+SUMIFS(CARGAFACTURAS!G:G,CARGAFACTURAS!Q:Q,'I MENSUAL'!L33)</f>
        <v>0</v>
      </c>
      <c r="H33" s="146"/>
      <c r="K33" t="e">
        <f>+VLOOKUP(C33,'AUX23'!$D$1:$N$70,11,0)</f>
        <v>#N/A</v>
      </c>
      <c r="L33" t="str">
        <f t="shared" si="1"/>
        <v/>
      </c>
    </row>
    <row r="34" spans="1:12" x14ac:dyDescent="0.25">
      <c r="A34" s="157" t="str">
        <f>L34&amp;COUNTIF($L$2:L34,L34)</f>
        <v>6</v>
      </c>
      <c r="B34" t="str">
        <f>+IFERROR(VLOOKUP(A34,CARGAFACTURAS!$A:$P,6,0),"")</f>
        <v/>
      </c>
      <c r="G34" s="134">
        <f>+SUMIFS(CARGAFACTURAS!G:G,CARGAFACTURAS!Q:Q,'I MENSUAL'!L34)</f>
        <v>0</v>
      </c>
      <c r="H34" s="146"/>
      <c r="K34" t="e">
        <f>+VLOOKUP(C34,'AUX23'!$D$1:$N$70,11,0)</f>
        <v>#N/A</v>
      </c>
      <c r="L34" t="str">
        <f t="shared" si="1"/>
        <v/>
      </c>
    </row>
    <row r="35" spans="1:12" x14ac:dyDescent="0.25">
      <c r="A35" s="157" t="str">
        <f>L35&amp;COUNTIF($L$2:L35,L35)</f>
        <v>7</v>
      </c>
      <c r="B35" t="str">
        <f>+IFERROR(VLOOKUP(A35,CARGAFACTURAS!$A:$P,6,0),"")</f>
        <v/>
      </c>
      <c r="G35" s="134">
        <f>+SUMIFS(CARGAFACTURAS!G:G,CARGAFACTURAS!Q:Q,'I MENSUAL'!L35)</f>
        <v>0</v>
      </c>
      <c r="H35" s="146"/>
      <c r="K35" t="e">
        <f>+VLOOKUP(C35,'AUX23'!$D$1:$N$70,11,0)</f>
        <v>#N/A</v>
      </c>
      <c r="L35" t="str">
        <f t="shared" si="1"/>
        <v/>
      </c>
    </row>
    <row r="36" spans="1:12" x14ac:dyDescent="0.25">
      <c r="A36" s="157" t="str">
        <f>L36&amp;COUNTIF($L$2:L36,L36)</f>
        <v>8</v>
      </c>
      <c r="B36" t="str">
        <f>+IFERROR(VLOOKUP(A36,CARGAFACTURAS!$A:$P,6,0),"")</f>
        <v/>
      </c>
      <c r="G36" s="134">
        <f>+SUMIFS(CARGAFACTURAS!G:G,CARGAFACTURAS!Q:Q,'I MENSUAL'!L36)</f>
        <v>0</v>
      </c>
      <c r="H36" s="146"/>
      <c r="K36" t="e">
        <f>+VLOOKUP(C36,'AUX23'!$D$1:$N$70,11,0)</f>
        <v>#N/A</v>
      </c>
      <c r="L36" t="str">
        <f t="shared" si="1"/>
        <v/>
      </c>
    </row>
    <row r="37" spans="1:12" x14ac:dyDescent="0.25">
      <c r="A37" s="157" t="str">
        <f>L37&amp;COUNTIF($L$2:L37,L37)</f>
        <v>9</v>
      </c>
      <c r="B37" t="str">
        <f>+IFERROR(VLOOKUP(A37,CARGAFACTURAS!$A:$P,6,0),"")</f>
        <v/>
      </c>
      <c r="G37" s="134">
        <f>+SUMIFS(CARGAFACTURAS!G:G,CARGAFACTURAS!Q:Q,'I MENSUAL'!L37)</f>
        <v>0</v>
      </c>
      <c r="H37" s="146"/>
      <c r="K37" t="e">
        <f>+VLOOKUP(C37,'AUX23'!$D$1:$N$70,11,0)</f>
        <v>#N/A</v>
      </c>
      <c r="L37" t="str">
        <f t="shared" si="1"/>
        <v/>
      </c>
    </row>
    <row r="38" spans="1:12" x14ac:dyDescent="0.25">
      <c r="A38" s="157" t="str">
        <f>L38&amp;COUNTIF($L$2:L38,L38)</f>
        <v>10</v>
      </c>
      <c r="B38" t="str">
        <f>+IFERROR(VLOOKUP(A38,CARGAFACTURAS!$A:$P,6,0),"")</f>
        <v/>
      </c>
      <c r="G38" s="134">
        <f>+SUMIFS(CARGAFACTURAS!G:G,CARGAFACTURAS!Q:Q,'I MENSUAL'!L38)</f>
        <v>0</v>
      </c>
      <c r="H38" s="146"/>
      <c r="K38" t="e">
        <f>+VLOOKUP(C38,'AUX23'!$D$1:$N$70,11,0)</f>
        <v>#N/A</v>
      </c>
      <c r="L38" t="str">
        <f t="shared" si="1"/>
        <v/>
      </c>
    </row>
    <row r="39" spans="1:12" x14ac:dyDescent="0.25">
      <c r="A39" s="157" t="str">
        <f>L39&amp;COUNTIF($L$2:L39,L39)</f>
        <v>11</v>
      </c>
      <c r="B39" t="str">
        <f>+IFERROR(VLOOKUP(A39,CARGAFACTURAS!$A:$P,6,0),"")</f>
        <v/>
      </c>
      <c r="G39" s="134">
        <f>+SUMIFS(CARGAFACTURAS!G:G,CARGAFACTURAS!Q:Q,'I MENSUAL'!L39)</f>
        <v>0</v>
      </c>
      <c r="H39" s="146"/>
      <c r="K39" t="e">
        <f>+VLOOKUP(C39,'AUX23'!$D$1:$N$70,11,0)</f>
        <v>#N/A</v>
      </c>
      <c r="L39" t="str">
        <f t="shared" si="1"/>
        <v/>
      </c>
    </row>
    <row r="40" spans="1:12" x14ac:dyDescent="0.25">
      <c r="A40" s="157" t="str">
        <f>L40&amp;COUNTIF($L$2:L40,L40)</f>
        <v>12</v>
      </c>
      <c r="B40" t="str">
        <f>+IFERROR(VLOOKUP(A40,CARGAFACTURAS!$A:$P,6,0),"")</f>
        <v/>
      </c>
      <c r="G40" s="134">
        <f>+SUMIFS(CARGAFACTURAS!G:G,CARGAFACTURAS!Q:Q,'I MENSUAL'!L40)</f>
        <v>0</v>
      </c>
      <c r="H40" s="146"/>
      <c r="K40" t="e">
        <f>+VLOOKUP(C40,'AUX23'!$D$1:$N$70,11,0)</f>
        <v>#N/A</v>
      </c>
      <c r="L40" t="str">
        <f t="shared" si="1"/>
        <v/>
      </c>
    </row>
    <row r="41" spans="1:12" x14ac:dyDescent="0.25">
      <c r="A41" s="157" t="str">
        <f>L41&amp;COUNTIF($L$2:L41,L41)</f>
        <v>13</v>
      </c>
      <c r="B41" t="str">
        <f>+IFERROR(VLOOKUP(A41,CARGAFACTURAS!$A:$P,6,0),"")</f>
        <v/>
      </c>
      <c r="G41" s="134">
        <f>+SUMIFS(CARGAFACTURAS!G:G,CARGAFACTURAS!Q:Q,'I MENSUAL'!L41)</f>
        <v>0</v>
      </c>
      <c r="H41" s="146"/>
      <c r="K41" t="e">
        <f>+VLOOKUP(C41,'AUX23'!$D$1:$N$70,11,0)</f>
        <v>#N/A</v>
      </c>
      <c r="L41" t="str">
        <f t="shared" si="1"/>
        <v/>
      </c>
    </row>
    <row r="42" spans="1:12" x14ac:dyDescent="0.25">
      <c r="A42" s="157" t="str">
        <f>L42&amp;COUNTIF($L$2:L42,L42)</f>
        <v>14</v>
      </c>
      <c r="B42" t="str">
        <f>+IFERROR(VLOOKUP(A42,CARGAFACTURAS!$A:$P,6,0),"")</f>
        <v/>
      </c>
      <c r="G42" s="134">
        <f>+SUMIFS(CARGAFACTURAS!G:G,CARGAFACTURAS!Q:Q,'I MENSUAL'!L42)</f>
        <v>0</v>
      </c>
      <c r="H42" s="146"/>
      <c r="K42" t="e">
        <f>+VLOOKUP(C42,'AUX23'!$D$1:$N$70,11,0)</f>
        <v>#N/A</v>
      </c>
      <c r="L42" t="str">
        <f t="shared" si="1"/>
        <v/>
      </c>
    </row>
    <row r="43" spans="1:12" x14ac:dyDescent="0.25">
      <c r="A43" s="157" t="str">
        <f>L43&amp;COUNTIF($L$2:L43,L43)</f>
        <v>15</v>
      </c>
      <c r="B43" t="str">
        <f>+IFERROR(VLOOKUP(A43,CARGAFACTURAS!$A:$P,6,0),"")</f>
        <v/>
      </c>
      <c r="G43" s="134">
        <f>+SUMIFS(CARGAFACTURAS!G:G,CARGAFACTURAS!Q:Q,'I MENSUAL'!L43)</f>
        <v>0</v>
      </c>
      <c r="H43" s="146"/>
      <c r="K43" t="e">
        <f>+VLOOKUP(C43,'AUX23'!$D$1:$N$70,11,0)</f>
        <v>#N/A</v>
      </c>
      <c r="L43" t="str">
        <f t="shared" si="1"/>
        <v/>
      </c>
    </row>
    <row r="44" spans="1:12" x14ac:dyDescent="0.25">
      <c r="A44" s="157" t="str">
        <f>L44&amp;COUNTIF($L$2:L44,L44)</f>
        <v>16</v>
      </c>
      <c r="B44" t="str">
        <f>+IFERROR(VLOOKUP(A44,CARGAFACTURAS!$A:$P,6,0),"")</f>
        <v/>
      </c>
      <c r="G44" s="134">
        <f>+SUMIFS(CARGAFACTURAS!G:G,CARGAFACTURAS!Q:Q,'I MENSUAL'!L44)</f>
        <v>0</v>
      </c>
      <c r="H44" s="146"/>
      <c r="K44" t="e">
        <f>+VLOOKUP(C44,'AUX23'!$D$1:$N$70,11,0)</f>
        <v>#N/A</v>
      </c>
      <c r="L44" t="str">
        <f t="shared" si="1"/>
        <v/>
      </c>
    </row>
    <row r="45" spans="1:12" x14ac:dyDescent="0.25">
      <c r="A45" s="157" t="str">
        <f>L45&amp;COUNTIF($L$2:L45,L45)</f>
        <v>17</v>
      </c>
      <c r="B45" t="str">
        <f>+IFERROR(VLOOKUP(A45,CARGAFACTURAS!$A:$P,6,0),"")</f>
        <v/>
      </c>
      <c r="G45" s="134">
        <f>+SUMIFS(CARGAFACTURAS!G:G,CARGAFACTURAS!Q:Q,'I MENSUAL'!L45)</f>
        <v>0</v>
      </c>
      <c r="H45" s="146"/>
      <c r="K45" t="e">
        <f>+VLOOKUP(C45,'AUX23'!$D$1:$N$70,11,0)</f>
        <v>#N/A</v>
      </c>
      <c r="L45" t="str">
        <f t="shared" si="1"/>
        <v/>
      </c>
    </row>
    <row r="46" spans="1:12" x14ac:dyDescent="0.25">
      <c r="G46" s="146"/>
    </row>
    <row r="47" spans="1:12" x14ac:dyDescent="0.25">
      <c r="G47" s="146"/>
    </row>
    <row r="48" spans="1:12" x14ac:dyDescent="0.25">
      <c r="G48" s="146"/>
    </row>
    <row r="49" spans="3:15" x14ac:dyDescent="0.25">
      <c r="G49" s="146"/>
    </row>
    <row r="50" spans="3:15" x14ac:dyDescent="0.25">
      <c r="G50" s="146"/>
    </row>
    <row r="51" spans="3:15" x14ac:dyDescent="0.25">
      <c r="G51" s="146"/>
    </row>
    <row r="52" spans="3:15" x14ac:dyDescent="0.25">
      <c r="G52" s="146"/>
    </row>
    <row r="53" spans="3:15" ht="15.75" thickBot="1" x14ac:dyDescent="0.3">
      <c r="G53" s="146"/>
    </row>
    <row r="54" spans="3:15" ht="15.75" thickBot="1" x14ac:dyDescent="0.3">
      <c r="C54" t="s">
        <v>510</v>
      </c>
      <c r="G54" s="244">
        <f>+SUM(G2:G45)</f>
        <v>3849404.5219999999</v>
      </c>
      <c r="H54" s="182">
        <f>+SUM(H2:H11)</f>
        <v>10597.25</v>
      </c>
    </row>
    <row r="55" spans="3:15" x14ac:dyDescent="0.25">
      <c r="C55" t="s">
        <v>202</v>
      </c>
      <c r="G55" s="217">
        <f>+FONDOS!H8+FONDOS!G8</f>
        <v>689700</v>
      </c>
      <c r="N55" t="s">
        <v>365</v>
      </c>
      <c r="O55" s="141">
        <f>+SUMIF($K$2:$K$45,N55,$G$2:$G$45)</f>
        <v>193902.49</v>
      </c>
    </row>
    <row r="56" spans="3:15" x14ac:dyDescent="0.25">
      <c r="C56" t="s">
        <v>142</v>
      </c>
      <c r="G56" s="217">
        <f>+G54-G55</f>
        <v>3159704.5219999999</v>
      </c>
      <c r="N56" t="s">
        <v>366</v>
      </c>
      <c r="O56" s="141">
        <f t="shared" ref="O56:O58" si="2">+SUMIF($K$2:$K$45,N56,$G$2:$G$45)</f>
        <v>3282603.682</v>
      </c>
    </row>
    <row r="57" spans="3:15" x14ac:dyDescent="0.25">
      <c r="N57" t="s">
        <v>367</v>
      </c>
      <c r="O57" s="141">
        <f t="shared" si="2"/>
        <v>14941.31</v>
      </c>
    </row>
    <row r="58" spans="3:15" x14ac:dyDescent="0.25">
      <c r="N58" t="s">
        <v>368</v>
      </c>
      <c r="O58" s="141">
        <f t="shared" si="2"/>
        <v>357957.04000000004</v>
      </c>
    </row>
    <row r="59" spans="3:15" x14ac:dyDescent="0.25">
      <c r="O59" s="1">
        <f>SUM(O55:O58)</f>
        <v>3849404.5220000003</v>
      </c>
    </row>
    <row r="73" spans="3:3" x14ac:dyDescent="0.25">
      <c r="C73" t="s">
        <v>50</v>
      </c>
    </row>
    <row r="74" spans="3:3" x14ac:dyDescent="0.25">
      <c r="C74" t="s">
        <v>92</v>
      </c>
    </row>
    <row r="75" spans="3:3" x14ac:dyDescent="0.25">
      <c r="C75" t="s">
        <v>11</v>
      </c>
    </row>
    <row r="76" spans="3:3" x14ac:dyDescent="0.25">
      <c r="C76" t="s">
        <v>104</v>
      </c>
    </row>
    <row r="77" spans="3:3" x14ac:dyDescent="0.25">
      <c r="C77" t="s">
        <v>98</v>
      </c>
    </row>
    <row r="78" spans="3:3" x14ac:dyDescent="0.25">
      <c r="C78" t="s">
        <v>114</v>
      </c>
    </row>
    <row r="79" spans="3:3" x14ac:dyDescent="0.25">
      <c r="C79" t="s">
        <v>452</v>
      </c>
    </row>
    <row r="80" spans="3:3" x14ac:dyDescent="0.25">
      <c r="C80" t="s">
        <v>442</v>
      </c>
    </row>
    <row r="81" spans="3:3" x14ac:dyDescent="0.25">
      <c r="C81" t="s">
        <v>117</v>
      </c>
    </row>
    <row r="82" spans="3:3" x14ac:dyDescent="0.25">
      <c r="C82" t="s">
        <v>100</v>
      </c>
    </row>
    <row r="83" spans="3:3" x14ac:dyDescent="0.25">
      <c r="C83" t="s">
        <v>458</v>
      </c>
    </row>
    <row r="84" spans="3:3" x14ac:dyDescent="0.25">
      <c r="C84" t="s">
        <v>462</v>
      </c>
    </row>
    <row r="85" spans="3:3" x14ac:dyDescent="0.25">
      <c r="C85" t="s">
        <v>82</v>
      </c>
    </row>
    <row r="86" spans="3:3" x14ac:dyDescent="0.25">
      <c r="C86" t="s">
        <v>340</v>
      </c>
    </row>
    <row r="87" spans="3:3" x14ac:dyDescent="0.25">
      <c r="C87" t="s">
        <v>266</v>
      </c>
    </row>
    <row r="88" spans="3:3" x14ac:dyDescent="0.25">
      <c r="C88" t="s">
        <v>109</v>
      </c>
    </row>
    <row r="89" spans="3:3" x14ac:dyDescent="0.25">
      <c r="C89" t="s">
        <v>136</v>
      </c>
    </row>
    <row r="90" spans="3:3" x14ac:dyDescent="0.25">
      <c r="C90" t="s">
        <v>253</v>
      </c>
    </row>
    <row r="91" spans="3:3" x14ac:dyDescent="0.25">
      <c r="C91" t="s">
        <v>477</v>
      </c>
    </row>
    <row r="92" spans="3:3" x14ac:dyDescent="0.25">
      <c r="C92" t="s">
        <v>476</v>
      </c>
    </row>
    <row r="93" spans="3:3" x14ac:dyDescent="0.25">
      <c r="C93" t="s">
        <v>10</v>
      </c>
    </row>
    <row r="94" spans="3:3" x14ac:dyDescent="0.25">
      <c r="C94" t="s">
        <v>188</v>
      </c>
    </row>
    <row r="95" spans="3:3" x14ac:dyDescent="0.25">
      <c r="C95" t="s">
        <v>18</v>
      </c>
    </row>
    <row r="96" spans="3:3" x14ac:dyDescent="0.25">
      <c r="C96" t="s">
        <v>486</v>
      </c>
    </row>
    <row r="97" spans="3:3" x14ac:dyDescent="0.25">
      <c r="C97" t="s">
        <v>411</v>
      </c>
    </row>
    <row r="98" spans="3:3" x14ac:dyDescent="0.25">
      <c r="C98" t="s">
        <v>495</v>
      </c>
    </row>
    <row r="99" spans="3:3" x14ac:dyDescent="0.25">
      <c r="C99" t="s">
        <v>491</v>
      </c>
    </row>
    <row r="100" spans="3:3" x14ac:dyDescent="0.25">
      <c r="C100" t="s">
        <v>107</v>
      </c>
    </row>
  </sheetData>
  <autoFilter ref="A1:M24" xr:uid="{F5661E04-2EB0-4FBB-89FB-F37F6B70E767}"/>
  <sortState xmlns:xlrd2="http://schemas.microsoft.com/office/spreadsheetml/2017/richdata2" ref="A2:M28">
    <sortCondition ref="K2:K28"/>
    <sortCondition ref="C2:C28"/>
  </sortState>
  <phoneticPr fontId="18" type="noConversion"/>
  <conditionalFormatting sqref="C2:C53">
    <cfRule type="duplicateValues" dxfId="0" priority="11"/>
  </conditionalFormatting>
  <dataValidations count="1">
    <dataValidation type="list" allowBlank="1" showInputMessage="1" showErrorMessage="1" sqref="N1" xr:uid="{A19AEAFA-B4A5-47E3-82B7-598E8522D5FD}">
      <formula1>"1,2,3,4,5,6,7"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AE842B1-1B18-4218-A7D8-689CBB906121}">
          <x14:formula1>
            <xm:f>'AUX23'!$A$2:$A$9</xm:f>
          </x14:formula1>
          <xm:sqref>L1</xm:sqref>
        </x14:dataValidation>
        <x14:dataValidation type="list" allowBlank="1" showInputMessage="1" showErrorMessage="1" xr:uid="{2A1D6C73-2ED6-488F-A6CC-3102C7C5E28E}">
          <x14:formula1>
            <xm:f>'AUX23'!$D$2:$D$131</xm:f>
          </x14:formula1>
          <xm:sqref>C2:C23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74ED-F858-481E-9A8F-B99D41C76244}">
  <sheetPr>
    <pageSetUpPr fitToPage="1"/>
  </sheetPr>
  <dimension ref="A1:M459"/>
  <sheetViews>
    <sheetView topLeftCell="A192" workbookViewId="0">
      <selection activeCell="B202" sqref="B202"/>
    </sheetView>
  </sheetViews>
  <sheetFormatPr baseColWidth="10" defaultRowHeight="15" x14ac:dyDescent="0.25"/>
  <cols>
    <col min="1" max="1" width="3.7109375" customWidth="1"/>
    <col min="3" max="3" width="11.28515625" customWidth="1"/>
    <col min="4" max="4" width="32.7109375" customWidth="1"/>
    <col min="5" max="6" width="14" style="141" bestFit="1" customWidth="1"/>
    <col min="7" max="7" width="14.7109375" style="141" bestFit="1" customWidth="1"/>
    <col min="8" max="8" width="11" customWidth="1"/>
    <col min="10" max="10" width="5.28515625" customWidth="1"/>
    <col min="11" max="11" width="15.140625" customWidth="1"/>
    <col min="12" max="12" width="14.7109375" bestFit="1" customWidth="1"/>
    <col min="13" max="13" width="5.28515625" customWidth="1"/>
  </cols>
  <sheetData>
    <row r="1" spans="1:13" s="139" customFormat="1" ht="45" x14ac:dyDescent="0.25">
      <c r="A1" s="228" t="s">
        <v>218</v>
      </c>
      <c r="B1" s="228" t="s">
        <v>0</v>
      </c>
      <c r="C1" s="228" t="s">
        <v>400</v>
      </c>
      <c r="D1" s="228" t="s">
        <v>399</v>
      </c>
      <c r="E1" s="251" t="s">
        <v>392</v>
      </c>
      <c r="F1" s="251" t="s">
        <v>393</v>
      </c>
      <c r="G1" s="251" t="s">
        <v>394</v>
      </c>
      <c r="H1" s="228" t="s">
        <v>395</v>
      </c>
      <c r="I1" s="228" t="s">
        <v>142</v>
      </c>
      <c r="J1" s="228" t="s">
        <v>404</v>
      </c>
      <c r="K1" s="228" t="s">
        <v>199</v>
      </c>
      <c r="M1" s="176" t="s">
        <v>401</v>
      </c>
    </row>
    <row r="2" spans="1:13" x14ac:dyDescent="0.25">
      <c r="A2" s="11" t="str">
        <f>+M2&amp;COUNTIF($M$2:M2,M2)</f>
        <v>ACREDITACION SIPROSAENERO 231</v>
      </c>
      <c r="B2" s="204">
        <v>44931</v>
      </c>
      <c r="C2" s="11">
        <v>18584450</v>
      </c>
      <c r="D2" s="11" t="s">
        <v>398</v>
      </c>
      <c r="E2" s="134">
        <v>2244435.4500000002</v>
      </c>
      <c r="F2" s="134"/>
      <c r="G2" s="134">
        <f>611428.69+E2</f>
        <v>2855864.14</v>
      </c>
      <c r="H2" s="11"/>
      <c r="I2" s="11" t="s">
        <v>166</v>
      </c>
      <c r="J2" s="11" t="s">
        <v>405</v>
      </c>
      <c r="K2" s="11"/>
      <c r="M2" t="str">
        <f>+CLEAN(D2)&amp;CLEAN(I2)</f>
        <v>ACREDITACION SIPROSAENERO 23</v>
      </c>
    </row>
    <row r="3" spans="1:13" x14ac:dyDescent="0.25">
      <c r="A3" s="11" t="str">
        <f>+M3&amp;COUNTIF($M$2:M3,M3)</f>
        <v>BANCO MACRO (IIBB)DIC 221</v>
      </c>
      <c r="B3" s="204">
        <v>44938</v>
      </c>
      <c r="C3" s="11">
        <v>36068179</v>
      </c>
      <c r="D3" s="11" t="s">
        <v>403</v>
      </c>
      <c r="E3" s="134"/>
      <c r="F3" s="134">
        <v>50000</v>
      </c>
      <c r="G3" s="134">
        <f>+G2+E3-F3</f>
        <v>2805864.14</v>
      </c>
      <c r="H3" s="11"/>
      <c r="I3" s="246" t="s">
        <v>410</v>
      </c>
      <c r="J3" s="11" t="s">
        <v>406</v>
      </c>
      <c r="K3" s="11"/>
      <c r="M3" t="str">
        <f t="shared" ref="M3:M47" si="0">+CLEAN(D3)&amp;CLEAN(I3)</f>
        <v>BANCO MACRO (IIBB)DIC 22</v>
      </c>
    </row>
    <row r="4" spans="1:13" x14ac:dyDescent="0.25">
      <c r="A4" s="11" t="str">
        <f>+M4&amp;COUNTIF($M$2:M4,M4)</f>
        <v>FULL TRACK S.R.L.DIC 221</v>
      </c>
      <c r="B4" s="204">
        <v>44938</v>
      </c>
      <c r="C4" s="11">
        <v>31865024</v>
      </c>
      <c r="D4" s="11" t="s">
        <v>98</v>
      </c>
      <c r="E4" s="134"/>
      <c r="F4" s="134">
        <v>223975.76</v>
      </c>
      <c r="G4" s="134">
        <f t="shared" ref="G4:G47" si="1">+G3+E4-F4</f>
        <v>2581888.38</v>
      </c>
      <c r="H4" s="11"/>
      <c r="I4" s="246" t="s">
        <v>410</v>
      </c>
      <c r="J4" s="11" t="s">
        <v>405</v>
      </c>
      <c r="K4" s="11"/>
      <c r="M4" t="str">
        <f t="shared" si="0"/>
        <v>FULL TRACK S.R.L.DIC 22</v>
      </c>
    </row>
    <row r="5" spans="1:13" x14ac:dyDescent="0.25">
      <c r="A5" s="11" t="str">
        <f>+M5&amp;COUNTIF($M$2:M5,M5)</f>
        <v>RET SIPROSA IVADIC 221</v>
      </c>
      <c r="B5" s="204">
        <v>44938</v>
      </c>
      <c r="C5" s="11">
        <v>31865044</v>
      </c>
      <c r="D5" s="11" t="s">
        <v>407</v>
      </c>
      <c r="E5" s="134"/>
      <c r="F5" s="134">
        <v>54823.68</v>
      </c>
      <c r="G5" s="134">
        <f t="shared" si="1"/>
        <v>2527064.6999999997</v>
      </c>
      <c r="H5" s="11"/>
      <c r="I5" s="246" t="s">
        <v>410</v>
      </c>
      <c r="J5" s="11" t="s">
        <v>405</v>
      </c>
      <c r="K5" s="11"/>
      <c r="M5" t="str">
        <f t="shared" si="0"/>
        <v>RET SIPROSA IVADIC 22</v>
      </c>
    </row>
    <row r="6" spans="1:13" x14ac:dyDescent="0.25">
      <c r="A6" s="11" t="str">
        <f>+M6&amp;COUNTIF($M$2:M6,M6)</f>
        <v>RET SIPROSA SUSSDIC 221</v>
      </c>
      <c r="B6" s="204">
        <v>44938</v>
      </c>
      <c r="C6" s="11">
        <v>31865116</v>
      </c>
      <c r="D6" s="11" t="s">
        <v>408</v>
      </c>
      <c r="E6" s="134"/>
      <c r="F6" s="134">
        <v>10888.92</v>
      </c>
      <c r="G6" s="134">
        <f t="shared" si="1"/>
        <v>2516175.7799999998</v>
      </c>
      <c r="H6" s="11"/>
      <c r="I6" s="246" t="s">
        <v>410</v>
      </c>
      <c r="J6" s="11" t="s">
        <v>405</v>
      </c>
      <c r="K6" s="11"/>
      <c r="M6" t="str">
        <f t="shared" si="0"/>
        <v>RET SIPROSA SUSSDIC 22</v>
      </c>
    </row>
    <row r="7" spans="1:13" x14ac:dyDescent="0.25">
      <c r="A7" s="11" t="str">
        <f>+M7&amp;COUNTIF($M$2:M7,M7)</f>
        <v>RET SIPROSA GANANCIASDIC 221</v>
      </c>
      <c r="B7" s="204">
        <v>44938</v>
      </c>
      <c r="C7" s="11">
        <v>31865076</v>
      </c>
      <c r="D7" s="11" t="s">
        <v>409</v>
      </c>
      <c r="E7" s="134"/>
      <c r="F7" s="134">
        <v>19634.18</v>
      </c>
      <c r="G7" s="134">
        <f t="shared" si="1"/>
        <v>2496541.5999999996</v>
      </c>
      <c r="H7" s="11"/>
      <c r="I7" s="246" t="s">
        <v>410</v>
      </c>
      <c r="J7" s="11" t="s">
        <v>405</v>
      </c>
      <c r="K7" s="11"/>
      <c r="M7" t="str">
        <f t="shared" si="0"/>
        <v>RET SIPROSA GANANCIASDIC 22</v>
      </c>
    </row>
    <row r="8" spans="1:13" x14ac:dyDescent="0.25">
      <c r="A8" s="11" t="str">
        <f>+M8&amp;COUNTIF($M$2:M8,M8)</f>
        <v>LIBRERÍA SAN PABLO SRLENERO 231</v>
      </c>
      <c r="B8" s="204">
        <v>44938</v>
      </c>
      <c r="C8" s="11">
        <v>31865148</v>
      </c>
      <c r="D8" s="11" t="s">
        <v>10</v>
      </c>
      <c r="E8" s="134"/>
      <c r="F8" s="134">
        <v>56250</v>
      </c>
      <c r="G8" s="134">
        <f t="shared" si="1"/>
        <v>2440291.5999999996</v>
      </c>
      <c r="H8" s="11"/>
      <c r="I8" s="11" t="s">
        <v>166</v>
      </c>
      <c r="J8" s="11" t="s">
        <v>405</v>
      </c>
      <c r="K8" s="11"/>
      <c r="M8" t="str">
        <f t="shared" si="0"/>
        <v>LIBRERÍA SAN PABLO SRLENERO 23</v>
      </c>
    </row>
    <row r="9" spans="1:13" x14ac:dyDescent="0.25">
      <c r="A9" s="11" t="str">
        <f>+M9&amp;COUNTIF($M$2:M9,M9)</f>
        <v>CEGE SRLENERO 231</v>
      </c>
      <c r="B9" s="204">
        <v>44938</v>
      </c>
      <c r="C9" s="11">
        <v>31865188</v>
      </c>
      <c r="D9" s="11" t="s">
        <v>50</v>
      </c>
      <c r="E9" s="134"/>
      <c r="F9" s="134">
        <v>87412.5</v>
      </c>
      <c r="G9" s="134">
        <f t="shared" si="1"/>
        <v>2352879.0999999996</v>
      </c>
      <c r="H9" s="11"/>
      <c r="I9" s="11" t="s">
        <v>166</v>
      </c>
      <c r="J9" s="11" t="s">
        <v>405</v>
      </c>
      <c r="K9" s="11"/>
      <c r="M9" t="str">
        <f t="shared" si="0"/>
        <v>CEGE SRLENERO 23</v>
      </c>
    </row>
    <row r="10" spans="1:13" x14ac:dyDescent="0.25">
      <c r="A10" s="11" t="str">
        <f>+M10&amp;COUNTIF($M$2:M10,M10)</f>
        <v>WATERLIFE (VARONA CARLOS JOSE)ENERO 231</v>
      </c>
      <c r="B10" s="204">
        <v>44938</v>
      </c>
      <c r="C10" s="11">
        <v>31865237</v>
      </c>
      <c r="D10" s="11" t="s">
        <v>20</v>
      </c>
      <c r="E10" s="134"/>
      <c r="F10" s="134">
        <v>47092.5</v>
      </c>
      <c r="G10" s="134">
        <f t="shared" si="1"/>
        <v>2305786.5999999996</v>
      </c>
      <c r="H10" s="11"/>
      <c r="I10" s="11" t="s">
        <v>166</v>
      </c>
      <c r="J10" s="11" t="s">
        <v>405</v>
      </c>
      <c r="K10" s="11"/>
      <c r="M10" t="str">
        <f t="shared" si="0"/>
        <v>WATERLIFE (VARONA CARLOS JOSE)ENERO 23</v>
      </c>
    </row>
    <row r="11" spans="1:13" x14ac:dyDescent="0.25">
      <c r="A11" s="11" t="str">
        <f>+M11&amp;COUNTIF($M$2:M11,M11)</f>
        <v>CLARO (AMX ARGENTINA)ENERO 231</v>
      </c>
      <c r="B11" s="204">
        <v>44938</v>
      </c>
      <c r="C11" s="11">
        <v>31865456</v>
      </c>
      <c r="D11" s="11" t="s">
        <v>18</v>
      </c>
      <c r="E11" s="134"/>
      <c r="F11" s="134">
        <v>13800</v>
      </c>
      <c r="G11" s="134">
        <f t="shared" si="1"/>
        <v>2291986.5999999996</v>
      </c>
      <c r="H11" s="11"/>
      <c r="I11" s="11" t="s">
        <v>166</v>
      </c>
      <c r="J11" s="11" t="s">
        <v>405</v>
      </c>
      <c r="K11" s="11"/>
      <c r="M11" t="str">
        <f t="shared" si="0"/>
        <v>CLARO (AMX ARGENTINA)ENERO 23</v>
      </c>
    </row>
    <row r="12" spans="1:13" x14ac:dyDescent="0.25">
      <c r="A12" s="11" t="str">
        <f>+M12&amp;COUNTIF($M$2:M12,M12)</f>
        <v>COOP. DE TRAB. SAN LORENZO M ENERO 231</v>
      </c>
      <c r="B12" s="204">
        <v>44938</v>
      </c>
      <c r="C12" s="11">
        <v>31865525</v>
      </c>
      <c r="D12" s="11" t="s">
        <v>92</v>
      </c>
      <c r="E12" s="134"/>
      <c r="F12" s="134">
        <v>201877.71</v>
      </c>
      <c r="G12" s="134">
        <f t="shared" si="1"/>
        <v>2090108.8899999997</v>
      </c>
      <c r="H12" s="11"/>
      <c r="I12" s="11" t="s">
        <v>166</v>
      </c>
      <c r="J12" s="11" t="s">
        <v>405</v>
      </c>
      <c r="K12" s="11"/>
      <c r="M12" t="str">
        <f t="shared" si="0"/>
        <v>COOP. DE TRAB. SAN LORENZO M ENERO 23</v>
      </c>
    </row>
    <row r="13" spans="1:13" x14ac:dyDescent="0.25">
      <c r="A13" s="11" t="str">
        <f>+M13&amp;COUNTIF($M$2:M13,M13)</f>
        <v>RUEDA JORGE AGUSTIN(CARATULAS)ENERO 231</v>
      </c>
      <c r="B13" s="204">
        <v>44944</v>
      </c>
      <c r="C13" s="11">
        <v>32029665</v>
      </c>
      <c r="D13" s="11" t="s">
        <v>182</v>
      </c>
      <c r="E13" s="134"/>
      <c r="F13" s="134">
        <v>14570</v>
      </c>
      <c r="G13" s="134">
        <f t="shared" si="1"/>
        <v>2075538.8899999997</v>
      </c>
      <c r="H13" s="11"/>
      <c r="I13" s="11" t="s">
        <v>166</v>
      </c>
      <c r="J13" s="11" t="s">
        <v>405</v>
      </c>
      <c r="K13" s="11"/>
      <c r="M13" t="str">
        <f t="shared" si="0"/>
        <v>RUEDA JORGE AGUSTIN(CARATULAS)ENERO 23</v>
      </c>
    </row>
    <row r="14" spans="1:13" x14ac:dyDescent="0.25">
      <c r="A14" s="11" t="str">
        <f>+M14&amp;COUNTIF($M$2:M14,M14)</f>
        <v>DIR GRAL RRHH EN SALUDENERO 231</v>
      </c>
      <c r="B14" s="204">
        <v>44950</v>
      </c>
      <c r="C14" s="11">
        <v>36068181</v>
      </c>
      <c r="D14" s="11" t="s">
        <v>402</v>
      </c>
      <c r="E14" s="134"/>
      <c r="F14" s="134">
        <v>30000</v>
      </c>
      <c r="G14" s="134">
        <f t="shared" si="1"/>
        <v>2045538.8899999997</v>
      </c>
      <c r="H14" s="11"/>
      <c r="I14" s="11" t="s">
        <v>166</v>
      </c>
      <c r="J14" s="11" t="s">
        <v>406</v>
      </c>
      <c r="K14" s="11"/>
      <c r="M14" t="str">
        <f t="shared" si="0"/>
        <v>DIR GRAL RRHH EN SALUDENERO 23</v>
      </c>
    </row>
    <row r="15" spans="1:13" x14ac:dyDescent="0.25">
      <c r="A15" s="11" t="str">
        <f>+M15&amp;COUNTIF($M$2:M15,M15)</f>
        <v>CLARO (AMX ARGENTINA)ENERO 232</v>
      </c>
      <c r="B15" s="204">
        <v>44951</v>
      </c>
      <c r="C15" s="11">
        <v>32193584</v>
      </c>
      <c r="D15" s="11" t="s">
        <v>18</v>
      </c>
      <c r="E15" s="134"/>
      <c r="F15" s="134">
        <v>19800</v>
      </c>
      <c r="G15" s="134">
        <f t="shared" si="1"/>
        <v>2025738.8899999997</v>
      </c>
      <c r="H15" s="11"/>
      <c r="I15" s="11" t="s">
        <v>166</v>
      </c>
      <c r="J15" s="11" t="s">
        <v>405</v>
      </c>
      <c r="K15" s="11"/>
      <c r="M15" t="str">
        <f t="shared" si="0"/>
        <v>CLARO (AMX ARGENTINA)ENERO 23</v>
      </c>
    </row>
    <row r="16" spans="1:13" x14ac:dyDescent="0.25">
      <c r="A16" s="11" t="str">
        <f>+M16&amp;COUNTIF($M$2:M16,M16)</f>
        <v>DEVOLUCION FF SIPROSADIC 221</v>
      </c>
      <c r="B16" s="204">
        <v>44951</v>
      </c>
      <c r="C16" s="11">
        <v>32193609</v>
      </c>
      <c r="D16" s="11" t="s">
        <v>396</v>
      </c>
      <c r="E16" s="134"/>
      <c r="F16" s="134">
        <v>45500</v>
      </c>
      <c r="G16" s="134">
        <f t="shared" si="1"/>
        <v>1980238.8899999997</v>
      </c>
      <c r="H16" s="11"/>
      <c r="I16" s="246" t="s">
        <v>410</v>
      </c>
      <c r="J16" s="11" t="s">
        <v>405</v>
      </c>
      <c r="K16" s="11"/>
      <c r="M16" t="str">
        <f t="shared" si="0"/>
        <v>DEVOLUCION FF SIPROSADIC 22</v>
      </c>
    </row>
    <row r="17" spans="1:13" x14ac:dyDescent="0.25">
      <c r="A17" s="11" t="str">
        <f>+M17&amp;COUNTIF($M$2:M17,M17)</f>
        <v>FULL TRACK S.R.L.ENERO 231</v>
      </c>
      <c r="B17" s="204">
        <v>44951</v>
      </c>
      <c r="C17" s="11">
        <v>32193716</v>
      </c>
      <c r="D17" s="11" t="s">
        <v>98</v>
      </c>
      <c r="E17" s="134"/>
      <c r="F17" s="134">
        <v>324098.13</v>
      </c>
      <c r="G17" s="134">
        <f t="shared" si="1"/>
        <v>1656140.7599999998</v>
      </c>
      <c r="H17" s="11"/>
      <c r="I17" s="11" t="s">
        <v>166</v>
      </c>
      <c r="J17" s="11" t="s">
        <v>405</v>
      </c>
      <c r="K17" s="11"/>
      <c r="M17" t="str">
        <f t="shared" si="0"/>
        <v>FULL TRACK S.R.L.ENERO 23</v>
      </c>
    </row>
    <row r="18" spans="1:13" x14ac:dyDescent="0.25">
      <c r="A18" s="11" t="str">
        <f>+M18&amp;COUNTIF($M$2:M18,M18)</f>
        <v>LA PROVIDENCIA DEL NOA SRLENERO 231</v>
      </c>
      <c r="B18" s="204">
        <v>44950</v>
      </c>
      <c r="C18" s="11">
        <v>36068180</v>
      </c>
      <c r="D18" s="11" t="s">
        <v>11</v>
      </c>
      <c r="E18" s="134"/>
      <c r="F18" s="134">
        <v>539459.91</v>
      </c>
      <c r="G18" s="134">
        <f t="shared" si="1"/>
        <v>1116680.8499999996</v>
      </c>
      <c r="H18" s="11"/>
      <c r="I18" s="11" t="s">
        <v>166</v>
      </c>
      <c r="J18" s="11" t="s">
        <v>406</v>
      </c>
      <c r="K18" s="11"/>
      <c r="M18" t="str">
        <f t="shared" si="0"/>
        <v>LA PROVIDENCIA DEL NOA SRLENERO 23</v>
      </c>
    </row>
    <row r="19" spans="1:13" x14ac:dyDescent="0.25">
      <c r="A19" s="11" t="str">
        <f>+M19&amp;COUNTIF($M$2:M19,M19)</f>
        <v>DIR GRAL RRHH EN SALUDENERO 232</v>
      </c>
      <c r="B19" s="204">
        <v>44963</v>
      </c>
      <c r="C19" s="11">
        <v>36068184</v>
      </c>
      <c r="D19" s="11" t="s">
        <v>402</v>
      </c>
      <c r="E19" s="134"/>
      <c r="F19" s="134">
        <v>50000</v>
      </c>
      <c r="G19" s="134">
        <f t="shared" si="1"/>
        <v>1066680.8499999996</v>
      </c>
      <c r="H19" s="11"/>
      <c r="I19" s="11" t="s">
        <v>166</v>
      </c>
      <c r="J19" s="11" t="s">
        <v>405</v>
      </c>
      <c r="K19" s="11"/>
      <c r="M19" t="str">
        <f t="shared" si="0"/>
        <v>DIR GRAL RRHH EN SALUDENERO 23</v>
      </c>
    </row>
    <row r="20" spans="1:13" x14ac:dyDescent="0.25">
      <c r="A20" s="11" t="str">
        <f>+M20&amp;COUNTIF($M$2:M20,M20)</f>
        <v>FULL TRACK S.R.L.ENERO 232</v>
      </c>
      <c r="B20" s="204">
        <v>44964</v>
      </c>
      <c r="C20" s="11">
        <v>32551148</v>
      </c>
      <c r="D20" s="11" t="s">
        <v>98</v>
      </c>
      <c r="E20" s="134"/>
      <c r="F20" s="134">
        <v>34442.480000000003</v>
      </c>
      <c r="G20" s="134">
        <f t="shared" si="1"/>
        <v>1032238.3699999996</v>
      </c>
      <c r="H20" s="11"/>
      <c r="I20" s="11" t="s">
        <v>166</v>
      </c>
      <c r="J20" s="11" t="s">
        <v>405</v>
      </c>
      <c r="K20" s="11"/>
      <c r="M20" t="str">
        <f t="shared" si="0"/>
        <v>FULL TRACK S.R.L.ENERO 23</v>
      </c>
    </row>
    <row r="21" spans="1:13" x14ac:dyDescent="0.25">
      <c r="A21" s="11" t="str">
        <f>+M21&amp;COUNTIF($M$2:M21,M21)</f>
        <v>FULL TRACK S.R.L.ENERO 233</v>
      </c>
      <c r="B21" s="204">
        <v>44964</v>
      </c>
      <c r="C21" s="11">
        <v>32551170</v>
      </c>
      <c r="D21" s="11" t="s">
        <v>98</v>
      </c>
      <c r="E21" s="134"/>
      <c r="F21" s="134">
        <v>389443.17</v>
      </c>
      <c r="G21" s="134">
        <f t="shared" si="1"/>
        <v>642795.19999999972</v>
      </c>
      <c r="H21" s="11"/>
      <c r="I21" s="11" t="s">
        <v>166</v>
      </c>
      <c r="J21" s="11" t="s">
        <v>405</v>
      </c>
      <c r="K21" s="11"/>
      <c r="M21" t="str">
        <f t="shared" si="0"/>
        <v>FULL TRACK S.R.L.ENERO 23</v>
      </c>
    </row>
    <row r="22" spans="1:13" x14ac:dyDescent="0.25">
      <c r="A22" s="11" t="str">
        <f>+M22&amp;COUNTIF($M$2:M22,M22)</f>
        <v>GOMEZ PARDO RAUL(LIMPLUS)ENERO 231</v>
      </c>
      <c r="B22" s="204">
        <v>44964</v>
      </c>
      <c r="C22" s="11">
        <v>32551196</v>
      </c>
      <c r="D22" s="11" t="s">
        <v>114</v>
      </c>
      <c r="E22" s="134"/>
      <c r="F22" s="134">
        <v>19444.73</v>
      </c>
      <c r="G22" s="134">
        <f t="shared" si="1"/>
        <v>623350.46999999974</v>
      </c>
      <c r="H22" s="11"/>
      <c r="I22" s="11" t="s">
        <v>166</v>
      </c>
      <c r="J22" s="11" t="s">
        <v>405</v>
      </c>
      <c r="K22" s="11"/>
      <c r="M22" t="str">
        <f t="shared" si="0"/>
        <v>GOMEZ PARDO RAUL(LIMPLUS)ENERO 23</v>
      </c>
    </row>
    <row r="23" spans="1:13" x14ac:dyDescent="0.25">
      <c r="A23" s="11" t="str">
        <f>+M23&amp;COUNTIF($M$2:M23,M23)</f>
        <v>LIBRERÍA SAN PABLO SRLENERO 232</v>
      </c>
      <c r="B23" s="204">
        <v>44964</v>
      </c>
      <c r="C23" s="11">
        <v>32551218</v>
      </c>
      <c r="D23" s="11" t="s">
        <v>10</v>
      </c>
      <c r="E23" s="134"/>
      <c r="F23" s="134">
        <v>28125</v>
      </c>
      <c r="G23" s="134">
        <f t="shared" si="1"/>
        <v>595225.46999999974</v>
      </c>
      <c r="H23" s="11"/>
      <c r="I23" s="11" t="s">
        <v>166</v>
      </c>
      <c r="J23" s="11" t="s">
        <v>405</v>
      </c>
      <c r="K23" s="11"/>
      <c r="M23" t="str">
        <f t="shared" si="0"/>
        <v>LIBRERÍA SAN PABLO SRLENERO 23</v>
      </c>
    </row>
    <row r="24" spans="1:13" x14ac:dyDescent="0.25">
      <c r="A24" s="11" t="str">
        <f>+M24&amp;COUNTIF($M$2:M24,M24)</f>
        <v>COOP. DE TRAB. SAN LORENZO M FEBRERO 231</v>
      </c>
      <c r="B24" s="204">
        <v>44964</v>
      </c>
      <c r="C24" s="11">
        <v>32551250</v>
      </c>
      <c r="D24" s="11" t="s">
        <v>92</v>
      </c>
      <c r="E24" s="134"/>
      <c r="F24" s="134">
        <v>213194.61</v>
      </c>
      <c r="G24" s="134">
        <f t="shared" si="1"/>
        <v>382030.85999999975</v>
      </c>
      <c r="H24" s="11"/>
      <c r="I24" s="11" t="s">
        <v>143</v>
      </c>
      <c r="J24" s="11" t="s">
        <v>405</v>
      </c>
      <c r="K24" s="11"/>
      <c r="M24" t="str">
        <f t="shared" si="0"/>
        <v>COOP. DE TRAB. SAN LORENZO M FEBRERO 23</v>
      </c>
    </row>
    <row r="25" spans="1:13" x14ac:dyDescent="0.25">
      <c r="A25" s="11" t="str">
        <f>+M25&amp;COUNTIF($M$2:M25,M25)</f>
        <v>ESCOBEDO LUCAS NICOLAS (PAPERTUC)ENERO 231</v>
      </c>
      <c r="B25" s="204">
        <v>44964</v>
      </c>
      <c r="C25" s="11">
        <v>32551276</v>
      </c>
      <c r="D25" s="11" t="s">
        <v>104</v>
      </c>
      <c r="E25" s="134"/>
      <c r="F25" s="134">
        <v>30597.23</v>
      </c>
      <c r="G25" s="134">
        <f t="shared" si="1"/>
        <v>351433.62999999977</v>
      </c>
      <c r="H25" s="11"/>
      <c r="I25" s="11" t="s">
        <v>166</v>
      </c>
      <c r="J25" s="11" t="s">
        <v>405</v>
      </c>
      <c r="K25" s="11"/>
      <c r="M25" t="str">
        <f t="shared" si="0"/>
        <v>ESCOBEDO LUCAS NICOLAS (PAPERTUC)ENERO 23</v>
      </c>
    </row>
    <row r="26" spans="1:13" x14ac:dyDescent="0.25">
      <c r="A26" s="11" t="str">
        <f>+M26&amp;COUNTIF($M$2:M26,M26)</f>
        <v>DIR GRAL RRHH EN SALUDENERO 233</v>
      </c>
      <c r="B26" s="204">
        <v>44967</v>
      </c>
      <c r="C26" s="11">
        <v>36068186</v>
      </c>
      <c r="D26" s="11" t="s">
        <v>402</v>
      </c>
      <c r="E26" s="134"/>
      <c r="F26" s="134">
        <v>48700</v>
      </c>
      <c r="G26" s="134">
        <f t="shared" si="1"/>
        <v>302733.62999999977</v>
      </c>
      <c r="H26" s="11"/>
      <c r="I26" s="11" t="s">
        <v>166</v>
      </c>
      <c r="J26" s="11" t="s">
        <v>406</v>
      </c>
      <c r="K26" s="11"/>
      <c r="M26" t="str">
        <f t="shared" si="0"/>
        <v>DIR GRAL RRHH EN SALUDENERO 23</v>
      </c>
    </row>
    <row r="27" spans="1:13" x14ac:dyDescent="0.25">
      <c r="A27" s="11" t="str">
        <f>+M27&amp;COUNTIF($M$2:M27,M27)</f>
        <v>ACREDITACION SIPROSAFEBRERO 231</v>
      </c>
      <c r="B27" s="204">
        <v>44971</v>
      </c>
      <c r="C27" s="11">
        <v>18676728</v>
      </c>
      <c r="D27" s="11" t="s">
        <v>398</v>
      </c>
      <c r="E27" s="134">
        <v>865857.45</v>
      </c>
      <c r="F27" s="134"/>
      <c r="G27" s="134">
        <f t="shared" si="1"/>
        <v>1168591.0799999996</v>
      </c>
      <c r="H27" s="11"/>
      <c r="I27" s="11" t="s">
        <v>143</v>
      </c>
      <c r="J27" s="11" t="s">
        <v>405</v>
      </c>
      <c r="K27" s="11"/>
      <c r="M27" t="str">
        <f t="shared" si="0"/>
        <v>ACREDITACION SIPROSAFEBRERO 23</v>
      </c>
    </row>
    <row r="28" spans="1:13" x14ac:dyDescent="0.25">
      <c r="A28" s="11" t="str">
        <f>+M28&amp;COUNTIF($M$2:M28,M28)</f>
        <v>ACREDITACION SIPROSAFEBRERO 232</v>
      </c>
      <c r="B28" s="204">
        <v>44972</v>
      </c>
      <c r="C28" s="11">
        <v>18683853</v>
      </c>
      <c r="D28" s="11" t="s">
        <v>398</v>
      </c>
      <c r="E28" s="134">
        <v>1303500</v>
      </c>
      <c r="F28" s="134"/>
      <c r="G28" s="134">
        <f t="shared" si="1"/>
        <v>2472091.0799999996</v>
      </c>
      <c r="H28" s="11"/>
      <c r="I28" s="11" t="s">
        <v>143</v>
      </c>
      <c r="J28" s="11" t="s">
        <v>405</v>
      </c>
      <c r="K28" s="11"/>
      <c r="M28" t="str">
        <f t="shared" si="0"/>
        <v>ACREDITACION SIPROSAFEBRERO 23</v>
      </c>
    </row>
    <row r="29" spans="1:13" x14ac:dyDescent="0.25">
      <c r="A29" s="11" t="str">
        <f>+M29&amp;COUNTIF($M$2:M29,M29)</f>
        <v>ACREDITACION SIPROSA RFFEBRERO 231</v>
      </c>
      <c r="B29" s="204">
        <v>44972</v>
      </c>
      <c r="C29" s="11">
        <v>32830037</v>
      </c>
      <c r="D29" s="11" t="s">
        <v>411</v>
      </c>
      <c r="E29" s="134">
        <v>134749</v>
      </c>
      <c r="F29" s="134"/>
      <c r="G29" s="134">
        <f t="shared" si="1"/>
        <v>2606840.0799999996</v>
      </c>
      <c r="H29" s="11"/>
      <c r="I29" s="11" t="s">
        <v>143</v>
      </c>
      <c r="J29" s="11" t="s">
        <v>405</v>
      </c>
      <c r="K29" s="11"/>
      <c r="M29" t="str">
        <f t="shared" si="0"/>
        <v>ACREDITACION SIPROSA RFFEBRERO 23</v>
      </c>
    </row>
    <row r="30" spans="1:13" x14ac:dyDescent="0.25">
      <c r="A30" s="11" t="str">
        <f>+M30&amp;COUNTIF($M$2:M30,M30)</f>
        <v>DEVOLUCION FF SIPROSAENERO 231</v>
      </c>
      <c r="B30" s="204">
        <v>44973</v>
      </c>
      <c r="C30" s="11">
        <v>32851513</v>
      </c>
      <c r="D30" s="11" t="s">
        <v>396</v>
      </c>
      <c r="E30" s="134"/>
      <c r="F30" s="134">
        <v>115050</v>
      </c>
      <c r="G30" s="134">
        <f t="shared" si="1"/>
        <v>2491790.0799999996</v>
      </c>
      <c r="H30" s="11"/>
      <c r="I30" s="11" t="s">
        <v>166</v>
      </c>
      <c r="J30" s="11" t="s">
        <v>405</v>
      </c>
      <c r="K30" s="11"/>
      <c r="M30" t="str">
        <f t="shared" si="0"/>
        <v>DEVOLUCION FF SIPROSAENERO 23</v>
      </c>
    </row>
    <row r="31" spans="1:13" x14ac:dyDescent="0.25">
      <c r="A31" s="11" t="str">
        <f>+M31&amp;COUNTIF($M$2:M31,M31)</f>
        <v>DEVOLUCION FF SIPROSAENERO 232</v>
      </c>
      <c r="B31" s="204">
        <v>44973</v>
      </c>
      <c r="C31" s="11">
        <v>32851526</v>
      </c>
      <c r="D31" s="11" t="s">
        <v>396</v>
      </c>
      <c r="E31" s="134"/>
      <c r="F31" s="134">
        <v>26385</v>
      </c>
      <c r="G31" s="134">
        <f t="shared" si="1"/>
        <v>2465405.0799999996</v>
      </c>
      <c r="H31" s="11"/>
      <c r="I31" s="11" t="s">
        <v>166</v>
      </c>
      <c r="J31" s="11" t="s">
        <v>405</v>
      </c>
      <c r="K31" s="11"/>
      <c r="M31" t="str">
        <f t="shared" si="0"/>
        <v>DEVOLUCION FF SIPROSAENERO 23</v>
      </c>
    </row>
    <row r="32" spans="1:13" x14ac:dyDescent="0.25">
      <c r="A32" s="11" t="str">
        <f>+M32&amp;COUNTIF($M$2:M32,M32)</f>
        <v>REFRIGERACION NORTE SRLFEBRERO 231</v>
      </c>
      <c r="B32" s="204">
        <v>44974</v>
      </c>
      <c r="C32" s="11">
        <v>32907440</v>
      </c>
      <c r="D32" s="11" t="s">
        <v>121</v>
      </c>
      <c r="E32" s="134"/>
      <c r="F32" s="134">
        <v>106749.65</v>
      </c>
      <c r="G32" s="134">
        <f t="shared" si="1"/>
        <v>2358655.4299999997</v>
      </c>
      <c r="H32" s="11"/>
      <c r="I32" s="11" t="s">
        <v>143</v>
      </c>
      <c r="J32" s="11" t="s">
        <v>405</v>
      </c>
      <c r="K32" s="11" t="s">
        <v>525</v>
      </c>
      <c r="M32" t="str">
        <f t="shared" si="0"/>
        <v>REFRIGERACION NORTE SRLFEBRERO 23</v>
      </c>
    </row>
    <row r="33" spans="1:13" x14ac:dyDescent="0.25">
      <c r="A33" s="11" t="str">
        <f>+M33&amp;COUNTIF($M$2:M33,M33)</f>
        <v>DIR GRAL RRHH EN SALUDFEBRERO 231</v>
      </c>
      <c r="B33" s="204">
        <v>44979</v>
      </c>
      <c r="C33" s="11">
        <v>36068191</v>
      </c>
      <c r="D33" s="11" t="s">
        <v>402</v>
      </c>
      <c r="E33" s="134"/>
      <c r="F33" s="134">
        <v>50000</v>
      </c>
      <c r="G33" s="134">
        <f t="shared" si="1"/>
        <v>2308655.4299999997</v>
      </c>
      <c r="H33" s="11"/>
      <c r="I33" s="11" t="s">
        <v>143</v>
      </c>
      <c r="J33" s="11" t="s">
        <v>405</v>
      </c>
      <c r="K33" s="11"/>
      <c r="M33" t="str">
        <f t="shared" si="0"/>
        <v>DIR GRAL RRHH EN SALUDFEBRERO 23</v>
      </c>
    </row>
    <row r="34" spans="1:13" x14ac:dyDescent="0.25">
      <c r="A34" s="11" t="str">
        <f>+M34&amp;COUNTIF($M$2:M34,M34)</f>
        <v>CHEQUE ANULADOENERO 231</v>
      </c>
      <c r="B34" s="204">
        <v>44979</v>
      </c>
      <c r="C34" s="11">
        <v>36068182</v>
      </c>
      <c r="D34" s="11" t="s">
        <v>412</v>
      </c>
      <c r="E34" s="134"/>
      <c r="F34" s="134">
        <v>59689.05</v>
      </c>
      <c r="G34" s="134">
        <f t="shared" si="1"/>
        <v>2248966.38</v>
      </c>
      <c r="H34" s="11"/>
      <c r="I34" s="11" t="s">
        <v>166</v>
      </c>
      <c r="J34" s="11" t="s">
        <v>406</v>
      </c>
      <c r="K34" s="11"/>
      <c r="M34" t="str">
        <f t="shared" si="0"/>
        <v>CHEQUE ANULADOENERO 23</v>
      </c>
    </row>
    <row r="35" spans="1:13" x14ac:dyDescent="0.25">
      <c r="A35" s="11" t="str">
        <f>+M35&amp;COUNTIF($M$2:M35,M35)</f>
        <v>CHEQUE ANULADOENERO 232</v>
      </c>
      <c r="B35" s="204">
        <v>44979</v>
      </c>
      <c r="C35" s="11">
        <v>36068182</v>
      </c>
      <c r="D35" s="11" t="s">
        <v>412</v>
      </c>
      <c r="E35" s="134">
        <v>59689.05</v>
      </c>
      <c r="F35" s="134"/>
      <c r="G35" s="134">
        <f t="shared" si="1"/>
        <v>2308655.4299999997</v>
      </c>
      <c r="H35" s="11"/>
      <c r="I35" s="11" t="s">
        <v>166</v>
      </c>
      <c r="J35" s="11" t="s">
        <v>406</v>
      </c>
      <c r="K35" s="11"/>
      <c r="M35" t="str">
        <f t="shared" si="0"/>
        <v>CHEQUE ANULADOENERO 23</v>
      </c>
    </row>
    <row r="36" spans="1:13" x14ac:dyDescent="0.25">
      <c r="A36" s="11" t="str">
        <f>+M36&amp;COUNTIF($M$2:M36,M36)</f>
        <v>BANCO MACRO (IIBB)ENERO 231</v>
      </c>
      <c r="B36" s="204">
        <v>44979</v>
      </c>
      <c r="C36" s="11">
        <v>36068182</v>
      </c>
      <c r="D36" s="11" t="s">
        <v>403</v>
      </c>
      <c r="E36" s="134"/>
      <c r="F36" s="134">
        <v>59689.05</v>
      </c>
      <c r="G36" s="134">
        <f t="shared" si="1"/>
        <v>2248966.38</v>
      </c>
      <c r="H36" s="11"/>
      <c r="I36" s="11" t="s">
        <v>166</v>
      </c>
      <c r="J36" s="11" t="s">
        <v>406</v>
      </c>
      <c r="K36" s="11"/>
      <c r="M36" t="str">
        <f t="shared" si="0"/>
        <v>BANCO MACRO (IIBB)ENERO 23</v>
      </c>
    </row>
    <row r="37" spans="1:13" x14ac:dyDescent="0.25">
      <c r="A37" s="11" t="str">
        <f>+M37&amp;COUNTIF($M$2:M37,M37)</f>
        <v>LA PROVIDENCIA DEL NOA SRLFEBRERO 231</v>
      </c>
      <c r="B37" s="204">
        <v>44980</v>
      </c>
      <c r="C37" s="11">
        <v>36068187</v>
      </c>
      <c r="D37" s="11" t="s">
        <v>11</v>
      </c>
      <c r="E37" s="134"/>
      <c r="F37" s="134">
        <v>539459.91</v>
      </c>
      <c r="G37" s="134">
        <f t="shared" si="1"/>
        <v>1709506.4699999997</v>
      </c>
      <c r="H37" s="11"/>
      <c r="I37" s="11" t="s">
        <v>143</v>
      </c>
      <c r="J37" s="11" t="s">
        <v>406</v>
      </c>
      <c r="K37" s="11"/>
      <c r="M37" t="str">
        <f t="shared" si="0"/>
        <v>LA PROVIDENCIA DEL NOA SRLFEBRERO 23</v>
      </c>
    </row>
    <row r="38" spans="1:13" x14ac:dyDescent="0.25">
      <c r="A38" s="11" t="str">
        <f>+M38&amp;COUNTIF($M$2:M38,M38)</f>
        <v>CANIVARES ANTONIO OTILIOENERO 231</v>
      </c>
      <c r="B38" s="204">
        <v>44980</v>
      </c>
      <c r="C38" s="11">
        <v>36068194</v>
      </c>
      <c r="D38" s="11" t="s">
        <v>119</v>
      </c>
      <c r="E38" s="134"/>
      <c r="F38" s="134">
        <v>33408</v>
      </c>
      <c r="G38" s="134">
        <f t="shared" si="1"/>
        <v>1676098.4699999997</v>
      </c>
      <c r="H38" s="11"/>
      <c r="I38" s="11" t="s">
        <v>166</v>
      </c>
      <c r="J38" s="11" t="s">
        <v>406</v>
      </c>
      <c r="K38" s="11" t="s">
        <v>524</v>
      </c>
      <c r="M38" t="str">
        <f t="shared" si="0"/>
        <v>CANIVARES ANTONIO OTILIOENERO 23</v>
      </c>
    </row>
    <row r="39" spans="1:13" x14ac:dyDescent="0.25">
      <c r="A39" s="11" t="str">
        <f>+M39&amp;COUNTIF($M$2:M39,M39)</f>
        <v>LOFT COMPUTACION SASFEBRERO 231</v>
      </c>
      <c r="B39" s="204">
        <v>44980</v>
      </c>
      <c r="C39" s="11">
        <v>36068193</v>
      </c>
      <c r="D39" s="11" t="s">
        <v>136</v>
      </c>
      <c r="E39" s="134"/>
      <c r="F39" s="134">
        <v>28575</v>
      </c>
      <c r="G39" s="134">
        <f t="shared" si="1"/>
        <v>1647523.4699999997</v>
      </c>
      <c r="H39" s="11"/>
      <c r="I39" s="11" t="s">
        <v>143</v>
      </c>
      <c r="J39" s="11" t="s">
        <v>406</v>
      </c>
      <c r="K39" s="11"/>
      <c r="M39" t="str">
        <f t="shared" si="0"/>
        <v>LOFT COMPUTACION SASFEBRERO 23</v>
      </c>
    </row>
    <row r="40" spans="1:13" x14ac:dyDescent="0.25">
      <c r="A40" s="11" t="str">
        <f>+M40&amp;COUNTIF($M$2:M40,M40)</f>
        <v>WATERLIFE (VARONA CARLOS JOSE)FEBRERO 231</v>
      </c>
      <c r="B40" s="204">
        <v>44981</v>
      </c>
      <c r="C40" s="11">
        <v>33049010</v>
      </c>
      <c r="D40" s="11" t="s">
        <v>20</v>
      </c>
      <c r="E40" s="134"/>
      <c r="F40" s="134">
        <v>59377.5</v>
      </c>
      <c r="G40" s="134">
        <f t="shared" si="1"/>
        <v>1588145.9699999997</v>
      </c>
      <c r="H40" s="11"/>
      <c r="I40" s="11" t="s">
        <v>143</v>
      </c>
      <c r="J40" s="11" t="s">
        <v>405</v>
      </c>
      <c r="K40" s="11"/>
      <c r="M40" t="str">
        <f t="shared" si="0"/>
        <v>WATERLIFE (VARONA CARLOS JOSE)FEBRERO 23</v>
      </c>
    </row>
    <row r="41" spans="1:13" x14ac:dyDescent="0.25">
      <c r="A41" s="11" t="str">
        <f>+M41&amp;COUNTIF($M$2:M41,M41)</f>
        <v>FULL TRACK S.R.L.FEBRERO 231</v>
      </c>
      <c r="B41" s="204">
        <v>44981</v>
      </c>
      <c r="C41" s="11">
        <v>33049023</v>
      </c>
      <c r="D41" s="11" t="s">
        <v>98</v>
      </c>
      <c r="E41" s="134"/>
      <c r="F41" s="134">
        <v>375809.69</v>
      </c>
      <c r="G41" s="134">
        <f t="shared" si="1"/>
        <v>1212336.2799999998</v>
      </c>
      <c r="H41" s="11"/>
      <c r="I41" s="11" t="s">
        <v>143</v>
      </c>
      <c r="J41" s="11" t="s">
        <v>405</v>
      </c>
      <c r="K41" s="11"/>
      <c r="M41" t="str">
        <f t="shared" si="0"/>
        <v>FULL TRACK S.R.L.FEBRERO 23</v>
      </c>
    </row>
    <row r="42" spans="1:13" x14ac:dyDescent="0.25">
      <c r="A42" s="11" t="str">
        <f>+M42&amp;COUNTIF($M$2:M42,M42)</f>
        <v>CLARO (AMX ARGENTINA)FEBRERO 231</v>
      </c>
      <c r="B42" s="204">
        <v>44981</v>
      </c>
      <c r="C42" s="11">
        <v>33049050</v>
      </c>
      <c r="D42" s="11" t="s">
        <v>18</v>
      </c>
      <c r="E42" s="134"/>
      <c r="F42" s="134">
        <v>23086.5</v>
      </c>
      <c r="G42" s="134">
        <f t="shared" si="1"/>
        <v>1189249.7799999998</v>
      </c>
      <c r="H42" s="11"/>
      <c r="I42" s="11" t="s">
        <v>143</v>
      </c>
      <c r="J42" s="11" t="s">
        <v>405</v>
      </c>
      <c r="K42" s="11"/>
      <c r="M42" t="str">
        <f t="shared" si="0"/>
        <v>CLARO (AMX ARGENTINA)FEBRERO 23</v>
      </c>
    </row>
    <row r="43" spans="1:13" x14ac:dyDescent="0.25">
      <c r="A43" s="11" t="str">
        <f>+M43&amp;COUNTIF($M$2:M43,M43)</f>
        <v>DEVOLUCION FF SIPROSAENERO 233</v>
      </c>
      <c r="B43" s="204">
        <v>44981</v>
      </c>
      <c r="C43" s="11">
        <v>33049088</v>
      </c>
      <c r="D43" s="11" t="s">
        <v>396</v>
      </c>
      <c r="E43" s="134"/>
      <c r="F43" s="134">
        <v>162423.67999999999</v>
      </c>
      <c r="G43" s="134">
        <f t="shared" si="1"/>
        <v>1026826.0999999999</v>
      </c>
      <c r="H43" s="11"/>
      <c r="I43" s="11" t="s">
        <v>166</v>
      </c>
      <c r="J43" s="11" t="s">
        <v>405</v>
      </c>
      <c r="K43" s="11"/>
      <c r="M43" t="str">
        <f t="shared" si="0"/>
        <v>DEVOLUCION FF SIPROSAENERO 23</v>
      </c>
    </row>
    <row r="44" spans="1:13" x14ac:dyDescent="0.25">
      <c r="A44" s="11" t="str">
        <f>+M44&amp;COUNTIF($M$2:M44,M44)</f>
        <v>GOMEZ PARDO RAUL(LIMPLUS)ENERO 232</v>
      </c>
      <c r="B44" s="204">
        <v>44981</v>
      </c>
      <c r="C44" s="11">
        <v>33049131</v>
      </c>
      <c r="D44" s="11" t="s">
        <v>114</v>
      </c>
      <c r="E44" s="134"/>
      <c r="F44" s="134">
        <v>3910.31</v>
      </c>
      <c r="G44" s="134">
        <f t="shared" si="1"/>
        <v>1022915.7899999998</v>
      </c>
      <c r="H44" s="11"/>
      <c r="I44" s="11" t="s">
        <v>166</v>
      </c>
      <c r="J44" s="11" t="s">
        <v>405</v>
      </c>
      <c r="K44" s="11"/>
      <c r="M44" t="str">
        <f t="shared" si="0"/>
        <v>GOMEZ PARDO RAUL(LIMPLUS)ENERO 23</v>
      </c>
    </row>
    <row r="45" spans="1:13" x14ac:dyDescent="0.25">
      <c r="A45" s="11" t="str">
        <f>+M45&amp;COUNTIF($M$2:M45,M45)</f>
        <v>ESCOBEDO LUCAS NICOLAS (PAPERTUC)FEBRERO 231</v>
      </c>
      <c r="B45" s="204">
        <v>44981</v>
      </c>
      <c r="C45" s="11">
        <v>33049180</v>
      </c>
      <c r="D45" s="11" t="s">
        <v>104</v>
      </c>
      <c r="E45" s="134"/>
      <c r="F45" s="134">
        <v>16365</v>
      </c>
      <c r="G45" s="134">
        <f t="shared" si="1"/>
        <v>1006550.7899999998</v>
      </c>
      <c r="H45" s="11"/>
      <c r="I45" s="11" t="s">
        <v>143</v>
      </c>
      <c r="J45" s="11" t="s">
        <v>405</v>
      </c>
      <c r="K45" s="11"/>
      <c r="M45" t="str">
        <f t="shared" si="0"/>
        <v>ESCOBEDO LUCAS NICOLAS (PAPERTUC)FEBRERO 23</v>
      </c>
    </row>
    <row r="46" spans="1:13" x14ac:dyDescent="0.25">
      <c r="A46" s="11" t="str">
        <f>+M46&amp;COUNTIF($M$2:M46,M46)</f>
        <v>DIR GRAL RRHH EN SALUDFEBRERO 232</v>
      </c>
      <c r="B46" s="204">
        <v>44981</v>
      </c>
      <c r="C46" s="11">
        <v>36068189</v>
      </c>
      <c r="D46" s="11" t="s">
        <v>402</v>
      </c>
      <c r="E46" s="134"/>
      <c r="F46" s="134">
        <v>50000</v>
      </c>
      <c r="G46" s="134">
        <f t="shared" si="1"/>
        <v>956550.7899999998</v>
      </c>
      <c r="H46" s="11"/>
      <c r="I46" s="11" t="s">
        <v>143</v>
      </c>
      <c r="J46" s="11" t="s">
        <v>406</v>
      </c>
      <c r="K46" s="11"/>
      <c r="M46" t="str">
        <f t="shared" si="0"/>
        <v>DIR GRAL RRHH EN SALUDFEBRERO 23</v>
      </c>
    </row>
    <row r="47" spans="1:13" x14ac:dyDescent="0.25">
      <c r="A47" s="11" t="str">
        <f>+M47&amp;COUNTIF($M$2:M47,M47)</f>
        <v>JORGE ROLANDO FRIAS (JF SERV. INF.)ENERO 231</v>
      </c>
      <c r="B47" s="204">
        <v>44981</v>
      </c>
      <c r="C47" s="11">
        <v>36068185</v>
      </c>
      <c r="D47" s="11" t="s">
        <v>59</v>
      </c>
      <c r="E47" s="134"/>
      <c r="F47" s="134">
        <v>46995</v>
      </c>
      <c r="G47" s="134">
        <f t="shared" si="1"/>
        <v>909555.7899999998</v>
      </c>
      <c r="H47" s="11"/>
      <c r="I47" s="11" t="s">
        <v>166</v>
      </c>
      <c r="J47" s="11" t="s">
        <v>406</v>
      </c>
      <c r="K47" s="11"/>
      <c r="M47" t="str">
        <f t="shared" si="0"/>
        <v>JORGE ROLANDO FRIAS (JF SERV. INF.)ENERO 23</v>
      </c>
    </row>
    <row r="48" spans="1:13" x14ac:dyDescent="0.25">
      <c r="A48" s="11" t="str">
        <f>+M48&amp;COUNTIF($M$2:M48,M48)</f>
        <v>DEVOLUCION RF SIPROSAFEBRERO 231</v>
      </c>
      <c r="B48" s="204">
        <v>44986</v>
      </c>
      <c r="C48" s="11">
        <v>33215273</v>
      </c>
      <c r="D48" s="11" t="s">
        <v>397</v>
      </c>
      <c r="E48" s="134"/>
      <c r="F48" s="134">
        <v>19870</v>
      </c>
      <c r="G48" s="134">
        <f t="shared" ref="G48:G73" si="2">+G47+E48-F48</f>
        <v>889685.7899999998</v>
      </c>
      <c r="H48" s="11"/>
      <c r="I48" s="11" t="s">
        <v>143</v>
      </c>
      <c r="J48" s="11" t="s">
        <v>405</v>
      </c>
      <c r="K48" s="11"/>
      <c r="M48" t="str">
        <f t="shared" ref="M48:M73" si="3">+CLEAN(D48)&amp;CLEAN(I48)</f>
        <v>DEVOLUCION RF SIPROSAFEBRERO 23</v>
      </c>
    </row>
    <row r="49" spans="1:13" x14ac:dyDescent="0.25">
      <c r="A49" s="11" t="str">
        <f>+M49&amp;COUNTIF($M$2:M49,M49)</f>
        <v>RET SIPROSA IVAENERO 231</v>
      </c>
      <c r="B49" s="204">
        <v>44986</v>
      </c>
      <c r="C49" s="11">
        <v>33215278</v>
      </c>
      <c r="D49" s="11" t="s">
        <v>407</v>
      </c>
      <c r="E49" s="134"/>
      <c r="F49" s="134">
        <v>56651.13</v>
      </c>
      <c r="G49" s="134">
        <f t="shared" si="2"/>
        <v>833034.6599999998</v>
      </c>
      <c r="H49" s="11"/>
      <c r="I49" s="11" t="s">
        <v>166</v>
      </c>
      <c r="J49" s="11" t="s">
        <v>405</v>
      </c>
      <c r="K49" s="11"/>
      <c r="M49" t="str">
        <f t="shared" si="3"/>
        <v>RET SIPROSA IVAENERO 23</v>
      </c>
    </row>
    <row r="50" spans="1:13" x14ac:dyDescent="0.25">
      <c r="A50" s="11" t="str">
        <f>+M50&amp;COUNTIF($M$2:M50,M50)</f>
        <v>RET SIPROSA GANANCIASENERO 231</v>
      </c>
      <c r="B50" s="204">
        <v>44986</v>
      </c>
      <c r="C50" s="11">
        <v>33215282</v>
      </c>
      <c r="D50" s="11" t="s">
        <v>409</v>
      </c>
      <c r="E50" s="134"/>
      <c r="F50" s="134">
        <v>23259.66</v>
      </c>
      <c r="G50" s="134">
        <f t="shared" si="2"/>
        <v>809774.99999999977</v>
      </c>
      <c r="H50" s="11"/>
      <c r="I50" s="11" t="s">
        <v>166</v>
      </c>
      <c r="J50" s="11" t="s">
        <v>405</v>
      </c>
      <c r="K50" s="11"/>
      <c r="M50" t="str">
        <f t="shared" si="3"/>
        <v>RET SIPROSA GANANCIASENERO 23</v>
      </c>
    </row>
    <row r="51" spans="1:13" x14ac:dyDescent="0.25">
      <c r="A51" s="11" t="str">
        <f>+M51&amp;COUNTIF($M$2:M51,M51)</f>
        <v>RET SIPROSA SUSSENERO 231</v>
      </c>
      <c r="B51" s="204">
        <v>44986</v>
      </c>
      <c r="C51" s="11">
        <v>33215289</v>
      </c>
      <c r="D51" s="11" t="s">
        <v>408</v>
      </c>
      <c r="E51" s="134"/>
      <c r="F51" s="134">
        <v>11831.92</v>
      </c>
      <c r="G51" s="134">
        <f t="shared" si="2"/>
        <v>797943.07999999973</v>
      </c>
      <c r="H51" s="11"/>
      <c r="I51" s="11" t="s">
        <v>166</v>
      </c>
      <c r="J51" s="11" t="s">
        <v>405</v>
      </c>
      <c r="K51" s="11"/>
      <c r="M51" t="str">
        <f t="shared" si="3"/>
        <v>RET SIPROSA SUSSENERO 23</v>
      </c>
    </row>
    <row r="52" spans="1:13" x14ac:dyDescent="0.25">
      <c r="A52" s="11" t="str">
        <f>+M52&amp;COUNTIF($M$2:M52,M52)</f>
        <v>LIBRERÍA SAN PABLO SRLFEBRERO 231</v>
      </c>
      <c r="B52" s="204">
        <v>44987</v>
      </c>
      <c r="C52" s="11">
        <v>33226205</v>
      </c>
      <c r="D52" s="11" t="s">
        <v>10</v>
      </c>
      <c r="E52" s="134"/>
      <c r="F52" s="134">
        <v>46875</v>
      </c>
      <c r="G52" s="134">
        <f t="shared" si="2"/>
        <v>751068.07999999973</v>
      </c>
      <c r="H52" s="11"/>
      <c r="I52" s="11" t="s">
        <v>143</v>
      </c>
      <c r="J52" s="11" t="s">
        <v>405</v>
      </c>
      <c r="K52" s="11"/>
      <c r="M52" t="str">
        <f t="shared" si="3"/>
        <v>LIBRERÍA SAN PABLO SRLFEBRERO 23</v>
      </c>
    </row>
    <row r="53" spans="1:13" x14ac:dyDescent="0.25">
      <c r="A53" s="11" t="str">
        <f>+M53&amp;COUNTIF($M$2:M53,M53)</f>
        <v>MAIMARA MAXIKIOSCOFEBRERO 231</v>
      </c>
      <c r="B53" s="204">
        <v>44987</v>
      </c>
      <c r="C53" s="11">
        <v>33226232</v>
      </c>
      <c r="D53" s="11" t="s">
        <v>82</v>
      </c>
      <c r="E53" s="134"/>
      <c r="F53" s="134">
        <v>1300</v>
      </c>
      <c r="G53" s="134">
        <f t="shared" si="2"/>
        <v>749768.07999999973</v>
      </c>
      <c r="H53" s="11"/>
      <c r="I53" s="11" t="s">
        <v>143</v>
      </c>
      <c r="J53" s="11" t="s">
        <v>405</v>
      </c>
      <c r="K53" s="11"/>
      <c r="M53" t="str">
        <f t="shared" si="3"/>
        <v>MAIMARA MAXIKIOSCOFEBRERO 23</v>
      </c>
    </row>
    <row r="54" spans="1:13" x14ac:dyDescent="0.25">
      <c r="A54" s="11" t="str">
        <f>+M54&amp;COUNTIF($M$2:M54,M54)</f>
        <v>SAWELEC SASFEBRERO 231</v>
      </c>
      <c r="B54" s="204">
        <v>44987</v>
      </c>
      <c r="C54" s="11">
        <v>33226276</v>
      </c>
      <c r="D54" s="11" t="s">
        <v>253</v>
      </c>
      <c r="E54" s="134"/>
      <c r="F54" s="134">
        <v>9790.02</v>
      </c>
      <c r="G54" s="134">
        <f t="shared" si="2"/>
        <v>739978.05999999971</v>
      </c>
      <c r="H54" s="11"/>
      <c r="I54" s="11" t="s">
        <v>143</v>
      </c>
      <c r="J54" s="11" t="s">
        <v>405</v>
      </c>
      <c r="K54" s="11"/>
      <c r="M54" t="str">
        <f t="shared" si="3"/>
        <v>SAWELEC SASFEBRERO 23</v>
      </c>
    </row>
    <row r="55" spans="1:13" x14ac:dyDescent="0.25">
      <c r="A55" s="11" t="str">
        <f>+M55&amp;COUNTIF($M$2:M55,M55)</f>
        <v>ESCOBEDO LUCAS NICOLAS (PAPERTUC)FEBRERO 232</v>
      </c>
      <c r="B55" s="204">
        <v>44993</v>
      </c>
      <c r="C55" s="11">
        <v>33438795</v>
      </c>
      <c r="D55" s="11" t="s">
        <v>104</v>
      </c>
      <c r="E55" s="134"/>
      <c r="F55" s="134">
        <v>28186.13</v>
      </c>
      <c r="G55" s="134">
        <f t="shared" si="2"/>
        <v>711791.9299999997</v>
      </c>
      <c r="H55" s="11"/>
      <c r="I55" s="11" t="s">
        <v>143</v>
      </c>
      <c r="J55" s="11" t="s">
        <v>405</v>
      </c>
      <c r="K55" s="11"/>
      <c r="M55" t="str">
        <f t="shared" si="3"/>
        <v>ESCOBEDO LUCAS NICOLAS (PAPERTUC)FEBRERO 23</v>
      </c>
    </row>
    <row r="56" spans="1:13" x14ac:dyDescent="0.25">
      <c r="A56" s="11" t="str">
        <f>+M56&amp;COUNTIF($M$2:M56,M56)</f>
        <v>SAWELEC SASFEBRERO 232</v>
      </c>
      <c r="B56" s="204">
        <v>44993</v>
      </c>
      <c r="C56" s="11">
        <v>33438823</v>
      </c>
      <c r="D56" s="11" t="s">
        <v>253</v>
      </c>
      <c r="E56" s="134"/>
      <c r="F56" s="134">
        <v>10236.700000000001</v>
      </c>
      <c r="G56" s="134">
        <f t="shared" si="2"/>
        <v>701555.22999999975</v>
      </c>
      <c r="H56" s="11"/>
      <c r="I56" s="11" t="s">
        <v>143</v>
      </c>
      <c r="J56" s="11" t="s">
        <v>405</v>
      </c>
      <c r="K56" s="11"/>
      <c r="M56" t="str">
        <f t="shared" si="3"/>
        <v>SAWELEC SASFEBRERO 23</v>
      </c>
    </row>
    <row r="57" spans="1:13" x14ac:dyDescent="0.25">
      <c r="A57" s="11" t="str">
        <f>+M57&amp;COUNTIF($M$2:M57,M57)</f>
        <v>FULL TRACK S.R.L.FEBRERO 232</v>
      </c>
      <c r="B57" s="204">
        <v>44993</v>
      </c>
      <c r="C57" s="11">
        <v>33438860</v>
      </c>
      <c r="D57" s="11" t="s">
        <v>98</v>
      </c>
      <c r="E57" s="134"/>
      <c r="F57" s="134">
        <v>269468.53000000003</v>
      </c>
      <c r="G57" s="134">
        <f t="shared" si="2"/>
        <v>432086.69999999972</v>
      </c>
      <c r="H57" s="11"/>
      <c r="I57" s="11" t="s">
        <v>143</v>
      </c>
      <c r="J57" s="11" t="s">
        <v>405</v>
      </c>
      <c r="K57" s="11"/>
      <c r="M57" t="str">
        <f t="shared" si="3"/>
        <v>FULL TRACK S.R.L.FEBRERO 23</v>
      </c>
    </row>
    <row r="58" spans="1:13" x14ac:dyDescent="0.25">
      <c r="A58" s="11" t="str">
        <f>+M58&amp;COUNTIF($M$2:M58,M58)</f>
        <v>LOFT COMPUTACION SASFEBRERO 232</v>
      </c>
      <c r="B58" s="204">
        <v>44994</v>
      </c>
      <c r="C58" s="11">
        <v>36068195</v>
      </c>
      <c r="D58" s="11" t="s">
        <v>136</v>
      </c>
      <c r="E58" s="134"/>
      <c r="F58" s="134">
        <v>28432.13</v>
      </c>
      <c r="G58" s="134">
        <f t="shared" si="2"/>
        <v>403654.56999999972</v>
      </c>
      <c r="H58" s="11"/>
      <c r="I58" s="11" t="s">
        <v>143</v>
      </c>
      <c r="J58" s="11" t="s">
        <v>406</v>
      </c>
      <c r="K58" s="11"/>
      <c r="M58" t="str">
        <f t="shared" si="3"/>
        <v>LOFT COMPUTACION SASFEBRERO 23</v>
      </c>
    </row>
    <row r="59" spans="1:13" x14ac:dyDescent="0.25">
      <c r="A59" s="11" t="str">
        <f>+M59&amp;COUNTIF($M$2:M59,M59)</f>
        <v>ACREDITACION SIPROSAMARZO 231</v>
      </c>
      <c r="B59" s="204">
        <v>44995</v>
      </c>
      <c r="C59" s="11">
        <v>18726372</v>
      </c>
      <c r="D59" s="11" t="s">
        <v>398</v>
      </c>
      <c r="E59" s="134">
        <v>2198644.5299999998</v>
      </c>
      <c r="F59" s="134"/>
      <c r="G59" s="134">
        <f t="shared" si="2"/>
        <v>2602299.0999999996</v>
      </c>
      <c r="H59" s="11"/>
      <c r="I59" s="11" t="s">
        <v>145</v>
      </c>
      <c r="J59" s="11" t="s">
        <v>405</v>
      </c>
      <c r="K59" s="11"/>
      <c r="M59" t="str">
        <f t="shared" si="3"/>
        <v>ACREDITACION SIPROSAMARZO 23</v>
      </c>
    </row>
    <row r="60" spans="1:13" x14ac:dyDescent="0.25">
      <c r="A60" s="11" t="str">
        <f>+M60&amp;COUNTIF($M$2:M60,M60)</f>
        <v>LIBRERÍA SAN PABLO SRLFEBRERO 232</v>
      </c>
      <c r="B60" s="204">
        <v>44998</v>
      </c>
      <c r="C60" s="11">
        <v>33603660</v>
      </c>
      <c r="D60" s="11" t="s">
        <v>10</v>
      </c>
      <c r="E60" s="134"/>
      <c r="F60" s="134">
        <v>28125</v>
      </c>
      <c r="G60" s="134">
        <f t="shared" si="2"/>
        <v>2574174.0999999996</v>
      </c>
      <c r="H60" s="11"/>
      <c r="I60" s="11" t="s">
        <v>143</v>
      </c>
      <c r="J60" s="11" t="s">
        <v>405</v>
      </c>
      <c r="K60" s="11"/>
      <c r="M60" t="str">
        <f t="shared" si="3"/>
        <v>LIBRERÍA SAN PABLO SRLFEBRERO 23</v>
      </c>
    </row>
    <row r="61" spans="1:13" x14ac:dyDescent="0.25">
      <c r="A61" s="11" t="str">
        <f>+M61&amp;COUNTIF($M$2:M61,M61)</f>
        <v>COOP. DE TRAB. SAN LORENZO M MARZO 231</v>
      </c>
      <c r="B61" s="204">
        <v>44998</v>
      </c>
      <c r="C61" s="11">
        <v>33603699</v>
      </c>
      <c r="D61" s="11" t="s">
        <v>92</v>
      </c>
      <c r="E61" s="134"/>
      <c r="F61" s="134">
        <v>220142.61</v>
      </c>
      <c r="G61" s="134">
        <f t="shared" si="2"/>
        <v>2354031.4899999998</v>
      </c>
      <c r="H61" s="11"/>
      <c r="I61" s="11" t="s">
        <v>145</v>
      </c>
      <c r="J61" s="11" t="s">
        <v>405</v>
      </c>
      <c r="K61" s="11"/>
      <c r="M61" t="str">
        <f t="shared" si="3"/>
        <v>COOP. DE TRAB. SAN LORENZO M MARZO 23</v>
      </c>
    </row>
    <row r="62" spans="1:13" x14ac:dyDescent="0.25">
      <c r="A62" s="11" t="str">
        <f>+M62&amp;COUNTIF($M$2:M62,M62)</f>
        <v>WATERLIFE (VARONA CARLOS JOSE)FEBRERO 232</v>
      </c>
      <c r="B62" s="204">
        <v>44998</v>
      </c>
      <c r="C62" s="11">
        <v>33603754</v>
      </c>
      <c r="D62" s="11" t="s">
        <v>20</v>
      </c>
      <c r="E62" s="134"/>
      <c r="F62" s="134">
        <v>50163.75</v>
      </c>
      <c r="G62" s="134">
        <f t="shared" si="2"/>
        <v>2303867.7399999998</v>
      </c>
      <c r="H62" s="11"/>
      <c r="I62" s="11" t="s">
        <v>143</v>
      </c>
      <c r="J62" s="11" t="s">
        <v>405</v>
      </c>
      <c r="K62" s="11"/>
      <c r="M62" t="str">
        <f t="shared" si="3"/>
        <v>WATERLIFE (VARONA CARLOS JOSE)FEBRERO 23</v>
      </c>
    </row>
    <row r="63" spans="1:13" x14ac:dyDescent="0.25">
      <c r="A63" s="11" t="str">
        <f>+M63&amp;COUNTIF($M$2:M63,M63)</f>
        <v>CLARO (AMX ARGENTINA)FEBRERO 232</v>
      </c>
      <c r="B63" s="204">
        <v>44998</v>
      </c>
      <c r="C63" s="11">
        <v>33603787</v>
      </c>
      <c r="D63" s="11" t="s">
        <v>18</v>
      </c>
      <c r="E63" s="134"/>
      <c r="F63" s="134">
        <v>17514.75</v>
      </c>
      <c r="G63" s="134">
        <f t="shared" si="2"/>
        <v>2286352.9899999998</v>
      </c>
      <c r="H63" s="11"/>
      <c r="I63" s="11" t="s">
        <v>143</v>
      </c>
      <c r="J63" s="11" t="s">
        <v>405</v>
      </c>
      <c r="K63" s="11"/>
      <c r="M63" t="str">
        <f t="shared" si="3"/>
        <v>CLARO (AMX ARGENTINA)FEBRERO 23</v>
      </c>
    </row>
    <row r="64" spans="1:13" x14ac:dyDescent="0.25">
      <c r="A64" s="11" t="str">
        <f>+M64&amp;COUNTIF($M$2:M64,M64)</f>
        <v>GOMEZ PARDO RAUL(LIMPLUS)FEBRERO 231</v>
      </c>
      <c r="B64" s="204">
        <v>44998</v>
      </c>
      <c r="C64" s="11">
        <v>33603824</v>
      </c>
      <c r="D64" s="11" t="s">
        <v>114</v>
      </c>
      <c r="E64" s="134"/>
      <c r="F64" s="134">
        <v>15538.42</v>
      </c>
      <c r="G64" s="134">
        <f t="shared" si="2"/>
        <v>2270814.5699999998</v>
      </c>
      <c r="H64" s="11"/>
      <c r="I64" s="11" t="s">
        <v>143</v>
      </c>
      <c r="J64" s="11" t="s">
        <v>405</v>
      </c>
      <c r="K64" s="11"/>
      <c r="M64" t="str">
        <f t="shared" si="3"/>
        <v>GOMEZ PARDO RAUL(LIMPLUS)FEBRERO 23</v>
      </c>
    </row>
    <row r="65" spans="1:13" x14ac:dyDescent="0.25">
      <c r="A65" s="11" t="str">
        <f>+M65&amp;COUNTIF($M$2:M65,M65)</f>
        <v>BANCO MACRO (IIBB)FEBRERO 231</v>
      </c>
      <c r="B65" s="204">
        <v>44998</v>
      </c>
      <c r="C65" s="11">
        <v>36068196</v>
      </c>
      <c r="D65" s="11" t="s">
        <v>403</v>
      </c>
      <c r="E65" s="134"/>
      <c r="F65" s="134">
        <v>66866.27</v>
      </c>
      <c r="G65" s="134">
        <f t="shared" si="2"/>
        <v>2203948.2999999998</v>
      </c>
      <c r="H65" s="11"/>
      <c r="I65" s="11" t="s">
        <v>143</v>
      </c>
      <c r="J65" s="11" t="s">
        <v>405</v>
      </c>
      <c r="K65" s="11"/>
      <c r="M65" t="str">
        <f t="shared" si="3"/>
        <v>BANCO MACRO (IIBB)FEBRERO 23</v>
      </c>
    </row>
    <row r="66" spans="1:13" x14ac:dyDescent="0.25">
      <c r="A66" s="11" t="str">
        <f>+M66&amp;COUNTIF($M$2:M66,M66)</f>
        <v>DIR GRAL RRHH EN SALUD (TEM)FEBRERO 231</v>
      </c>
      <c r="B66" s="204">
        <v>44998</v>
      </c>
      <c r="C66" s="11">
        <v>36068197</v>
      </c>
      <c r="D66" s="11" t="s">
        <v>413</v>
      </c>
      <c r="E66" s="134"/>
      <c r="F66" s="134">
        <v>10839.49</v>
      </c>
      <c r="G66" s="134">
        <f t="shared" si="2"/>
        <v>2193108.8099999996</v>
      </c>
      <c r="H66" s="11"/>
      <c r="I66" s="11" t="s">
        <v>143</v>
      </c>
      <c r="J66" s="11" t="s">
        <v>405</v>
      </c>
      <c r="K66" s="11"/>
      <c r="M66" t="str">
        <f t="shared" si="3"/>
        <v>DIR GRAL RRHH EN SALUD (TEM)FEBRERO 23</v>
      </c>
    </row>
    <row r="67" spans="1:13" x14ac:dyDescent="0.25">
      <c r="A67" s="11" t="str">
        <f>+M67&amp;COUNTIF($M$2:M67,M67)</f>
        <v>DIR GRAL RRHH EN SALUDFEBRERO 233</v>
      </c>
      <c r="B67" s="204">
        <v>44998</v>
      </c>
      <c r="C67" s="11">
        <v>36068198</v>
      </c>
      <c r="D67" s="11" t="s">
        <v>402</v>
      </c>
      <c r="E67" s="134"/>
      <c r="F67" s="134">
        <v>31000</v>
      </c>
      <c r="G67" s="134">
        <f t="shared" si="2"/>
        <v>2162108.8099999996</v>
      </c>
      <c r="H67" s="11"/>
      <c r="I67" s="11" t="s">
        <v>143</v>
      </c>
      <c r="J67" s="11" t="s">
        <v>405</v>
      </c>
      <c r="K67" s="11"/>
      <c r="M67" t="str">
        <f t="shared" si="3"/>
        <v>DIR GRAL RRHH EN SALUDFEBRERO 23</v>
      </c>
    </row>
    <row r="68" spans="1:13" x14ac:dyDescent="0.25">
      <c r="A68" s="11" t="str">
        <f>+M68&amp;COUNTIF($M$2:M68,M68)</f>
        <v>JORGE ROLANDO FRIAS (JF SERV. INF.)FEBRERO 231</v>
      </c>
      <c r="B68" s="204">
        <v>44998</v>
      </c>
      <c r="C68" s="11">
        <v>36068200</v>
      </c>
      <c r="D68" s="11" t="s">
        <v>59</v>
      </c>
      <c r="E68" s="134"/>
      <c r="F68" s="134">
        <v>46995</v>
      </c>
      <c r="G68" s="134">
        <f t="shared" si="2"/>
        <v>2115113.8099999996</v>
      </c>
      <c r="H68" s="11"/>
      <c r="I68" s="11" t="s">
        <v>143</v>
      </c>
      <c r="J68" s="11" t="s">
        <v>406</v>
      </c>
      <c r="K68" s="11"/>
      <c r="M68" t="str">
        <f t="shared" si="3"/>
        <v>JORGE ROLANDO FRIAS (JF SERV. INF.)FEBRERO 23</v>
      </c>
    </row>
    <row r="69" spans="1:13" x14ac:dyDescent="0.25">
      <c r="A69" s="11" t="str">
        <f>+M69&amp;COUNTIF($M$2:M69,M69)</f>
        <v>LIBRERÍA SAN PABLO SRLFEBRERO 233</v>
      </c>
      <c r="B69" s="204">
        <v>45000</v>
      </c>
      <c r="C69" s="11">
        <v>33739345</v>
      </c>
      <c r="D69" s="11" t="s">
        <v>10</v>
      </c>
      <c r="E69" s="134"/>
      <c r="F69" s="134">
        <v>56250</v>
      </c>
      <c r="G69" s="134">
        <f t="shared" si="2"/>
        <v>2058863.8099999996</v>
      </c>
      <c r="H69" s="11"/>
      <c r="I69" s="11" t="s">
        <v>143</v>
      </c>
      <c r="J69" s="11" t="s">
        <v>405</v>
      </c>
      <c r="K69" s="11"/>
      <c r="M69" t="str">
        <f t="shared" si="3"/>
        <v>LIBRERÍA SAN PABLO SRLFEBRERO 23</v>
      </c>
    </row>
    <row r="70" spans="1:13" x14ac:dyDescent="0.25">
      <c r="A70" s="11" t="str">
        <f>+M70&amp;COUNTIF($M$2:M70,M70)</f>
        <v>SAWELEC SASFEBRERO 233</v>
      </c>
      <c r="B70" s="204">
        <v>45002</v>
      </c>
      <c r="C70" s="11">
        <v>33802372</v>
      </c>
      <c r="D70" s="11" t="s">
        <v>253</v>
      </c>
      <c r="E70" s="134"/>
      <c r="F70" s="134">
        <v>9746.85</v>
      </c>
      <c r="G70" s="134">
        <f t="shared" si="2"/>
        <v>2049116.9599999995</v>
      </c>
      <c r="H70" s="11"/>
      <c r="I70" s="11" t="s">
        <v>143</v>
      </c>
      <c r="J70" s="11" t="s">
        <v>405</v>
      </c>
      <c r="K70" s="11"/>
      <c r="M70" t="str">
        <f t="shared" si="3"/>
        <v>SAWELEC SASFEBRERO 23</v>
      </c>
    </row>
    <row r="71" spans="1:13" x14ac:dyDescent="0.25">
      <c r="A71" s="11" t="str">
        <f>+M71&amp;COUNTIF($M$2:M71,M71)</f>
        <v>CEGE SRLFEBRERO 231</v>
      </c>
      <c r="B71" s="204">
        <v>45002</v>
      </c>
      <c r="C71" s="11">
        <v>33802409</v>
      </c>
      <c r="D71" s="11" t="s">
        <v>50</v>
      </c>
      <c r="E71" s="134"/>
      <c r="F71" s="134">
        <v>87412.5</v>
      </c>
      <c r="G71" s="134">
        <f t="shared" si="2"/>
        <v>1961704.4599999995</v>
      </c>
      <c r="H71" s="11"/>
      <c r="I71" s="11" t="s">
        <v>143</v>
      </c>
      <c r="J71" s="11" t="s">
        <v>405</v>
      </c>
      <c r="K71" s="11"/>
      <c r="M71" t="str">
        <f t="shared" si="3"/>
        <v>CEGE SRLFEBRERO 23</v>
      </c>
    </row>
    <row r="72" spans="1:13" x14ac:dyDescent="0.25">
      <c r="A72" s="11" t="str">
        <f>+M72&amp;COUNTIF($M$2:M72,M72)</f>
        <v>JORGE ROLANDO FRIAS (JF SERV. INF.)MARZO 231</v>
      </c>
      <c r="B72" s="204">
        <v>45005</v>
      </c>
      <c r="C72" s="11">
        <v>36068201</v>
      </c>
      <c r="D72" s="11" t="s">
        <v>59</v>
      </c>
      <c r="E72" s="134"/>
      <c r="F72" s="134">
        <v>46995</v>
      </c>
      <c r="G72" s="134">
        <f t="shared" si="2"/>
        <v>1914709.4599999995</v>
      </c>
      <c r="H72" s="11"/>
      <c r="I72" s="11" t="s">
        <v>145</v>
      </c>
      <c r="J72" s="11" t="s">
        <v>406</v>
      </c>
      <c r="K72" s="11"/>
      <c r="M72" t="str">
        <f t="shared" si="3"/>
        <v>JORGE ROLANDO FRIAS (JF SERV. INF.)MARZO 23</v>
      </c>
    </row>
    <row r="73" spans="1:13" x14ac:dyDescent="0.25">
      <c r="A73" s="11" t="str">
        <f>+M73&amp;COUNTIF($M$2:M73,M73)</f>
        <v>LA PROVIDENCIA DEL NOA SRLMARZO 231</v>
      </c>
      <c r="B73" s="204">
        <v>45006</v>
      </c>
      <c r="C73" s="11">
        <v>36068199</v>
      </c>
      <c r="D73" s="11" t="s">
        <v>11</v>
      </c>
      <c r="E73" s="134"/>
      <c r="F73" s="134">
        <v>487514.13</v>
      </c>
      <c r="G73" s="134">
        <f t="shared" si="2"/>
        <v>1427195.3299999996</v>
      </c>
      <c r="H73" s="11"/>
      <c r="I73" s="11" t="s">
        <v>145</v>
      </c>
      <c r="J73" s="11" t="s">
        <v>406</v>
      </c>
      <c r="K73" s="11"/>
      <c r="M73" t="str">
        <f t="shared" si="3"/>
        <v>LA PROVIDENCIA DEL NOA SRLMARZO 23</v>
      </c>
    </row>
    <row r="74" spans="1:13" x14ac:dyDescent="0.25">
      <c r="A74" s="11" t="str">
        <f>+M74&amp;COUNTIF($M$2:M74,M74)</f>
        <v>DEVOLUCION FF SIPROSAFEBRERO 231</v>
      </c>
      <c r="B74" s="204">
        <v>45012</v>
      </c>
      <c r="C74" s="11">
        <v>34017563</v>
      </c>
      <c r="D74" s="11" t="s">
        <v>396</v>
      </c>
      <c r="E74" s="134"/>
      <c r="F74" s="134">
        <v>3041.96</v>
      </c>
      <c r="G74" s="134">
        <f t="shared" ref="G74:G84" si="4">+G73+E74-F74</f>
        <v>1424153.3699999996</v>
      </c>
      <c r="H74" s="11"/>
      <c r="I74" s="11" t="s">
        <v>143</v>
      </c>
      <c r="J74" s="11" t="s">
        <v>405</v>
      </c>
      <c r="K74" s="11"/>
      <c r="M74" t="str">
        <f t="shared" ref="M74:M75" si="5">+CLEAN(D74)&amp;CLEAN(I74)</f>
        <v>DEVOLUCION FF SIPROSAFEBRERO 23</v>
      </c>
    </row>
    <row r="75" spans="1:13" x14ac:dyDescent="0.25">
      <c r="A75" s="11" t="str">
        <f>+M75&amp;COUNTIF($M$2:M75,M75)</f>
        <v>FULL TRACK S.R.L.MARZO 231</v>
      </c>
      <c r="B75" s="204">
        <v>45013</v>
      </c>
      <c r="C75" s="11">
        <v>34075479</v>
      </c>
      <c r="D75" s="11" t="s">
        <v>98</v>
      </c>
      <c r="E75" s="134"/>
      <c r="F75" s="134">
        <v>458519.48</v>
      </c>
      <c r="G75" s="134">
        <f t="shared" si="4"/>
        <v>965633.88999999966</v>
      </c>
      <c r="H75" s="11"/>
      <c r="I75" s="11" t="s">
        <v>145</v>
      </c>
      <c r="J75" s="11" t="s">
        <v>405</v>
      </c>
      <c r="K75" s="11"/>
      <c r="M75" t="str">
        <f t="shared" si="5"/>
        <v>FULL TRACK S.R.L.MARZO 23</v>
      </c>
    </row>
    <row r="76" spans="1:13" x14ac:dyDescent="0.25">
      <c r="A76" s="11" t="str">
        <f>+M76&amp;COUNTIF($M$2:M76,M76)</f>
        <v>ESCOBEDO LUCAS NICOLAS (PAPERTUC)MARZO 231</v>
      </c>
      <c r="B76" s="204">
        <v>45014</v>
      </c>
      <c r="C76" s="11">
        <v>34117097</v>
      </c>
      <c r="D76" s="11" t="s">
        <v>104</v>
      </c>
      <c r="E76" s="134"/>
      <c r="F76" s="134">
        <v>31632.720000000001</v>
      </c>
      <c r="G76" s="134">
        <f t="shared" si="4"/>
        <v>934001.16999999969</v>
      </c>
      <c r="H76" s="11"/>
      <c r="I76" s="11" t="s">
        <v>145</v>
      </c>
      <c r="J76" s="11" t="s">
        <v>405</v>
      </c>
      <c r="K76" s="11"/>
      <c r="M76" t="str">
        <f>+CLEAN(D76)&amp;CLEAN(I76)</f>
        <v>ESCOBEDO LUCAS NICOLAS (PAPERTUC)MARZO 23</v>
      </c>
    </row>
    <row r="77" spans="1:13" x14ac:dyDescent="0.25">
      <c r="A77" s="11" t="str">
        <f>+M77&amp;COUNTIF($M$2:M77,M77)</f>
        <v>GOMEZ PARDO RAUL(LIMPLUS)MARZO 231</v>
      </c>
      <c r="B77" s="204">
        <v>45014</v>
      </c>
      <c r="C77" s="11">
        <v>34136295</v>
      </c>
      <c r="D77" s="11" t="s">
        <v>114</v>
      </c>
      <c r="E77" s="134"/>
      <c r="F77" s="134">
        <v>1919.16</v>
      </c>
      <c r="G77" s="134">
        <f t="shared" si="4"/>
        <v>932082.00999999966</v>
      </c>
      <c r="H77" s="11"/>
      <c r="I77" s="11" t="s">
        <v>145</v>
      </c>
      <c r="J77" s="11" t="s">
        <v>405</v>
      </c>
      <c r="K77" s="11"/>
      <c r="M77" t="str">
        <f>+CLEAN(D77)&amp;CLEAN(I77)</f>
        <v>GOMEZ PARDO RAUL(LIMPLUS)MARZO 23</v>
      </c>
    </row>
    <row r="78" spans="1:13" x14ac:dyDescent="0.25">
      <c r="A78" s="11" t="str">
        <f>+M78&amp;COUNTIF($M$2:M78,M78)</f>
        <v>CEGE SRLMARZO 231</v>
      </c>
      <c r="B78" s="204">
        <v>45014</v>
      </c>
      <c r="C78" s="11">
        <v>34136309</v>
      </c>
      <c r="D78" s="11" t="s">
        <v>50</v>
      </c>
      <c r="E78" s="134"/>
      <c r="F78" s="134">
        <v>87412.5</v>
      </c>
      <c r="G78" s="134">
        <f t="shared" si="4"/>
        <v>844669.50999999966</v>
      </c>
      <c r="H78" s="11"/>
      <c r="I78" s="11" t="s">
        <v>145</v>
      </c>
      <c r="J78" s="11" t="s">
        <v>405</v>
      </c>
      <c r="K78" s="11"/>
      <c r="M78" t="str">
        <f>+CLEAN(D78)&amp;CLEAN(I78)</f>
        <v>CEGE SRLMARZO 23</v>
      </c>
    </row>
    <row r="79" spans="1:13" x14ac:dyDescent="0.25">
      <c r="A79" s="11" t="str">
        <f>+M79&amp;COUNTIF($M$2:M79,M79)</f>
        <v>ENTE CULTURAL DE TUCUMANMARZO 231</v>
      </c>
      <c r="B79" s="204">
        <v>45016</v>
      </c>
      <c r="C79" s="11">
        <v>34197152</v>
      </c>
      <c r="D79" s="11" t="s">
        <v>452</v>
      </c>
      <c r="E79" s="134"/>
      <c r="F79" s="134">
        <v>4600</v>
      </c>
      <c r="G79" s="134">
        <f t="shared" si="4"/>
        <v>840069.50999999966</v>
      </c>
      <c r="H79" s="11"/>
      <c r="I79" s="11" t="s">
        <v>145</v>
      </c>
      <c r="J79" s="11" t="s">
        <v>405</v>
      </c>
      <c r="K79" s="11" t="s">
        <v>519</v>
      </c>
      <c r="M79" t="str">
        <f>+CLEAN(D79)&amp;CLEAN(I79)</f>
        <v>ENTE CULTURAL DE TUCUMANMARZO 23</v>
      </c>
    </row>
    <row r="80" spans="1:13" x14ac:dyDescent="0.25">
      <c r="A80" s="11" t="str">
        <f>+M80&amp;COUNTIF($M$2:M80,M80)</f>
        <v>RET SIPROSA IVAFEBRERO 231</v>
      </c>
      <c r="B80" s="204">
        <v>45016</v>
      </c>
      <c r="C80" s="11">
        <v>34197175</v>
      </c>
      <c r="D80" s="11" t="s">
        <v>407</v>
      </c>
      <c r="E80" s="134"/>
      <c r="F80" s="134">
        <v>56651.13</v>
      </c>
      <c r="G80" s="134">
        <f t="shared" si="4"/>
        <v>783418.37999999966</v>
      </c>
      <c r="H80" s="11"/>
      <c r="I80" s="11" t="s">
        <v>143</v>
      </c>
      <c r="J80" s="11" t="s">
        <v>405</v>
      </c>
      <c r="K80" s="11"/>
      <c r="M80" t="str">
        <f t="shared" ref="M80:M84" si="6">+CLEAN(D80)&amp;CLEAN(I80)</f>
        <v>RET SIPROSA IVAFEBRERO 23</v>
      </c>
    </row>
    <row r="81" spans="1:13" x14ac:dyDescent="0.25">
      <c r="A81" s="11" t="str">
        <f>+M81&amp;COUNTIF($M$2:M81,M81)</f>
        <v>RET SIPROSA SUSSFEBRERO 231</v>
      </c>
      <c r="B81" s="204">
        <v>45016</v>
      </c>
      <c r="C81" s="11">
        <v>34199467</v>
      </c>
      <c r="D81" s="11" t="s">
        <v>408</v>
      </c>
      <c r="E81" s="134"/>
      <c r="F81" s="134">
        <v>11894.14</v>
      </c>
      <c r="G81" s="134">
        <f t="shared" si="4"/>
        <v>771524.23999999964</v>
      </c>
      <c r="H81" s="11"/>
      <c r="I81" s="11" t="s">
        <v>143</v>
      </c>
      <c r="J81" s="11" t="s">
        <v>405</v>
      </c>
      <c r="K81" s="11"/>
      <c r="M81" t="str">
        <f t="shared" si="6"/>
        <v>RET SIPROSA SUSSFEBRERO 23</v>
      </c>
    </row>
    <row r="82" spans="1:13" x14ac:dyDescent="0.25">
      <c r="A82" s="11" t="str">
        <f>+M82&amp;COUNTIF($M$2:M82,M82)</f>
        <v>RET SIPROSA GANANCIASFEBRERO 231</v>
      </c>
      <c r="B82" s="204">
        <v>45016</v>
      </c>
      <c r="C82" s="11">
        <v>34199440</v>
      </c>
      <c r="D82" s="11" t="s">
        <v>409</v>
      </c>
      <c r="E82" s="134"/>
      <c r="F82" s="134">
        <v>21112.66</v>
      </c>
      <c r="G82" s="134">
        <f t="shared" si="4"/>
        <v>750411.57999999961</v>
      </c>
      <c r="H82" s="11"/>
      <c r="I82" s="11" t="s">
        <v>143</v>
      </c>
      <c r="J82" s="11" t="s">
        <v>405</v>
      </c>
      <c r="K82" s="11"/>
      <c r="M82" t="str">
        <f t="shared" si="6"/>
        <v>RET SIPROSA GANANCIASFEBRERO 23</v>
      </c>
    </row>
    <row r="83" spans="1:13" x14ac:dyDescent="0.25">
      <c r="A83" s="11" t="str">
        <f>+M83&amp;COUNTIF($M$2:M83,M83)</f>
        <v>LIBRERÍA SAN PABLO SRLMARZO 231</v>
      </c>
      <c r="B83" s="204">
        <v>45016</v>
      </c>
      <c r="C83" s="11">
        <v>34199515</v>
      </c>
      <c r="D83" s="11" t="s">
        <v>10</v>
      </c>
      <c r="E83" s="134"/>
      <c r="F83" s="134">
        <v>28125</v>
      </c>
      <c r="G83" s="134">
        <f t="shared" si="4"/>
        <v>722286.57999999961</v>
      </c>
      <c r="H83" s="11"/>
      <c r="I83" s="11" t="s">
        <v>145</v>
      </c>
      <c r="J83" s="11" t="s">
        <v>405</v>
      </c>
      <c r="K83" s="11"/>
      <c r="M83" t="str">
        <f t="shared" si="6"/>
        <v>LIBRERÍA SAN PABLO SRLMARZO 23</v>
      </c>
    </row>
    <row r="84" spans="1:13" x14ac:dyDescent="0.25">
      <c r="A84" s="11" t="str">
        <f>+M84&amp;COUNTIF($M$2:M84,M84)</f>
        <v>SAWELEC SASMARZO 231</v>
      </c>
      <c r="B84" s="204">
        <v>45016</v>
      </c>
      <c r="C84" s="11">
        <v>34199573</v>
      </c>
      <c r="D84" s="11" t="s">
        <v>253</v>
      </c>
      <c r="E84" s="134"/>
      <c r="F84" s="134">
        <v>6490.01</v>
      </c>
      <c r="G84" s="134">
        <f t="shared" si="4"/>
        <v>715796.5699999996</v>
      </c>
      <c r="H84" s="11"/>
      <c r="I84" s="11" t="s">
        <v>145</v>
      </c>
      <c r="J84" s="11" t="s">
        <v>405</v>
      </c>
      <c r="K84" s="11"/>
      <c r="M84" t="str">
        <f t="shared" si="6"/>
        <v>SAWELEC SASMARZO 23</v>
      </c>
    </row>
    <row r="85" spans="1:13" x14ac:dyDescent="0.25">
      <c r="A85" s="11" t="str">
        <f>+M85&amp;COUNTIF($M$2:M85,M85)</f>
        <v>ACREDITACION SIPROSAABRIL 231</v>
      </c>
      <c r="B85" s="204">
        <v>45021</v>
      </c>
      <c r="C85" s="11">
        <v>18793230</v>
      </c>
      <c r="D85" s="11" t="s">
        <v>398</v>
      </c>
      <c r="E85" s="134">
        <v>2265414.5699999998</v>
      </c>
      <c r="F85" s="134"/>
      <c r="G85" s="134">
        <f t="shared" ref="G85:G92" si="7">+G84+E85-F85</f>
        <v>2981211.1399999997</v>
      </c>
      <c r="H85" s="11"/>
      <c r="I85" s="11" t="s">
        <v>144</v>
      </c>
      <c r="J85" s="11" t="s">
        <v>405</v>
      </c>
      <c r="K85" s="11"/>
      <c r="M85" t="str">
        <f t="shared" ref="M85:M92" si="8">+CLEAN(D85)&amp;CLEAN(I85)</f>
        <v>ACREDITACION SIPROSAABRIL 23</v>
      </c>
    </row>
    <row r="86" spans="1:13" x14ac:dyDescent="0.25">
      <c r="A86" s="11" t="str">
        <f>+M86&amp;COUNTIF($M$2:M86,M86)</f>
        <v>FULL TRACK S.R.L.MARZO 232</v>
      </c>
      <c r="B86" s="204">
        <v>45027</v>
      </c>
      <c r="C86" s="11">
        <v>34493527</v>
      </c>
      <c r="D86" s="11" t="s">
        <v>98</v>
      </c>
      <c r="E86" s="134"/>
      <c r="F86" s="134">
        <v>443977.09628099174</v>
      </c>
      <c r="G86" s="134">
        <f t="shared" si="7"/>
        <v>2537234.0437190081</v>
      </c>
      <c r="H86" s="11"/>
      <c r="I86" s="11" t="s">
        <v>145</v>
      </c>
      <c r="J86" s="11" t="s">
        <v>405</v>
      </c>
      <c r="K86" s="11"/>
      <c r="M86" t="str">
        <f t="shared" si="8"/>
        <v>FULL TRACK S.R.L.MARZO 23</v>
      </c>
    </row>
    <row r="87" spans="1:13" x14ac:dyDescent="0.25">
      <c r="A87" s="11" t="str">
        <f>+M87&amp;COUNTIF($M$2:M87,M87)</f>
        <v>WATERLIFE (VARONA CARLOS JOSE)MARZO 231</v>
      </c>
      <c r="B87" s="204">
        <v>45027</v>
      </c>
      <c r="C87" s="11">
        <v>34493579</v>
      </c>
      <c r="D87" s="11" t="s">
        <v>20</v>
      </c>
      <c r="E87" s="134"/>
      <c r="F87" s="134">
        <v>68883.75</v>
      </c>
      <c r="G87" s="134">
        <f t="shared" si="7"/>
        <v>2468350.2937190081</v>
      </c>
      <c r="H87" s="11"/>
      <c r="I87" s="11" t="s">
        <v>145</v>
      </c>
      <c r="J87" s="11" t="s">
        <v>405</v>
      </c>
      <c r="K87" s="11"/>
      <c r="M87" t="str">
        <f t="shared" si="8"/>
        <v>WATERLIFE (VARONA CARLOS JOSE)MARZO 23</v>
      </c>
    </row>
    <row r="88" spans="1:13" x14ac:dyDescent="0.25">
      <c r="A88" s="11" t="str">
        <f>+M88&amp;COUNTIF($M$2:M88,M88)</f>
        <v>CANIVARES ANTONIO OTILIOMARZO 231</v>
      </c>
      <c r="B88" s="204">
        <v>45027</v>
      </c>
      <c r="C88" s="11">
        <v>34493615</v>
      </c>
      <c r="D88" s="11" t="s">
        <v>119</v>
      </c>
      <c r="E88" s="134"/>
      <c r="F88" s="134">
        <v>9000</v>
      </c>
      <c r="G88" s="134">
        <f t="shared" si="7"/>
        <v>2459350.2937190081</v>
      </c>
      <c r="H88" s="11"/>
      <c r="I88" s="11" t="s">
        <v>145</v>
      </c>
      <c r="J88" s="11" t="s">
        <v>405</v>
      </c>
      <c r="K88" s="11"/>
      <c r="M88" t="str">
        <f t="shared" si="8"/>
        <v>CANIVARES ANTONIO OTILIOMARZO 23</v>
      </c>
    </row>
    <row r="89" spans="1:13" x14ac:dyDescent="0.25">
      <c r="A89" s="11" t="str">
        <f>+M89&amp;COUNTIF($M$2:M89,M89)</f>
        <v>JORGE ROLANDO FRIAS (JF SERV. INF.)MARZO 232</v>
      </c>
      <c r="B89" s="204">
        <v>45027</v>
      </c>
      <c r="C89" s="11">
        <v>36068166</v>
      </c>
      <c r="D89" s="11" t="s">
        <v>59</v>
      </c>
      <c r="E89" s="134"/>
      <c r="F89" s="134">
        <v>46995</v>
      </c>
      <c r="G89" s="134">
        <f t="shared" si="7"/>
        <v>2412355.2937190081</v>
      </c>
      <c r="H89" s="11"/>
      <c r="I89" s="11" t="s">
        <v>145</v>
      </c>
      <c r="J89" s="11" t="s">
        <v>405</v>
      </c>
      <c r="K89" s="11"/>
      <c r="M89" t="str">
        <f t="shared" si="8"/>
        <v>JORGE ROLANDO FRIAS (JF SERV. INF.)MARZO 23</v>
      </c>
    </row>
    <row r="90" spans="1:13" x14ac:dyDescent="0.25">
      <c r="A90" s="11" t="str">
        <f>+M90&amp;COUNTIF($M$2:M90,M90)</f>
        <v>LA PROVIDENCIA DEL NOA SRLABRIL 231</v>
      </c>
      <c r="B90" s="204">
        <v>45027</v>
      </c>
      <c r="C90" s="11">
        <v>36068167</v>
      </c>
      <c r="D90" s="11" t="s">
        <v>11</v>
      </c>
      <c r="E90" s="134"/>
      <c r="F90" s="134">
        <v>678729.6</v>
      </c>
      <c r="G90" s="134">
        <f t="shared" si="7"/>
        <v>1733625.693719008</v>
      </c>
      <c r="H90" s="11"/>
      <c r="I90" s="11" t="s">
        <v>144</v>
      </c>
      <c r="J90" s="11" t="s">
        <v>405</v>
      </c>
      <c r="K90" s="11"/>
      <c r="M90" t="str">
        <f t="shared" si="8"/>
        <v>LA PROVIDENCIA DEL NOA SRLABRIL 23</v>
      </c>
    </row>
    <row r="91" spans="1:13" x14ac:dyDescent="0.25">
      <c r="A91" s="11" t="str">
        <f>+M91&amp;COUNTIF($M$2:M91,M91)</f>
        <v>DIR GRAL RRHH EN SALUD (TEM)MARZO 231</v>
      </c>
      <c r="B91" s="204">
        <v>45028</v>
      </c>
      <c r="C91" s="11">
        <v>36068168</v>
      </c>
      <c r="D91" s="11" t="s">
        <v>413</v>
      </c>
      <c r="E91" s="134"/>
      <c r="F91" s="134">
        <v>12902.84</v>
      </c>
      <c r="G91" s="134">
        <f t="shared" si="7"/>
        <v>1720722.8537190079</v>
      </c>
      <c r="H91" s="11"/>
      <c r="I91" s="11" t="s">
        <v>145</v>
      </c>
      <c r="J91" s="11" t="s">
        <v>405</v>
      </c>
      <c r="K91" s="11"/>
      <c r="M91" t="str">
        <f t="shared" si="8"/>
        <v>DIR GRAL RRHH EN SALUD (TEM)MARZO 23</v>
      </c>
    </row>
    <row r="92" spans="1:13" x14ac:dyDescent="0.25">
      <c r="A92" s="11" t="str">
        <f>+M92&amp;COUNTIF($M$2:M92,M92)</f>
        <v>BANCO MACRO (IIBB)MARZO 231</v>
      </c>
      <c r="B92" s="204">
        <v>45028</v>
      </c>
      <c r="C92" s="11">
        <v>36068169</v>
      </c>
      <c r="D92" s="11" t="s">
        <v>403</v>
      </c>
      <c r="E92" s="134"/>
      <c r="F92" s="134">
        <v>61170.92</v>
      </c>
      <c r="G92" s="134">
        <f t="shared" si="7"/>
        <v>1659551.933719008</v>
      </c>
      <c r="H92" s="11"/>
      <c r="I92" s="11" t="s">
        <v>145</v>
      </c>
      <c r="J92" s="11" t="s">
        <v>405</v>
      </c>
      <c r="K92" s="11"/>
      <c r="M92" t="str">
        <f t="shared" si="8"/>
        <v>BANCO MACRO (IIBB)MARZO 23</v>
      </c>
    </row>
    <row r="93" spans="1:13" x14ac:dyDescent="0.25">
      <c r="A93" s="11" t="str">
        <f>+M93&amp;COUNTIF($M$2:M93,M93)</f>
        <v>COOP. DE TRAB. SAN LORENZO M ABRIL 231</v>
      </c>
      <c r="B93" s="204">
        <v>45029</v>
      </c>
      <c r="C93" s="11">
        <v>34630902</v>
      </c>
      <c r="D93" s="11" t="s">
        <v>92</v>
      </c>
      <c r="E93" s="134"/>
      <c r="F93" s="134">
        <v>225413.61</v>
      </c>
      <c r="G93" s="134">
        <f t="shared" ref="G93:G126" si="9">+G92+E93-F93</f>
        <v>1434138.3237190079</v>
      </c>
      <c r="H93" s="11"/>
      <c r="I93" s="11" t="s">
        <v>144</v>
      </c>
      <c r="J93" s="11" t="s">
        <v>405</v>
      </c>
      <c r="K93" s="11"/>
      <c r="M93" t="str">
        <f t="shared" ref="M93:M126" si="10">+CLEAN(D93)&amp;CLEAN(I93)</f>
        <v>COOP. DE TRAB. SAN LORENZO M ABRIL 23</v>
      </c>
    </row>
    <row r="94" spans="1:13" x14ac:dyDescent="0.25">
      <c r="A94" s="11" t="str">
        <f>+M94&amp;COUNTIF($M$2:M94,M94)</f>
        <v>CLARO (AMX ARGENTINA)MARZO 231</v>
      </c>
      <c r="B94" s="204">
        <v>45029</v>
      </c>
      <c r="C94" s="11">
        <v>34630952</v>
      </c>
      <c r="D94" s="11" t="s">
        <v>18</v>
      </c>
      <c r="E94" s="134"/>
      <c r="F94" s="134">
        <v>18157.259999999998</v>
      </c>
      <c r="G94" s="134">
        <f t="shared" si="9"/>
        <v>1415981.0637190079</v>
      </c>
      <c r="H94" s="11"/>
      <c r="I94" s="11" t="s">
        <v>145</v>
      </c>
      <c r="J94" s="11" t="s">
        <v>405</v>
      </c>
      <c r="K94" s="11"/>
      <c r="M94" t="str">
        <f t="shared" si="10"/>
        <v>CLARO (AMX ARGENTINA)MARZO 23</v>
      </c>
    </row>
    <row r="95" spans="1:13" x14ac:dyDescent="0.25">
      <c r="A95" s="11" t="str">
        <f>+M95&amp;COUNTIF($M$2:M95,M95)</f>
        <v>CANIVARES ANTONIO OTILIOMARZO 232</v>
      </c>
      <c r="B95" s="204">
        <v>45030</v>
      </c>
      <c r="C95" s="11">
        <v>34712649</v>
      </c>
      <c r="D95" s="11" t="s">
        <v>119</v>
      </c>
      <c r="E95" s="134"/>
      <c r="F95" s="134">
        <v>9000</v>
      </c>
      <c r="G95" s="134">
        <f t="shared" si="9"/>
        <v>1406981.0637190079</v>
      </c>
      <c r="H95" s="11"/>
      <c r="I95" s="11" t="s">
        <v>145</v>
      </c>
      <c r="J95" s="11" t="s">
        <v>405</v>
      </c>
      <c r="K95" s="11" t="s">
        <v>526</v>
      </c>
      <c r="M95" t="str">
        <f t="shared" si="10"/>
        <v>CANIVARES ANTONIO OTILIOMARZO 23</v>
      </c>
    </row>
    <row r="96" spans="1:13" x14ac:dyDescent="0.25">
      <c r="A96" s="11" t="str">
        <f>+M96&amp;COUNTIF($M$2:M96,M96)</f>
        <v>LIBRERÍA SAN PABLO SRLMARZO 232</v>
      </c>
      <c r="B96" s="204">
        <v>45030</v>
      </c>
      <c r="C96" s="11">
        <v>34712771</v>
      </c>
      <c r="D96" s="11" t="s">
        <v>10</v>
      </c>
      <c r="E96" s="134"/>
      <c r="F96" s="134">
        <v>46875</v>
      </c>
      <c r="G96" s="134">
        <f t="shared" si="9"/>
        <v>1360106.0637190079</v>
      </c>
      <c r="H96" s="11"/>
      <c r="I96" s="11" t="s">
        <v>145</v>
      </c>
      <c r="J96" s="11" t="s">
        <v>405</v>
      </c>
      <c r="K96" s="11"/>
      <c r="M96" t="str">
        <f t="shared" si="10"/>
        <v>LIBRERÍA SAN PABLO SRLMARZO 23</v>
      </c>
    </row>
    <row r="97" spans="1:13" x14ac:dyDescent="0.25">
      <c r="A97" s="11" t="str">
        <f>+M97&amp;COUNTIF($M$2:M97,M97)</f>
        <v>ESCOBEDO LUCAS NICOLAS (PAPERTUC)ABRIL 231</v>
      </c>
      <c r="B97" s="204">
        <v>45030</v>
      </c>
      <c r="C97" s="11">
        <v>34712809</v>
      </c>
      <c r="D97" s="11" t="s">
        <v>104</v>
      </c>
      <c r="E97" s="134"/>
      <c r="F97" s="134">
        <v>38353.129999999997</v>
      </c>
      <c r="G97" s="134">
        <f t="shared" si="9"/>
        <v>1321752.933719008</v>
      </c>
      <c r="H97" s="11"/>
      <c r="I97" s="11" t="s">
        <v>144</v>
      </c>
      <c r="J97" s="11" t="s">
        <v>405</v>
      </c>
      <c r="K97" s="11"/>
      <c r="M97" t="str">
        <f t="shared" si="10"/>
        <v>ESCOBEDO LUCAS NICOLAS (PAPERTUC)ABRIL 23</v>
      </c>
    </row>
    <row r="98" spans="1:13" x14ac:dyDescent="0.25">
      <c r="A98" s="11" t="str">
        <f>+M98&amp;COUNTIF($M$2:M98,M98)</f>
        <v>GOMEZ PARDO RAUL(LIMPLUS)ABRIL 231</v>
      </c>
      <c r="B98" s="204">
        <v>45030</v>
      </c>
      <c r="C98" s="11">
        <v>34712852</v>
      </c>
      <c r="D98" s="11" t="s">
        <v>114</v>
      </c>
      <c r="E98" s="134"/>
      <c r="F98" s="134">
        <v>37905.449999999997</v>
      </c>
      <c r="G98" s="134">
        <f t="shared" si="9"/>
        <v>1283847.483719008</v>
      </c>
      <c r="H98" s="11"/>
      <c r="I98" s="11" t="s">
        <v>144</v>
      </c>
      <c r="J98" s="11" t="s">
        <v>405</v>
      </c>
      <c r="K98" s="11"/>
      <c r="M98" t="str">
        <f t="shared" si="10"/>
        <v>GOMEZ PARDO RAUL(LIMPLUS)ABRIL 23</v>
      </c>
    </row>
    <row r="99" spans="1:13" x14ac:dyDescent="0.25">
      <c r="A99" s="11" t="str">
        <f>+M99&amp;COUNTIF($M$2:M99,M99)</f>
        <v>CEGE SRLABRIL 231</v>
      </c>
      <c r="B99" s="204">
        <v>45030</v>
      </c>
      <c r="C99" s="11">
        <v>34712945</v>
      </c>
      <c r="D99" s="11" t="s">
        <v>50</v>
      </c>
      <c r="E99" s="134"/>
      <c r="F99" s="134">
        <v>99650.25</v>
      </c>
      <c r="G99" s="134">
        <f t="shared" si="9"/>
        <v>1184197.233719008</v>
      </c>
      <c r="H99" s="11"/>
      <c r="I99" s="11" t="s">
        <v>144</v>
      </c>
      <c r="J99" s="11" t="s">
        <v>405</v>
      </c>
      <c r="K99" s="11"/>
      <c r="M99" t="str">
        <f t="shared" si="10"/>
        <v>CEGE SRLABRIL 23</v>
      </c>
    </row>
    <row r="100" spans="1:13" x14ac:dyDescent="0.25">
      <c r="A100" s="11" t="str">
        <f>+M100&amp;COUNTIF($M$2:M100,M100)</f>
        <v>SAWELEC SASMARZO 232</v>
      </c>
      <c r="B100" s="204">
        <v>45030</v>
      </c>
      <c r="C100" s="11">
        <v>34713735</v>
      </c>
      <c r="D100" s="11" t="s">
        <v>253</v>
      </c>
      <c r="E100" s="134"/>
      <c r="F100" s="134">
        <v>9766.02</v>
      </c>
      <c r="G100" s="134">
        <f t="shared" si="9"/>
        <v>1174431.213719008</v>
      </c>
      <c r="H100" s="11"/>
      <c r="I100" s="11" t="s">
        <v>145</v>
      </c>
      <c r="J100" s="11" t="s">
        <v>405</v>
      </c>
      <c r="K100" s="11"/>
      <c r="M100" t="str">
        <f t="shared" si="10"/>
        <v>SAWELEC SASMARZO 23</v>
      </c>
    </row>
    <row r="101" spans="1:13" x14ac:dyDescent="0.25">
      <c r="A101" s="11" t="str">
        <f>+M101&amp;COUNTIF($M$2:M101,M101)</f>
        <v>RET SIPROSA IVAMARZO 231</v>
      </c>
      <c r="B101" s="204">
        <v>45030</v>
      </c>
      <c r="C101" s="11">
        <v>34713768</v>
      </c>
      <c r="D101" t="s">
        <v>407</v>
      </c>
      <c r="E101" s="134"/>
      <c r="F101" s="134">
        <v>51168.766655999993</v>
      </c>
      <c r="G101" s="134">
        <f t="shared" si="9"/>
        <v>1123262.4470630081</v>
      </c>
      <c r="H101" s="11"/>
      <c r="I101" s="11" t="s">
        <v>145</v>
      </c>
      <c r="J101" s="11" t="s">
        <v>405</v>
      </c>
      <c r="K101" s="11"/>
      <c r="M101" t="str">
        <f t="shared" si="10"/>
        <v>RET SIPROSA IVAMARZO 23</v>
      </c>
    </row>
    <row r="102" spans="1:13" x14ac:dyDescent="0.25">
      <c r="A102" s="11" t="str">
        <f>+M102&amp;COUNTIF($M$2:M102,M102)</f>
        <v>RET SIPROSA GANANCIASMARZO 231</v>
      </c>
      <c r="B102" s="204">
        <v>45030</v>
      </c>
      <c r="C102" s="11">
        <v>34713810</v>
      </c>
      <c r="D102" s="11" t="s">
        <v>409</v>
      </c>
      <c r="E102" s="134"/>
      <c r="F102" s="146">
        <v>25226.438399999999</v>
      </c>
      <c r="G102" s="134">
        <f t="shared" si="9"/>
        <v>1098036.008663008</v>
      </c>
      <c r="H102" s="11"/>
      <c r="I102" s="11" t="s">
        <v>145</v>
      </c>
      <c r="J102" s="11" t="s">
        <v>405</v>
      </c>
      <c r="K102" s="11"/>
      <c r="M102" t="str">
        <f t="shared" si="10"/>
        <v>RET SIPROSA GANANCIASMARZO 23</v>
      </c>
    </row>
    <row r="103" spans="1:13" x14ac:dyDescent="0.25">
      <c r="A103" s="11" t="str">
        <f>+M103&amp;COUNTIF($M$2:M103,M103)</f>
        <v>RET SIPROSA SUSSMARZO 231</v>
      </c>
      <c r="B103" s="204">
        <v>45030</v>
      </c>
      <c r="C103" s="11">
        <v>34713865</v>
      </c>
      <c r="D103" s="11" t="s">
        <v>408</v>
      </c>
      <c r="E103" s="134"/>
      <c r="F103" s="134">
        <v>12644.643966942151</v>
      </c>
      <c r="G103" s="134">
        <f t="shared" si="9"/>
        <v>1085391.3646960659</v>
      </c>
      <c r="H103" s="11"/>
      <c r="I103" s="11" t="s">
        <v>145</v>
      </c>
      <c r="J103" s="11" t="s">
        <v>405</v>
      </c>
      <c r="K103" s="11"/>
      <c r="M103" t="str">
        <f t="shared" si="10"/>
        <v>RET SIPROSA SUSSMARZO 23</v>
      </c>
    </row>
    <row r="104" spans="1:13" x14ac:dyDescent="0.25">
      <c r="A104" s="11" t="str">
        <f>+M104&amp;COUNTIF($M$2:M104,M104)</f>
        <v>CHEQUERA BM COMISION ADMINISTRACIONABRIL 231</v>
      </c>
      <c r="B104" s="204">
        <v>45036</v>
      </c>
      <c r="C104" s="11">
        <v>1273318238</v>
      </c>
      <c r="D104" s="11" t="s">
        <v>477</v>
      </c>
      <c r="E104" s="134"/>
      <c r="F104" s="134">
        <v>2800</v>
      </c>
      <c r="G104" s="134">
        <f t="shared" si="9"/>
        <v>1082591.3646960659</v>
      </c>
      <c r="H104" s="11"/>
      <c r="I104" s="11" t="s">
        <v>144</v>
      </c>
      <c r="J104" s="11" t="s">
        <v>405</v>
      </c>
      <c r="K104" s="11" t="s">
        <v>523</v>
      </c>
      <c r="M104" t="str">
        <f t="shared" si="10"/>
        <v>CHEQUERA BM COMISION ADMINISTRACIONABRIL 23</v>
      </c>
    </row>
    <row r="105" spans="1:13" x14ac:dyDescent="0.25">
      <c r="A105" s="11" t="str">
        <f>+M105&amp;COUNTIF($M$2:M105,M105)</f>
        <v>CHEQUERA BM DEBITO FISCAL IVA BASICOABRIL 231</v>
      </c>
      <c r="B105" s="204">
        <v>45036</v>
      </c>
      <c r="C105" s="11">
        <v>1273318238</v>
      </c>
      <c r="D105" t="s">
        <v>476</v>
      </c>
      <c r="E105" s="134"/>
      <c r="F105" s="134">
        <v>588</v>
      </c>
      <c r="G105" s="134">
        <f t="shared" si="9"/>
        <v>1082003.3646960659</v>
      </c>
      <c r="H105" s="11"/>
      <c r="I105" s="11" t="s">
        <v>144</v>
      </c>
      <c r="J105" s="11" t="s">
        <v>405</v>
      </c>
      <c r="K105" s="11" t="s">
        <v>523</v>
      </c>
      <c r="M105" t="str">
        <f t="shared" si="10"/>
        <v>CHEQUERA BM DEBITO FISCAL IVA BASICOABRIL 23</v>
      </c>
    </row>
    <row r="106" spans="1:13" x14ac:dyDescent="0.25">
      <c r="A106" s="11" t="str">
        <f>+M106&amp;COUNTIF($M$2:M106,M106)</f>
        <v>CHEQUERA BM COMISION ADMINISTRACIONABRIL 232</v>
      </c>
      <c r="B106" s="204">
        <v>45036</v>
      </c>
      <c r="C106" s="11">
        <v>1273318384</v>
      </c>
      <c r="D106" s="11" t="s">
        <v>477</v>
      </c>
      <c r="E106" s="134"/>
      <c r="F106" s="134">
        <v>2800</v>
      </c>
      <c r="G106" s="134">
        <f t="shared" si="9"/>
        <v>1079203.3646960659</v>
      </c>
      <c r="H106" s="11"/>
      <c r="I106" s="11" t="s">
        <v>144</v>
      </c>
      <c r="J106" s="11" t="s">
        <v>405</v>
      </c>
      <c r="K106" s="11" t="s">
        <v>523</v>
      </c>
      <c r="M106" t="str">
        <f t="shared" si="10"/>
        <v>CHEQUERA BM COMISION ADMINISTRACIONABRIL 23</v>
      </c>
    </row>
    <row r="107" spans="1:13" x14ac:dyDescent="0.25">
      <c r="A107" s="11" t="str">
        <f>+M107&amp;COUNTIF($M$2:M107,M107)</f>
        <v>CHEQUERA BM DEBITO FISCAL IVA BASICOABRIL 232</v>
      </c>
      <c r="B107" s="204">
        <v>45036</v>
      </c>
      <c r="C107" s="11">
        <v>1273318384</v>
      </c>
      <c r="D107" s="11" t="s">
        <v>476</v>
      </c>
      <c r="E107" s="134"/>
      <c r="F107" s="134">
        <v>588</v>
      </c>
      <c r="G107" s="134">
        <f t="shared" si="9"/>
        <v>1078615.3646960659</v>
      </c>
      <c r="H107" s="11"/>
      <c r="I107" s="11" t="s">
        <v>144</v>
      </c>
      <c r="J107" s="11" t="s">
        <v>405</v>
      </c>
      <c r="K107" s="11" t="s">
        <v>523</v>
      </c>
      <c r="M107" t="str">
        <f t="shared" si="10"/>
        <v>CHEQUERA BM DEBITO FISCAL IVA BASICOABRIL 23</v>
      </c>
    </row>
    <row r="108" spans="1:13" x14ac:dyDescent="0.25">
      <c r="A108" s="11" t="str">
        <f>+M108&amp;COUNTIF($M$2:M108,M108)</f>
        <v>MAIMARA MAXIKIOSCOABRIL 231</v>
      </c>
      <c r="B108" s="204">
        <v>45037</v>
      </c>
      <c r="C108" s="11">
        <v>34947378</v>
      </c>
      <c r="D108" s="11" t="s">
        <v>82</v>
      </c>
      <c r="E108" s="134"/>
      <c r="F108" s="134">
        <v>5000</v>
      </c>
      <c r="G108" s="134">
        <f t="shared" si="9"/>
        <v>1073615.3646960659</v>
      </c>
      <c r="H108" s="11"/>
      <c r="I108" s="11" t="s">
        <v>144</v>
      </c>
      <c r="J108" s="11" t="s">
        <v>405</v>
      </c>
      <c r="K108" s="11" t="s">
        <v>522</v>
      </c>
      <c r="M108" t="str">
        <f t="shared" si="10"/>
        <v>MAIMARA MAXIKIOSCOABRIL 23</v>
      </c>
    </row>
    <row r="109" spans="1:13" x14ac:dyDescent="0.25">
      <c r="A109" s="11" t="str">
        <f>+M109&amp;COUNTIF($M$2:M109,M109)</f>
        <v>FULL TRACK S.R.L.ABRIL 231</v>
      </c>
      <c r="B109" s="204">
        <v>45037</v>
      </c>
      <c r="C109" s="11">
        <v>34947405</v>
      </c>
      <c r="D109" s="11" t="s">
        <v>98</v>
      </c>
      <c r="E109" s="134"/>
      <c r="F109" s="134">
        <v>365811.802892562</v>
      </c>
      <c r="G109" s="134">
        <f t="shared" si="9"/>
        <v>707803.56180350389</v>
      </c>
      <c r="H109" s="11"/>
      <c r="I109" s="11" t="s">
        <v>144</v>
      </c>
      <c r="J109" s="11" t="s">
        <v>405</v>
      </c>
      <c r="K109" s="11"/>
      <c r="M109" t="str">
        <f t="shared" si="10"/>
        <v>FULL TRACK S.R.L.ABRIL 23</v>
      </c>
    </row>
    <row r="110" spans="1:13" x14ac:dyDescent="0.25">
      <c r="A110" s="11" t="str">
        <f>+M110&amp;COUNTIF($M$2:M110,M110)</f>
        <v>SAWELEC SASABRIL 231</v>
      </c>
      <c r="B110" s="204">
        <v>45037</v>
      </c>
      <c r="C110" s="11">
        <v>34947425</v>
      </c>
      <c r="D110" s="11" t="s">
        <v>253</v>
      </c>
      <c r="E110" s="134"/>
      <c r="F110" s="134">
        <v>9910.07</v>
      </c>
      <c r="G110" s="134">
        <f t="shared" si="9"/>
        <v>697893.49180350394</v>
      </c>
      <c r="H110" s="11"/>
      <c r="I110" s="11" t="s">
        <v>144</v>
      </c>
      <c r="J110" s="11" t="s">
        <v>405</v>
      </c>
      <c r="K110" s="11" t="s">
        <v>521</v>
      </c>
      <c r="M110" t="str">
        <f t="shared" si="10"/>
        <v>SAWELEC SASABRIL 23</v>
      </c>
    </row>
    <row r="111" spans="1:13" x14ac:dyDescent="0.25">
      <c r="A111" s="11" t="str">
        <f>+M111&amp;COUNTIF($M$2:M111,M111)</f>
        <v>LOFT COMPUTACION SASABRIL 231</v>
      </c>
      <c r="B111" s="204">
        <v>45037</v>
      </c>
      <c r="C111" s="11">
        <v>34947465</v>
      </c>
      <c r="D111" s="11" t="s">
        <v>136</v>
      </c>
      <c r="E111" s="134"/>
      <c r="F111" s="134">
        <v>4700</v>
      </c>
      <c r="G111" s="134">
        <f t="shared" si="9"/>
        <v>693193.49180350394</v>
      </c>
      <c r="H111" s="11"/>
      <c r="I111" s="11" t="s">
        <v>144</v>
      </c>
      <c r="J111" s="11" t="s">
        <v>405</v>
      </c>
      <c r="K111" s="11" t="s">
        <v>520</v>
      </c>
      <c r="M111" t="str">
        <f t="shared" si="10"/>
        <v>LOFT COMPUTACION SASABRIL 23</v>
      </c>
    </row>
    <row r="112" spans="1:13" x14ac:dyDescent="0.25">
      <c r="A112" s="11" t="str">
        <f>+M112&amp;COUNTIF($M$2:M112,M112)</f>
        <v>LIBRERÍA SAN PABLO SRLABRIL 231</v>
      </c>
      <c r="B112" s="204">
        <v>45037</v>
      </c>
      <c r="C112" s="11">
        <v>34947515</v>
      </c>
      <c r="D112" s="11" t="s">
        <v>10</v>
      </c>
      <c r="E112" s="134"/>
      <c r="F112" s="134">
        <v>23437.5</v>
      </c>
      <c r="G112" s="134">
        <f t="shared" si="9"/>
        <v>669755.99180350394</v>
      </c>
      <c r="H112" s="11"/>
      <c r="I112" s="11" t="s">
        <v>144</v>
      </c>
      <c r="J112" s="11" t="s">
        <v>405</v>
      </c>
      <c r="K112" s="11"/>
      <c r="M112" t="str">
        <f t="shared" si="10"/>
        <v>LIBRERÍA SAN PABLO SRLABRIL 23</v>
      </c>
    </row>
    <row r="113" spans="1:13" x14ac:dyDescent="0.25">
      <c r="A113" s="11" t="str">
        <f>+M113&amp;COUNTIF($M$2:M113,M113)</f>
        <v>LEON LUIS CESARABRIL 231</v>
      </c>
      <c r="B113" s="204">
        <v>45037</v>
      </c>
      <c r="C113" s="11">
        <v>34947558</v>
      </c>
      <c r="D113" s="11" t="s">
        <v>109</v>
      </c>
      <c r="E113" s="134"/>
      <c r="F113" s="134">
        <v>55506.67</v>
      </c>
      <c r="G113" s="134">
        <f t="shared" si="9"/>
        <v>614249.3218035039</v>
      </c>
      <c r="H113" s="11"/>
      <c r="I113" s="11" t="s">
        <v>144</v>
      </c>
      <c r="J113" s="11" t="s">
        <v>405</v>
      </c>
      <c r="K113" s="11"/>
      <c r="M113" t="str">
        <f t="shared" si="10"/>
        <v>LEON LUIS CESARABRIL 23</v>
      </c>
    </row>
    <row r="114" spans="1:13" x14ac:dyDescent="0.25">
      <c r="A114" s="11" t="str">
        <f>+M114&amp;COUNTIF($M$2:M114,M114)</f>
        <v>ENTE CULTURAL DE TUCUMANABRIL 231</v>
      </c>
      <c r="B114" s="204">
        <v>45037</v>
      </c>
      <c r="C114" s="11">
        <v>34947602</v>
      </c>
      <c r="D114" s="11" t="s">
        <v>452</v>
      </c>
      <c r="E114" s="134"/>
      <c r="F114" s="134">
        <v>4600</v>
      </c>
      <c r="G114" s="134">
        <f t="shared" si="9"/>
        <v>609649.3218035039</v>
      </c>
      <c r="H114" s="11"/>
      <c r="I114" s="11" t="s">
        <v>144</v>
      </c>
      <c r="J114" s="11" t="s">
        <v>405</v>
      </c>
      <c r="K114" s="11" t="s">
        <v>519</v>
      </c>
      <c r="M114" t="str">
        <f t="shared" si="10"/>
        <v>ENTE CULTURAL DE TUCUMANABRIL 23</v>
      </c>
    </row>
    <row r="115" spans="1:13" x14ac:dyDescent="0.25">
      <c r="A115" s="11" t="str">
        <f>+M115&amp;COUNTIF($M$2:M115,M115)</f>
        <v>LOFT COMPUTACION SASABRIL 232</v>
      </c>
      <c r="B115" s="204">
        <v>45037</v>
      </c>
      <c r="C115" s="11">
        <v>36068170</v>
      </c>
      <c r="D115" s="11" t="s">
        <v>136</v>
      </c>
      <c r="E115" s="134"/>
      <c r="F115" s="134">
        <v>13220.5</v>
      </c>
      <c r="G115" s="134">
        <f t="shared" si="9"/>
        <v>596428.8218035039</v>
      </c>
      <c r="H115" s="11"/>
      <c r="I115" s="11" t="s">
        <v>144</v>
      </c>
      <c r="J115" s="11" t="s">
        <v>405</v>
      </c>
      <c r="K115" s="11" t="s">
        <v>514</v>
      </c>
      <c r="M115" t="str">
        <f t="shared" si="10"/>
        <v>LOFT COMPUTACION SASABRIL 23</v>
      </c>
    </row>
    <row r="116" spans="1:13" x14ac:dyDescent="0.25">
      <c r="A116" s="11" t="str">
        <f>+M116&amp;COUNTIF($M$2:M116,M116)</f>
        <v>ACREDITACION SIPROSA RFABRIL 231</v>
      </c>
      <c r="B116" s="204">
        <v>45043</v>
      </c>
      <c r="C116" s="11">
        <v>35114955</v>
      </c>
      <c r="D116" s="11" t="s">
        <v>411</v>
      </c>
      <c r="E116" s="134">
        <v>881000</v>
      </c>
      <c r="F116" s="134"/>
      <c r="G116" s="134">
        <f t="shared" si="9"/>
        <v>1477428.8218035039</v>
      </c>
      <c r="H116" s="11"/>
      <c r="I116" s="11" t="s">
        <v>144</v>
      </c>
      <c r="J116" s="11" t="s">
        <v>405</v>
      </c>
      <c r="K116" s="11"/>
      <c r="M116" t="str">
        <f t="shared" si="10"/>
        <v>ACREDITACION SIPROSA RFABRIL 23</v>
      </c>
    </row>
    <row r="117" spans="1:13" x14ac:dyDescent="0.25">
      <c r="A117" s="11" t="str">
        <f>+M117&amp;COUNTIF($M$2:M117,M117)</f>
        <v>MAIMARA MAXIKIOSCOABRIL 232</v>
      </c>
      <c r="B117" s="204">
        <v>45044</v>
      </c>
      <c r="C117" s="11">
        <v>35170111</v>
      </c>
      <c r="D117" s="11" t="s">
        <v>82</v>
      </c>
      <c r="E117" s="134"/>
      <c r="F117" s="134">
        <v>4500</v>
      </c>
      <c r="G117" s="134">
        <f t="shared" si="9"/>
        <v>1472928.8218035039</v>
      </c>
      <c r="H117" s="11"/>
      <c r="I117" s="11" t="s">
        <v>144</v>
      </c>
      <c r="J117" s="11" t="s">
        <v>405</v>
      </c>
      <c r="K117" s="11" t="s">
        <v>518</v>
      </c>
      <c r="M117" t="str">
        <f t="shared" si="10"/>
        <v>MAIMARA MAXIKIOSCOABRIL 23</v>
      </c>
    </row>
    <row r="118" spans="1:13" x14ac:dyDescent="0.25">
      <c r="A118" s="11" t="str">
        <f>+M118&amp;COUNTIF($M$2:M118,M118)</f>
        <v>GRANEROS HORACIO EDUARDOABRIL 231</v>
      </c>
      <c r="B118" s="204">
        <v>45044</v>
      </c>
      <c r="C118" s="11">
        <v>35170205</v>
      </c>
      <c r="D118" s="11" t="s">
        <v>491</v>
      </c>
      <c r="E118" s="134"/>
      <c r="F118" s="134">
        <v>659328.50619834708</v>
      </c>
      <c r="G118" s="134">
        <f t="shared" si="9"/>
        <v>813600.31560515682</v>
      </c>
      <c r="H118" s="11"/>
      <c r="I118" s="11" t="s">
        <v>144</v>
      </c>
      <c r="J118" s="11" t="s">
        <v>405</v>
      </c>
      <c r="K118" s="11" t="s">
        <v>516</v>
      </c>
      <c r="M118" t="str">
        <f t="shared" si="10"/>
        <v>GRANEROS HORACIO EDUARDOABRIL 23</v>
      </c>
    </row>
    <row r="119" spans="1:13" x14ac:dyDescent="0.25">
      <c r="A119" s="11" t="str">
        <f>+M119&amp;COUNTIF($M$2:M119,M119)</f>
        <v>CLARO (AMX ARGENTINA)ABRIL 231</v>
      </c>
      <c r="B119" s="204">
        <v>45044</v>
      </c>
      <c r="C119" s="11">
        <v>35170242</v>
      </c>
      <c r="D119" s="11" t="s">
        <v>18</v>
      </c>
      <c r="E119" s="134"/>
      <c r="F119" s="134">
        <v>18157.259999999998</v>
      </c>
      <c r="G119" s="134">
        <f t="shared" si="9"/>
        <v>795443.05560515681</v>
      </c>
      <c r="H119" s="11"/>
      <c r="I119" s="11" t="s">
        <v>144</v>
      </c>
      <c r="J119" s="11" t="s">
        <v>405</v>
      </c>
      <c r="K119" s="11"/>
      <c r="M119" t="str">
        <f t="shared" si="10"/>
        <v>CLARO (AMX ARGENTINA)ABRIL 23</v>
      </c>
    </row>
    <row r="120" spans="1:13" x14ac:dyDescent="0.25">
      <c r="A120" s="11" t="str">
        <f>+M120&amp;COUNTIF($M$2:M120,M120)</f>
        <v>CARMENA MARCELA ALEJANDRAABRIL 231</v>
      </c>
      <c r="B120" s="204">
        <v>45044</v>
      </c>
      <c r="C120" s="11">
        <v>35170267</v>
      </c>
      <c r="D120" s="11" t="s">
        <v>486</v>
      </c>
      <c r="E120" s="134"/>
      <c r="F120" s="134">
        <v>19300</v>
      </c>
      <c r="G120" s="134">
        <f t="shared" si="9"/>
        <v>776143.05560515681</v>
      </c>
      <c r="H120" s="11"/>
      <c r="I120" s="11" t="s">
        <v>144</v>
      </c>
      <c r="J120" s="11" t="s">
        <v>405</v>
      </c>
      <c r="K120" s="11" t="s">
        <v>517</v>
      </c>
      <c r="M120" t="str">
        <f t="shared" si="10"/>
        <v>CARMENA MARCELA ALEJANDRAABRIL 23</v>
      </c>
    </row>
    <row r="121" spans="1:13" x14ac:dyDescent="0.25">
      <c r="A121" s="11" t="str">
        <f>+M121&amp;COUNTIF($M$2:M121,M121)</f>
        <v>CONFEDERACION MEDICA DE LA REPUBLICAABRIL 231</v>
      </c>
      <c r="B121" s="204">
        <v>45044</v>
      </c>
      <c r="C121" s="11">
        <v>35170275</v>
      </c>
      <c r="D121" s="11" t="s">
        <v>495</v>
      </c>
      <c r="E121" s="134"/>
      <c r="F121" s="134">
        <v>185973.1520661157</v>
      </c>
      <c r="G121" s="134">
        <f t="shared" si="9"/>
        <v>590169.90353904106</v>
      </c>
      <c r="H121" s="11"/>
      <c r="I121" s="11" t="s">
        <v>144</v>
      </c>
      <c r="J121" s="11" t="s">
        <v>405</v>
      </c>
      <c r="K121" s="11" t="s">
        <v>516</v>
      </c>
      <c r="M121" t="str">
        <f t="shared" si="10"/>
        <v>CONFEDERACION MEDICA DE LA REPUBLICAABRIL 23</v>
      </c>
    </row>
    <row r="122" spans="1:13" x14ac:dyDescent="0.25">
      <c r="A122" s="11" t="str">
        <f>+M122&amp;COUNTIF($M$2:M122,M122)</f>
        <v>RET SIPROSA IVAABRIL 231</v>
      </c>
      <c r="B122" s="204">
        <v>45051</v>
      </c>
      <c r="C122" s="11">
        <v>35370558</v>
      </c>
      <c r="D122" s="11" t="s">
        <v>407</v>
      </c>
      <c r="E122" s="134"/>
      <c r="F122" s="134">
        <v>71349.679999999993</v>
      </c>
      <c r="G122" s="134">
        <f t="shared" si="9"/>
        <v>518820.22353904106</v>
      </c>
      <c r="H122" s="11"/>
      <c r="I122" s="11" t="s">
        <v>144</v>
      </c>
      <c r="J122" s="11" t="s">
        <v>405</v>
      </c>
      <c r="K122" s="11"/>
      <c r="M122" t="str">
        <f t="shared" si="10"/>
        <v>RET SIPROSA IVAABRIL 23</v>
      </c>
    </row>
    <row r="123" spans="1:13" x14ac:dyDescent="0.25">
      <c r="A123" s="11" t="str">
        <f>+M123&amp;COUNTIF($M$2:M123,M123)</f>
        <v>RET SIPROSA GANANCIASABRIL 231</v>
      </c>
      <c r="B123" s="204">
        <v>45051</v>
      </c>
      <c r="C123" s="11">
        <v>35372921</v>
      </c>
      <c r="D123" s="11" t="s">
        <v>409</v>
      </c>
      <c r="E123" s="134"/>
      <c r="F123" s="134">
        <v>44508.77</v>
      </c>
      <c r="G123" s="134">
        <f t="shared" si="9"/>
        <v>474311.45353904105</v>
      </c>
      <c r="H123" s="11"/>
      <c r="I123" s="11" t="s">
        <v>144</v>
      </c>
      <c r="J123" s="11" t="s">
        <v>405</v>
      </c>
      <c r="K123" s="11"/>
      <c r="M123" t="str">
        <f t="shared" si="10"/>
        <v>RET SIPROSA GANANCIASABRIL 23</v>
      </c>
    </row>
    <row r="124" spans="1:13" x14ac:dyDescent="0.25">
      <c r="A124" s="11" t="str">
        <f>+M124&amp;COUNTIF($M$2:M124,M124)</f>
        <v>RET SIPROSA SUSSABRIL 231</v>
      </c>
      <c r="B124" s="204">
        <v>45051</v>
      </c>
      <c r="C124" s="11">
        <v>35372981</v>
      </c>
      <c r="D124" s="11" t="s">
        <v>408</v>
      </c>
      <c r="E124" s="134"/>
      <c r="F124" s="134">
        <v>20433.89</v>
      </c>
      <c r="G124" s="134">
        <f t="shared" si="9"/>
        <v>453877.56353904103</v>
      </c>
      <c r="H124" s="11"/>
      <c r="I124" s="11" t="s">
        <v>144</v>
      </c>
      <c r="J124" s="11" t="s">
        <v>405</v>
      </c>
      <c r="K124" s="11"/>
      <c r="M124" t="str">
        <f t="shared" si="10"/>
        <v>RET SIPROSA SUSSABRIL 23</v>
      </c>
    </row>
    <row r="125" spans="1:13" x14ac:dyDescent="0.25">
      <c r="A125" s="11" t="str">
        <f>+M125&amp;COUNTIF($M$2:M125,M125)</f>
        <v>FULL TRACK S.R.L.ABRIL 232</v>
      </c>
      <c r="B125" s="204">
        <v>45051</v>
      </c>
      <c r="C125" s="11">
        <v>35373049</v>
      </c>
      <c r="D125" s="11" t="s">
        <v>98</v>
      </c>
      <c r="E125" s="134"/>
      <c r="F125" s="134">
        <v>373082.99297520664</v>
      </c>
      <c r="G125" s="134">
        <f t="shared" si="9"/>
        <v>80794.570563834393</v>
      </c>
      <c r="H125" s="11"/>
      <c r="I125" s="11" t="s">
        <v>144</v>
      </c>
      <c r="J125" s="11" t="s">
        <v>405</v>
      </c>
      <c r="K125" s="11"/>
      <c r="M125" t="str">
        <f t="shared" si="10"/>
        <v>FULL TRACK S.R.L.ABRIL 23</v>
      </c>
    </row>
    <row r="126" spans="1:13" x14ac:dyDescent="0.25">
      <c r="A126" s="11" t="str">
        <f>+M126&amp;COUNTIF($M$2:M126,M126)</f>
        <v>NAGLE JORGE ELIAS(FERRETERIA)ABRIL 231</v>
      </c>
      <c r="B126" s="204">
        <v>45051</v>
      </c>
      <c r="C126" s="11">
        <v>35373116</v>
      </c>
      <c r="D126" t="s">
        <v>340</v>
      </c>
      <c r="E126" s="134"/>
      <c r="F126" s="134">
        <v>6280</v>
      </c>
      <c r="G126" s="134">
        <f t="shared" si="9"/>
        <v>74514.570563834393</v>
      </c>
      <c r="H126" s="11"/>
      <c r="I126" s="11" t="s">
        <v>144</v>
      </c>
      <c r="J126" s="11" t="s">
        <v>405</v>
      </c>
      <c r="K126" s="11" t="s">
        <v>515</v>
      </c>
      <c r="M126" t="str">
        <f t="shared" si="10"/>
        <v>NAGLE JORGE ELIAS(FERRETERIA)ABRIL 23</v>
      </c>
    </row>
    <row r="127" spans="1:13" x14ac:dyDescent="0.25">
      <c r="A127" s="11" t="str">
        <f>+M127&amp;COUNTIF($M$2:M127,M127)</f>
        <v>DIR GRAL RRHH EN SALUD (TEM)ABRIL 231</v>
      </c>
      <c r="B127" s="204">
        <v>45051</v>
      </c>
      <c r="C127" s="11">
        <v>36068172</v>
      </c>
      <c r="D127" s="11" t="s">
        <v>413</v>
      </c>
      <c r="E127" s="134"/>
      <c r="F127" s="134">
        <v>15912.631875000001</v>
      </c>
      <c r="G127" s="134">
        <f t="shared" ref="G127:G191" si="11">+G126+E127-F127</f>
        <v>58601.938688834394</v>
      </c>
      <c r="H127" s="204">
        <v>45051</v>
      </c>
      <c r="I127" s="11" t="s">
        <v>144</v>
      </c>
      <c r="J127" s="11" t="s">
        <v>406</v>
      </c>
      <c r="K127" s="11"/>
      <c r="M127" t="str">
        <f t="shared" ref="M127:M129" si="12">+CLEAN(D127)&amp;CLEAN(I127)</f>
        <v>DIR GRAL RRHH EN SALUD (TEM)ABRIL 23</v>
      </c>
    </row>
    <row r="128" spans="1:13" x14ac:dyDescent="0.25">
      <c r="A128" s="11" t="str">
        <f>+M128&amp;COUNTIF($M$2:M128,M128)</f>
        <v>ACREDITACION SIPROSAMAYO 231</v>
      </c>
      <c r="B128" s="204">
        <v>45054</v>
      </c>
      <c r="C128" s="11">
        <v>18842275</v>
      </c>
      <c r="D128" s="11" t="s">
        <v>398</v>
      </c>
      <c r="E128" s="134">
        <v>3203525.55</v>
      </c>
      <c r="F128" s="134"/>
      <c r="G128" s="134">
        <f t="shared" si="11"/>
        <v>3262127.488688834</v>
      </c>
      <c r="H128" s="204"/>
      <c r="I128" s="11" t="s">
        <v>146</v>
      </c>
      <c r="J128" s="11" t="s">
        <v>406</v>
      </c>
      <c r="K128" s="134">
        <f>SUMIF($I$2:I128,I128,$E$2:E128)-SUMIF($I$2:I128,I128,$F$2:F128)</f>
        <v>3203525.55</v>
      </c>
      <c r="M128" t="str">
        <f t="shared" si="12"/>
        <v>ACREDITACION SIPROSAMAYO 23</v>
      </c>
    </row>
    <row r="129" spans="1:13" x14ac:dyDescent="0.25">
      <c r="A129" s="11" t="str">
        <f>+M129&amp;COUNTIF($M$2:M129,M129)</f>
        <v>LOFT COMPUTACION SASABRIL 233</v>
      </c>
      <c r="B129" s="204">
        <v>45055</v>
      </c>
      <c r="C129" s="11">
        <v>36068175</v>
      </c>
      <c r="D129" s="11" t="s">
        <v>136</v>
      </c>
      <c r="E129" s="134"/>
      <c r="F129" s="134">
        <v>13220.5</v>
      </c>
      <c r="G129" s="134">
        <f t="shared" si="11"/>
        <v>3248906.988688834</v>
      </c>
      <c r="H129" s="204">
        <v>44696</v>
      </c>
      <c r="I129" s="11" t="s">
        <v>144</v>
      </c>
      <c r="J129" s="11" t="s">
        <v>405</v>
      </c>
      <c r="K129" s="134">
        <f>SUMIF($I$2:I129,I129,$E$2:E129)-SUMIF($I$2:I129,I129,$F$2:F129)</f>
        <v>145352.60399276856</v>
      </c>
      <c r="M129" t="str">
        <f t="shared" si="12"/>
        <v>LOFT COMPUTACION SASABRIL 23</v>
      </c>
    </row>
    <row r="130" spans="1:13" x14ac:dyDescent="0.25">
      <c r="A130" s="11" t="str">
        <f>+M130&amp;COUNTIF($M$2:M130,M130)</f>
        <v>COOP. DE TRAB. SAN LORENZO M MAYO 231</v>
      </c>
      <c r="B130" s="204">
        <v>45056</v>
      </c>
      <c r="C130" s="11">
        <v>35529780</v>
      </c>
      <c r="D130" s="11" t="s">
        <v>92</v>
      </c>
      <c r="E130" s="134"/>
      <c r="F130" s="134">
        <v>376440.75</v>
      </c>
      <c r="G130" s="134">
        <f t="shared" si="11"/>
        <v>2872466.238688834</v>
      </c>
      <c r="H130" s="11"/>
      <c r="I130" s="11" t="s">
        <v>146</v>
      </c>
      <c r="J130" s="11" t="s">
        <v>405</v>
      </c>
      <c r="K130" s="134">
        <f>SUMIF($I$2:I130,I130,$E$2:E130)-SUMIF($I$2:I130,I130,$F$2:F130)</f>
        <v>2827084.8</v>
      </c>
      <c r="M130" t="str">
        <f t="shared" ref="M130:M142" si="13">+CLEAN(D130)&amp;CLEAN(I130)</f>
        <v>COOP. DE TRAB. SAN LORENZO M MAYO 23</v>
      </c>
    </row>
    <row r="131" spans="1:13" x14ac:dyDescent="0.25">
      <c r="A131" s="11" t="str">
        <f>+M131&amp;COUNTIF($M$2:M131,M131)</f>
        <v>BANCO MACRO (IIBB)ABRIL 231</v>
      </c>
      <c r="B131" s="204">
        <v>45056</v>
      </c>
      <c r="C131" s="11">
        <v>36068173</v>
      </c>
      <c r="D131" s="11" t="s">
        <v>403</v>
      </c>
      <c r="E131" s="134"/>
      <c r="F131" s="134">
        <v>79330.53</v>
      </c>
      <c r="G131" s="134">
        <f t="shared" si="11"/>
        <v>2793135.7086888342</v>
      </c>
      <c r="H131" s="204">
        <v>45058</v>
      </c>
      <c r="I131" s="11" t="s">
        <v>144</v>
      </c>
      <c r="J131" s="11" t="s">
        <v>406</v>
      </c>
      <c r="K131" s="134">
        <f>SUMIF($I$2:I131,I131,$E$2:E131)-SUMIF($I$2:I131,I131,$F$2:F131)</f>
        <v>66022.073992768768</v>
      </c>
      <c r="M131" t="str">
        <f t="shared" si="13"/>
        <v>BANCO MACRO (IIBB)ABRIL 23</v>
      </c>
    </row>
    <row r="132" spans="1:13" x14ac:dyDescent="0.25">
      <c r="A132" s="11" t="str">
        <f>+M132&amp;COUNTIF($M$2:M132,M132)</f>
        <v>LIBRERÍA SAN PABLO SRLABRIL 232</v>
      </c>
      <c r="B132" s="204">
        <v>45058</v>
      </c>
      <c r="C132" s="11">
        <v>35670234</v>
      </c>
      <c r="D132" s="11" t="s">
        <v>10</v>
      </c>
      <c r="E132" s="134"/>
      <c r="F132" s="134">
        <v>18750</v>
      </c>
      <c r="G132" s="134">
        <f t="shared" si="11"/>
        <v>2774385.7086888342</v>
      </c>
      <c r="H132" s="11"/>
      <c r="I132" s="11" t="s">
        <v>144</v>
      </c>
      <c r="J132" s="11" t="s">
        <v>405</v>
      </c>
      <c r="K132" s="134">
        <f>SUMIF($I$2:I132,I132,$E$2:E132)-SUMIF($I$2:I132,I132,$F$2:F132)</f>
        <v>47272.073992768768</v>
      </c>
      <c r="M132" t="str">
        <f t="shared" si="13"/>
        <v>LIBRERÍA SAN PABLO SRLABRIL 23</v>
      </c>
    </row>
    <row r="133" spans="1:13" x14ac:dyDescent="0.25">
      <c r="A133" s="11" t="str">
        <f>+M133&amp;COUNTIF($M$2:M133,M133)</f>
        <v>WATERLIFE (VARONA CARLOS JOSE)MAYO 231</v>
      </c>
      <c r="B133" s="204">
        <v>45058</v>
      </c>
      <c r="C133" s="11">
        <v>35670281</v>
      </c>
      <c r="D133" s="11" t="s">
        <v>20</v>
      </c>
      <c r="E133" s="134"/>
      <c r="F133" s="134">
        <v>60693.75</v>
      </c>
      <c r="G133" s="134">
        <f t="shared" si="11"/>
        <v>2713691.9586888342</v>
      </c>
      <c r="H133" s="11"/>
      <c r="I133" s="11" t="s">
        <v>146</v>
      </c>
      <c r="J133" s="11" t="s">
        <v>405</v>
      </c>
      <c r="K133" s="134">
        <f>SUMIF($I$2:I133,I133,$E$2:E133)-SUMIF($I$2:I133,I133,$F$2:F133)</f>
        <v>2766391.05</v>
      </c>
      <c r="M133" t="str">
        <f t="shared" si="13"/>
        <v>WATERLIFE (VARONA CARLOS JOSE)MAYO 23</v>
      </c>
    </row>
    <row r="134" spans="1:13" x14ac:dyDescent="0.25">
      <c r="A134" s="11" t="str">
        <f>+M134&amp;COUNTIF($M$2:M134,M134)</f>
        <v>MAIMARA MAXIKIOSCOMAYO 231</v>
      </c>
      <c r="B134" s="204">
        <v>45058</v>
      </c>
      <c r="C134" s="11">
        <v>35681213</v>
      </c>
      <c r="D134" s="11" t="s">
        <v>82</v>
      </c>
      <c r="E134" s="134"/>
      <c r="F134" s="134">
        <v>5000</v>
      </c>
      <c r="G134" s="134">
        <f t="shared" si="11"/>
        <v>2708691.9586888342</v>
      </c>
      <c r="H134" s="11"/>
      <c r="I134" s="11" t="s">
        <v>146</v>
      </c>
      <c r="J134" s="11" t="s">
        <v>405</v>
      </c>
      <c r="K134" s="134">
        <f>SUMIF($I$2:I134,I134,$E$2:E134)-SUMIF($I$2:I134,I134,$F$2:F134)</f>
        <v>2761391.05</v>
      </c>
      <c r="M134" t="str">
        <f t="shared" si="13"/>
        <v>MAIMARA MAXIKIOSCOMAYO 23</v>
      </c>
    </row>
    <row r="135" spans="1:13" x14ac:dyDescent="0.25">
      <c r="A135" s="11" t="str">
        <f>+M135&amp;COUNTIF($M$2:M135,M135)</f>
        <v>LEON LUIS CESARMAYO 231</v>
      </c>
      <c r="B135" s="204">
        <v>45058</v>
      </c>
      <c r="C135" s="11">
        <v>35681254</v>
      </c>
      <c r="D135" s="11" t="s">
        <v>109</v>
      </c>
      <c r="E135" s="134"/>
      <c r="F135" s="134">
        <v>18877.62</v>
      </c>
      <c r="G135" s="134">
        <f t="shared" si="11"/>
        <v>2689814.3386888341</v>
      </c>
      <c r="H135" s="11"/>
      <c r="I135" s="11" t="s">
        <v>146</v>
      </c>
      <c r="J135" s="11" t="s">
        <v>405</v>
      </c>
      <c r="K135" s="134">
        <f>SUMIF($I$2:I135,I135,$E$2:E135)-SUMIF($I$2:I135,I135,$F$2:F135)</f>
        <v>2742513.4299999997</v>
      </c>
      <c r="M135" t="str">
        <f t="shared" si="13"/>
        <v>LEON LUIS CESARMAYO 23</v>
      </c>
    </row>
    <row r="136" spans="1:13" x14ac:dyDescent="0.25">
      <c r="A136" s="11" t="str">
        <f>+M136&amp;COUNTIF($M$2:M136,M136)</f>
        <v>LIBRERÍA SAN PABLO SRLMAYO 231</v>
      </c>
      <c r="B136" s="204">
        <v>45058</v>
      </c>
      <c r="C136" s="11">
        <v>35681283</v>
      </c>
      <c r="D136" s="11" t="s">
        <v>10</v>
      </c>
      <c r="E136" s="134"/>
      <c r="F136" s="134">
        <v>42228.79</v>
      </c>
      <c r="G136" s="134">
        <f t="shared" si="11"/>
        <v>2647585.5486888341</v>
      </c>
      <c r="H136" s="11"/>
      <c r="I136" s="11" t="s">
        <v>146</v>
      </c>
      <c r="J136" s="11" t="s">
        <v>405</v>
      </c>
      <c r="K136" s="134">
        <f>SUMIF($I$2:I136,I136,$E$2:E136)-SUMIF($I$2:I136,I136,$F$2:F136)</f>
        <v>2700284.6399999997</v>
      </c>
      <c r="M136" t="str">
        <f t="shared" si="13"/>
        <v>LIBRERÍA SAN PABLO SRLMAYO 23</v>
      </c>
    </row>
    <row r="137" spans="1:13" x14ac:dyDescent="0.25">
      <c r="A137" s="11" t="str">
        <f>+M137&amp;COUNTIF($M$2:M137,M137)</f>
        <v>GOMEZ PARDO RAUL(LIMPLUS)MAYO 231</v>
      </c>
      <c r="B137" s="204">
        <v>45058</v>
      </c>
      <c r="C137" s="11">
        <v>35681320</v>
      </c>
      <c r="D137" s="11" t="s">
        <v>114</v>
      </c>
      <c r="E137" s="134"/>
      <c r="F137" s="134">
        <v>38504.300000000003</v>
      </c>
      <c r="G137" s="134">
        <f t="shared" si="11"/>
        <v>2609081.2486888343</v>
      </c>
      <c r="H137" s="11"/>
      <c r="I137" s="11" t="s">
        <v>146</v>
      </c>
      <c r="J137" s="11" t="s">
        <v>405</v>
      </c>
      <c r="K137" s="134">
        <f>SUMIF($I$2:I137,I137,$E$2:E137)-SUMIF($I$2:I137,I137,$F$2:F137)</f>
        <v>2661780.34</v>
      </c>
      <c r="M137" t="str">
        <f t="shared" si="13"/>
        <v>GOMEZ PARDO RAUL(LIMPLUS)MAYO 23</v>
      </c>
    </row>
    <row r="138" spans="1:13" x14ac:dyDescent="0.25">
      <c r="A138" s="11" t="str">
        <f>+M138&amp;COUNTIF($M$2:M138,M138)</f>
        <v>CEGE SRLMAYO 231</v>
      </c>
      <c r="B138" s="204">
        <v>45058</v>
      </c>
      <c r="C138" s="11">
        <v>35681611</v>
      </c>
      <c r="D138" s="11" t="s">
        <v>50</v>
      </c>
      <c r="E138" s="134"/>
      <c r="F138" s="134">
        <v>99650.25</v>
      </c>
      <c r="G138" s="134">
        <f t="shared" si="11"/>
        <v>2509430.9986888343</v>
      </c>
      <c r="H138" s="11"/>
      <c r="I138" s="11" t="s">
        <v>146</v>
      </c>
      <c r="J138" s="11" t="s">
        <v>405</v>
      </c>
      <c r="K138" s="134">
        <f>SUMIF($I$2:I138,I138,$E$2:E138)-SUMIF($I$2:I138,I138,$F$2:F138)</f>
        <v>2562130.09</v>
      </c>
      <c r="M138" t="str">
        <f t="shared" si="13"/>
        <v>CEGE SRLMAYO 23</v>
      </c>
    </row>
    <row r="139" spans="1:13" x14ac:dyDescent="0.25">
      <c r="A139" s="11" t="str">
        <f>+M139&amp;COUNTIF($M$2:M139,M139)</f>
        <v>JORGE ROLANDO FRIAS (JF SERV. INF.)MAYO 231</v>
      </c>
      <c r="B139" s="204">
        <v>45058</v>
      </c>
      <c r="C139" s="11">
        <v>36068171</v>
      </c>
      <c r="D139" s="11" t="s">
        <v>59</v>
      </c>
      <c r="E139" s="134"/>
      <c r="F139" s="134">
        <v>46995</v>
      </c>
      <c r="G139" s="134">
        <f t="shared" si="11"/>
        <v>2462435.9986888343</v>
      </c>
      <c r="H139" s="11"/>
      <c r="I139" s="11" t="s">
        <v>146</v>
      </c>
      <c r="J139" s="11" t="s">
        <v>406</v>
      </c>
      <c r="K139" s="134">
        <f>SUMIF($I$2:I139,I139,$E$2:E139)-SUMIF($I$2:I139,I139,$F$2:F139)</f>
        <v>2515135.09</v>
      </c>
      <c r="M139" t="str">
        <f t="shared" si="13"/>
        <v>JORGE ROLANDO FRIAS (JF SERV. INF.)MAYO 23</v>
      </c>
    </row>
    <row r="140" spans="1:13" x14ac:dyDescent="0.25">
      <c r="A140" s="11" t="str">
        <f>+M140&amp;COUNTIF($M$2:M140,M140)</f>
        <v>LA PROVIDENCIA DEL NOA SRLMAYO 231</v>
      </c>
      <c r="B140" s="204">
        <v>45058</v>
      </c>
      <c r="C140" s="11">
        <v>36068174</v>
      </c>
      <c r="D140" s="11" t="s">
        <v>11</v>
      </c>
      <c r="E140" s="134"/>
      <c r="F140" s="134">
        <v>656921.77</v>
      </c>
      <c r="G140" s="134">
        <f t="shared" si="11"/>
        <v>1805514.2286888342</v>
      </c>
      <c r="H140" s="204">
        <v>45062</v>
      </c>
      <c r="I140" s="11" t="s">
        <v>146</v>
      </c>
      <c r="J140" s="11" t="s">
        <v>406</v>
      </c>
      <c r="K140" s="134">
        <f>SUMIF($I$2:I140,I140,$E$2:E140)-SUMIF($I$2:I140,I140,$F$2:F140)</f>
        <v>1858213.3199999998</v>
      </c>
      <c r="L140" s="217"/>
      <c r="M140" t="str">
        <f t="shared" si="13"/>
        <v>LA PROVIDENCIA DEL NOA SRLMAYO 23</v>
      </c>
    </row>
    <row r="141" spans="1:13" x14ac:dyDescent="0.25">
      <c r="A141" s="11" t="str">
        <f>+M141&amp;COUNTIF($M$2:M141,M141)</f>
        <v>MAIMARA MAXIKIOSCOMAYO 232</v>
      </c>
      <c r="B141" s="204">
        <v>45061</v>
      </c>
      <c r="C141" s="11">
        <v>35742314</v>
      </c>
      <c r="D141" s="11" t="s">
        <v>82</v>
      </c>
      <c r="E141" s="134"/>
      <c r="F141" s="134">
        <v>3345.3</v>
      </c>
      <c r="G141" s="134">
        <f t="shared" si="11"/>
        <v>1802168.9286888342</v>
      </c>
      <c r="H141" s="11"/>
      <c r="I141" s="11" t="s">
        <v>146</v>
      </c>
      <c r="J141" s="11" t="s">
        <v>405</v>
      </c>
      <c r="K141" s="134">
        <f>SUMIF($I$2:I141,I141,$E$2:E141)-SUMIF($I$2:I141,I141,$F$2:F141)</f>
        <v>1854868.0199999998</v>
      </c>
      <c r="M141" t="str">
        <f t="shared" si="13"/>
        <v>MAIMARA MAXIKIOSCOMAYO 23</v>
      </c>
    </row>
    <row r="142" spans="1:13" x14ac:dyDescent="0.25">
      <c r="A142" s="11" t="str">
        <f>+M142&amp;COUNTIF($M$2:M142,M142)</f>
        <v>LEON LUIS CESARMAYO 232</v>
      </c>
      <c r="B142" s="204">
        <v>45061</v>
      </c>
      <c r="C142" s="11">
        <v>35742346</v>
      </c>
      <c r="D142" s="11" t="s">
        <v>109</v>
      </c>
      <c r="E142" s="134"/>
      <c r="F142" s="134">
        <v>5213.93</v>
      </c>
      <c r="G142" s="134">
        <f t="shared" si="11"/>
        <v>1796954.9986888343</v>
      </c>
      <c r="H142" s="11"/>
      <c r="I142" s="11" t="s">
        <v>146</v>
      </c>
      <c r="J142" s="11" t="s">
        <v>405</v>
      </c>
      <c r="K142" s="134">
        <f>SUMIF($I$2:I142,I142,$E$2:E142)-SUMIF($I$2:I142,I142,$F$2:F142)</f>
        <v>1849654.0899999999</v>
      </c>
      <c r="L142" s="217"/>
      <c r="M142" t="str">
        <f t="shared" si="13"/>
        <v>LEON LUIS CESARMAYO 23</v>
      </c>
    </row>
    <row r="143" spans="1:13" x14ac:dyDescent="0.25">
      <c r="A143" s="11" t="str">
        <f>+M143&amp;COUNTIF($M$2:M143,M143)</f>
        <v>ACREDITACION SIPROSA RFMAYO 231</v>
      </c>
      <c r="B143" s="204">
        <v>45065</v>
      </c>
      <c r="C143" s="11">
        <v>35930781</v>
      </c>
      <c r="D143" s="11" t="s">
        <v>411</v>
      </c>
      <c r="E143" s="134">
        <v>382288.68</v>
      </c>
      <c r="F143" s="134"/>
      <c r="G143" s="134">
        <f t="shared" ref="G143:G158" si="14">+G142+E143-F143</f>
        <v>2179243.6786888344</v>
      </c>
      <c r="H143" s="11"/>
      <c r="I143" s="11" t="s">
        <v>146</v>
      </c>
      <c r="J143" s="11" t="s">
        <v>405</v>
      </c>
      <c r="K143" s="134">
        <f>SUMIF($I$2:I143,I143,$E$2:E143)-SUMIF($I$2:I143,I143,$F$2:F143)</f>
        <v>2231942.77</v>
      </c>
      <c r="L143" s="217"/>
      <c r="M143" t="str">
        <f t="shared" ref="M143:M158" si="15">+CLEAN(D143)&amp;CLEAN(I143)</f>
        <v>ACREDITACION SIPROSA RFMAYO 23</v>
      </c>
    </row>
    <row r="144" spans="1:13" x14ac:dyDescent="0.25">
      <c r="A144" s="11" t="str">
        <f>+M144&amp;COUNTIF($M$2:M144,M144)</f>
        <v>ROTTA FRANCISCO(COMPUMAQ)MAYO 231</v>
      </c>
      <c r="B144" s="204">
        <v>45068</v>
      </c>
      <c r="C144" s="11">
        <v>35956219</v>
      </c>
      <c r="D144" s="11" t="s">
        <v>188</v>
      </c>
      <c r="E144" s="134"/>
      <c r="F144" s="134">
        <v>246468.75</v>
      </c>
      <c r="G144" s="134">
        <f t="shared" si="14"/>
        <v>1932774.9286888344</v>
      </c>
      <c r="H144" s="11"/>
      <c r="I144" s="11" t="s">
        <v>146</v>
      </c>
      <c r="J144" s="11" t="s">
        <v>405</v>
      </c>
      <c r="K144" s="134">
        <f>SUMIF($I$2:I144,I144,$E$2:E144)-SUMIF($I$2:I144,I144,$F$2:F144)</f>
        <v>1985474.02</v>
      </c>
      <c r="M144" t="str">
        <f t="shared" si="15"/>
        <v>ROTTA FRANCISCO(COMPUMAQ)MAYO 23</v>
      </c>
    </row>
    <row r="145" spans="1:13" x14ac:dyDescent="0.25">
      <c r="A145" s="11" t="str">
        <f>+M145&amp;COUNTIF($M$2:M145,M145)</f>
        <v>FULL TRACK S.R.L.MAYO 231</v>
      </c>
      <c r="B145" s="204">
        <v>45068</v>
      </c>
      <c r="C145" s="11">
        <v>35956228</v>
      </c>
      <c r="D145" s="11" t="s">
        <v>98</v>
      </c>
      <c r="E145" s="134"/>
      <c r="F145" s="134">
        <v>55673.93</v>
      </c>
      <c r="G145" s="134">
        <f t="shared" si="14"/>
        <v>1877100.9986888345</v>
      </c>
      <c r="H145" s="11"/>
      <c r="I145" s="11" t="s">
        <v>146</v>
      </c>
      <c r="J145" s="11" t="s">
        <v>405</v>
      </c>
      <c r="K145" s="134">
        <f>SUMIF($I$2:I145,I145,$E$2:E145)-SUMIF($I$2:I145,I145,$F$2:F145)</f>
        <v>1929800.09</v>
      </c>
      <c r="M145" t="str">
        <f t="shared" si="15"/>
        <v>FULL TRACK S.R.L.MAYO 23</v>
      </c>
    </row>
    <row r="146" spans="1:13" x14ac:dyDescent="0.25">
      <c r="A146" s="11" t="str">
        <f>+M146&amp;COUNTIF($M$2:M146,M146)</f>
        <v>ESCOBEDO LUCAS NICOLAS (PAPERTUC)MAYO 231</v>
      </c>
      <c r="B146" s="204">
        <v>45068</v>
      </c>
      <c r="C146" s="11">
        <v>35956233</v>
      </c>
      <c r="D146" s="11" t="s">
        <v>104</v>
      </c>
      <c r="E146" s="134"/>
      <c r="F146" s="134">
        <v>21522.018749999999</v>
      </c>
      <c r="G146" s="134">
        <f t="shared" si="14"/>
        <v>1855578.9799388344</v>
      </c>
      <c r="H146" s="11"/>
      <c r="I146" s="11" t="s">
        <v>146</v>
      </c>
      <c r="J146" s="11" t="s">
        <v>405</v>
      </c>
      <c r="K146" s="134">
        <f>SUMIF($I$2:I146,I146,$E$2:E146)-SUMIF($I$2:I146,I146,$F$2:F146)</f>
        <v>1908278.07125</v>
      </c>
      <c r="M146" t="str">
        <f t="shared" si="15"/>
        <v>ESCOBEDO LUCAS NICOLAS (PAPERTUC)MAYO 23</v>
      </c>
    </row>
    <row r="147" spans="1:13" x14ac:dyDescent="0.25">
      <c r="A147" s="11" t="str">
        <f>+M147&amp;COUNTIF($M$2:M147,M147)</f>
        <v>CYGNUS COMUNICACIONESMAYO 231</v>
      </c>
      <c r="B147" s="204">
        <v>45068</v>
      </c>
      <c r="C147" s="11">
        <v>35956246</v>
      </c>
      <c r="D147" s="11" t="s">
        <v>564</v>
      </c>
      <c r="E147" s="134"/>
      <c r="F147" s="134">
        <v>8560</v>
      </c>
      <c r="G147" s="134">
        <f t="shared" si="14"/>
        <v>1847018.9799388344</v>
      </c>
      <c r="H147" s="11"/>
      <c r="I147" s="11" t="s">
        <v>146</v>
      </c>
      <c r="J147" s="11" t="s">
        <v>405</v>
      </c>
      <c r="K147" s="134">
        <f>SUMIF($I$2:I147,I147,$E$2:E147)-SUMIF($I$2:I147,I147,$F$2:F147)</f>
        <v>1899718.07125</v>
      </c>
      <c r="M147" t="str">
        <f t="shared" si="15"/>
        <v>CYGNUS COMUNICACIONESMAYO 23</v>
      </c>
    </row>
    <row r="148" spans="1:13" x14ac:dyDescent="0.25">
      <c r="A148" s="11" t="str">
        <f>+M148&amp;COUNTIF($M$2:M148,M148)</f>
        <v>FULL TRACK S.R.L.MAYO 232</v>
      </c>
      <c r="B148" s="204">
        <v>45068</v>
      </c>
      <c r="C148" s="11">
        <v>35956258</v>
      </c>
      <c r="D148" s="11" t="s">
        <v>98</v>
      </c>
      <c r="E148" s="134"/>
      <c r="F148" s="134">
        <v>649340.37933884305</v>
      </c>
      <c r="G148" s="134">
        <f t="shared" si="14"/>
        <v>1197678.6005999914</v>
      </c>
      <c r="H148" s="11"/>
      <c r="I148" s="11" t="s">
        <v>146</v>
      </c>
      <c r="J148" s="11" t="s">
        <v>405</v>
      </c>
      <c r="K148" s="134">
        <f>SUMIF($I$2:I148,I148,$E$2:E148)-SUMIF($I$2:I148,I148,$F$2:F148)</f>
        <v>1250377.6919111568</v>
      </c>
      <c r="M148" t="str">
        <f t="shared" si="15"/>
        <v>FULL TRACK S.R.L.MAYO 23</v>
      </c>
    </row>
    <row r="149" spans="1:13" x14ac:dyDescent="0.25">
      <c r="A149" s="11" t="str">
        <f>+M149&amp;COUNTIF($M$2:M149,M149)</f>
        <v>DOLSA SAMAYO 231</v>
      </c>
      <c r="B149" s="204">
        <v>45068</v>
      </c>
      <c r="C149" s="11">
        <v>35956271</v>
      </c>
      <c r="D149" s="11" t="s">
        <v>571</v>
      </c>
      <c r="E149" s="134"/>
      <c r="F149" s="134">
        <v>31737.796875000004</v>
      </c>
      <c r="G149" s="134">
        <f t="shared" si="14"/>
        <v>1165940.8037249914</v>
      </c>
      <c r="H149" s="11"/>
      <c r="I149" s="11" t="s">
        <v>146</v>
      </c>
      <c r="J149" s="11" t="s">
        <v>405</v>
      </c>
      <c r="K149" s="134">
        <f>SUMIF($I$2:I149,I149,$E$2:E149)-SUMIF($I$2:I149,I149,$F$2:F149)</f>
        <v>1218639.8950361568</v>
      </c>
      <c r="M149" t="str">
        <f t="shared" si="15"/>
        <v>DOLSA SAMAYO 23</v>
      </c>
    </row>
    <row r="150" spans="1:13" x14ac:dyDescent="0.25">
      <c r="A150" s="11" t="str">
        <f>+M150&amp;COUNTIF($M$2:M150,M150)</f>
        <v>TODOLANDIA SRLMAYO 231</v>
      </c>
      <c r="B150" s="204">
        <v>45068</v>
      </c>
      <c r="C150" s="11">
        <v>35956287</v>
      </c>
      <c r="D150" s="11" t="s">
        <v>577</v>
      </c>
      <c r="E150" s="134"/>
      <c r="F150" s="134">
        <v>18485.099999999999</v>
      </c>
      <c r="G150" s="134">
        <f t="shared" si="14"/>
        <v>1147455.7037249913</v>
      </c>
      <c r="H150" s="11"/>
      <c r="I150" s="11" t="s">
        <v>146</v>
      </c>
      <c r="J150" s="11" t="s">
        <v>405</v>
      </c>
      <c r="K150" s="134">
        <f>SUMIF($I$2:I150,I150,$E$2:E150)-SUMIF($I$2:I150,I150,$F$2:F150)</f>
        <v>1200154.7950361567</v>
      </c>
      <c r="M150" t="str">
        <f t="shared" si="15"/>
        <v>TODOLANDIA SRLMAYO 23</v>
      </c>
    </row>
    <row r="151" spans="1:13" x14ac:dyDescent="0.25">
      <c r="A151" s="11" t="str">
        <f>+M151&amp;COUNTIF($M$2:M151,M151)</f>
        <v>AFS GROUP SRLMAYO 231</v>
      </c>
      <c r="B151" s="204">
        <v>45068</v>
      </c>
      <c r="C151" s="11">
        <v>35956298</v>
      </c>
      <c r="D151" s="11" t="s">
        <v>583</v>
      </c>
      <c r="E151" s="134"/>
      <c r="F151" s="134">
        <v>15171.5</v>
      </c>
      <c r="G151" s="134">
        <f t="shared" si="14"/>
        <v>1132284.2037249913</v>
      </c>
      <c r="H151" s="11"/>
      <c r="I151" s="11" t="s">
        <v>146</v>
      </c>
      <c r="J151" s="11" t="s">
        <v>405</v>
      </c>
      <c r="K151" s="134">
        <f>SUMIF($I$2:I151,I151,$E$2:E151)-SUMIF($I$2:I151,I151,$F$2:F151)</f>
        <v>1184983.2950361567</v>
      </c>
      <c r="M151" t="str">
        <f t="shared" si="15"/>
        <v>AFS GROUP SRLMAYO 23</v>
      </c>
    </row>
    <row r="152" spans="1:13" x14ac:dyDescent="0.25">
      <c r="A152" s="11" t="str">
        <f>+M152&amp;COUNTIF($M$2:M152,M152)</f>
        <v>LOFT COMPUTACION SASMAYO 231</v>
      </c>
      <c r="B152" s="204">
        <v>45068</v>
      </c>
      <c r="C152" s="11">
        <v>35956315</v>
      </c>
      <c r="D152" s="11" t="s">
        <v>136</v>
      </c>
      <c r="E152" s="134"/>
      <c r="F152" s="134">
        <v>4400</v>
      </c>
      <c r="G152" s="134">
        <f t="shared" si="14"/>
        <v>1127884.2037249913</v>
      </c>
      <c r="H152" s="11"/>
      <c r="I152" s="11" t="s">
        <v>146</v>
      </c>
      <c r="J152" s="11" t="s">
        <v>405</v>
      </c>
      <c r="K152" s="134">
        <f>SUMIF($I$2:I152,I152,$E$2:E152)-SUMIF($I$2:I152,I152,$F$2:F152)</f>
        <v>1180583.2950361567</v>
      </c>
      <c r="M152" t="str">
        <f t="shared" si="15"/>
        <v>LOFT COMPUTACION SASMAYO 23</v>
      </c>
    </row>
    <row r="153" spans="1:13" x14ac:dyDescent="0.25">
      <c r="A153" s="11" t="str">
        <f>+M153&amp;COUNTIF($M$2:M153,M153)</f>
        <v>SAFARSI MARCO MATIASMAYO 231</v>
      </c>
      <c r="B153" s="204">
        <v>45070</v>
      </c>
      <c r="C153" s="11">
        <v>36054482</v>
      </c>
      <c r="D153" s="11" t="s">
        <v>587</v>
      </c>
      <c r="E153" s="134"/>
      <c r="F153" s="134">
        <v>36200</v>
      </c>
      <c r="G153" s="134">
        <f t="shared" si="14"/>
        <v>1091684.2037249913</v>
      </c>
      <c r="H153" s="11"/>
      <c r="I153" s="11" t="s">
        <v>146</v>
      </c>
      <c r="J153" s="11" t="s">
        <v>405</v>
      </c>
      <c r="K153" s="134">
        <f>SUMIF($I$2:I153,I153,$E$2:E153)-SUMIF($I$2:I153,I153,$F$2:F153)</f>
        <v>1144383.2950361567</v>
      </c>
      <c r="M153" t="str">
        <f t="shared" si="15"/>
        <v>SAFARSI MARCO MATIASMAYO 23</v>
      </c>
    </row>
    <row r="154" spans="1:13" x14ac:dyDescent="0.25">
      <c r="A154" s="11" t="str">
        <f>+M154&amp;COUNTIF($M$2:M154,M154)</f>
        <v>CLARO (AMX ARGENTINA)MAYO 231</v>
      </c>
      <c r="B154" s="204">
        <v>45070</v>
      </c>
      <c r="C154" s="11">
        <v>36054508</v>
      </c>
      <c r="D154" s="11" t="s">
        <v>18</v>
      </c>
      <c r="E154" s="134"/>
      <c r="F154" s="134">
        <v>20937.27</v>
      </c>
      <c r="G154" s="134">
        <f t="shared" si="14"/>
        <v>1070746.9337249913</v>
      </c>
      <c r="H154" s="11"/>
      <c r="I154" s="11" t="s">
        <v>146</v>
      </c>
      <c r="J154" s="11" t="s">
        <v>405</v>
      </c>
      <c r="K154" s="134">
        <f>SUMIF($I$2:I154,I154,$E$2:E154)-SUMIF($I$2:I154,I154,$F$2:F154)</f>
        <v>1123446.0250361566</v>
      </c>
      <c r="M154" t="str">
        <f t="shared" si="15"/>
        <v>CLARO (AMX ARGENTINA)MAYO 23</v>
      </c>
    </row>
    <row r="155" spans="1:13" x14ac:dyDescent="0.25">
      <c r="A155" s="11" t="str">
        <f>+M155&amp;COUNTIF($M$2:M155,M155)</f>
        <v>NAGLE JORGE ELIAS(FERRETERIA)MAYO 231</v>
      </c>
      <c r="B155" s="204">
        <v>45070</v>
      </c>
      <c r="C155" s="11">
        <v>36054526</v>
      </c>
      <c r="D155" t="s">
        <v>340</v>
      </c>
      <c r="E155" s="134"/>
      <c r="F155" s="134">
        <v>6200</v>
      </c>
      <c r="G155" s="134">
        <f t="shared" si="14"/>
        <v>1064546.9337249913</v>
      </c>
      <c r="H155" s="11"/>
      <c r="I155" s="11" t="s">
        <v>146</v>
      </c>
      <c r="J155" s="11" t="s">
        <v>405</v>
      </c>
      <c r="K155" s="134">
        <f>SUMIF($I$2:I155,I155,$E$2:E155)-SUMIF($I$2:I155,I155,$F$2:F155)</f>
        <v>1117246.0250361566</v>
      </c>
      <c r="M155" t="str">
        <f t="shared" si="15"/>
        <v>NAGLE JORGE ELIAS(FERRETERIA)MAYO 23</v>
      </c>
    </row>
    <row r="156" spans="1:13" x14ac:dyDescent="0.25">
      <c r="A156" s="11" t="str">
        <f>+M156&amp;COUNTIF($M$2:M156,M156)</f>
        <v>LA PROVIDENCIA DEL NOA SRLMAYO 232</v>
      </c>
      <c r="B156" s="204">
        <v>45077</v>
      </c>
      <c r="C156" s="11">
        <v>36068204</v>
      </c>
      <c r="D156" s="11" t="s">
        <v>11</v>
      </c>
      <c r="E156" s="134"/>
      <c r="F156" s="134">
        <v>269605.71999999997</v>
      </c>
      <c r="G156" s="134">
        <f t="shared" si="14"/>
        <v>794941.21372499131</v>
      </c>
      <c r="H156" s="11"/>
      <c r="I156" s="11" t="s">
        <v>146</v>
      </c>
      <c r="J156" s="11" t="s">
        <v>406</v>
      </c>
      <c r="K156" s="134">
        <f>SUMIF($I$2:I156,I156,$E$2:E156)-SUMIF($I$2:I156,I156,$F$2:F156)</f>
        <v>847640.3050361569</v>
      </c>
      <c r="M156" t="str">
        <f t="shared" si="15"/>
        <v>LA PROVIDENCIA DEL NOA SRLMAYO 23</v>
      </c>
    </row>
    <row r="157" spans="1:13" x14ac:dyDescent="0.25">
      <c r="A157" s="11" t="str">
        <f>+M157&amp;COUNTIF($M$2:M157,M157)</f>
        <v>FULL TRACK S.R.L.MAYO 233</v>
      </c>
      <c r="B157" s="204">
        <v>45082</v>
      </c>
      <c r="C157" s="11">
        <v>36342083</v>
      </c>
      <c r="D157" s="11" t="s">
        <v>98</v>
      </c>
      <c r="E157" s="134"/>
      <c r="F157" s="134">
        <v>539889.83388429752</v>
      </c>
      <c r="G157" s="134">
        <f t="shared" si="14"/>
        <v>255051.37984069379</v>
      </c>
      <c r="H157" s="11"/>
      <c r="I157" s="11" t="s">
        <v>146</v>
      </c>
      <c r="J157" s="11" t="s">
        <v>405</v>
      </c>
      <c r="K157" s="134">
        <f>SUMIF($I$2:I157,I157,$E$2:E157)-SUMIF($I$2:I157,I157,$F$2:F157)</f>
        <v>307750.4711518595</v>
      </c>
      <c r="M157" t="str">
        <f t="shared" si="15"/>
        <v>FULL TRACK S.R.L.MAYO 23</v>
      </c>
    </row>
    <row r="158" spans="1:13" x14ac:dyDescent="0.25">
      <c r="A158" s="11" t="str">
        <f>+M158&amp;COUNTIF($M$2:M158,M158)</f>
        <v>GOMEZ PARDO RAUL(LIMPLUS)MAYO 232</v>
      </c>
      <c r="B158" s="204">
        <v>45082</v>
      </c>
      <c r="C158" s="11">
        <v>36342089</v>
      </c>
      <c r="D158" s="11" t="s">
        <v>114</v>
      </c>
      <c r="E158" s="134"/>
      <c r="F158" s="134">
        <v>31522.415625000001</v>
      </c>
      <c r="G158" s="134">
        <f t="shared" si="14"/>
        <v>223528.96421569379</v>
      </c>
      <c r="H158" s="11"/>
      <c r="I158" s="11" t="s">
        <v>146</v>
      </c>
      <c r="J158" s="11" t="s">
        <v>405</v>
      </c>
      <c r="K158" s="134">
        <f>SUMIF($I$2:I158,I158,$E$2:E158)-SUMIF($I$2:I158,I158,$F$2:F158)</f>
        <v>276228.05552685959</v>
      </c>
      <c r="M158" t="str">
        <f t="shared" si="15"/>
        <v>GOMEZ PARDO RAUL(LIMPLUS)MAYO 23</v>
      </c>
    </row>
    <row r="159" spans="1:13" x14ac:dyDescent="0.25">
      <c r="A159" s="11" t="str">
        <f>+M159&amp;COUNTIF($M$2:M159,M159)</f>
        <v>ACREDITACION SIPROSAJUNIO 231</v>
      </c>
      <c r="B159" s="204">
        <v>45083</v>
      </c>
      <c r="C159" s="11">
        <v>18881369</v>
      </c>
      <c r="D159" s="11" t="s">
        <v>398</v>
      </c>
      <c r="E159" s="134">
        <v>2952529.66</v>
      </c>
      <c r="F159" s="134"/>
      <c r="G159" s="134">
        <f t="shared" ref="G159:G187" si="16">+G158+E159-F159</f>
        <v>3176058.6242156941</v>
      </c>
      <c r="H159" s="11"/>
      <c r="I159" s="11" t="s">
        <v>147</v>
      </c>
      <c r="J159" s="11" t="s">
        <v>405</v>
      </c>
      <c r="K159" s="134">
        <f>SUMIF($I$2:I159,I159,$E$2:E159)-SUMIF($I$2:I159,I159,$F$2:F159)</f>
        <v>2952529.66</v>
      </c>
      <c r="M159" t="str">
        <f t="shared" ref="M159:M187" si="17">+CLEAN(D159)&amp;CLEAN(I159)</f>
        <v>ACREDITACION SIPROSAJUNIO 23</v>
      </c>
    </row>
    <row r="160" spans="1:13" x14ac:dyDescent="0.25">
      <c r="A160" s="11" t="str">
        <f>+M160&amp;COUNTIF($M$2:M160,M160)</f>
        <v>ACREDITACION SIPROSA RFJUNIO 231</v>
      </c>
      <c r="B160" s="204">
        <v>45084</v>
      </c>
      <c r="C160" s="11">
        <v>36488247</v>
      </c>
      <c r="D160" s="11" t="s">
        <v>411</v>
      </c>
      <c r="E160" s="134">
        <v>150000</v>
      </c>
      <c r="F160" s="134"/>
      <c r="G160" s="134">
        <f t="shared" si="16"/>
        <v>3326058.6242156941</v>
      </c>
      <c r="H160" s="11"/>
      <c r="I160" s="11" t="s">
        <v>147</v>
      </c>
      <c r="J160" s="11" t="s">
        <v>405</v>
      </c>
      <c r="K160" s="134">
        <f>SUMIF($I$2:I160,I160,$E$2:E160)-SUMIF($I$2:I160,I160,$F$2:F160)</f>
        <v>3102529.66</v>
      </c>
      <c r="M160" t="str">
        <f t="shared" si="17"/>
        <v>ACREDITACION SIPROSA RFJUNIO 23</v>
      </c>
    </row>
    <row r="161" spans="1:13" x14ac:dyDescent="0.25">
      <c r="A161" s="11" t="str">
        <f>+M161&amp;COUNTIF($M$2:M161,M161)</f>
        <v>DIR GRAL RRHH EN SALUD (TEM)MAYO 231</v>
      </c>
      <c r="B161" s="204">
        <v>45086</v>
      </c>
      <c r="C161" s="11">
        <v>36068205</v>
      </c>
      <c r="D161" s="11" t="s">
        <v>413</v>
      </c>
      <c r="E161" s="134"/>
      <c r="F161" s="134">
        <v>23479.760000000002</v>
      </c>
      <c r="G161" s="134">
        <f t="shared" si="16"/>
        <v>3302578.8642156944</v>
      </c>
      <c r="H161" s="11"/>
      <c r="I161" s="11" t="s">
        <v>146</v>
      </c>
      <c r="J161" s="11" t="s">
        <v>406</v>
      </c>
      <c r="K161" s="134">
        <f>SUMIF($I$2:I161,I161,$E$2:E161)-SUMIF($I$2:I161,I161,$F$2:F161)</f>
        <v>252748.29552685982</v>
      </c>
      <c r="M161" t="str">
        <f t="shared" si="17"/>
        <v>DIR GRAL RRHH EN SALUD (TEM)MAYO 23</v>
      </c>
    </row>
    <row r="162" spans="1:13" x14ac:dyDescent="0.25">
      <c r="A162" s="11" t="str">
        <f>+M162&amp;COUNTIF($M$2:M162,M162)</f>
        <v>BANCO MACRO (IIBB)MAYO 231</v>
      </c>
      <c r="B162" s="204">
        <v>45086</v>
      </c>
      <c r="C162" s="11">
        <v>36068208</v>
      </c>
      <c r="D162" s="11" t="s">
        <v>403</v>
      </c>
      <c r="E162" s="134"/>
      <c r="F162" s="134">
        <v>111323.18</v>
      </c>
      <c r="G162" s="134">
        <f t="shared" si="16"/>
        <v>3191255.6842156942</v>
      </c>
      <c r="H162" s="11"/>
      <c r="I162" s="11" t="s">
        <v>146</v>
      </c>
      <c r="J162" s="11" t="s">
        <v>406</v>
      </c>
      <c r="K162" s="134">
        <f>SUMIF($I$2:I162,I162,$E$2:E162)-SUMIF($I$2:I162,I162,$F$2:F162)</f>
        <v>141425.11552685965</v>
      </c>
      <c r="M162" t="str">
        <f t="shared" si="17"/>
        <v>BANCO MACRO (IIBB)MAYO 23</v>
      </c>
    </row>
    <row r="163" spans="1:13" x14ac:dyDescent="0.25">
      <c r="A163" s="11" t="str">
        <f>+M163&amp;COUNTIF($M$2:M163,M163)</f>
        <v>MAIMARA MAXIKIOSCOMAYO 233</v>
      </c>
      <c r="B163" s="204">
        <v>45086</v>
      </c>
      <c r="C163" s="11">
        <v>36597437</v>
      </c>
      <c r="D163" s="11" t="s">
        <v>82</v>
      </c>
      <c r="E163" s="134"/>
      <c r="F163" s="134">
        <v>407.41</v>
      </c>
      <c r="G163" s="134">
        <f t="shared" si="16"/>
        <v>3190848.2742156941</v>
      </c>
      <c r="H163" s="11"/>
      <c r="I163" s="11" t="s">
        <v>146</v>
      </c>
      <c r="J163" s="11" t="s">
        <v>405</v>
      </c>
      <c r="K163" s="134">
        <f>SUMIF($I$2:I163,I163,$E$2:E163)-SUMIF($I$2:I163,I163,$F$2:F163)</f>
        <v>141017.7055268595</v>
      </c>
      <c r="M163" t="str">
        <f t="shared" si="17"/>
        <v>MAIMARA MAXIKIOSCOMAYO 23</v>
      </c>
    </row>
    <row r="164" spans="1:13" x14ac:dyDescent="0.25">
      <c r="A164" s="11" t="str">
        <f>+M164&amp;COUNTIF($M$2:M164,M164)</f>
        <v>MAIMARA MAXIKIOSCOJUNIO 231</v>
      </c>
      <c r="B164" s="204">
        <v>45086</v>
      </c>
      <c r="C164" s="11">
        <v>36597464</v>
      </c>
      <c r="D164" s="11" t="s">
        <v>82</v>
      </c>
      <c r="E164" s="134"/>
      <c r="F164" s="134">
        <v>3000</v>
      </c>
      <c r="G164" s="134">
        <f t="shared" si="16"/>
        <v>3187848.2742156941</v>
      </c>
      <c r="H164" s="11"/>
      <c r="I164" s="11" t="s">
        <v>147</v>
      </c>
      <c r="J164" s="11" t="s">
        <v>405</v>
      </c>
      <c r="K164" s="134">
        <f>SUMIF($I$2:I164,I164,$E$2:E164)-SUMIF($I$2:I164,I164,$F$2:F164)</f>
        <v>3099529.66</v>
      </c>
      <c r="M164" t="str">
        <f t="shared" si="17"/>
        <v>MAIMARA MAXIKIOSCOJUNIO 23</v>
      </c>
    </row>
    <row r="165" spans="1:13" x14ac:dyDescent="0.25">
      <c r="A165" s="11" t="str">
        <f>+M165&amp;COUNTIF($M$2:M165,M165)</f>
        <v>WATERLIFE (VARONA CARLOS JOSE)JUNIO 231</v>
      </c>
      <c r="B165" s="204">
        <v>45086</v>
      </c>
      <c r="C165" s="11">
        <v>36597525</v>
      </c>
      <c r="D165" s="11" t="s">
        <v>20</v>
      </c>
      <c r="E165" s="134"/>
      <c r="F165" s="134">
        <v>64788.75</v>
      </c>
      <c r="G165" s="134">
        <f t="shared" si="16"/>
        <v>3123059.5242156941</v>
      </c>
      <c r="H165" s="11"/>
      <c r="I165" s="11" t="s">
        <v>147</v>
      </c>
      <c r="J165" s="11" t="s">
        <v>405</v>
      </c>
      <c r="K165" s="134">
        <f>SUMIF($I$2:I165,I165,$E$2:E165)-SUMIF($I$2:I165,I165,$F$2:F165)</f>
        <v>3034740.91</v>
      </c>
      <c r="M165" t="str">
        <f t="shared" si="17"/>
        <v>WATERLIFE (VARONA CARLOS JOSE)JUNIO 23</v>
      </c>
    </row>
    <row r="166" spans="1:13" x14ac:dyDescent="0.25">
      <c r="A166" s="11" t="str">
        <f>+M166&amp;COUNTIF($M$2:M166,M166)</f>
        <v>COOP. DE TRAB. SAN LORENZO M JUNIO 231</v>
      </c>
      <c r="B166" s="204">
        <v>45086</v>
      </c>
      <c r="C166" s="11">
        <v>36597602</v>
      </c>
      <c r="D166" s="11" t="s">
        <v>92</v>
      </c>
      <c r="E166" s="134"/>
      <c r="F166" s="134">
        <v>300927.18</v>
      </c>
      <c r="G166" s="134">
        <f t="shared" si="16"/>
        <v>2822132.3442156939</v>
      </c>
      <c r="H166" s="11"/>
      <c r="I166" s="11" t="s">
        <v>147</v>
      </c>
      <c r="J166" s="11" t="s">
        <v>405</v>
      </c>
      <c r="K166" s="134">
        <f>SUMIF($I$2:I166,I166,$E$2:E166)-SUMIF($I$2:I166,I166,$F$2:F166)</f>
        <v>2733813.73</v>
      </c>
      <c r="M166" t="str">
        <f t="shared" si="17"/>
        <v>COOP. DE TRAB. SAN LORENZO M JUNIO 23</v>
      </c>
    </row>
    <row r="167" spans="1:13" x14ac:dyDescent="0.25">
      <c r="A167" s="11" t="str">
        <f>+M167&amp;COUNTIF($M$2:M167,M167)</f>
        <v>FULL TRACK S.R.L.JUNIO 231</v>
      </c>
      <c r="B167" s="204">
        <v>45086</v>
      </c>
      <c r="C167" s="11">
        <v>36597668</v>
      </c>
      <c r="D167" s="11" t="s">
        <v>98</v>
      </c>
      <c r="E167" s="134"/>
      <c r="F167" s="134">
        <v>80417.592148760319</v>
      </c>
      <c r="G167" s="134">
        <f t="shared" si="16"/>
        <v>2741714.7520669335</v>
      </c>
      <c r="H167" s="11"/>
      <c r="I167" s="11" t="s">
        <v>147</v>
      </c>
      <c r="J167" s="11" t="s">
        <v>405</v>
      </c>
      <c r="K167" s="134">
        <f>SUMIF($I$2:I167,I167,$E$2:E167)-SUMIF($I$2:I167,I167,$F$2:F167)</f>
        <v>2653396.1378512396</v>
      </c>
      <c r="M167" t="str">
        <f t="shared" si="17"/>
        <v>FULL TRACK S.R.L.JUNIO 23</v>
      </c>
    </row>
    <row r="168" spans="1:13" x14ac:dyDescent="0.25">
      <c r="A168" s="11" t="str">
        <f>+M168&amp;COUNTIF($M$2:M168,M168)</f>
        <v>LIBRERÍA SAN PABLO SRLJUNIO 231</v>
      </c>
      <c r="B168" s="204">
        <v>45086</v>
      </c>
      <c r="C168" s="11">
        <v>36597738</v>
      </c>
      <c r="D168" s="11" t="s">
        <v>10</v>
      </c>
      <c r="E168" s="134"/>
      <c r="F168" s="134">
        <v>65957.25</v>
      </c>
      <c r="G168" s="134">
        <f t="shared" si="16"/>
        <v>2675757.5020669335</v>
      </c>
      <c r="H168" s="11"/>
      <c r="I168" s="11" t="s">
        <v>147</v>
      </c>
      <c r="J168" s="11" t="s">
        <v>405</v>
      </c>
      <c r="K168" s="134">
        <f>SUMIF($I$2:I168,I168,$E$2:E168)-SUMIF($I$2:I168,I168,$F$2:F168)</f>
        <v>2587438.8878512396</v>
      </c>
      <c r="M168" t="str">
        <f t="shared" si="17"/>
        <v>LIBRERÍA SAN PABLO SRLJUNIO 23</v>
      </c>
    </row>
    <row r="169" spans="1:13" x14ac:dyDescent="0.25">
      <c r="A169" s="11" t="str">
        <f>+M169&amp;COUNTIF($M$2:M169,M169)</f>
        <v>GOMEZ PARDO RAUL(LIMPLUS)JUNIO 231</v>
      </c>
      <c r="B169" s="204">
        <v>45086</v>
      </c>
      <c r="C169" s="11">
        <v>36597807</v>
      </c>
      <c r="D169" s="11" t="s">
        <v>114</v>
      </c>
      <c r="E169" s="134"/>
      <c r="F169" s="134">
        <v>31211.062500000004</v>
      </c>
      <c r="G169" s="134">
        <f t="shared" si="16"/>
        <v>2644546.4395669335</v>
      </c>
      <c r="H169" s="11"/>
      <c r="I169" s="11" t="s">
        <v>147</v>
      </c>
      <c r="J169" s="11" t="s">
        <v>405</v>
      </c>
      <c r="K169" s="134">
        <f>SUMIF($I$2:I169,I169,$E$2:E169)-SUMIF($I$2:I169,I169,$F$2:F169)</f>
        <v>2556227.8253512396</v>
      </c>
      <c r="M169" t="str">
        <f t="shared" si="17"/>
        <v>GOMEZ PARDO RAUL(LIMPLUS)JUNIO 23</v>
      </c>
    </row>
    <row r="170" spans="1:13" x14ac:dyDescent="0.25">
      <c r="A170" s="11" t="str">
        <f>+M170&amp;COUNTIF($M$2:M170,M170)</f>
        <v>ESCOBEDO LUCAS NICOLAS (PAPERTUC)JUNIO 231</v>
      </c>
      <c r="B170" s="204">
        <v>45086</v>
      </c>
      <c r="C170" s="11">
        <v>36597868</v>
      </c>
      <c r="D170" s="11" t="s">
        <v>104</v>
      </c>
      <c r="E170" s="134"/>
      <c r="F170" s="134">
        <v>24004.96875</v>
      </c>
      <c r="G170" s="134">
        <f t="shared" si="16"/>
        <v>2620541.4708169335</v>
      </c>
      <c r="H170" s="11"/>
      <c r="I170" s="11" t="s">
        <v>147</v>
      </c>
      <c r="J170" s="11" t="s">
        <v>405</v>
      </c>
      <c r="K170" s="134">
        <f>SUMIF($I$2:I170,I170,$E$2:E170)-SUMIF($I$2:I170,I170,$F$2:F170)</f>
        <v>2532222.8566012396</v>
      </c>
      <c r="M170" t="str">
        <f t="shared" si="17"/>
        <v>ESCOBEDO LUCAS NICOLAS (PAPERTUC)JUNIO 23</v>
      </c>
    </row>
    <row r="171" spans="1:13" x14ac:dyDescent="0.25">
      <c r="A171" s="11" t="str">
        <f>+M171&amp;COUNTIF($M$2:M171,M171)</f>
        <v>CEGE SRLJUNIO 231</v>
      </c>
      <c r="B171" s="204">
        <v>45086</v>
      </c>
      <c r="C171" s="11">
        <v>36597935</v>
      </c>
      <c r="D171" s="11" t="s">
        <v>50</v>
      </c>
      <c r="E171" s="134"/>
      <c r="F171" s="134">
        <v>114598.25</v>
      </c>
      <c r="G171" s="134">
        <f t="shared" si="16"/>
        <v>2505943.2208169335</v>
      </c>
      <c r="H171" s="11"/>
      <c r="I171" s="11" t="s">
        <v>147</v>
      </c>
      <c r="J171" s="11" t="s">
        <v>405</v>
      </c>
      <c r="K171" s="134">
        <f>SUMIF($I$2:I171,I171,$E$2:E171)-SUMIF($I$2:I171,I171,$F$2:F171)</f>
        <v>2417624.6066012396</v>
      </c>
      <c r="M171" t="str">
        <f t="shared" si="17"/>
        <v>CEGE SRLJUNIO 23</v>
      </c>
    </row>
    <row r="172" spans="1:13" x14ac:dyDescent="0.25">
      <c r="A172" s="11" t="str">
        <f>+M172&amp;COUNTIF($M$2:M172,M172)</f>
        <v>RET SIPROSA IVAMAYO 231</v>
      </c>
      <c r="B172" s="204">
        <v>45086</v>
      </c>
      <c r="C172" s="11">
        <v>36598005</v>
      </c>
      <c r="D172" s="11" t="s">
        <v>407</v>
      </c>
      <c r="E172" s="134"/>
      <c r="F172" s="134">
        <v>97022.738064000005</v>
      </c>
      <c r="G172" s="134">
        <f t="shared" si="16"/>
        <v>2408920.4827529336</v>
      </c>
      <c r="H172" s="11"/>
      <c r="I172" s="11" t="s">
        <v>146</v>
      </c>
      <c r="J172" s="11" t="s">
        <v>405</v>
      </c>
      <c r="K172" s="134">
        <f>SUMIF($I$2:I172,I172,$E$2:E172)-SUMIF($I$2:I172,I172,$F$2:F172)</f>
        <v>43994.967462859582</v>
      </c>
      <c r="M172" t="str">
        <f t="shared" si="17"/>
        <v>RET SIPROSA IVAMAYO 23</v>
      </c>
    </row>
    <row r="173" spans="1:13" x14ac:dyDescent="0.25">
      <c r="A173" s="11" t="str">
        <f>+M173&amp;COUNTIF($M$2:M173,M173)</f>
        <v>LEON LUIS CESARJUNIO 231</v>
      </c>
      <c r="B173" s="204">
        <v>45086</v>
      </c>
      <c r="C173" s="11">
        <v>36598078</v>
      </c>
      <c r="D173" s="11" t="s">
        <v>109</v>
      </c>
      <c r="E173" s="134"/>
      <c r="F173" s="134">
        <v>40422.909374999996</v>
      </c>
      <c r="G173" s="134">
        <f t="shared" si="16"/>
        <v>2368497.5733779338</v>
      </c>
      <c r="H173" s="11"/>
      <c r="I173" s="11" t="s">
        <v>147</v>
      </c>
      <c r="J173" s="11" t="s">
        <v>405</v>
      </c>
      <c r="K173" s="134">
        <f>SUMIF($I$2:I173,I173,$E$2:E173)-SUMIF($I$2:I173,I173,$F$2:F173)</f>
        <v>2377201.6972262398</v>
      </c>
      <c r="M173" t="str">
        <f t="shared" si="17"/>
        <v>LEON LUIS CESARJUNIO 23</v>
      </c>
    </row>
    <row r="174" spans="1:13" x14ac:dyDescent="0.25">
      <c r="A174" s="11" t="str">
        <f>+M174&amp;COUNTIF($M$2:M174,M174)</f>
        <v>RET SIPROSA GANANCIASMAYO 231</v>
      </c>
      <c r="B174" s="204">
        <v>45086</v>
      </c>
      <c r="C174" s="11">
        <v>36598153</v>
      </c>
      <c r="D174" s="11" t="s">
        <v>409</v>
      </c>
      <c r="E174" s="134"/>
      <c r="F174" s="134">
        <v>37241.8128</v>
      </c>
      <c r="G174" s="134">
        <f t="shared" si="16"/>
        <v>2331255.7605779339</v>
      </c>
      <c r="H174" s="11"/>
      <c r="I174" s="11" t="s">
        <v>146</v>
      </c>
      <c r="J174" s="11" t="s">
        <v>405</v>
      </c>
      <c r="K174" s="134">
        <f>SUMIF($I$2:I174,I174,$E$2:E174)-SUMIF($I$2:I174,I174,$F$2:F174)</f>
        <v>6753.1546628596261</v>
      </c>
      <c r="M174" t="str">
        <f t="shared" si="17"/>
        <v>RET SIPROSA GANANCIASMAYO 23</v>
      </c>
    </row>
    <row r="175" spans="1:13" x14ac:dyDescent="0.25">
      <c r="A175" s="11" t="str">
        <f>+M175&amp;COUNTIF($M$2:M175,M175)</f>
        <v>RET SIPROSA SUSSMAYO 231</v>
      </c>
      <c r="B175" s="204">
        <v>45086</v>
      </c>
      <c r="C175" s="11">
        <v>36598223</v>
      </c>
      <c r="D175" s="11" t="s">
        <v>408</v>
      </c>
      <c r="E175" s="134"/>
      <c r="F175" s="134">
        <v>19958.458512396694</v>
      </c>
      <c r="G175" s="134">
        <f t="shared" si="16"/>
        <v>2311297.3020655373</v>
      </c>
      <c r="H175" s="11"/>
      <c r="I175" s="11" t="s">
        <v>146</v>
      </c>
      <c r="J175" s="11" t="s">
        <v>405</v>
      </c>
      <c r="K175" s="134">
        <f>SUMIF($I$2:I175,I175,$E$2:E175)-SUMIF($I$2:I175,I175,$F$2:F175)</f>
        <v>-13205.303849536926</v>
      </c>
      <c r="M175" t="str">
        <f t="shared" si="17"/>
        <v>RET SIPROSA SUSSMAYO 23</v>
      </c>
    </row>
    <row r="176" spans="1:13" x14ac:dyDescent="0.25">
      <c r="A176" s="11" t="str">
        <f>+M176&amp;COUNTIF($M$2:M176,M176)</f>
        <v>SUCESION DE NUÑEZ CAMPERO MARIO ROBERTOJUNIO 231</v>
      </c>
      <c r="B176" s="204">
        <v>45086</v>
      </c>
      <c r="C176" s="11">
        <v>36604937</v>
      </c>
      <c r="D176" s="11" t="s">
        <v>560</v>
      </c>
      <c r="E176" s="134"/>
      <c r="F176" s="134">
        <v>2468.64</v>
      </c>
      <c r="G176" s="134">
        <f t="shared" si="16"/>
        <v>2308828.6620655372</v>
      </c>
      <c r="H176" s="11"/>
      <c r="I176" s="11" t="s">
        <v>147</v>
      </c>
      <c r="J176" s="11" t="s">
        <v>405</v>
      </c>
      <c r="K176" s="134">
        <f>SUMIF($I$2:I176,I176,$E$2:E176)-SUMIF($I$2:I176,I176,$F$2:F176)</f>
        <v>2374733.0572262397</v>
      </c>
      <c r="M176" t="str">
        <f t="shared" si="17"/>
        <v>SUCESION DE NUÑEZ CAMPERO MARIO ROBERTOJUNIO 23</v>
      </c>
    </row>
    <row r="177" spans="1:13" x14ac:dyDescent="0.25">
      <c r="A177" s="11" t="str">
        <f>+M177&amp;COUNTIF($M$2:M177,M177)</f>
        <v>JORGE ROLANDO FRIAS (JF SERV. INF.)JUNIO 231</v>
      </c>
      <c r="B177" s="204">
        <v>45089</v>
      </c>
      <c r="C177" s="11">
        <v>36068207</v>
      </c>
      <c r="D177" s="11" t="s">
        <v>59</v>
      </c>
      <c r="E177" s="134"/>
      <c r="F177" s="134">
        <v>46995</v>
      </c>
      <c r="G177" s="134">
        <f t="shared" si="16"/>
        <v>2261833.6620655372</v>
      </c>
      <c r="H177" s="11"/>
      <c r="I177" s="11" t="s">
        <v>147</v>
      </c>
      <c r="J177" s="11" t="s">
        <v>406</v>
      </c>
      <c r="K177" s="134">
        <f>SUMIF($I$2:I177,I177,$E$2:E177)-SUMIF($I$2:I177,I177,$F$2:F177)</f>
        <v>2327738.0572262397</v>
      </c>
      <c r="M177" t="str">
        <f t="shared" si="17"/>
        <v>JORGE ROLANDO FRIAS (JF SERV. INF.)JUNIO 23</v>
      </c>
    </row>
    <row r="178" spans="1:13" x14ac:dyDescent="0.25">
      <c r="A178" s="11" t="str">
        <f>+M178&amp;COUNTIF($M$2:M178,M178)</f>
        <v>ACREDITACION SIPROSA RFJUNIO 232</v>
      </c>
      <c r="B178" s="204">
        <v>45090</v>
      </c>
      <c r="C178" s="11">
        <v>36736647</v>
      </c>
      <c r="D178" s="11" t="s">
        <v>411</v>
      </c>
      <c r="E178" s="134">
        <v>20000</v>
      </c>
      <c r="F178" s="134"/>
      <c r="G178" s="134">
        <f t="shared" si="16"/>
        <v>2281833.6620655372</v>
      </c>
      <c r="H178" s="11"/>
      <c r="I178" s="11" t="s">
        <v>147</v>
      </c>
      <c r="J178" s="11" t="s">
        <v>405</v>
      </c>
      <c r="K178" s="134">
        <f>SUMIF($I$2:I178,I178,$E$2:E178)-SUMIF($I$2:I178,I178,$F$2:F178)</f>
        <v>2347738.0572262397</v>
      </c>
      <c r="M178" t="str">
        <f t="shared" si="17"/>
        <v>ACREDITACION SIPROSA RFJUNIO 23</v>
      </c>
    </row>
    <row r="179" spans="1:13" x14ac:dyDescent="0.25">
      <c r="A179" s="11" t="str">
        <f>+M179&amp;COUNTIF($M$2:M179,M179)</f>
        <v>LA PROVIDENCIA DEL NOA SRLJUNIO 231</v>
      </c>
      <c r="B179" s="204">
        <v>45091</v>
      </c>
      <c r="C179" s="11">
        <v>36068209</v>
      </c>
      <c r="D179" s="11" t="s">
        <v>11</v>
      </c>
      <c r="E179" s="134"/>
      <c r="F179" s="134">
        <v>613306.1</v>
      </c>
      <c r="G179" s="134">
        <f t="shared" si="16"/>
        <v>1668527.5620655371</v>
      </c>
      <c r="H179" s="11"/>
      <c r="I179" s="11" t="s">
        <v>147</v>
      </c>
      <c r="J179" s="11" t="s">
        <v>406</v>
      </c>
      <c r="K179" s="134">
        <f>SUMIF($I$2:I179,I179,$E$2:E179)-SUMIF($I$2:I179,I179,$F$2:F179)</f>
        <v>1734431.9572262396</v>
      </c>
      <c r="M179" t="str">
        <f t="shared" si="17"/>
        <v>LA PROVIDENCIA DEL NOA SRLJUNIO 23</v>
      </c>
    </row>
    <row r="180" spans="1:13" x14ac:dyDescent="0.25">
      <c r="A180" s="11" t="str">
        <f>+M180&amp;COUNTIF($M$2:M180,M180)</f>
        <v>LAMAS MONICA GABRIELAJUNIO 231</v>
      </c>
      <c r="B180" s="204">
        <v>45098</v>
      </c>
      <c r="C180" s="11">
        <v>36919017</v>
      </c>
      <c r="D180" s="11" t="s">
        <v>315</v>
      </c>
      <c r="E180" s="134"/>
      <c r="F180" s="134">
        <v>9100</v>
      </c>
      <c r="G180" s="134">
        <f t="shared" si="16"/>
        <v>1659427.5620655371</v>
      </c>
      <c r="H180" s="11"/>
      <c r="I180" s="11" t="s">
        <v>147</v>
      </c>
      <c r="J180" s="11" t="s">
        <v>405</v>
      </c>
      <c r="K180" s="134">
        <f>SUMIF($I$2:I180,I180,$E$2:E180)-SUMIF($I$2:I180,I180,$F$2:F180)</f>
        <v>1725331.9572262396</v>
      </c>
      <c r="M180" t="str">
        <f t="shared" si="17"/>
        <v>LAMAS MONICA GABRIELAJUNIO 23</v>
      </c>
    </row>
    <row r="181" spans="1:13" x14ac:dyDescent="0.25">
      <c r="A181" s="11" t="str">
        <f>+M181&amp;COUNTIF($M$2:M181,M181)</f>
        <v>FULL TRACK S.R.L.JUNIO 232</v>
      </c>
      <c r="B181" s="204">
        <v>45098</v>
      </c>
      <c r="C181" s="11">
        <v>36919022</v>
      </c>
      <c r="D181" s="11" t="s">
        <v>98</v>
      </c>
      <c r="E181" s="134"/>
      <c r="F181" s="134">
        <v>709040.68</v>
      </c>
      <c r="G181" s="134">
        <f t="shared" si="16"/>
        <v>950386.88206553704</v>
      </c>
      <c r="H181" s="11"/>
      <c r="I181" s="11" t="s">
        <v>147</v>
      </c>
      <c r="J181" s="11" t="s">
        <v>405</v>
      </c>
      <c r="K181" s="134">
        <f>SUMIF($I$2:I181,I181,$E$2:E181)-SUMIF($I$2:I181,I181,$F$2:F181)</f>
        <v>1016291.2772262394</v>
      </c>
      <c r="M181" t="str">
        <f t="shared" si="17"/>
        <v>FULL TRACK S.R.L.JUNIO 23</v>
      </c>
    </row>
    <row r="182" spans="1:13" x14ac:dyDescent="0.25">
      <c r="A182" s="11" t="str">
        <f>+M182&amp;COUNTIF($M$2:M182,M182)</f>
        <v>SG IMPRESIONESJUNIO 231</v>
      </c>
      <c r="B182" s="204">
        <v>45098</v>
      </c>
      <c r="C182" s="11">
        <v>36919029</v>
      </c>
      <c r="D182" s="11" t="s">
        <v>207</v>
      </c>
      <c r="E182" s="134"/>
      <c r="F182" s="134">
        <v>67726.759999999995</v>
      </c>
      <c r="G182" s="134">
        <f t="shared" si="16"/>
        <v>882660.12206553703</v>
      </c>
      <c r="H182" s="11"/>
      <c r="I182" s="11" t="s">
        <v>147</v>
      </c>
      <c r="J182" s="11" t="s">
        <v>405</v>
      </c>
      <c r="K182" s="134">
        <f>SUMIF($I$2:I182,I182,$E$2:E182)-SUMIF($I$2:I182,I182,$F$2:F182)</f>
        <v>948564.51722623967</v>
      </c>
      <c r="M182" t="str">
        <f t="shared" si="17"/>
        <v>SG IMPRESIONESJUNIO 23</v>
      </c>
    </row>
    <row r="183" spans="1:13" x14ac:dyDescent="0.25">
      <c r="A183" s="11" t="str">
        <f>+M183&amp;COUNTIF($M$2:M183,M183)</f>
        <v>CLARO (AMX ARGENTINA)JUNIO 231</v>
      </c>
      <c r="B183" s="204">
        <v>45103</v>
      </c>
      <c r="C183" s="11">
        <v>37095487</v>
      </c>
      <c r="D183" s="11" t="s">
        <v>18</v>
      </c>
      <c r="E183" s="134"/>
      <c r="F183" s="134">
        <v>901.91</v>
      </c>
      <c r="G183" s="134">
        <f t="shared" si="16"/>
        <v>881758.21206553699</v>
      </c>
      <c r="H183" s="11"/>
      <c r="I183" s="11" t="s">
        <v>147</v>
      </c>
      <c r="J183" s="11" t="s">
        <v>405</v>
      </c>
      <c r="K183" s="134">
        <f>SUMIF($I$2:I183,I183,$E$2:E183)-SUMIF($I$2:I183,I183,$F$2:F183)</f>
        <v>947662.60722623952</v>
      </c>
      <c r="M183" t="str">
        <f t="shared" si="17"/>
        <v>CLARO (AMX ARGENTINA)JUNIO 23</v>
      </c>
    </row>
    <row r="184" spans="1:13" x14ac:dyDescent="0.25">
      <c r="A184" s="11" t="str">
        <f>+M184&amp;COUNTIF($M$2:M184,M184)</f>
        <v>SG IMPRESIONESJUNIO 232</v>
      </c>
      <c r="B184" s="204">
        <v>45103</v>
      </c>
      <c r="C184" s="11">
        <v>37095820</v>
      </c>
      <c r="D184" t="s">
        <v>207</v>
      </c>
      <c r="E184" s="134"/>
      <c r="F184" s="134">
        <v>67726.759999999995</v>
      </c>
      <c r="G184" s="134">
        <f t="shared" si="16"/>
        <v>814031.45206553699</v>
      </c>
      <c r="H184" s="11"/>
      <c r="I184" s="11" t="s">
        <v>147</v>
      </c>
      <c r="J184" s="11" t="s">
        <v>405</v>
      </c>
      <c r="K184" s="134">
        <f>SUMIF($I$2:I184,I184,$E$2:E184)-SUMIF($I$2:I184,I184,$F$2:F184)</f>
        <v>879935.84722623974</v>
      </c>
      <c r="M184" t="str">
        <f t="shared" si="17"/>
        <v>SG IMPRESIONESJUNIO 23</v>
      </c>
    </row>
    <row r="185" spans="1:13" x14ac:dyDescent="0.25">
      <c r="A185" s="11" t="str">
        <f>+M185&amp;COUNTIF($M$2:M185,M185)</f>
        <v>CYCOMAT SRLJUNIO 231</v>
      </c>
      <c r="B185" s="204">
        <v>45103</v>
      </c>
      <c r="C185" s="11">
        <v>37095946</v>
      </c>
      <c r="D185" s="11" t="s">
        <v>624</v>
      </c>
      <c r="E185" s="134"/>
      <c r="F185" s="134">
        <v>2560</v>
      </c>
      <c r="G185" s="134">
        <f t="shared" si="16"/>
        <v>811471.45206553699</v>
      </c>
      <c r="H185" s="11"/>
      <c r="I185" s="11" t="s">
        <v>147</v>
      </c>
      <c r="J185" s="11" t="s">
        <v>405</v>
      </c>
      <c r="K185" s="134">
        <f>SUMIF($I$2:I185,I185,$E$2:E185)-SUMIF($I$2:I185,I185,$F$2:F185)</f>
        <v>877375.84722623974</v>
      </c>
      <c r="M185" t="str">
        <f t="shared" si="17"/>
        <v>CYCOMAT SRLJUNIO 23</v>
      </c>
    </row>
    <row r="186" spans="1:13" x14ac:dyDescent="0.25">
      <c r="A186" s="11" t="str">
        <f>+M186&amp;COUNTIF($M$2:M186,M186)</f>
        <v>COOPPERATIVA LA CAÑADA SOLUCIONES LIMITADAJUNIO 231</v>
      </c>
      <c r="B186" s="204">
        <v>45107</v>
      </c>
      <c r="C186" s="11">
        <v>37302091</v>
      </c>
      <c r="D186" s="11" t="s">
        <v>616</v>
      </c>
      <c r="E186" s="134"/>
      <c r="F186" s="134">
        <v>33250</v>
      </c>
      <c r="G186" s="134">
        <f t="shared" si="16"/>
        <v>778221.45206553699</v>
      </c>
      <c r="H186" s="11"/>
      <c r="I186" s="11" t="s">
        <v>147</v>
      </c>
      <c r="J186" s="11" t="s">
        <v>405</v>
      </c>
      <c r="K186" s="134">
        <f>SUMIF($I$2:I186,I186,$E$2:E186)-SUMIF($I$2:I186,I186,$F$2:F186)</f>
        <v>844125.84722623974</v>
      </c>
      <c r="M186" t="str">
        <f t="shared" si="17"/>
        <v>COOPPERATIVA LA CAÑADA SOLUCIONES LIMITADAJUNIO 23</v>
      </c>
    </row>
    <row r="187" spans="1:13" x14ac:dyDescent="0.25">
      <c r="A187" s="11" t="str">
        <f>+M187&amp;COUNTIF($M$2:M187,M187)</f>
        <v>MOLINA GONZALO RAULJULIO 231</v>
      </c>
      <c r="B187" s="204">
        <v>45112</v>
      </c>
      <c r="C187" s="11">
        <v>36068211</v>
      </c>
      <c r="D187" s="11" t="s">
        <v>643</v>
      </c>
      <c r="E187" s="134"/>
      <c r="F187" s="134">
        <v>16800</v>
      </c>
      <c r="G187" s="134">
        <f t="shared" si="16"/>
        <v>761421.45206553699</v>
      </c>
      <c r="H187" s="11"/>
      <c r="I187" s="11" t="s">
        <v>148</v>
      </c>
      <c r="J187" s="11" t="s">
        <v>405</v>
      </c>
      <c r="K187" s="134">
        <f>SUMIF($I$2:I187,I187,$E$2:E187)-SUMIF($I$2:I187,I187,$F$2:F187)</f>
        <v>-16800</v>
      </c>
      <c r="M187" t="str">
        <f t="shared" si="17"/>
        <v>MOLINA GONZALO RAULJULIO 23</v>
      </c>
    </row>
    <row r="188" spans="1:13" x14ac:dyDescent="0.25">
      <c r="A188" s="11" t="str">
        <f>+M188&amp;COUNTIF($M$2:M188,M188)</f>
        <v>ACREDITACION SIPROSAJULIO 231</v>
      </c>
      <c r="B188" s="204">
        <v>45113</v>
      </c>
      <c r="C188" s="11">
        <v>19612311</v>
      </c>
      <c r="D188" s="11" t="s">
        <v>398</v>
      </c>
      <c r="E188" s="134">
        <v>3305761.98</v>
      </c>
      <c r="F188" s="134"/>
      <c r="G188" s="134">
        <f t="shared" si="11"/>
        <v>4067183.4320655372</v>
      </c>
      <c r="H188" s="11"/>
      <c r="I188" s="11" t="s">
        <v>148</v>
      </c>
      <c r="J188" s="11" t="s">
        <v>405</v>
      </c>
      <c r="K188" s="134">
        <f>SUMIF($I$2:I188,I188,$E$2:E188)-SUMIF($I$2:I188,I188,$F$2:F188)</f>
        <v>3288961.98</v>
      </c>
      <c r="M188" t="str">
        <f t="shared" ref="M188:M209" si="18">+CLEAN(D188)&amp;CLEAN(I188)</f>
        <v>ACREDITACION SIPROSAJULIO 23</v>
      </c>
    </row>
    <row r="189" spans="1:13" x14ac:dyDescent="0.25">
      <c r="A189" s="11" t="str">
        <f>+M189&amp;COUNTIF($M$2:M189,M189)</f>
        <v>FULL TRACK S.R.L.JUNIO 233</v>
      </c>
      <c r="B189" s="204">
        <v>45114</v>
      </c>
      <c r="C189" s="11">
        <v>37606821</v>
      </c>
      <c r="D189" s="11" t="s">
        <v>98</v>
      </c>
      <c r="E189" s="134"/>
      <c r="F189" s="134">
        <v>491383.34</v>
      </c>
      <c r="G189" s="134">
        <f t="shared" si="11"/>
        <v>3575800.0920655373</v>
      </c>
      <c r="H189" s="11"/>
      <c r="I189" s="11" t="s">
        <v>147</v>
      </c>
      <c r="J189" s="11" t="s">
        <v>405</v>
      </c>
      <c r="K189" s="134">
        <f>SUMIF($I$2:I189,I189,$E$2:E189)-SUMIF($I$2:I189,I189,$F$2:F189)</f>
        <v>352742.50722623989</v>
      </c>
      <c r="M189" t="str">
        <f t="shared" si="18"/>
        <v>FULL TRACK S.R.L.JUNIO 23</v>
      </c>
    </row>
    <row r="190" spans="1:13" x14ac:dyDescent="0.25">
      <c r="A190" s="11" t="str">
        <f>+M190&amp;COUNTIF($M$2:M190,M190)</f>
        <v>COOPPERATIVA LA CAÑADA SOLUCIONES LIMITADAJUNIO 232</v>
      </c>
      <c r="B190" s="204">
        <v>45114</v>
      </c>
      <c r="C190" s="11">
        <v>37606936</v>
      </c>
      <c r="D190" s="11" t="s">
        <v>616</v>
      </c>
      <c r="E190" s="134"/>
      <c r="F190" s="134">
        <v>14625</v>
      </c>
      <c r="G190" s="134">
        <f t="shared" si="11"/>
        <v>3561175.0920655373</v>
      </c>
      <c r="H190" s="11"/>
      <c r="I190" s="11" t="s">
        <v>147</v>
      </c>
      <c r="J190" s="11" t="s">
        <v>405</v>
      </c>
      <c r="K190" s="134">
        <f>SUMIF($I$2:I190,I190,$E$2:E190)-SUMIF($I$2:I190,I190,$F$2:F190)</f>
        <v>338117.50722623989</v>
      </c>
      <c r="M190" t="str">
        <f t="shared" si="18"/>
        <v>COOPPERATIVA LA CAÑADA SOLUCIONES LIMITADAJUNIO 23</v>
      </c>
    </row>
    <row r="191" spans="1:13" x14ac:dyDescent="0.25">
      <c r="A191" s="11" t="str">
        <f>+M191&amp;COUNTIF($M$2:M191,M191)</f>
        <v>DEVOLUCION RF SIPROSAJUNIO 231</v>
      </c>
      <c r="B191" s="204">
        <v>45114</v>
      </c>
      <c r="C191" s="11">
        <v>37607088</v>
      </c>
      <c r="D191" s="11" t="s">
        <v>397</v>
      </c>
      <c r="E191" s="134"/>
      <c r="F191" s="134">
        <v>1944.4</v>
      </c>
      <c r="G191" s="134">
        <f t="shared" si="11"/>
        <v>3559230.6920655374</v>
      </c>
      <c r="H191" s="11"/>
      <c r="I191" s="11" t="s">
        <v>147</v>
      </c>
      <c r="J191" s="11" t="s">
        <v>405</v>
      </c>
      <c r="K191" s="134">
        <f>SUMIF($I$2:I191,I191,$E$2:E191)-SUMIF($I$2:I191,I191,$F$2:F191)</f>
        <v>336173.10722623998</v>
      </c>
      <c r="L191" s="141"/>
      <c r="M191" t="str">
        <f t="shared" si="18"/>
        <v>DEVOLUCION RF SIPROSAJUNIO 23</v>
      </c>
    </row>
    <row r="192" spans="1:13" x14ac:dyDescent="0.25">
      <c r="A192" s="11" t="str">
        <f>+M192&amp;COUNTIF($M$2:M192,M192)</f>
        <v>DEVOLUCION RF SIPROSAJUNIO 232</v>
      </c>
      <c r="B192" s="204">
        <v>45114</v>
      </c>
      <c r="C192" s="11">
        <v>37607137</v>
      </c>
      <c r="D192" s="11" t="s">
        <v>397</v>
      </c>
      <c r="E192" s="134"/>
      <c r="F192" s="134">
        <v>270</v>
      </c>
      <c r="G192" s="134">
        <f t="shared" ref="G192:G255" si="19">+G191+E192-F192</f>
        <v>3558960.6920655374</v>
      </c>
      <c r="H192" s="11"/>
      <c r="I192" s="11" t="s">
        <v>147</v>
      </c>
      <c r="J192" s="11" t="s">
        <v>405</v>
      </c>
      <c r="K192" s="134">
        <f>SUMIF($I$2:I192,I192,$E$2:E192)-SUMIF($I$2:I192,I192,$F$2:F192)</f>
        <v>335903.10722623998</v>
      </c>
      <c r="L192" s="141"/>
      <c r="M192" t="str">
        <f t="shared" si="18"/>
        <v>DEVOLUCION RF SIPROSAJUNIO 23</v>
      </c>
    </row>
    <row r="193" spans="1:13" x14ac:dyDescent="0.25">
      <c r="A193" s="11" t="str">
        <f>+M193&amp;COUNTIF($M$2:M193,M193)</f>
        <v>WATERLIFE (VARONA CARLOS JOSE)JUNIO 232</v>
      </c>
      <c r="B193" s="204">
        <v>45114</v>
      </c>
      <c r="C193" s="11">
        <v>37607189</v>
      </c>
      <c r="D193" s="11" t="s">
        <v>20</v>
      </c>
      <c r="E193" s="134"/>
      <c r="F193" s="134">
        <v>67860</v>
      </c>
      <c r="G193" s="134">
        <f t="shared" si="19"/>
        <v>3491100.6920655374</v>
      </c>
      <c r="H193" s="11"/>
      <c r="I193" s="11" t="s">
        <v>147</v>
      </c>
      <c r="J193" s="11" t="s">
        <v>405</v>
      </c>
      <c r="K193" s="134">
        <f>SUMIF($I$2:I193,I193,$E$2:E193)-SUMIF($I$2:I193,I193,$F$2:F193)</f>
        <v>268043.10722623998</v>
      </c>
      <c r="L193" s="141"/>
      <c r="M193" t="str">
        <f t="shared" si="18"/>
        <v>WATERLIFE (VARONA CARLOS JOSE)JUNIO 23</v>
      </c>
    </row>
    <row r="194" spans="1:13" x14ac:dyDescent="0.25">
      <c r="A194" s="11" t="str">
        <f>+M194&amp;COUNTIF($M$2:M194,M194)</f>
        <v>COOP. DE TRAB. SAN LORENZO M JULIO 231</v>
      </c>
      <c r="B194" s="204">
        <v>45114</v>
      </c>
      <c r="C194" s="11">
        <v>37607271</v>
      </c>
      <c r="D194" s="11" t="s">
        <v>92</v>
      </c>
      <c r="E194" s="134"/>
      <c r="F194" s="134">
        <v>300927.18</v>
      </c>
      <c r="G194" s="134">
        <f t="shared" si="19"/>
        <v>3190173.5120655373</v>
      </c>
      <c r="H194" s="11"/>
      <c r="I194" s="11" t="s">
        <v>148</v>
      </c>
      <c r="J194" s="11" t="s">
        <v>405</v>
      </c>
      <c r="K194" s="134">
        <f>SUMIF($I$2:I194,I194,$E$2:E194)-SUMIF($I$2:I194,I194,$F$2:F194)</f>
        <v>2988034.8</v>
      </c>
      <c r="L194" s="141"/>
      <c r="M194" t="str">
        <f t="shared" si="18"/>
        <v>COOP. DE TRAB. SAN LORENZO M JULIO 23</v>
      </c>
    </row>
    <row r="195" spans="1:13" x14ac:dyDescent="0.25">
      <c r="A195" s="11" t="str">
        <f>+M195&amp;COUNTIF($M$2:M195,M195)</f>
        <v>LIBRERÍA SAN PABLO SRLJULIO 231</v>
      </c>
      <c r="B195" s="204">
        <v>45114</v>
      </c>
      <c r="C195" s="11">
        <v>37607313</v>
      </c>
      <c r="D195" s="11" t="s">
        <v>10</v>
      </c>
      <c r="E195" s="134"/>
      <c r="F195" s="134">
        <v>18875.330000000002</v>
      </c>
      <c r="G195" s="134">
        <f t="shared" si="19"/>
        <v>3171298.1820655372</v>
      </c>
      <c r="H195" s="11"/>
      <c r="I195" s="11" t="s">
        <v>148</v>
      </c>
      <c r="J195" s="11" t="s">
        <v>405</v>
      </c>
      <c r="K195" s="134">
        <f>SUMIF($I$2:I195,I195,$E$2:E195)-SUMIF($I$2:I195,I195,$F$2:F195)</f>
        <v>2969159.4699999997</v>
      </c>
      <c r="L195" s="141"/>
      <c r="M195" t="str">
        <f t="shared" si="18"/>
        <v>LIBRERÍA SAN PABLO SRLJULIO 23</v>
      </c>
    </row>
    <row r="196" spans="1:13" x14ac:dyDescent="0.25">
      <c r="A196" s="11" t="str">
        <f>+M196&amp;COUNTIF($M$2:M196,M196)</f>
        <v>LIBRERÍA SAN PABLO SRLJULIO 232</v>
      </c>
      <c r="B196" s="204">
        <v>45114</v>
      </c>
      <c r="C196" s="11">
        <v>37607357</v>
      </c>
      <c r="D196" s="11" t="s">
        <v>10</v>
      </c>
      <c r="E196" s="134"/>
      <c r="F196" s="134">
        <v>6485.03</v>
      </c>
      <c r="G196" s="134">
        <f t="shared" si="19"/>
        <v>3164813.1520655374</v>
      </c>
      <c r="H196" s="11"/>
      <c r="I196" s="11" t="s">
        <v>148</v>
      </c>
      <c r="J196" s="11" t="s">
        <v>405</v>
      </c>
      <c r="K196" s="134">
        <f>SUMIF($I$2:I196,I196,$E$2:E196)-SUMIF($I$2:I196,I196,$F$2:F196)</f>
        <v>2962674.44</v>
      </c>
      <c r="L196" s="141"/>
      <c r="M196" t="str">
        <f t="shared" si="18"/>
        <v>LIBRERÍA SAN PABLO SRLJULIO 23</v>
      </c>
    </row>
    <row r="197" spans="1:13" x14ac:dyDescent="0.25">
      <c r="A197" s="11" t="str">
        <f>+M197&amp;COUNTIF($M$2:M197,M197)</f>
        <v>FULL TRACK S.R.L.JULIO 231</v>
      </c>
      <c r="B197" s="204">
        <v>45114</v>
      </c>
      <c r="C197" s="11">
        <v>37607407</v>
      </c>
      <c r="D197" s="11" t="s">
        <v>98</v>
      </c>
      <c r="E197" s="134"/>
      <c r="F197" s="134">
        <v>87162.58</v>
      </c>
      <c r="G197" s="134">
        <f t="shared" si="19"/>
        <v>3077650.5720655373</v>
      </c>
      <c r="H197" s="11"/>
      <c r="I197" s="11" t="s">
        <v>148</v>
      </c>
      <c r="J197" s="11" t="s">
        <v>405</v>
      </c>
      <c r="K197" s="134">
        <f>SUMIF($I$2:I197,I197,$E$2:E197)-SUMIF($I$2:I197,I197,$F$2:F197)</f>
        <v>2875511.86</v>
      </c>
      <c r="L197" s="141"/>
      <c r="M197" t="str">
        <f t="shared" si="18"/>
        <v>FULL TRACK S.R.L.JULIO 23</v>
      </c>
    </row>
    <row r="198" spans="1:13" x14ac:dyDescent="0.25">
      <c r="A198" s="11" t="str">
        <f>+M198&amp;COUNTIF($M$2:M198,M198)</f>
        <v>TUMBURUS PEDRO RUBENJULIO 231</v>
      </c>
      <c r="B198" s="204">
        <v>45114</v>
      </c>
      <c r="C198" s="11">
        <v>37607467</v>
      </c>
      <c r="D198" s="11" t="s">
        <v>442</v>
      </c>
      <c r="E198" s="134"/>
      <c r="F198" s="134">
        <v>11387.11</v>
      </c>
      <c r="G198" s="134">
        <f t="shared" si="19"/>
        <v>3066263.4620655375</v>
      </c>
      <c r="H198" s="11"/>
      <c r="I198" s="11" t="s">
        <v>148</v>
      </c>
      <c r="J198" s="11" t="s">
        <v>405</v>
      </c>
      <c r="K198" s="134">
        <f>SUMIF($I$2:I198,I198,$E$2:E198)-SUMIF($I$2:I198,I198,$F$2:F198)</f>
        <v>2864124.75</v>
      </c>
      <c r="L198" s="141"/>
      <c r="M198" t="str">
        <f t="shared" si="18"/>
        <v>TUMBURUS PEDRO RUBENJULIO 23</v>
      </c>
    </row>
    <row r="199" spans="1:13" x14ac:dyDescent="0.25">
      <c r="A199" s="11" t="str">
        <f>+M199&amp;COUNTIF($M$2:M199,M199)</f>
        <v>RET SIPROSA IVAJUNIO 231</v>
      </c>
      <c r="B199" s="204">
        <v>45114</v>
      </c>
      <c r="C199" s="11">
        <v>37607523</v>
      </c>
      <c r="D199" s="11" t="s">
        <v>407</v>
      </c>
      <c r="E199" s="134"/>
      <c r="F199" s="134">
        <v>64444.88</v>
      </c>
      <c r="G199" s="134">
        <f t="shared" si="19"/>
        <v>3001818.5820655376</v>
      </c>
      <c r="H199" s="11"/>
      <c r="I199" s="11" t="s">
        <v>147</v>
      </c>
      <c r="J199" s="11" t="s">
        <v>405</v>
      </c>
      <c r="K199" s="134">
        <f>SUMIF($I$2:I199,I199,$E$2:E199)-SUMIF($I$2:I199,I199,$F$2:F199)</f>
        <v>203598.22722624009</v>
      </c>
      <c r="L199" s="141"/>
      <c r="M199" t="str">
        <f t="shared" si="18"/>
        <v>RET SIPROSA IVAJUNIO 23</v>
      </c>
    </row>
    <row r="200" spans="1:13" x14ac:dyDescent="0.25">
      <c r="A200" s="11" t="str">
        <f>+M200&amp;COUNTIF($M$2:M200,M200)</f>
        <v>RET SIPROSA GANANCIASJUNIO 231</v>
      </c>
      <c r="B200" s="204">
        <v>45114</v>
      </c>
      <c r="C200" s="11">
        <v>37607575</v>
      </c>
      <c r="D200" s="11" t="s">
        <v>409</v>
      </c>
      <c r="E200" s="134"/>
      <c r="F200" s="134">
        <v>35097.360000000001</v>
      </c>
      <c r="G200" s="134">
        <f t="shared" si="19"/>
        <v>2966721.2220655377</v>
      </c>
      <c r="H200" s="11"/>
      <c r="I200" s="11" t="s">
        <v>147</v>
      </c>
      <c r="J200" s="11" t="s">
        <v>405</v>
      </c>
      <c r="K200" s="134">
        <f>SUMIF($I$2:I200,I200,$E$2:E200)-SUMIF($I$2:I200,I200,$F$2:F200)</f>
        <v>168500.86722624023</v>
      </c>
      <c r="L200" s="141"/>
      <c r="M200" t="str">
        <f t="shared" si="18"/>
        <v>RET SIPROSA GANANCIASJUNIO 23</v>
      </c>
    </row>
    <row r="201" spans="1:13" x14ac:dyDescent="0.25">
      <c r="A201" s="11" t="str">
        <f>+M201&amp;COUNTIF($M$2:M201,M201)</f>
        <v>RET SIPROSA SUSSJUNIO 231</v>
      </c>
      <c r="B201" s="204">
        <v>45114</v>
      </c>
      <c r="C201" s="11">
        <v>37636957</v>
      </c>
      <c r="D201" s="11" t="s">
        <v>408</v>
      </c>
      <c r="E201" s="134"/>
      <c r="F201" s="134">
        <v>18388.91</v>
      </c>
      <c r="G201" s="134">
        <f t="shared" si="19"/>
        <v>2948332.3120655376</v>
      </c>
      <c r="H201" s="11"/>
      <c r="I201" s="11" t="s">
        <v>147</v>
      </c>
      <c r="J201" s="11" t="s">
        <v>405</v>
      </c>
      <c r="K201" s="134">
        <f>SUMIF($I$2:I201,I201,$E$2:E201)-SUMIF($I$2:I201,I201,$F$2:F201)</f>
        <v>150111.95722624008</v>
      </c>
      <c r="L201" s="141"/>
      <c r="M201" t="str">
        <f t="shared" si="18"/>
        <v>RET SIPROSA SUSSJUNIO 23</v>
      </c>
    </row>
    <row r="202" spans="1:13" x14ac:dyDescent="0.25">
      <c r="A202" s="11" t="str">
        <f>+M202&amp;COUNTIF($M$2:M202,M202)</f>
        <v>LA PROVIDENCIA DEL NOA SRLJULIO 231</v>
      </c>
      <c r="B202" s="204">
        <v>45118</v>
      </c>
      <c r="C202" s="11">
        <v>36068216</v>
      </c>
      <c r="D202" s="11" t="s">
        <v>11</v>
      </c>
      <c r="E202" s="134"/>
      <c r="F202" s="134">
        <v>656921.80000000005</v>
      </c>
      <c r="G202" s="134">
        <f t="shared" si="19"/>
        <v>2291410.5120655373</v>
      </c>
      <c r="H202" s="11"/>
      <c r="I202" s="11" t="s">
        <v>148</v>
      </c>
      <c r="J202" s="11" t="s">
        <v>405</v>
      </c>
      <c r="K202" s="134">
        <f>SUMIF($I$2:I202,I202,$E$2:E202)-SUMIF($I$2:I202,I202,$F$2:F202)</f>
        <v>2207202.9500000002</v>
      </c>
      <c r="L202" s="141"/>
      <c r="M202" t="str">
        <f t="shared" si="18"/>
        <v>LA PROVIDENCIA DEL NOA SRLJULIO 23</v>
      </c>
    </row>
    <row r="203" spans="1:13" x14ac:dyDescent="0.25">
      <c r="A203" s="11" t="str">
        <f>+M203&amp;COUNTIF($M$2:M203,M203)</f>
        <v>1</v>
      </c>
      <c r="B203" s="11"/>
      <c r="C203" s="11"/>
      <c r="D203" s="11"/>
      <c r="E203" s="134"/>
      <c r="F203" s="134"/>
      <c r="G203" s="134">
        <f t="shared" si="19"/>
        <v>2291410.5120655373</v>
      </c>
      <c r="H203" s="11"/>
      <c r="I203" s="11"/>
      <c r="J203" s="11"/>
      <c r="K203" s="134">
        <f>SUMIF($I$2:I203,I203,$E$2:E203)-SUMIF($I$2:I203,I203,$F$2:F203)</f>
        <v>0</v>
      </c>
      <c r="L203" s="217"/>
      <c r="M203" t="str">
        <f t="shared" si="18"/>
        <v/>
      </c>
    </row>
    <row r="204" spans="1:13" x14ac:dyDescent="0.25">
      <c r="A204" s="11" t="str">
        <f>+M204&amp;COUNTIF($M$2:M204,M204)</f>
        <v>2</v>
      </c>
      <c r="B204" s="11"/>
      <c r="C204" s="11"/>
      <c r="D204" s="11"/>
      <c r="E204" s="134"/>
      <c r="F204" s="134"/>
      <c r="G204" s="134">
        <f t="shared" si="19"/>
        <v>2291410.5120655373</v>
      </c>
      <c r="H204" s="11"/>
      <c r="I204" s="11"/>
      <c r="J204" s="11"/>
      <c r="K204" s="134">
        <f>SUMIF($I$2:I204,I204,$E$2:E204)-SUMIF($I$2:I204,I204,$F$2:F204)</f>
        <v>0</v>
      </c>
      <c r="L204" s="217"/>
      <c r="M204" t="str">
        <f t="shared" si="18"/>
        <v/>
      </c>
    </row>
    <row r="205" spans="1:13" x14ac:dyDescent="0.25">
      <c r="A205" s="11" t="str">
        <f>+M205&amp;COUNTIF($M$2:M205,M205)</f>
        <v>3</v>
      </c>
      <c r="B205" s="11"/>
      <c r="C205" s="11"/>
      <c r="D205" s="11"/>
      <c r="E205" s="134"/>
      <c r="F205" s="134"/>
      <c r="G205" s="134">
        <f t="shared" si="19"/>
        <v>2291410.5120655373</v>
      </c>
      <c r="H205" s="11"/>
      <c r="I205" s="11"/>
      <c r="J205" s="11"/>
      <c r="K205" s="134">
        <f>SUMIF($I$2:I205,I205,$E$2:E205)-SUMIF($I$2:I205,I205,$F$2:F205)</f>
        <v>0</v>
      </c>
      <c r="M205" t="str">
        <f t="shared" si="18"/>
        <v/>
      </c>
    </row>
    <row r="206" spans="1:13" x14ac:dyDescent="0.25">
      <c r="A206" s="11" t="str">
        <f>+M206&amp;COUNTIF($M$2:M206,M206)</f>
        <v>BANCO MACRO (IIBB)JUNIO 231</v>
      </c>
      <c r="B206" s="11"/>
      <c r="C206" s="11"/>
      <c r="D206" s="11" t="s">
        <v>403</v>
      </c>
      <c r="E206" s="134"/>
      <c r="F206" s="134">
        <v>85212.87</v>
      </c>
      <c r="G206" s="134">
        <f t="shared" si="19"/>
        <v>2206197.6420655372</v>
      </c>
      <c r="H206" s="11"/>
      <c r="I206" s="11" t="s">
        <v>147</v>
      </c>
      <c r="J206" s="11" t="s">
        <v>405</v>
      </c>
      <c r="K206" s="134">
        <f>SUMIF($I$2:I206,I206,$E$2:E206)-SUMIF($I$2:I206,I206,$F$2:F206)</f>
        <v>64899.087226239964</v>
      </c>
      <c r="M206" t="str">
        <f t="shared" si="18"/>
        <v>BANCO MACRO (IIBB)JUNIO 23</v>
      </c>
    </row>
    <row r="207" spans="1:13" x14ac:dyDescent="0.25">
      <c r="A207" s="11" t="str">
        <f>+M207&amp;COUNTIF($M$2:M207,M207)</f>
        <v>DIR GRAL RRHH EN SALUD (TEM)JUNIO 231</v>
      </c>
      <c r="B207" s="11"/>
      <c r="C207" s="11"/>
      <c r="D207" s="11" t="s">
        <v>413</v>
      </c>
      <c r="E207" s="134"/>
      <c r="F207" s="134">
        <v>19108.91</v>
      </c>
      <c r="G207" s="134">
        <f t="shared" si="19"/>
        <v>2187088.732065537</v>
      </c>
      <c r="H207" s="11"/>
      <c r="I207" s="11" t="s">
        <v>147</v>
      </c>
      <c r="J207" s="11" t="s">
        <v>405</v>
      </c>
      <c r="K207" s="134">
        <f>SUMIF($I$2:I207,I207,$E$2:E207)-SUMIF($I$2:I207,I207,$F$2:F207)</f>
        <v>45790.177226239815</v>
      </c>
      <c r="M207" t="str">
        <f t="shared" si="18"/>
        <v>DIR GRAL RRHH EN SALUD (TEM)JUNIO 23</v>
      </c>
    </row>
    <row r="208" spans="1:13" x14ac:dyDescent="0.25">
      <c r="A208" s="11" t="str">
        <f>+M208&amp;COUNTIF($M$2:M208,M208)</f>
        <v>4</v>
      </c>
      <c r="B208" s="11"/>
      <c r="C208" s="11"/>
      <c r="D208" s="11"/>
      <c r="E208" s="134"/>
      <c r="F208" s="134"/>
      <c r="G208" s="134">
        <f t="shared" si="19"/>
        <v>2187088.732065537</v>
      </c>
      <c r="H208" s="11"/>
      <c r="I208" s="11"/>
      <c r="J208" s="11"/>
      <c r="K208" s="11"/>
      <c r="M208" t="str">
        <f t="shared" si="18"/>
        <v/>
      </c>
    </row>
    <row r="209" spans="1:13" x14ac:dyDescent="0.25">
      <c r="A209" s="11" t="str">
        <f>+M209&amp;COUNTIF($M$2:M209,M209)</f>
        <v>5</v>
      </c>
      <c r="B209" s="11"/>
      <c r="C209" s="11"/>
      <c r="D209" s="11"/>
      <c r="E209" s="134"/>
      <c r="F209" s="134"/>
      <c r="G209" s="134">
        <f t="shared" si="19"/>
        <v>2187088.732065537</v>
      </c>
      <c r="H209" s="11"/>
      <c r="I209" s="11"/>
      <c r="J209" s="11"/>
      <c r="K209" s="11"/>
      <c r="M209" t="str">
        <f t="shared" si="18"/>
        <v/>
      </c>
    </row>
    <row r="210" spans="1:13" x14ac:dyDescent="0.25">
      <c r="A210" s="11" t="str">
        <f>+M210&amp;COUNTIF($M$2:M210,M210)</f>
        <v>6</v>
      </c>
      <c r="B210" s="11"/>
      <c r="C210" s="11"/>
      <c r="D210" s="11"/>
      <c r="E210" s="134"/>
      <c r="F210" s="134"/>
      <c r="G210" s="134">
        <f t="shared" si="19"/>
        <v>2187088.732065537</v>
      </c>
      <c r="H210" s="11"/>
      <c r="I210" s="11"/>
      <c r="J210" s="11"/>
      <c r="K210" s="11"/>
      <c r="M210" t="str">
        <f t="shared" ref="M210:M273" si="20">+CLEAN(D210)&amp;CLEAN(I210)</f>
        <v/>
      </c>
    </row>
    <row r="211" spans="1:13" x14ac:dyDescent="0.25">
      <c r="A211" s="11" t="str">
        <f>+M211&amp;COUNTIF($M$2:M211,M211)</f>
        <v>7</v>
      </c>
      <c r="B211" s="11"/>
      <c r="C211" s="11"/>
      <c r="D211" s="11"/>
      <c r="E211" s="134"/>
      <c r="F211" s="134"/>
      <c r="G211" s="134">
        <f t="shared" si="19"/>
        <v>2187088.732065537</v>
      </c>
      <c r="H211" s="11"/>
      <c r="I211" s="11"/>
      <c r="J211" s="11"/>
      <c r="K211" s="11"/>
      <c r="M211" t="str">
        <f t="shared" si="20"/>
        <v/>
      </c>
    </row>
    <row r="212" spans="1:13" x14ac:dyDescent="0.25">
      <c r="A212" s="11" t="str">
        <f>+M212&amp;COUNTIF($M$2:M212,M212)</f>
        <v>8</v>
      </c>
      <c r="B212" s="11"/>
      <c r="C212" s="11"/>
      <c r="D212" s="11"/>
      <c r="E212" s="134"/>
      <c r="F212" s="134"/>
      <c r="G212" s="134">
        <f t="shared" si="19"/>
        <v>2187088.732065537</v>
      </c>
      <c r="H212" s="11"/>
      <c r="I212" s="11"/>
      <c r="J212" s="11"/>
      <c r="K212" s="11"/>
      <c r="M212" t="str">
        <f t="shared" si="20"/>
        <v/>
      </c>
    </row>
    <row r="213" spans="1:13" x14ac:dyDescent="0.25">
      <c r="A213" s="11" t="str">
        <f>+M213&amp;COUNTIF($M$2:M213,M213)</f>
        <v>9</v>
      </c>
      <c r="B213" s="11"/>
      <c r="C213" s="11"/>
      <c r="D213" s="11"/>
      <c r="E213" s="134"/>
      <c r="F213" s="134"/>
      <c r="G213" s="134">
        <f t="shared" si="19"/>
        <v>2187088.732065537</v>
      </c>
      <c r="H213" s="11"/>
      <c r="I213" s="11"/>
      <c r="J213" s="11"/>
      <c r="K213" s="11"/>
      <c r="M213" t="str">
        <f t="shared" si="20"/>
        <v/>
      </c>
    </row>
    <row r="214" spans="1:13" x14ac:dyDescent="0.25">
      <c r="A214" s="11" t="str">
        <f>+M214&amp;COUNTIF($M$2:M214,M214)</f>
        <v>10</v>
      </c>
      <c r="B214" s="11"/>
      <c r="C214" s="11"/>
      <c r="D214" s="11"/>
      <c r="E214" s="134"/>
      <c r="F214" s="134"/>
      <c r="G214" s="134">
        <f t="shared" si="19"/>
        <v>2187088.732065537</v>
      </c>
      <c r="H214" s="11"/>
      <c r="I214" s="11"/>
      <c r="J214" s="11"/>
      <c r="K214" s="11"/>
      <c r="M214" t="str">
        <f t="shared" si="20"/>
        <v/>
      </c>
    </row>
    <row r="215" spans="1:13" x14ac:dyDescent="0.25">
      <c r="A215" s="11" t="str">
        <f>+M215&amp;COUNTIF($M$2:M215,M215)</f>
        <v>11</v>
      </c>
      <c r="B215" s="11"/>
      <c r="C215" s="11"/>
      <c r="D215" s="11"/>
      <c r="E215" s="134"/>
      <c r="F215" s="134"/>
      <c r="G215" s="134">
        <f t="shared" si="19"/>
        <v>2187088.732065537</v>
      </c>
      <c r="H215" s="11"/>
      <c r="I215" s="11"/>
      <c r="J215" s="11"/>
      <c r="K215" s="11"/>
      <c r="M215" t="str">
        <f t="shared" si="20"/>
        <v/>
      </c>
    </row>
    <row r="216" spans="1:13" x14ac:dyDescent="0.25">
      <c r="A216" s="11" t="str">
        <f>+M216&amp;COUNTIF($M$2:M216,M216)</f>
        <v>12</v>
      </c>
      <c r="B216" s="11"/>
      <c r="C216" s="11"/>
      <c r="D216" s="11"/>
      <c r="E216" s="134"/>
      <c r="F216" s="134"/>
      <c r="G216" s="134">
        <f t="shared" si="19"/>
        <v>2187088.732065537</v>
      </c>
      <c r="H216" s="11"/>
      <c r="I216" s="11"/>
      <c r="J216" s="11"/>
      <c r="K216" s="11"/>
      <c r="M216" t="str">
        <f t="shared" si="20"/>
        <v/>
      </c>
    </row>
    <row r="217" spans="1:13" x14ac:dyDescent="0.25">
      <c r="A217" s="11" t="str">
        <f>+M217&amp;COUNTIF($M$2:M217,M217)</f>
        <v>13</v>
      </c>
      <c r="B217" s="11"/>
      <c r="C217" s="11"/>
      <c r="D217" s="11"/>
      <c r="E217" s="134"/>
      <c r="F217" s="134"/>
      <c r="G217" s="134">
        <f t="shared" si="19"/>
        <v>2187088.732065537</v>
      </c>
      <c r="H217" s="11"/>
      <c r="I217" s="11"/>
      <c r="J217" s="11"/>
      <c r="K217" s="11"/>
      <c r="M217" t="str">
        <f t="shared" si="20"/>
        <v/>
      </c>
    </row>
    <row r="218" spans="1:13" x14ac:dyDescent="0.25">
      <c r="A218" s="11" t="str">
        <f>+M218&amp;COUNTIF($M$2:M218,M218)</f>
        <v>14</v>
      </c>
      <c r="B218" s="11"/>
      <c r="C218" s="11"/>
      <c r="D218" s="11"/>
      <c r="E218" s="134"/>
      <c r="F218" s="134"/>
      <c r="G218" s="134">
        <f t="shared" si="19"/>
        <v>2187088.732065537</v>
      </c>
      <c r="H218" s="11"/>
      <c r="I218" s="11"/>
      <c r="J218" s="11"/>
      <c r="K218" s="11"/>
      <c r="M218" t="str">
        <f t="shared" si="20"/>
        <v/>
      </c>
    </row>
    <row r="219" spans="1:13" x14ac:dyDescent="0.25">
      <c r="A219" s="11" t="str">
        <f>+M219&amp;COUNTIF($M$2:M219,M219)</f>
        <v>15</v>
      </c>
      <c r="B219" s="11"/>
      <c r="C219" s="11"/>
      <c r="D219" s="11"/>
      <c r="E219" s="134"/>
      <c r="F219" s="134"/>
      <c r="G219" s="134">
        <f t="shared" si="19"/>
        <v>2187088.732065537</v>
      </c>
      <c r="H219" s="11"/>
      <c r="I219" s="11"/>
      <c r="J219" s="11"/>
      <c r="K219" s="11"/>
      <c r="M219" t="str">
        <f t="shared" si="20"/>
        <v/>
      </c>
    </row>
    <row r="220" spans="1:13" x14ac:dyDescent="0.25">
      <c r="A220" s="11" t="str">
        <f>+M220&amp;COUNTIF($M$2:M220,M220)</f>
        <v>16</v>
      </c>
      <c r="B220" s="11"/>
      <c r="C220" s="11"/>
      <c r="D220" s="11"/>
      <c r="E220" s="134"/>
      <c r="F220" s="134"/>
      <c r="G220" s="134">
        <f t="shared" si="19"/>
        <v>2187088.732065537</v>
      </c>
      <c r="H220" s="11"/>
      <c r="I220" s="11"/>
      <c r="J220" s="11"/>
      <c r="K220" s="11"/>
      <c r="M220" t="str">
        <f t="shared" si="20"/>
        <v/>
      </c>
    </row>
    <row r="221" spans="1:13" x14ac:dyDescent="0.25">
      <c r="A221" s="11" t="str">
        <f>+M221&amp;COUNTIF($M$2:M221,M221)</f>
        <v>17</v>
      </c>
      <c r="B221" s="11"/>
      <c r="C221" s="11"/>
      <c r="D221" s="11"/>
      <c r="E221" s="134"/>
      <c r="F221" s="134"/>
      <c r="G221" s="134">
        <f t="shared" si="19"/>
        <v>2187088.732065537</v>
      </c>
      <c r="H221" s="11"/>
      <c r="I221" s="11"/>
      <c r="J221" s="11"/>
      <c r="K221" s="11"/>
      <c r="M221" t="str">
        <f t="shared" si="20"/>
        <v/>
      </c>
    </row>
    <row r="222" spans="1:13" x14ac:dyDescent="0.25">
      <c r="A222" s="11" t="str">
        <f>+M222&amp;COUNTIF($M$2:M222,M222)</f>
        <v>18</v>
      </c>
      <c r="B222" s="11"/>
      <c r="C222" s="11"/>
      <c r="D222" s="11"/>
      <c r="E222" s="134"/>
      <c r="F222" s="134"/>
      <c r="G222" s="134">
        <f t="shared" si="19"/>
        <v>2187088.732065537</v>
      </c>
      <c r="H222" s="11"/>
      <c r="I222" s="11"/>
      <c r="J222" s="11"/>
      <c r="K222" s="11"/>
      <c r="M222" t="str">
        <f t="shared" si="20"/>
        <v/>
      </c>
    </row>
    <row r="223" spans="1:13" x14ac:dyDescent="0.25">
      <c r="A223" s="11" t="str">
        <f>+M223&amp;COUNTIF($M$2:M223,M223)</f>
        <v>19</v>
      </c>
      <c r="B223" s="11"/>
      <c r="C223" s="11"/>
      <c r="D223" s="11"/>
      <c r="E223" s="134"/>
      <c r="F223" s="134"/>
      <c r="G223" s="134">
        <f t="shared" si="19"/>
        <v>2187088.732065537</v>
      </c>
      <c r="H223" s="11"/>
      <c r="I223" s="11"/>
      <c r="J223" s="11"/>
      <c r="K223" s="11"/>
      <c r="M223" t="str">
        <f t="shared" si="20"/>
        <v/>
      </c>
    </row>
    <row r="224" spans="1:13" x14ac:dyDescent="0.25">
      <c r="A224" s="11" t="str">
        <f>+M224&amp;COUNTIF($M$2:M224,M224)</f>
        <v>20</v>
      </c>
      <c r="B224" s="11"/>
      <c r="C224" s="11"/>
      <c r="D224" s="11"/>
      <c r="E224" s="134"/>
      <c r="F224" s="134"/>
      <c r="G224" s="134">
        <f t="shared" si="19"/>
        <v>2187088.732065537</v>
      </c>
      <c r="H224" s="11"/>
      <c r="I224" s="11"/>
      <c r="J224" s="11"/>
      <c r="K224" s="11"/>
      <c r="M224" t="str">
        <f t="shared" si="20"/>
        <v/>
      </c>
    </row>
    <row r="225" spans="1:13" x14ac:dyDescent="0.25">
      <c r="A225" s="11" t="str">
        <f>+M225&amp;COUNTIF($M$2:M225,M225)</f>
        <v>21</v>
      </c>
      <c r="B225" s="11"/>
      <c r="C225" s="11"/>
      <c r="D225" s="11"/>
      <c r="E225" s="134"/>
      <c r="F225" s="134"/>
      <c r="G225" s="134">
        <f t="shared" si="19"/>
        <v>2187088.732065537</v>
      </c>
      <c r="H225" s="11"/>
      <c r="I225" s="11"/>
      <c r="J225" s="11"/>
      <c r="K225" s="11"/>
      <c r="M225" t="str">
        <f t="shared" si="20"/>
        <v/>
      </c>
    </row>
    <row r="226" spans="1:13" x14ac:dyDescent="0.25">
      <c r="A226" s="11" t="str">
        <f>+M226&amp;COUNTIF($M$2:M226,M226)</f>
        <v>22</v>
      </c>
      <c r="B226" s="11"/>
      <c r="C226" s="11"/>
      <c r="D226" s="11"/>
      <c r="E226" s="134"/>
      <c r="F226" s="134"/>
      <c r="G226" s="134">
        <f t="shared" si="19"/>
        <v>2187088.732065537</v>
      </c>
      <c r="H226" s="11"/>
      <c r="I226" s="11"/>
      <c r="J226" s="11"/>
      <c r="K226" s="11"/>
      <c r="M226" t="str">
        <f t="shared" si="20"/>
        <v/>
      </c>
    </row>
    <row r="227" spans="1:13" x14ac:dyDescent="0.25">
      <c r="A227" s="11" t="str">
        <f>+M227&amp;COUNTIF($M$2:M227,M227)</f>
        <v>23</v>
      </c>
      <c r="B227" s="11"/>
      <c r="C227" s="11"/>
      <c r="D227" s="11"/>
      <c r="E227" s="134"/>
      <c r="F227" s="134"/>
      <c r="G227" s="134">
        <f t="shared" si="19"/>
        <v>2187088.732065537</v>
      </c>
      <c r="H227" s="11"/>
      <c r="I227" s="11"/>
      <c r="J227" s="11"/>
      <c r="K227" s="11"/>
      <c r="M227" t="str">
        <f t="shared" si="20"/>
        <v/>
      </c>
    </row>
    <row r="228" spans="1:13" x14ac:dyDescent="0.25">
      <c r="A228" s="11" t="str">
        <f>+M228&amp;COUNTIF($M$2:M228,M228)</f>
        <v>24</v>
      </c>
      <c r="B228" s="11"/>
      <c r="C228" s="11"/>
      <c r="D228" s="11"/>
      <c r="E228" s="134"/>
      <c r="F228" s="134"/>
      <c r="G228" s="134">
        <f t="shared" si="19"/>
        <v>2187088.732065537</v>
      </c>
      <c r="H228" s="11"/>
      <c r="I228" s="11"/>
      <c r="J228" s="11"/>
      <c r="K228" s="11"/>
      <c r="M228" t="str">
        <f t="shared" si="20"/>
        <v/>
      </c>
    </row>
    <row r="229" spans="1:13" x14ac:dyDescent="0.25">
      <c r="A229" s="11" t="str">
        <f>+M229&amp;COUNTIF($M$2:M229,M229)</f>
        <v>25</v>
      </c>
      <c r="B229" s="11"/>
      <c r="C229" s="11"/>
      <c r="D229" s="11"/>
      <c r="E229" s="134"/>
      <c r="F229" s="134"/>
      <c r="G229" s="134">
        <f t="shared" si="19"/>
        <v>2187088.732065537</v>
      </c>
      <c r="H229" s="11"/>
      <c r="I229" s="11"/>
      <c r="J229" s="11"/>
      <c r="K229" s="11"/>
      <c r="M229" t="str">
        <f t="shared" si="20"/>
        <v/>
      </c>
    </row>
    <row r="230" spans="1:13" x14ac:dyDescent="0.25">
      <c r="A230" s="11" t="str">
        <f>+M230&amp;COUNTIF($M$2:M230,M230)</f>
        <v>26</v>
      </c>
      <c r="B230" s="11"/>
      <c r="C230" s="11"/>
      <c r="D230" s="11"/>
      <c r="E230" s="134"/>
      <c r="F230" s="134"/>
      <c r="G230" s="134">
        <f t="shared" si="19"/>
        <v>2187088.732065537</v>
      </c>
      <c r="H230" s="11"/>
      <c r="I230" s="11"/>
      <c r="J230" s="11"/>
      <c r="K230" s="11"/>
      <c r="M230" t="str">
        <f t="shared" si="20"/>
        <v/>
      </c>
    </row>
    <row r="231" spans="1:13" x14ac:dyDescent="0.25">
      <c r="A231" s="11" t="str">
        <f>+M231&amp;COUNTIF($M$2:M231,M231)</f>
        <v>27</v>
      </c>
      <c r="B231" s="11"/>
      <c r="C231" s="11"/>
      <c r="D231" s="11"/>
      <c r="E231" s="134"/>
      <c r="F231" s="134"/>
      <c r="G231" s="134">
        <f t="shared" si="19"/>
        <v>2187088.732065537</v>
      </c>
      <c r="H231" s="11"/>
      <c r="I231" s="11"/>
      <c r="J231" s="11"/>
      <c r="K231" s="11"/>
      <c r="M231" t="str">
        <f t="shared" si="20"/>
        <v/>
      </c>
    </row>
    <row r="232" spans="1:13" x14ac:dyDescent="0.25">
      <c r="A232" s="11" t="str">
        <f>+M232&amp;COUNTIF($M$2:M232,M232)</f>
        <v>28</v>
      </c>
      <c r="B232" s="11"/>
      <c r="C232" s="11"/>
      <c r="D232" s="11"/>
      <c r="E232" s="134"/>
      <c r="F232" s="134"/>
      <c r="G232" s="134">
        <f t="shared" si="19"/>
        <v>2187088.732065537</v>
      </c>
      <c r="H232" s="11"/>
      <c r="I232" s="11"/>
      <c r="J232" s="11"/>
      <c r="K232" s="11"/>
      <c r="M232" t="str">
        <f t="shared" si="20"/>
        <v/>
      </c>
    </row>
    <row r="233" spans="1:13" x14ac:dyDescent="0.25">
      <c r="A233" s="11" t="str">
        <f>+M233&amp;COUNTIF($M$2:M233,M233)</f>
        <v>29</v>
      </c>
      <c r="B233" s="11"/>
      <c r="C233" s="11"/>
      <c r="D233" s="11"/>
      <c r="E233" s="134"/>
      <c r="F233" s="134"/>
      <c r="G233" s="134">
        <f t="shared" si="19"/>
        <v>2187088.732065537</v>
      </c>
      <c r="H233" s="11"/>
      <c r="I233" s="11"/>
      <c r="J233" s="11"/>
      <c r="K233" s="11"/>
      <c r="M233" t="str">
        <f t="shared" si="20"/>
        <v/>
      </c>
    </row>
    <row r="234" spans="1:13" x14ac:dyDescent="0.25">
      <c r="A234" s="11" t="str">
        <f>+M234&amp;COUNTIF($M$2:M234,M234)</f>
        <v>30</v>
      </c>
      <c r="B234" s="11"/>
      <c r="C234" s="11"/>
      <c r="D234" s="11"/>
      <c r="E234" s="134"/>
      <c r="F234" s="134"/>
      <c r="G234" s="134">
        <f t="shared" si="19"/>
        <v>2187088.732065537</v>
      </c>
      <c r="H234" s="11"/>
      <c r="I234" s="11"/>
      <c r="J234" s="11"/>
      <c r="K234" s="11"/>
      <c r="M234" t="str">
        <f t="shared" si="20"/>
        <v/>
      </c>
    </row>
    <row r="235" spans="1:13" x14ac:dyDescent="0.25">
      <c r="A235" s="11" t="str">
        <f>+M235&amp;COUNTIF($M$2:M235,M235)</f>
        <v>31</v>
      </c>
      <c r="B235" s="11"/>
      <c r="C235" s="11"/>
      <c r="D235" s="11"/>
      <c r="E235" s="134"/>
      <c r="F235" s="134"/>
      <c r="G235" s="134">
        <f t="shared" si="19"/>
        <v>2187088.732065537</v>
      </c>
      <c r="H235" s="11"/>
      <c r="I235" s="11"/>
      <c r="J235" s="11"/>
      <c r="K235" s="11"/>
      <c r="M235" t="str">
        <f t="shared" si="20"/>
        <v/>
      </c>
    </row>
    <row r="236" spans="1:13" x14ac:dyDescent="0.25">
      <c r="A236" s="11" t="str">
        <f>+M236&amp;COUNTIF($M$2:M236,M236)</f>
        <v>32</v>
      </c>
      <c r="B236" s="11"/>
      <c r="C236" s="11"/>
      <c r="D236" s="11"/>
      <c r="E236" s="134"/>
      <c r="F236" s="134"/>
      <c r="G236" s="134">
        <f t="shared" si="19"/>
        <v>2187088.732065537</v>
      </c>
      <c r="H236" s="11"/>
      <c r="I236" s="11"/>
      <c r="J236" s="11"/>
      <c r="K236" s="11"/>
      <c r="M236" t="str">
        <f t="shared" si="20"/>
        <v/>
      </c>
    </row>
    <row r="237" spans="1:13" x14ac:dyDescent="0.25">
      <c r="A237" s="11" t="str">
        <f>+M237&amp;COUNTIF($M$2:M237,M237)</f>
        <v>33</v>
      </c>
      <c r="B237" s="11"/>
      <c r="C237" s="11"/>
      <c r="D237" s="11"/>
      <c r="E237" s="134"/>
      <c r="F237" s="134"/>
      <c r="G237" s="134">
        <f t="shared" si="19"/>
        <v>2187088.732065537</v>
      </c>
      <c r="H237" s="11"/>
      <c r="I237" s="11"/>
      <c r="J237" s="11"/>
      <c r="K237" s="11"/>
      <c r="M237" t="str">
        <f t="shared" si="20"/>
        <v/>
      </c>
    </row>
    <row r="238" spans="1:13" x14ac:dyDescent="0.25">
      <c r="A238" s="11" t="str">
        <f>+M238&amp;COUNTIF($M$2:M238,M238)</f>
        <v>34</v>
      </c>
      <c r="B238" s="11"/>
      <c r="C238" s="11"/>
      <c r="D238" s="11"/>
      <c r="E238" s="134"/>
      <c r="F238" s="134"/>
      <c r="G238" s="134">
        <f t="shared" si="19"/>
        <v>2187088.732065537</v>
      </c>
      <c r="H238" s="11"/>
      <c r="I238" s="11"/>
      <c r="J238" s="11"/>
      <c r="K238" s="11"/>
      <c r="M238" t="str">
        <f t="shared" si="20"/>
        <v/>
      </c>
    </row>
    <row r="239" spans="1:13" x14ac:dyDescent="0.25">
      <c r="A239" s="11" t="str">
        <f>+M239&amp;COUNTIF($M$2:M239,M239)</f>
        <v>35</v>
      </c>
      <c r="B239" s="11"/>
      <c r="C239" s="11"/>
      <c r="D239" s="11"/>
      <c r="E239" s="134"/>
      <c r="F239" s="134"/>
      <c r="G239" s="134">
        <f t="shared" si="19"/>
        <v>2187088.732065537</v>
      </c>
      <c r="H239" s="11"/>
      <c r="I239" s="11"/>
      <c r="J239" s="11"/>
      <c r="K239" s="11"/>
      <c r="M239" t="str">
        <f t="shared" si="20"/>
        <v/>
      </c>
    </row>
    <row r="240" spans="1:13" x14ac:dyDescent="0.25">
      <c r="A240" s="11" t="str">
        <f>+M240&amp;COUNTIF($M$2:M240,M240)</f>
        <v>36</v>
      </c>
      <c r="B240" s="11"/>
      <c r="C240" s="11"/>
      <c r="D240" s="11"/>
      <c r="E240" s="134"/>
      <c r="F240" s="134"/>
      <c r="G240" s="134">
        <f t="shared" si="19"/>
        <v>2187088.732065537</v>
      </c>
      <c r="H240" s="11"/>
      <c r="I240" s="11"/>
      <c r="J240" s="11"/>
      <c r="K240" s="11"/>
      <c r="M240" t="str">
        <f t="shared" si="20"/>
        <v/>
      </c>
    </row>
    <row r="241" spans="1:13" x14ac:dyDescent="0.25">
      <c r="A241" s="11" t="str">
        <f>+M241&amp;COUNTIF($M$2:M241,M241)</f>
        <v>37</v>
      </c>
      <c r="B241" s="11"/>
      <c r="C241" s="11"/>
      <c r="D241" s="11"/>
      <c r="E241" s="134"/>
      <c r="F241" s="134"/>
      <c r="G241" s="134">
        <f t="shared" si="19"/>
        <v>2187088.732065537</v>
      </c>
      <c r="H241" s="11"/>
      <c r="I241" s="11"/>
      <c r="J241" s="11"/>
      <c r="K241" s="11"/>
      <c r="M241" t="str">
        <f t="shared" si="20"/>
        <v/>
      </c>
    </row>
    <row r="242" spans="1:13" x14ac:dyDescent="0.25">
      <c r="A242" s="11" t="str">
        <f>+M242&amp;COUNTIF($M$2:M242,M242)</f>
        <v>38</v>
      </c>
      <c r="B242" s="11"/>
      <c r="C242" s="11"/>
      <c r="D242" s="11"/>
      <c r="E242" s="134"/>
      <c r="F242" s="134"/>
      <c r="G242" s="134">
        <f t="shared" si="19"/>
        <v>2187088.732065537</v>
      </c>
      <c r="H242" s="11"/>
      <c r="I242" s="11"/>
      <c r="J242" s="11"/>
      <c r="K242" s="11"/>
      <c r="M242" t="str">
        <f t="shared" si="20"/>
        <v/>
      </c>
    </row>
    <row r="243" spans="1:13" x14ac:dyDescent="0.25">
      <c r="A243" s="11" t="str">
        <f>+M243&amp;COUNTIF($M$2:M243,M243)</f>
        <v>39</v>
      </c>
      <c r="B243" s="11"/>
      <c r="C243" s="11"/>
      <c r="D243" s="11"/>
      <c r="E243" s="134"/>
      <c r="F243" s="134"/>
      <c r="G243" s="134">
        <f t="shared" si="19"/>
        <v>2187088.732065537</v>
      </c>
      <c r="H243" s="11"/>
      <c r="I243" s="11"/>
      <c r="J243" s="11"/>
      <c r="K243" s="11"/>
      <c r="M243" t="str">
        <f t="shared" si="20"/>
        <v/>
      </c>
    </row>
    <row r="244" spans="1:13" x14ac:dyDescent="0.25">
      <c r="A244" s="11" t="str">
        <f>+M244&amp;COUNTIF($M$2:M244,M244)</f>
        <v>40</v>
      </c>
      <c r="B244" s="11"/>
      <c r="C244" s="11"/>
      <c r="D244" s="11"/>
      <c r="E244" s="134"/>
      <c r="F244" s="134"/>
      <c r="G244" s="134">
        <f t="shared" si="19"/>
        <v>2187088.732065537</v>
      </c>
      <c r="H244" s="11"/>
      <c r="I244" s="11"/>
      <c r="J244" s="11"/>
      <c r="K244" s="11"/>
      <c r="M244" t="str">
        <f t="shared" si="20"/>
        <v/>
      </c>
    </row>
    <row r="245" spans="1:13" x14ac:dyDescent="0.25">
      <c r="A245" s="11" t="str">
        <f>+M245&amp;COUNTIF($M$2:M245,M245)</f>
        <v>41</v>
      </c>
      <c r="B245" s="11"/>
      <c r="C245" s="11"/>
      <c r="D245" s="11"/>
      <c r="E245" s="134"/>
      <c r="F245" s="134"/>
      <c r="G245" s="134">
        <f t="shared" si="19"/>
        <v>2187088.732065537</v>
      </c>
      <c r="H245" s="11"/>
      <c r="I245" s="11"/>
      <c r="J245" s="11"/>
      <c r="K245" s="11"/>
      <c r="M245" t="str">
        <f t="shared" si="20"/>
        <v/>
      </c>
    </row>
    <row r="246" spans="1:13" x14ac:dyDescent="0.25">
      <c r="A246" s="11" t="str">
        <f>+M246&amp;COUNTIF($M$2:M246,M246)</f>
        <v>42</v>
      </c>
      <c r="B246" s="11"/>
      <c r="C246" s="11"/>
      <c r="D246" s="11"/>
      <c r="E246" s="134"/>
      <c r="F246" s="134"/>
      <c r="G246" s="134">
        <f t="shared" si="19"/>
        <v>2187088.732065537</v>
      </c>
      <c r="H246" s="11"/>
      <c r="I246" s="11"/>
      <c r="J246" s="11"/>
      <c r="K246" s="11"/>
      <c r="M246" t="str">
        <f t="shared" si="20"/>
        <v/>
      </c>
    </row>
    <row r="247" spans="1:13" x14ac:dyDescent="0.25">
      <c r="A247" s="11" t="str">
        <f>+M247&amp;COUNTIF($M$2:M247,M247)</f>
        <v>43</v>
      </c>
      <c r="B247" s="11"/>
      <c r="C247" s="11"/>
      <c r="D247" s="11"/>
      <c r="E247" s="134"/>
      <c r="F247" s="134"/>
      <c r="G247" s="134">
        <f t="shared" si="19"/>
        <v>2187088.732065537</v>
      </c>
      <c r="H247" s="11"/>
      <c r="I247" s="11"/>
      <c r="J247" s="11"/>
      <c r="K247" s="11"/>
      <c r="M247" t="str">
        <f t="shared" si="20"/>
        <v/>
      </c>
    </row>
    <row r="248" spans="1:13" x14ac:dyDescent="0.25">
      <c r="A248" s="11" t="str">
        <f>+M248&amp;COUNTIF($M$2:M248,M248)</f>
        <v>44</v>
      </c>
      <c r="B248" s="11"/>
      <c r="C248" s="11"/>
      <c r="D248" s="11"/>
      <c r="E248" s="134"/>
      <c r="F248" s="134"/>
      <c r="G248" s="134">
        <f t="shared" si="19"/>
        <v>2187088.732065537</v>
      </c>
      <c r="H248" s="11"/>
      <c r="I248" s="11"/>
      <c r="J248" s="11"/>
      <c r="K248" s="11"/>
      <c r="M248" t="str">
        <f t="shared" si="20"/>
        <v/>
      </c>
    </row>
    <row r="249" spans="1:13" x14ac:dyDescent="0.25">
      <c r="A249" s="11" t="str">
        <f>+M249&amp;COUNTIF($M$2:M249,M249)</f>
        <v>45</v>
      </c>
      <c r="B249" s="11"/>
      <c r="C249" s="11"/>
      <c r="D249" s="11"/>
      <c r="E249" s="134"/>
      <c r="F249" s="134"/>
      <c r="G249" s="134">
        <f t="shared" si="19"/>
        <v>2187088.732065537</v>
      </c>
      <c r="H249" s="11"/>
      <c r="I249" s="11"/>
      <c r="J249" s="11"/>
      <c r="K249" s="11"/>
      <c r="M249" t="str">
        <f t="shared" si="20"/>
        <v/>
      </c>
    </row>
    <row r="250" spans="1:13" x14ac:dyDescent="0.25">
      <c r="A250" s="11" t="str">
        <f>+M250&amp;COUNTIF($M$2:M250,M250)</f>
        <v>46</v>
      </c>
      <c r="B250" s="11"/>
      <c r="C250" s="11"/>
      <c r="D250" s="11"/>
      <c r="E250" s="134"/>
      <c r="F250" s="134"/>
      <c r="G250" s="134">
        <f t="shared" si="19"/>
        <v>2187088.732065537</v>
      </c>
      <c r="H250" s="11"/>
      <c r="I250" s="11"/>
      <c r="J250" s="11"/>
      <c r="K250" s="11"/>
      <c r="M250" t="str">
        <f t="shared" si="20"/>
        <v/>
      </c>
    </row>
    <row r="251" spans="1:13" x14ac:dyDescent="0.25">
      <c r="A251" s="11" t="str">
        <f>+M251&amp;COUNTIF($M$2:M251,M251)</f>
        <v>47</v>
      </c>
      <c r="B251" s="11"/>
      <c r="C251" s="11"/>
      <c r="D251" s="11"/>
      <c r="E251" s="134"/>
      <c r="F251" s="134"/>
      <c r="G251" s="134">
        <f t="shared" si="19"/>
        <v>2187088.732065537</v>
      </c>
      <c r="H251" s="11"/>
      <c r="I251" s="11"/>
      <c r="J251" s="11"/>
      <c r="K251" s="11"/>
      <c r="M251" t="str">
        <f t="shared" si="20"/>
        <v/>
      </c>
    </row>
    <row r="252" spans="1:13" x14ac:dyDescent="0.25">
      <c r="A252" s="11" t="str">
        <f>+M252&amp;COUNTIF($M$2:M252,M252)</f>
        <v>48</v>
      </c>
      <c r="B252" s="11"/>
      <c r="C252" s="11"/>
      <c r="D252" s="11"/>
      <c r="E252" s="134"/>
      <c r="F252" s="134"/>
      <c r="G252" s="134">
        <f t="shared" si="19"/>
        <v>2187088.732065537</v>
      </c>
      <c r="H252" s="11"/>
      <c r="I252" s="11"/>
      <c r="J252" s="11"/>
      <c r="K252" s="11"/>
      <c r="M252" t="str">
        <f t="shared" si="20"/>
        <v/>
      </c>
    </row>
    <row r="253" spans="1:13" x14ac:dyDescent="0.25">
      <c r="A253" s="11" t="str">
        <f>+M253&amp;COUNTIF($M$2:M253,M253)</f>
        <v>49</v>
      </c>
      <c r="B253" s="11"/>
      <c r="C253" s="11"/>
      <c r="D253" s="11"/>
      <c r="E253" s="134"/>
      <c r="F253" s="134"/>
      <c r="G253" s="134">
        <f t="shared" si="19"/>
        <v>2187088.732065537</v>
      </c>
      <c r="H253" s="11"/>
      <c r="I253" s="11"/>
      <c r="J253" s="11"/>
      <c r="K253" s="11"/>
      <c r="M253" t="str">
        <f t="shared" si="20"/>
        <v/>
      </c>
    </row>
    <row r="254" spans="1:13" x14ac:dyDescent="0.25">
      <c r="A254" s="11" t="str">
        <f>+M254&amp;COUNTIF($M$2:M254,M254)</f>
        <v>50</v>
      </c>
      <c r="B254" s="11"/>
      <c r="C254" s="11"/>
      <c r="D254" s="11"/>
      <c r="E254" s="134"/>
      <c r="F254" s="134"/>
      <c r="G254" s="134">
        <f t="shared" si="19"/>
        <v>2187088.732065537</v>
      </c>
      <c r="H254" s="11"/>
      <c r="I254" s="11"/>
      <c r="J254" s="11"/>
      <c r="K254" s="11"/>
      <c r="M254" t="str">
        <f t="shared" si="20"/>
        <v/>
      </c>
    </row>
    <row r="255" spans="1:13" x14ac:dyDescent="0.25">
      <c r="A255" s="11" t="str">
        <f>+M255&amp;COUNTIF($M$2:M255,M255)</f>
        <v>51</v>
      </c>
      <c r="B255" s="11"/>
      <c r="C255" s="11"/>
      <c r="D255" s="11"/>
      <c r="E255" s="134"/>
      <c r="F255" s="134"/>
      <c r="G255" s="134">
        <f t="shared" si="19"/>
        <v>2187088.732065537</v>
      </c>
      <c r="H255" s="11"/>
      <c r="I255" s="11"/>
      <c r="J255" s="11"/>
      <c r="K255" s="11"/>
      <c r="M255" t="str">
        <f t="shared" si="20"/>
        <v/>
      </c>
    </row>
    <row r="256" spans="1:13" x14ac:dyDescent="0.25">
      <c r="A256" s="11" t="str">
        <f>+M256&amp;COUNTIF($M$2:M256,M256)</f>
        <v>52</v>
      </c>
      <c r="B256" s="11"/>
      <c r="C256" s="11"/>
      <c r="D256" s="11"/>
      <c r="E256" s="134"/>
      <c r="F256" s="134"/>
      <c r="G256" s="134">
        <f t="shared" ref="G256:G319" si="21">+G255+E256-F256</f>
        <v>2187088.732065537</v>
      </c>
      <c r="H256" s="11"/>
      <c r="I256" s="11"/>
      <c r="J256" s="11"/>
      <c r="K256" s="11"/>
      <c r="M256" t="str">
        <f t="shared" si="20"/>
        <v/>
      </c>
    </row>
    <row r="257" spans="1:13" x14ac:dyDescent="0.25">
      <c r="A257" s="11" t="str">
        <f>+M257&amp;COUNTIF($M$2:M257,M257)</f>
        <v>53</v>
      </c>
      <c r="B257" s="11"/>
      <c r="C257" s="11"/>
      <c r="D257" s="11"/>
      <c r="E257" s="134"/>
      <c r="F257" s="134"/>
      <c r="G257" s="134">
        <f t="shared" si="21"/>
        <v>2187088.732065537</v>
      </c>
      <c r="H257" s="11"/>
      <c r="I257" s="11"/>
      <c r="J257" s="11"/>
      <c r="K257" s="11"/>
      <c r="M257" t="str">
        <f t="shared" si="20"/>
        <v/>
      </c>
    </row>
    <row r="258" spans="1:13" x14ac:dyDescent="0.25">
      <c r="A258" s="11" t="str">
        <f>+M258&amp;COUNTIF($M$2:M258,M258)</f>
        <v>54</v>
      </c>
      <c r="B258" s="11"/>
      <c r="C258" s="11"/>
      <c r="D258" s="11"/>
      <c r="E258" s="134"/>
      <c r="F258" s="134"/>
      <c r="G258" s="134">
        <f t="shared" si="21"/>
        <v>2187088.732065537</v>
      </c>
      <c r="H258" s="11"/>
      <c r="I258" s="11"/>
      <c r="J258" s="11"/>
      <c r="K258" s="11"/>
      <c r="M258" t="str">
        <f t="shared" si="20"/>
        <v/>
      </c>
    </row>
    <row r="259" spans="1:13" x14ac:dyDescent="0.25">
      <c r="A259" s="11" t="str">
        <f>+M259&amp;COUNTIF($M$2:M259,M259)</f>
        <v>55</v>
      </c>
      <c r="B259" s="11"/>
      <c r="C259" s="11"/>
      <c r="D259" s="11"/>
      <c r="E259" s="134"/>
      <c r="F259" s="134"/>
      <c r="G259" s="134">
        <f t="shared" si="21"/>
        <v>2187088.732065537</v>
      </c>
      <c r="H259" s="11"/>
      <c r="I259" s="11"/>
      <c r="J259" s="11"/>
      <c r="K259" s="11"/>
      <c r="M259" t="str">
        <f t="shared" si="20"/>
        <v/>
      </c>
    </row>
    <row r="260" spans="1:13" x14ac:dyDescent="0.25">
      <c r="A260" s="11" t="str">
        <f>+M260&amp;COUNTIF($M$2:M260,M260)</f>
        <v>56</v>
      </c>
      <c r="B260" s="11"/>
      <c r="C260" s="11"/>
      <c r="D260" s="11"/>
      <c r="E260" s="134"/>
      <c r="F260" s="134"/>
      <c r="G260" s="134">
        <f t="shared" si="21"/>
        <v>2187088.732065537</v>
      </c>
      <c r="H260" s="11"/>
      <c r="I260" s="11"/>
      <c r="J260" s="11"/>
      <c r="K260" s="11"/>
      <c r="M260" t="str">
        <f t="shared" si="20"/>
        <v/>
      </c>
    </row>
    <row r="261" spans="1:13" x14ac:dyDescent="0.25">
      <c r="A261" s="11" t="str">
        <f>+M261&amp;COUNTIF($M$2:M261,M261)</f>
        <v>57</v>
      </c>
      <c r="B261" s="11"/>
      <c r="C261" s="11"/>
      <c r="D261" s="11"/>
      <c r="E261" s="134"/>
      <c r="F261" s="134"/>
      <c r="G261" s="134">
        <f t="shared" si="21"/>
        <v>2187088.732065537</v>
      </c>
      <c r="H261" s="11"/>
      <c r="I261" s="11"/>
      <c r="J261" s="11"/>
      <c r="K261" s="11"/>
      <c r="M261" t="str">
        <f t="shared" si="20"/>
        <v/>
      </c>
    </row>
    <row r="262" spans="1:13" x14ac:dyDescent="0.25">
      <c r="A262" s="11" t="str">
        <f>+M262&amp;COUNTIF($M$2:M262,M262)</f>
        <v>58</v>
      </c>
      <c r="B262" s="11"/>
      <c r="C262" s="11"/>
      <c r="D262" s="11"/>
      <c r="E262" s="134"/>
      <c r="F262" s="134"/>
      <c r="G262" s="134">
        <f t="shared" si="21"/>
        <v>2187088.732065537</v>
      </c>
      <c r="H262" s="11"/>
      <c r="I262" s="11"/>
      <c r="J262" s="11"/>
      <c r="K262" s="11"/>
      <c r="M262" t="str">
        <f t="shared" si="20"/>
        <v/>
      </c>
    </row>
    <row r="263" spans="1:13" x14ac:dyDescent="0.25">
      <c r="A263" s="11" t="str">
        <f>+M263&amp;COUNTIF($M$2:M263,M263)</f>
        <v>59</v>
      </c>
      <c r="B263" s="11"/>
      <c r="C263" s="11"/>
      <c r="D263" s="11"/>
      <c r="E263" s="134"/>
      <c r="F263" s="134"/>
      <c r="G263" s="134">
        <f t="shared" si="21"/>
        <v>2187088.732065537</v>
      </c>
      <c r="H263" s="11"/>
      <c r="I263" s="11"/>
      <c r="J263" s="11"/>
      <c r="K263" s="11"/>
      <c r="M263" t="str">
        <f t="shared" si="20"/>
        <v/>
      </c>
    </row>
    <row r="264" spans="1:13" x14ac:dyDescent="0.25">
      <c r="A264" s="11" t="str">
        <f>+M264&amp;COUNTIF($M$2:M264,M264)</f>
        <v>60</v>
      </c>
      <c r="B264" s="11"/>
      <c r="C264" s="11"/>
      <c r="D264" s="11"/>
      <c r="E264" s="134"/>
      <c r="F264" s="134"/>
      <c r="G264" s="134">
        <f t="shared" si="21"/>
        <v>2187088.732065537</v>
      </c>
      <c r="H264" s="11"/>
      <c r="I264" s="11"/>
      <c r="J264" s="11"/>
      <c r="K264" s="11"/>
      <c r="M264" t="str">
        <f t="shared" si="20"/>
        <v/>
      </c>
    </row>
    <row r="265" spans="1:13" x14ac:dyDescent="0.25">
      <c r="A265" s="11" t="str">
        <f>+M265&amp;COUNTIF($M$2:M265,M265)</f>
        <v>61</v>
      </c>
      <c r="B265" s="11"/>
      <c r="C265" s="11"/>
      <c r="D265" s="11"/>
      <c r="E265" s="134"/>
      <c r="F265" s="134"/>
      <c r="G265" s="134">
        <f t="shared" si="21"/>
        <v>2187088.732065537</v>
      </c>
      <c r="H265" s="11"/>
      <c r="I265" s="11"/>
      <c r="J265" s="11"/>
      <c r="K265" s="11"/>
      <c r="M265" t="str">
        <f t="shared" si="20"/>
        <v/>
      </c>
    </row>
    <row r="266" spans="1:13" x14ac:dyDescent="0.25">
      <c r="A266" s="11" t="str">
        <f>+M266&amp;COUNTIF($M$2:M266,M266)</f>
        <v>62</v>
      </c>
      <c r="B266" s="11"/>
      <c r="C266" s="11"/>
      <c r="D266" s="11"/>
      <c r="E266" s="134"/>
      <c r="F266" s="134"/>
      <c r="G266" s="134">
        <f t="shared" si="21"/>
        <v>2187088.732065537</v>
      </c>
      <c r="H266" s="11"/>
      <c r="I266" s="11"/>
      <c r="J266" s="11"/>
      <c r="K266" s="11"/>
      <c r="M266" t="str">
        <f t="shared" si="20"/>
        <v/>
      </c>
    </row>
    <row r="267" spans="1:13" x14ac:dyDescent="0.25">
      <c r="A267" s="11" t="str">
        <f>+M267&amp;COUNTIF($M$2:M267,M267)</f>
        <v>63</v>
      </c>
      <c r="B267" s="11"/>
      <c r="C267" s="11"/>
      <c r="D267" s="11"/>
      <c r="E267" s="134"/>
      <c r="F267" s="134"/>
      <c r="G267" s="134">
        <f t="shared" si="21"/>
        <v>2187088.732065537</v>
      </c>
      <c r="H267" s="11"/>
      <c r="I267" s="11"/>
      <c r="J267" s="11"/>
      <c r="K267" s="11"/>
      <c r="M267" t="str">
        <f t="shared" si="20"/>
        <v/>
      </c>
    </row>
    <row r="268" spans="1:13" x14ac:dyDescent="0.25">
      <c r="A268" s="11" t="str">
        <f>+M268&amp;COUNTIF($M$2:M268,M268)</f>
        <v>64</v>
      </c>
      <c r="B268" s="11"/>
      <c r="C268" s="11"/>
      <c r="D268" s="11"/>
      <c r="E268" s="134"/>
      <c r="F268" s="134"/>
      <c r="G268" s="134">
        <f t="shared" si="21"/>
        <v>2187088.732065537</v>
      </c>
      <c r="H268" s="11"/>
      <c r="I268" s="11"/>
      <c r="J268" s="11"/>
      <c r="K268" s="11"/>
      <c r="M268" t="str">
        <f t="shared" si="20"/>
        <v/>
      </c>
    </row>
    <row r="269" spans="1:13" x14ac:dyDescent="0.25">
      <c r="A269" s="11" t="str">
        <f>+M269&amp;COUNTIF($M$2:M269,M269)</f>
        <v>65</v>
      </c>
      <c r="B269" s="11"/>
      <c r="C269" s="11"/>
      <c r="D269" s="11"/>
      <c r="E269" s="134"/>
      <c r="F269" s="134"/>
      <c r="G269" s="134">
        <f t="shared" si="21"/>
        <v>2187088.732065537</v>
      </c>
      <c r="H269" s="11"/>
      <c r="I269" s="11"/>
      <c r="J269" s="11"/>
      <c r="K269" s="11"/>
      <c r="M269" t="str">
        <f t="shared" si="20"/>
        <v/>
      </c>
    </row>
    <row r="270" spans="1:13" x14ac:dyDescent="0.25">
      <c r="A270" s="11" t="str">
        <f>+M270&amp;COUNTIF($M$2:M270,M270)</f>
        <v>66</v>
      </c>
      <c r="B270" s="11"/>
      <c r="C270" s="11"/>
      <c r="D270" s="11"/>
      <c r="E270" s="134"/>
      <c r="F270" s="134"/>
      <c r="G270" s="134">
        <f t="shared" si="21"/>
        <v>2187088.732065537</v>
      </c>
      <c r="H270" s="11"/>
      <c r="I270" s="11"/>
      <c r="J270" s="11"/>
      <c r="K270" s="11"/>
      <c r="M270" t="str">
        <f t="shared" si="20"/>
        <v/>
      </c>
    </row>
    <row r="271" spans="1:13" x14ac:dyDescent="0.25">
      <c r="A271" s="11" t="str">
        <f>+M271&amp;COUNTIF($M$2:M271,M271)</f>
        <v>67</v>
      </c>
      <c r="B271" s="11"/>
      <c r="C271" s="11"/>
      <c r="D271" s="11"/>
      <c r="E271" s="134"/>
      <c r="F271" s="134"/>
      <c r="G271" s="134">
        <f t="shared" si="21"/>
        <v>2187088.732065537</v>
      </c>
      <c r="H271" s="11"/>
      <c r="I271" s="11"/>
      <c r="J271" s="11"/>
      <c r="K271" s="11"/>
      <c r="M271" t="str">
        <f t="shared" si="20"/>
        <v/>
      </c>
    </row>
    <row r="272" spans="1:13" x14ac:dyDescent="0.25">
      <c r="A272" s="11" t="str">
        <f>+M272&amp;COUNTIF($M$2:M272,M272)</f>
        <v>68</v>
      </c>
      <c r="B272" s="11"/>
      <c r="C272" s="11"/>
      <c r="D272" s="11"/>
      <c r="E272" s="134"/>
      <c r="F272" s="134"/>
      <c r="G272" s="134">
        <f t="shared" si="21"/>
        <v>2187088.732065537</v>
      </c>
      <c r="H272" s="11"/>
      <c r="I272" s="11"/>
      <c r="J272" s="11"/>
      <c r="K272" s="11"/>
      <c r="M272" t="str">
        <f t="shared" si="20"/>
        <v/>
      </c>
    </row>
    <row r="273" spans="1:13" x14ac:dyDescent="0.25">
      <c r="A273" s="11" t="str">
        <f>+M273&amp;COUNTIF($M$2:M273,M273)</f>
        <v>69</v>
      </c>
      <c r="B273" s="11"/>
      <c r="C273" s="11"/>
      <c r="D273" s="11"/>
      <c r="E273" s="134"/>
      <c r="F273" s="134"/>
      <c r="G273" s="134">
        <f t="shared" si="21"/>
        <v>2187088.732065537</v>
      </c>
      <c r="H273" s="11"/>
      <c r="I273" s="11"/>
      <c r="J273" s="11"/>
      <c r="K273" s="11"/>
      <c r="M273" t="str">
        <f t="shared" si="20"/>
        <v/>
      </c>
    </row>
    <row r="274" spans="1:13" x14ac:dyDescent="0.25">
      <c r="A274" s="11" t="str">
        <f>+M274&amp;COUNTIF($M$2:M274,M274)</f>
        <v>70</v>
      </c>
      <c r="B274" s="11"/>
      <c r="C274" s="11"/>
      <c r="D274" s="11"/>
      <c r="E274" s="134"/>
      <c r="F274" s="134"/>
      <c r="G274" s="134">
        <f t="shared" si="21"/>
        <v>2187088.732065537</v>
      </c>
      <c r="H274" s="11"/>
      <c r="I274" s="11"/>
      <c r="J274" s="11"/>
      <c r="K274" s="11"/>
      <c r="M274" t="str">
        <f t="shared" ref="M274:M294" si="22">+CLEAN(D274)&amp;CLEAN(I274)</f>
        <v/>
      </c>
    </row>
    <row r="275" spans="1:13" x14ac:dyDescent="0.25">
      <c r="A275" s="11" t="str">
        <f>+M275&amp;COUNTIF($M$2:M275,M275)</f>
        <v>71</v>
      </c>
      <c r="B275" s="11"/>
      <c r="C275" s="11"/>
      <c r="D275" s="11"/>
      <c r="E275" s="134"/>
      <c r="F275" s="134"/>
      <c r="G275" s="134">
        <f t="shared" si="21"/>
        <v>2187088.732065537</v>
      </c>
      <c r="H275" s="11"/>
      <c r="I275" s="11"/>
      <c r="J275" s="11"/>
      <c r="K275" s="11"/>
      <c r="M275" t="str">
        <f t="shared" si="22"/>
        <v/>
      </c>
    </row>
    <row r="276" spans="1:13" x14ac:dyDescent="0.25">
      <c r="A276" s="11" t="str">
        <f>+M276&amp;COUNTIF($M$2:M276,M276)</f>
        <v>72</v>
      </c>
      <c r="B276" s="11"/>
      <c r="C276" s="11"/>
      <c r="D276" s="11"/>
      <c r="E276" s="134"/>
      <c r="F276" s="134"/>
      <c r="G276" s="134">
        <f t="shared" si="21"/>
        <v>2187088.732065537</v>
      </c>
      <c r="H276" s="11"/>
      <c r="I276" s="11"/>
      <c r="J276" s="11"/>
      <c r="K276" s="11"/>
      <c r="M276" t="str">
        <f t="shared" si="22"/>
        <v/>
      </c>
    </row>
    <row r="277" spans="1:13" x14ac:dyDescent="0.25">
      <c r="A277" s="11" t="str">
        <f>+M277&amp;COUNTIF($M$2:M277,M277)</f>
        <v>73</v>
      </c>
      <c r="B277" s="11"/>
      <c r="C277" s="11"/>
      <c r="D277" s="11"/>
      <c r="E277" s="134"/>
      <c r="F277" s="134"/>
      <c r="G277" s="134">
        <f t="shared" si="21"/>
        <v>2187088.732065537</v>
      </c>
      <c r="H277" s="11"/>
      <c r="I277" s="11"/>
      <c r="J277" s="11"/>
      <c r="K277" s="11"/>
      <c r="M277" t="str">
        <f t="shared" si="22"/>
        <v/>
      </c>
    </row>
    <row r="278" spans="1:13" x14ac:dyDescent="0.25">
      <c r="A278" s="11" t="str">
        <f>+M278&amp;COUNTIF($M$2:M278,M278)</f>
        <v>74</v>
      </c>
      <c r="B278" s="11"/>
      <c r="C278" s="11"/>
      <c r="D278" s="11"/>
      <c r="E278" s="134"/>
      <c r="F278" s="134"/>
      <c r="G278" s="134">
        <f t="shared" si="21"/>
        <v>2187088.732065537</v>
      </c>
      <c r="H278" s="11"/>
      <c r="I278" s="11"/>
      <c r="J278" s="11"/>
      <c r="K278" s="11"/>
      <c r="M278" t="str">
        <f t="shared" si="22"/>
        <v/>
      </c>
    </row>
    <row r="279" spans="1:13" x14ac:dyDescent="0.25">
      <c r="A279" s="11" t="str">
        <f>+M279&amp;COUNTIF($M$2:M279,M279)</f>
        <v>75</v>
      </c>
      <c r="B279" s="11"/>
      <c r="C279" s="11"/>
      <c r="D279" s="11"/>
      <c r="E279" s="134"/>
      <c r="F279" s="134"/>
      <c r="G279" s="134">
        <f t="shared" si="21"/>
        <v>2187088.732065537</v>
      </c>
      <c r="H279" s="11"/>
      <c r="I279" s="11"/>
      <c r="J279" s="11"/>
      <c r="K279" s="11"/>
      <c r="M279" t="str">
        <f t="shared" si="22"/>
        <v/>
      </c>
    </row>
    <row r="280" spans="1:13" x14ac:dyDescent="0.25">
      <c r="A280" s="11" t="str">
        <f>+M280&amp;COUNTIF($M$2:M280,M280)</f>
        <v>76</v>
      </c>
      <c r="B280" s="11"/>
      <c r="C280" s="11"/>
      <c r="D280" s="11"/>
      <c r="E280" s="134"/>
      <c r="F280" s="134"/>
      <c r="G280" s="134">
        <f t="shared" si="21"/>
        <v>2187088.732065537</v>
      </c>
      <c r="H280" s="11"/>
      <c r="I280" s="11"/>
      <c r="J280" s="11"/>
      <c r="K280" s="11"/>
      <c r="M280" t="str">
        <f t="shared" si="22"/>
        <v/>
      </c>
    </row>
    <row r="281" spans="1:13" x14ac:dyDescent="0.25">
      <c r="A281" s="11" t="str">
        <f>+M281&amp;COUNTIF($M$2:M281,M281)</f>
        <v>77</v>
      </c>
      <c r="B281" s="11"/>
      <c r="C281" s="11"/>
      <c r="D281" s="11"/>
      <c r="E281" s="134"/>
      <c r="F281" s="134"/>
      <c r="G281" s="134">
        <f t="shared" si="21"/>
        <v>2187088.732065537</v>
      </c>
      <c r="H281" s="11"/>
      <c r="I281" s="11"/>
      <c r="J281" s="11"/>
      <c r="K281" s="11"/>
      <c r="M281" t="str">
        <f t="shared" si="22"/>
        <v/>
      </c>
    </row>
    <row r="282" spans="1:13" x14ac:dyDescent="0.25">
      <c r="A282" s="11" t="str">
        <f>+M282&amp;COUNTIF($M$2:M282,M282)</f>
        <v>78</v>
      </c>
      <c r="B282" s="11"/>
      <c r="C282" s="11"/>
      <c r="D282" s="11"/>
      <c r="E282" s="134"/>
      <c r="F282" s="134"/>
      <c r="G282" s="134">
        <f t="shared" si="21"/>
        <v>2187088.732065537</v>
      </c>
      <c r="H282" s="11"/>
      <c r="I282" s="11"/>
      <c r="J282" s="11"/>
      <c r="K282" s="11"/>
      <c r="M282" t="str">
        <f t="shared" si="22"/>
        <v/>
      </c>
    </row>
    <row r="283" spans="1:13" x14ac:dyDescent="0.25">
      <c r="A283" s="11" t="str">
        <f>+M283&amp;COUNTIF($M$2:M283,M283)</f>
        <v>79</v>
      </c>
      <c r="B283" s="11"/>
      <c r="C283" s="11"/>
      <c r="D283" s="11"/>
      <c r="E283" s="134"/>
      <c r="F283" s="134"/>
      <c r="G283" s="134">
        <f t="shared" si="21"/>
        <v>2187088.732065537</v>
      </c>
      <c r="H283" s="11"/>
      <c r="I283" s="11"/>
      <c r="J283" s="11"/>
      <c r="K283" s="11"/>
      <c r="M283" t="str">
        <f t="shared" si="22"/>
        <v/>
      </c>
    </row>
    <row r="284" spans="1:13" x14ac:dyDescent="0.25">
      <c r="A284" s="11" t="str">
        <f>+M284&amp;COUNTIF($M$2:M284,M284)</f>
        <v>80</v>
      </c>
      <c r="B284" s="11"/>
      <c r="C284" s="11"/>
      <c r="D284" s="11"/>
      <c r="E284" s="134"/>
      <c r="F284" s="134"/>
      <c r="G284" s="134">
        <f t="shared" si="21"/>
        <v>2187088.732065537</v>
      </c>
      <c r="H284" s="11"/>
      <c r="I284" s="11"/>
      <c r="J284" s="11"/>
      <c r="K284" s="11"/>
      <c r="M284" t="str">
        <f t="shared" si="22"/>
        <v/>
      </c>
    </row>
    <row r="285" spans="1:13" x14ac:dyDescent="0.25">
      <c r="A285" s="11" t="str">
        <f>+M285&amp;COUNTIF($M$2:M285,M285)</f>
        <v>81</v>
      </c>
      <c r="B285" s="11"/>
      <c r="C285" s="11"/>
      <c r="D285" s="11"/>
      <c r="E285" s="134"/>
      <c r="F285" s="134"/>
      <c r="G285" s="134">
        <f t="shared" si="21"/>
        <v>2187088.732065537</v>
      </c>
      <c r="H285" s="11"/>
      <c r="I285" s="11"/>
      <c r="J285" s="11"/>
      <c r="K285" s="11"/>
      <c r="M285" t="str">
        <f t="shared" si="22"/>
        <v/>
      </c>
    </row>
    <row r="286" spans="1:13" x14ac:dyDescent="0.25">
      <c r="A286" s="11" t="str">
        <f>+M286&amp;COUNTIF($M$2:M286,M286)</f>
        <v>82</v>
      </c>
      <c r="B286" s="11"/>
      <c r="C286" s="11"/>
      <c r="D286" s="11"/>
      <c r="E286" s="134"/>
      <c r="F286" s="134"/>
      <c r="G286" s="134">
        <f t="shared" si="21"/>
        <v>2187088.732065537</v>
      </c>
      <c r="H286" s="11"/>
      <c r="I286" s="11"/>
      <c r="J286" s="11"/>
      <c r="K286" s="11"/>
      <c r="M286" t="str">
        <f t="shared" si="22"/>
        <v/>
      </c>
    </row>
    <row r="287" spans="1:13" x14ac:dyDescent="0.25">
      <c r="A287" s="11" t="str">
        <f>+M287&amp;COUNTIF($M$2:M287,M287)</f>
        <v>83</v>
      </c>
      <c r="B287" s="11"/>
      <c r="C287" s="11"/>
      <c r="D287" s="11"/>
      <c r="E287" s="134"/>
      <c r="F287" s="134"/>
      <c r="G287" s="134">
        <f t="shared" si="21"/>
        <v>2187088.732065537</v>
      </c>
      <c r="H287" s="11"/>
      <c r="I287" s="11"/>
      <c r="J287" s="11"/>
      <c r="K287" s="11"/>
      <c r="M287" t="str">
        <f t="shared" si="22"/>
        <v/>
      </c>
    </row>
    <row r="288" spans="1:13" x14ac:dyDescent="0.25">
      <c r="A288" s="11" t="str">
        <f>+M288&amp;COUNTIF($M$2:M288,M288)</f>
        <v>84</v>
      </c>
      <c r="B288" s="11"/>
      <c r="C288" s="11"/>
      <c r="D288" s="11"/>
      <c r="E288" s="134"/>
      <c r="F288" s="134"/>
      <c r="G288" s="134">
        <f t="shared" si="21"/>
        <v>2187088.732065537</v>
      </c>
      <c r="H288" s="11"/>
      <c r="I288" s="11"/>
      <c r="J288" s="11"/>
      <c r="K288" s="11"/>
      <c r="M288" t="str">
        <f t="shared" si="22"/>
        <v/>
      </c>
    </row>
    <row r="289" spans="1:13" x14ac:dyDescent="0.25">
      <c r="A289" s="11" t="str">
        <f>+M289&amp;COUNTIF($M$2:M289,M289)</f>
        <v>85</v>
      </c>
      <c r="B289" s="11"/>
      <c r="C289" s="11"/>
      <c r="D289" s="11"/>
      <c r="E289" s="134"/>
      <c r="F289" s="134"/>
      <c r="G289" s="134">
        <f t="shared" si="21"/>
        <v>2187088.732065537</v>
      </c>
      <c r="H289" s="11"/>
      <c r="I289" s="11"/>
      <c r="J289" s="11"/>
      <c r="K289" s="11"/>
      <c r="M289" t="str">
        <f t="shared" si="22"/>
        <v/>
      </c>
    </row>
    <row r="290" spans="1:13" x14ac:dyDescent="0.25">
      <c r="A290" s="11" t="str">
        <f>+M290&amp;COUNTIF($M$2:M290,M290)</f>
        <v>86</v>
      </c>
      <c r="B290" s="11"/>
      <c r="C290" s="11"/>
      <c r="D290" s="11"/>
      <c r="E290" s="134"/>
      <c r="F290" s="134"/>
      <c r="G290" s="134">
        <f t="shared" si="21"/>
        <v>2187088.732065537</v>
      </c>
      <c r="H290" s="11"/>
      <c r="I290" s="11"/>
      <c r="J290" s="11"/>
      <c r="K290" s="11"/>
      <c r="M290" t="str">
        <f t="shared" si="22"/>
        <v/>
      </c>
    </row>
    <row r="291" spans="1:13" x14ac:dyDescent="0.25">
      <c r="A291" s="11" t="str">
        <f>+M291&amp;COUNTIF($M$2:M291,M291)</f>
        <v>87</v>
      </c>
      <c r="B291" s="11"/>
      <c r="C291" s="11"/>
      <c r="D291" s="11"/>
      <c r="E291" s="134"/>
      <c r="F291" s="134"/>
      <c r="G291" s="134">
        <f t="shared" si="21"/>
        <v>2187088.732065537</v>
      </c>
      <c r="H291" s="11"/>
      <c r="I291" s="11"/>
      <c r="J291" s="11"/>
      <c r="K291" s="11"/>
      <c r="M291" t="str">
        <f t="shared" si="22"/>
        <v/>
      </c>
    </row>
    <row r="292" spans="1:13" x14ac:dyDescent="0.25">
      <c r="A292" s="11" t="str">
        <f>+M292&amp;COUNTIF($M$2:M292,M292)</f>
        <v>88</v>
      </c>
      <c r="B292" s="11"/>
      <c r="C292" s="11"/>
      <c r="D292" s="11"/>
      <c r="E292" s="134"/>
      <c r="F292" s="134"/>
      <c r="G292" s="134">
        <f t="shared" si="21"/>
        <v>2187088.732065537</v>
      </c>
      <c r="H292" s="11"/>
      <c r="I292" s="11"/>
      <c r="J292" s="11"/>
      <c r="K292" s="11"/>
      <c r="M292" t="str">
        <f t="shared" si="22"/>
        <v/>
      </c>
    </row>
    <row r="293" spans="1:13" x14ac:dyDescent="0.25">
      <c r="A293" s="11" t="str">
        <f>+M293&amp;COUNTIF($M$2:M293,M293)</f>
        <v>89</v>
      </c>
      <c r="B293" s="11"/>
      <c r="C293" s="11"/>
      <c r="D293" s="11"/>
      <c r="E293" s="134"/>
      <c r="F293" s="134"/>
      <c r="G293" s="134">
        <f t="shared" si="21"/>
        <v>2187088.732065537</v>
      </c>
      <c r="H293" s="11"/>
      <c r="I293" s="11"/>
      <c r="J293" s="11"/>
      <c r="K293" s="11"/>
      <c r="M293" t="str">
        <f t="shared" si="22"/>
        <v/>
      </c>
    </row>
    <row r="294" spans="1:13" x14ac:dyDescent="0.25">
      <c r="A294" s="11" t="str">
        <f>+M294&amp;COUNTIF($M$2:M294,M294)</f>
        <v>90</v>
      </c>
      <c r="B294" s="11"/>
      <c r="C294" s="11"/>
      <c r="D294" s="11"/>
      <c r="E294" s="134"/>
      <c r="F294" s="134"/>
      <c r="G294" s="134">
        <f t="shared" si="21"/>
        <v>2187088.732065537</v>
      </c>
      <c r="H294" s="11"/>
      <c r="I294" s="11"/>
      <c r="J294" s="11"/>
      <c r="K294" s="11"/>
      <c r="M294" t="str">
        <f t="shared" si="22"/>
        <v/>
      </c>
    </row>
    <row r="295" spans="1:13" x14ac:dyDescent="0.25">
      <c r="A295" s="11" t="str">
        <f>+M295&amp;COUNTIF($M$2:M295,M295)</f>
        <v>0</v>
      </c>
      <c r="B295" s="11"/>
      <c r="C295" s="11"/>
      <c r="D295" s="11"/>
      <c r="E295" s="134"/>
      <c r="F295" s="134"/>
      <c r="G295" s="134">
        <f t="shared" si="21"/>
        <v>2187088.732065537</v>
      </c>
      <c r="H295" s="11"/>
      <c r="I295" s="11"/>
      <c r="J295" s="11"/>
      <c r="K295" s="11"/>
    </row>
    <row r="296" spans="1:13" x14ac:dyDescent="0.25">
      <c r="A296" s="11" t="str">
        <f>+M296&amp;COUNTIF($M$2:M296,M296)</f>
        <v>0</v>
      </c>
      <c r="B296" s="11"/>
      <c r="C296" s="11"/>
      <c r="D296" s="11"/>
      <c r="E296" s="134"/>
      <c r="F296" s="134"/>
      <c r="G296" s="134">
        <f t="shared" si="21"/>
        <v>2187088.732065537</v>
      </c>
      <c r="H296" s="11"/>
      <c r="I296" s="11"/>
      <c r="J296" s="11"/>
      <c r="K296" s="11"/>
    </row>
    <row r="297" spans="1:13" x14ac:dyDescent="0.25">
      <c r="A297" s="11" t="str">
        <f>+M297&amp;COUNTIF($M$2:M297,M297)</f>
        <v>0</v>
      </c>
      <c r="B297" s="11"/>
      <c r="C297" s="11"/>
      <c r="D297" s="11"/>
      <c r="E297" s="134"/>
      <c r="F297" s="134"/>
      <c r="G297" s="134">
        <f t="shared" si="21"/>
        <v>2187088.732065537</v>
      </c>
      <c r="H297" s="11"/>
      <c r="I297" s="11"/>
      <c r="J297" s="11"/>
      <c r="K297" s="11"/>
    </row>
    <row r="298" spans="1:13" x14ac:dyDescent="0.25">
      <c r="A298" s="11" t="str">
        <f>+M298&amp;COUNTIF($M$2:M298,M298)</f>
        <v>0</v>
      </c>
      <c r="B298" s="11"/>
      <c r="C298" s="11"/>
      <c r="D298" s="11"/>
      <c r="E298" s="134"/>
      <c r="F298" s="134"/>
      <c r="G298" s="134">
        <f t="shared" si="21"/>
        <v>2187088.732065537</v>
      </c>
      <c r="H298" s="11"/>
      <c r="I298" s="11"/>
      <c r="J298" s="11"/>
      <c r="K298" s="11"/>
    </row>
    <row r="299" spans="1:13" x14ac:dyDescent="0.25">
      <c r="A299" s="11" t="str">
        <f>+M299&amp;COUNTIF($M$2:M299,M299)</f>
        <v>0</v>
      </c>
      <c r="B299" s="11"/>
      <c r="C299" s="11"/>
      <c r="D299" s="11"/>
      <c r="E299" s="134"/>
      <c r="F299" s="134"/>
      <c r="G299" s="134">
        <f t="shared" si="21"/>
        <v>2187088.732065537</v>
      </c>
      <c r="H299" s="11"/>
      <c r="I299" s="11"/>
      <c r="J299" s="11"/>
      <c r="K299" s="11"/>
    </row>
    <row r="300" spans="1:13" x14ac:dyDescent="0.25">
      <c r="A300" s="11" t="str">
        <f>+M300&amp;COUNTIF($M$2:M300,M300)</f>
        <v>0</v>
      </c>
      <c r="B300" s="11"/>
      <c r="C300" s="11"/>
      <c r="D300" s="11"/>
      <c r="E300" s="134"/>
      <c r="F300" s="134"/>
      <c r="G300" s="134">
        <f t="shared" si="21"/>
        <v>2187088.732065537</v>
      </c>
      <c r="H300" s="11"/>
      <c r="I300" s="11"/>
      <c r="J300" s="11"/>
      <c r="K300" s="11"/>
    </row>
    <row r="301" spans="1:13" x14ac:dyDescent="0.25">
      <c r="A301" s="11" t="str">
        <f>+M301&amp;COUNTIF($M$2:M301,M301)</f>
        <v>0</v>
      </c>
      <c r="B301" s="11"/>
      <c r="C301" s="11"/>
      <c r="D301" s="11"/>
      <c r="E301" s="134"/>
      <c r="F301" s="134"/>
      <c r="G301" s="134">
        <f t="shared" si="21"/>
        <v>2187088.732065537</v>
      </c>
      <c r="H301" s="11"/>
      <c r="I301" s="11"/>
      <c r="J301" s="11"/>
      <c r="K301" s="11"/>
    </row>
    <row r="302" spans="1:13" x14ac:dyDescent="0.25">
      <c r="A302" s="11" t="str">
        <f>+M302&amp;COUNTIF($M$2:M302,M302)</f>
        <v>0</v>
      </c>
      <c r="B302" s="11"/>
      <c r="C302" s="11"/>
      <c r="D302" s="11"/>
      <c r="E302" s="134"/>
      <c r="F302" s="134"/>
      <c r="G302" s="134">
        <f t="shared" si="21"/>
        <v>2187088.732065537</v>
      </c>
      <c r="H302" s="11"/>
      <c r="I302" s="11"/>
      <c r="J302" s="11"/>
      <c r="K302" s="11"/>
    </row>
    <row r="303" spans="1:13" x14ac:dyDescent="0.25">
      <c r="A303" s="11" t="str">
        <f>+M303&amp;COUNTIF($M$2:M303,M303)</f>
        <v>0</v>
      </c>
      <c r="B303" s="11"/>
      <c r="C303" s="11"/>
      <c r="D303" s="11"/>
      <c r="E303" s="134"/>
      <c r="F303" s="134"/>
      <c r="G303" s="134">
        <f t="shared" si="21"/>
        <v>2187088.732065537</v>
      </c>
      <c r="H303" s="11"/>
      <c r="I303" s="11"/>
      <c r="J303" s="11"/>
      <c r="K303" s="11"/>
    </row>
    <row r="304" spans="1:13" x14ac:dyDescent="0.25">
      <c r="A304" s="11" t="str">
        <f>+M304&amp;COUNTIF($M$2:M304,M304)</f>
        <v>0</v>
      </c>
      <c r="B304" s="11"/>
      <c r="C304" s="11"/>
      <c r="D304" s="11"/>
      <c r="E304" s="134"/>
      <c r="F304" s="134"/>
      <c r="G304" s="134">
        <f t="shared" si="21"/>
        <v>2187088.732065537</v>
      </c>
      <c r="H304" s="11"/>
      <c r="I304" s="11"/>
      <c r="J304" s="11"/>
      <c r="K304" s="11"/>
    </row>
    <row r="305" spans="1:11" x14ac:dyDescent="0.25">
      <c r="A305" s="11" t="str">
        <f>+M305&amp;COUNTIF($M$2:M305,M305)</f>
        <v>0</v>
      </c>
      <c r="B305" s="11"/>
      <c r="C305" s="11"/>
      <c r="D305" s="11"/>
      <c r="E305" s="134"/>
      <c r="F305" s="134"/>
      <c r="G305" s="134">
        <f t="shared" si="21"/>
        <v>2187088.732065537</v>
      </c>
      <c r="H305" s="11"/>
      <c r="I305" s="11"/>
      <c r="J305" s="11"/>
      <c r="K305" s="11"/>
    </row>
    <row r="306" spans="1:11" x14ac:dyDescent="0.25">
      <c r="A306" s="11" t="str">
        <f>+M306&amp;COUNTIF($M$2:M306,M306)</f>
        <v>0</v>
      </c>
      <c r="B306" s="11"/>
      <c r="C306" s="11"/>
      <c r="D306" s="11"/>
      <c r="E306" s="134"/>
      <c r="F306" s="134"/>
      <c r="G306" s="134">
        <f t="shared" si="21"/>
        <v>2187088.732065537</v>
      </c>
      <c r="H306" s="11"/>
      <c r="I306" s="11"/>
      <c r="J306" s="11"/>
      <c r="K306" s="11"/>
    </row>
    <row r="307" spans="1:11" x14ac:dyDescent="0.25">
      <c r="A307" s="11" t="str">
        <f>+M307&amp;COUNTIF($M$2:M307,M307)</f>
        <v>0</v>
      </c>
      <c r="B307" s="11"/>
      <c r="C307" s="11"/>
      <c r="D307" s="11"/>
      <c r="E307" s="134"/>
      <c r="F307" s="134"/>
      <c r="G307" s="134">
        <f t="shared" si="21"/>
        <v>2187088.732065537</v>
      </c>
      <c r="H307" s="11"/>
      <c r="I307" s="11"/>
      <c r="J307" s="11"/>
      <c r="K307" s="11"/>
    </row>
    <row r="308" spans="1:11" x14ac:dyDescent="0.25">
      <c r="A308" s="11" t="str">
        <f>+M308&amp;COUNTIF($M$2:M308,M308)</f>
        <v>0</v>
      </c>
      <c r="B308" s="11"/>
      <c r="C308" s="11"/>
      <c r="D308" s="11"/>
      <c r="E308" s="134"/>
      <c r="F308" s="134"/>
      <c r="G308" s="134">
        <f t="shared" si="21"/>
        <v>2187088.732065537</v>
      </c>
      <c r="H308" s="11"/>
      <c r="I308" s="11"/>
      <c r="J308" s="11"/>
      <c r="K308" s="11"/>
    </row>
    <row r="309" spans="1:11" x14ac:dyDescent="0.25">
      <c r="A309" s="11" t="str">
        <f>+M309&amp;COUNTIF($M$2:M309,M309)</f>
        <v>0</v>
      </c>
      <c r="B309" s="11"/>
      <c r="C309" s="11"/>
      <c r="D309" s="11"/>
      <c r="E309" s="134"/>
      <c r="F309" s="134"/>
      <c r="G309" s="134">
        <f t="shared" si="21"/>
        <v>2187088.732065537</v>
      </c>
      <c r="H309" s="11"/>
      <c r="I309" s="11"/>
      <c r="J309" s="11"/>
      <c r="K309" s="11"/>
    </row>
    <row r="310" spans="1:11" x14ac:dyDescent="0.25">
      <c r="A310" s="11" t="str">
        <f>+M310&amp;COUNTIF($M$2:M310,M310)</f>
        <v>0</v>
      </c>
      <c r="B310" s="11"/>
      <c r="C310" s="11"/>
      <c r="D310" s="11"/>
      <c r="E310" s="134"/>
      <c r="F310" s="134"/>
      <c r="G310" s="134">
        <f t="shared" si="21"/>
        <v>2187088.732065537</v>
      </c>
      <c r="H310" s="11"/>
      <c r="I310" s="11"/>
      <c r="J310" s="11"/>
      <c r="K310" s="11"/>
    </row>
    <row r="311" spans="1:11" x14ac:dyDescent="0.25">
      <c r="A311" s="11" t="str">
        <f>+M311&amp;COUNTIF($M$2:M311,M311)</f>
        <v>0</v>
      </c>
      <c r="B311" s="11"/>
      <c r="C311" s="11"/>
      <c r="D311" s="11"/>
      <c r="E311" s="134"/>
      <c r="F311" s="134"/>
      <c r="G311" s="134">
        <f t="shared" si="21"/>
        <v>2187088.732065537</v>
      </c>
      <c r="H311" s="11"/>
      <c r="I311" s="11"/>
      <c r="J311" s="11"/>
      <c r="K311" s="11"/>
    </row>
    <row r="312" spans="1:11" x14ac:dyDescent="0.25">
      <c r="A312" s="11" t="str">
        <f>+M312&amp;COUNTIF($M$2:M312,M312)</f>
        <v>0</v>
      </c>
      <c r="B312" s="11"/>
      <c r="C312" s="11"/>
      <c r="D312" s="11"/>
      <c r="E312" s="134"/>
      <c r="F312" s="134"/>
      <c r="G312" s="134">
        <f t="shared" si="21"/>
        <v>2187088.732065537</v>
      </c>
      <c r="H312" s="11"/>
      <c r="I312" s="11"/>
      <c r="J312" s="11"/>
      <c r="K312" s="11"/>
    </row>
    <row r="313" spans="1:11" x14ac:dyDescent="0.25">
      <c r="A313" s="11" t="str">
        <f>+M313&amp;COUNTIF($M$2:M313,M313)</f>
        <v>0</v>
      </c>
      <c r="B313" s="11"/>
      <c r="C313" s="11"/>
      <c r="D313" s="11"/>
      <c r="E313" s="134"/>
      <c r="F313" s="134"/>
      <c r="G313" s="134">
        <f t="shared" si="21"/>
        <v>2187088.732065537</v>
      </c>
      <c r="H313" s="11"/>
      <c r="I313" s="11"/>
      <c r="J313" s="11"/>
      <c r="K313" s="11"/>
    </row>
    <row r="314" spans="1:11" x14ac:dyDescent="0.25">
      <c r="A314" s="11" t="str">
        <f>+M314&amp;COUNTIF($M$2:M314,M314)</f>
        <v>0</v>
      </c>
      <c r="B314" s="11"/>
      <c r="C314" s="11"/>
      <c r="D314" s="11"/>
      <c r="E314" s="134"/>
      <c r="F314" s="134"/>
      <c r="G314" s="134">
        <f t="shared" si="21"/>
        <v>2187088.732065537</v>
      </c>
      <c r="H314" s="11"/>
      <c r="I314" s="11"/>
      <c r="J314" s="11"/>
      <c r="K314" s="11"/>
    </row>
    <row r="315" spans="1:11" x14ac:dyDescent="0.25">
      <c r="A315" s="11" t="str">
        <f>+M315&amp;COUNTIF($M$2:M315,M315)</f>
        <v>0</v>
      </c>
      <c r="B315" s="11"/>
      <c r="C315" s="11"/>
      <c r="D315" s="11"/>
      <c r="E315" s="134"/>
      <c r="F315" s="134"/>
      <c r="G315" s="134">
        <f t="shared" si="21"/>
        <v>2187088.732065537</v>
      </c>
      <c r="H315" s="11"/>
      <c r="I315" s="11"/>
      <c r="J315" s="11"/>
      <c r="K315" s="11"/>
    </row>
    <row r="316" spans="1:11" x14ac:dyDescent="0.25">
      <c r="A316" s="11" t="str">
        <f>+M316&amp;COUNTIF($M$2:M316,M316)</f>
        <v>0</v>
      </c>
      <c r="B316" s="11"/>
      <c r="C316" s="11"/>
      <c r="D316" s="11"/>
      <c r="E316" s="134"/>
      <c r="F316" s="134"/>
      <c r="G316" s="134">
        <f t="shared" si="21"/>
        <v>2187088.732065537</v>
      </c>
      <c r="H316" s="11"/>
      <c r="I316" s="11"/>
      <c r="J316" s="11"/>
      <c r="K316" s="11"/>
    </row>
    <row r="317" spans="1:11" x14ac:dyDescent="0.25">
      <c r="A317" s="11" t="str">
        <f>+M317&amp;COUNTIF($M$2:M317,M317)</f>
        <v>0</v>
      </c>
      <c r="B317" s="11"/>
      <c r="C317" s="11"/>
      <c r="D317" s="11"/>
      <c r="E317" s="134"/>
      <c r="F317" s="134"/>
      <c r="G317" s="134">
        <f t="shared" si="21"/>
        <v>2187088.732065537</v>
      </c>
      <c r="H317" s="11"/>
      <c r="I317" s="11"/>
      <c r="J317" s="11"/>
      <c r="K317" s="11"/>
    </row>
    <row r="318" spans="1:11" x14ac:dyDescent="0.25">
      <c r="A318" s="11" t="str">
        <f>+M318&amp;COUNTIF($M$2:M318,M318)</f>
        <v>0</v>
      </c>
      <c r="B318" s="11"/>
      <c r="C318" s="11"/>
      <c r="D318" s="11"/>
      <c r="E318" s="134"/>
      <c r="F318" s="134"/>
      <c r="G318" s="134">
        <f t="shared" si="21"/>
        <v>2187088.732065537</v>
      </c>
      <c r="H318" s="11"/>
      <c r="I318" s="11"/>
      <c r="J318" s="11"/>
      <c r="K318" s="11"/>
    </row>
    <row r="319" spans="1:11" x14ac:dyDescent="0.25">
      <c r="A319" s="11" t="str">
        <f>+M319&amp;COUNTIF($M$2:M319,M319)</f>
        <v>0</v>
      </c>
      <c r="B319" s="11"/>
      <c r="C319" s="11"/>
      <c r="D319" s="11"/>
      <c r="E319" s="134"/>
      <c r="F319" s="134"/>
      <c r="G319" s="134">
        <f t="shared" si="21"/>
        <v>2187088.732065537</v>
      </c>
      <c r="H319" s="11"/>
      <c r="I319" s="11"/>
      <c r="J319" s="11"/>
      <c r="K319" s="11"/>
    </row>
    <row r="320" spans="1:11" x14ac:dyDescent="0.25">
      <c r="A320" s="11" t="str">
        <f>+M320&amp;COUNTIF($M$2:M320,M320)</f>
        <v>0</v>
      </c>
      <c r="B320" s="11"/>
      <c r="C320" s="11"/>
      <c r="D320" s="11"/>
      <c r="E320" s="134"/>
      <c r="F320" s="134"/>
      <c r="G320" s="134">
        <f t="shared" ref="G320:G383" si="23">+G319+E320-F320</f>
        <v>2187088.732065537</v>
      </c>
      <c r="H320" s="11"/>
      <c r="I320" s="11"/>
      <c r="J320" s="11"/>
      <c r="K320" s="11"/>
    </row>
    <row r="321" spans="1:11" x14ac:dyDescent="0.25">
      <c r="A321" s="11" t="str">
        <f>+M321&amp;COUNTIF($M$2:M321,M321)</f>
        <v>0</v>
      </c>
      <c r="B321" s="11"/>
      <c r="C321" s="11"/>
      <c r="D321" s="11"/>
      <c r="E321" s="134"/>
      <c r="F321" s="134"/>
      <c r="G321" s="134">
        <f t="shared" si="23"/>
        <v>2187088.732065537</v>
      </c>
      <c r="H321" s="11"/>
      <c r="I321" s="11"/>
      <c r="J321" s="11"/>
      <c r="K321" s="11"/>
    </row>
    <row r="322" spans="1:11" x14ac:dyDescent="0.25">
      <c r="A322" s="11" t="str">
        <f>+M322&amp;COUNTIF($M$2:M322,M322)</f>
        <v>0</v>
      </c>
      <c r="B322" s="11"/>
      <c r="C322" s="11"/>
      <c r="D322" s="11"/>
      <c r="E322" s="134"/>
      <c r="F322" s="134"/>
      <c r="G322" s="134">
        <f t="shared" si="23"/>
        <v>2187088.732065537</v>
      </c>
      <c r="H322" s="11"/>
      <c r="I322" s="11"/>
      <c r="J322" s="11"/>
      <c r="K322" s="11"/>
    </row>
    <row r="323" spans="1:11" x14ac:dyDescent="0.25">
      <c r="A323" s="11" t="str">
        <f>+M323&amp;COUNTIF($M$2:M323,M323)</f>
        <v>0</v>
      </c>
      <c r="B323" s="11"/>
      <c r="C323" s="11"/>
      <c r="D323" s="11"/>
      <c r="E323" s="134"/>
      <c r="F323" s="134"/>
      <c r="G323" s="134">
        <f t="shared" si="23"/>
        <v>2187088.732065537</v>
      </c>
      <c r="H323" s="11"/>
      <c r="I323" s="11"/>
      <c r="J323" s="11"/>
      <c r="K323" s="11"/>
    </row>
    <row r="324" spans="1:11" x14ac:dyDescent="0.25">
      <c r="A324" s="11" t="str">
        <f>+M324&amp;COUNTIF($M$2:M324,M324)</f>
        <v>0</v>
      </c>
      <c r="B324" s="11"/>
      <c r="C324" s="11"/>
      <c r="D324" s="11"/>
      <c r="E324" s="134"/>
      <c r="F324" s="134"/>
      <c r="G324" s="134">
        <f t="shared" si="23"/>
        <v>2187088.732065537</v>
      </c>
      <c r="H324" s="11"/>
      <c r="I324" s="11"/>
      <c r="J324" s="11"/>
      <c r="K324" s="11"/>
    </row>
    <row r="325" spans="1:11" x14ac:dyDescent="0.25">
      <c r="A325" s="11" t="str">
        <f>+M325&amp;COUNTIF($M$2:M325,M325)</f>
        <v>0</v>
      </c>
      <c r="B325" s="11"/>
      <c r="C325" s="11"/>
      <c r="D325" s="11"/>
      <c r="E325" s="134"/>
      <c r="F325" s="134"/>
      <c r="G325" s="134">
        <f t="shared" si="23"/>
        <v>2187088.732065537</v>
      </c>
      <c r="H325" s="11"/>
      <c r="I325" s="11"/>
      <c r="J325" s="11"/>
      <c r="K325" s="11"/>
    </row>
    <row r="326" spans="1:11" x14ac:dyDescent="0.25">
      <c r="A326" s="11" t="str">
        <f>+M326&amp;COUNTIF($M$2:M326,M326)</f>
        <v>0</v>
      </c>
      <c r="B326" s="11"/>
      <c r="C326" s="11"/>
      <c r="D326" s="11"/>
      <c r="E326" s="134"/>
      <c r="F326" s="134"/>
      <c r="G326" s="134">
        <f t="shared" si="23"/>
        <v>2187088.732065537</v>
      </c>
      <c r="H326" s="11"/>
      <c r="I326" s="11"/>
      <c r="J326" s="11"/>
      <c r="K326" s="11"/>
    </row>
    <row r="327" spans="1:11" x14ac:dyDescent="0.25">
      <c r="A327" s="11" t="str">
        <f>+M327&amp;COUNTIF($M$2:M327,M327)</f>
        <v>0</v>
      </c>
      <c r="B327" s="11"/>
      <c r="C327" s="11"/>
      <c r="D327" s="11"/>
      <c r="E327" s="134"/>
      <c r="F327" s="134"/>
      <c r="G327" s="134">
        <f t="shared" si="23"/>
        <v>2187088.732065537</v>
      </c>
      <c r="H327" s="11"/>
      <c r="I327" s="11"/>
      <c r="J327" s="11"/>
      <c r="K327" s="11"/>
    </row>
    <row r="328" spans="1:11" x14ac:dyDescent="0.25">
      <c r="A328" s="11" t="str">
        <f>+M328&amp;COUNTIF($M$2:M328,M328)</f>
        <v>0</v>
      </c>
      <c r="B328" s="11"/>
      <c r="C328" s="11"/>
      <c r="D328" s="11"/>
      <c r="E328" s="134"/>
      <c r="F328" s="134"/>
      <c r="G328" s="134">
        <f t="shared" si="23"/>
        <v>2187088.732065537</v>
      </c>
      <c r="H328" s="11"/>
      <c r="I328" s="11"/>
      <c r="J328" s="11"/>
      <c r="K328" s="11"/>
    </row>
    <row r="329" spans="1:11" x14ac:dyDescent="0.25">
      <c r="A329" s="11" t="str">
        <f>+M329&amp;COUNTIF($M$2:M329,M329)</f>
        <v>0</v>
      </c>
      <c r="B329" s="11"/>
      <c r="C329" s="11"/>
      <c r="D329" s="11"/>
      <c r="E329" s="134"/>
      <c r="F329" s="134"/>
      <c r="G329" s="134">
        <f t="shared" si="23"/>
        <v>2187088.732065537</v>
      </c>
      <c r="H329" s="11"/>
      <c r="I329" s="11"/>
      <c r="J329" s="11"/>
      <c r="K329" s="11"/>
    </row>
    <row r="330" spans="1:11" x14ac:dyDescent="0.25">
      <c r="A330" s="11" t="str">
        <f>+M330&amp;COUNTIF($M$2:M330,M330)</f>
        <v>0</v>
      </c>
      <c r="B330" s="11"/>
      <c r="C330" s="11"/>
      <c r="D330" s="11"/>
      <c r="E330" s="134"/>
      <c r="F330" s="134"/>
      <c r="G330" s="134">
        <f t="shared" si="23"/>
        <v>2187088.732065537</v>
      </c>
      <c r="H330" s="11"/>
      <c r="I330" s="11"/>
      <c r="J330" s="11"/>
      <c r="K330" s="11"/>
    </row>
    <row r="331" spans="1:11" x14ac:dyDescent="0.25">
      <c r="A331" s="11" t="str">
        <f>+M331&amp;COUNTIF($M$2:M331,M331)</f>
        <v>0</v>
      </c>
      <c r="B331" s="11"/>
      <c r="C331" s="11"/>
      <c r="D331" s="11"/>
      <c r="E331" s="134"/>
      <c r="F331" s="134"/>
      <c r="G331" s="134">
        <f t="shared" si="23"/>
        <v>2187088.732065537</v>
      </c>
      <c r="H331" s="11"/>
      <c r="I331" s="11"/>
      <c r="J331" s="11"/>
      <c r="K331" s="11"/>
    </row>
    <row r="332" spans="1:11" x14ac:dyDescent="0.25">
      <c r="A332" s="11" t="str">
        <f>+M332&amp;COUNTIF($M$2:M332,M332)</f>
        <v>0</v>
      </c>
      <c r="B332" s="11"/>
      <c r="C332" s="11"/>
      <c r="D332" s="11"/>
      <c r="E332" s="134"/>
      <c r="F332" s="134"/>
      <c r="G332" s="134">
        <f t="shared" si="23"/>
        <v>2187088.732065537</v>
      </c>
      <c r="H332" s="11"/>
      <c r="I332" s="11"/>
      <c r="J332" s="11"/>
      <c r="K332" s="11"/>
    </row>
    <row r="333" spans="1:11" x14ac:dyDescent="0.25">
      <c r="A333" s="11" t="str">
        <f>+M333&amp;COUNTIF($M$2:M333,M333)</f>
        <v>0</v>
      </c>
      <c r="B333" s="11"/>
      <c r="C333" s="11"/>
      <c r="D333" s="11"/>
      <c r="E333" s="134"/>
      <c r="F333" s="134"/>
      <c r="G333" s="134">
        <f t="shared" si="23"/>
        <v>2187088.732065537</v>
      </c>
      <c r="H333" s="11"/>
      <c r="I333" s="11"/>
      <c r="J333" s="11"/>
      <c r="K333" s="11"/>
    </row>
    <row r="334" spans="1:11" x14ac:dyDescent="0.25">
      <c r="A334" s="11" t="str">
        <f>+M334&amp;COUNTIF($M$2:M334,M334)</f>
        <v>0</v>
      </c>
      <c r="B334" s="11"/>
      <c r="C334" s="11"/>
      <c r="D334" s="11"/>
      <c r="E334" s="134"/>
      <c r="F334" s="134"/>
      <c r="G334" s="134">
        <f t="shared" si="23"/>
        <v>2187088.732065537</v>
      </c>
      <c r="H334" s="11"/>
      <c r="I334" s="11"/>
      <c r="J334" s="11"/>
      <c r="K334" s="11"/>
    </row>
    <row r="335" spans="1:11" x14ac:dyDescent="0.25">
      <c r="A335" s="11" t="str">
        <f>+M335&amp;COUNTIF($M$2:M335,M335)</f>
        <v>0</v>
      </c>
      <c r="B335" s="11"/>
      <c r="C335" s="11"/>
      <c r="D335" s="11"/>
      <c r="E335" s="134"/>
      <c r="F335" s="134"/>
      <c r="G335" s="134">
        <f t="shared" si="23"/>
        <v>2187088.732065537</v>
      </c>
      <c r="H335" s="11"/>
      <c r="I335" s="11"/>
      <c r="J335" s="11"/>
      <c r="K335" s="11"/>
    </row>
    <row r="336" spans="1:11" x14ac:dyDescent="0.25">
      <c r="A336" s="11" t="str">
        <f>+M336&amp;COUNTIF($M$2:M336,M336)</f>
        <v>0</v>
      </c>
      <c r="B336" s="11"/>
      <c r="C336" s="11"/>
      <c r="D336" s="11"/>
      <c r="E336" s="134"/>
      <c r="F336" s="134"/>
      <c r="G336" s="134">
        <f t="shared" si="23"/>
        <v>2187088.732065537</v>
      </c>
      <c r="H336" s="11"/>
      <c r="I336" s="11"/>
      <c r="J336" s="11"/>
      <c r="K336" s="11"/>
    </row>
    <row r="337" spans="1:11" x14ac:dyDescent="0.25">
      <c r="A337" s="11" t="str">
        <f>+M337&amp;COUNTIF($M$2:M337,M337)</f>
        <v>0</v>
      </c>
      <c r="B337" s="11"/>
      <c r="C337" s="11"/>
      <c r="D337" s="11"/>
      <c r="E337" s="134"/>
      <c r="F337" s="134"/>
      <c r="G337" s="134">
        <f t="shared" si="23"/>
        <v>2187088.732065537</v>
      </c>
      <c r="H337" s="11"/>
      <c r="I337" s="11"/>
      <c r="J337" s="11"/>
      <c r="K337" s="11"/>
    </row>
    <row r="338" spans="1:11" x14ac:dyDescent="0.25">
      <c r="A338" s="11" t="str">
        <f>+M338&amp;COUNTIF($M$2:M338,M338)</f>
        <v>0</v>
      </c>
      <c r="B338" s="11"/>
      <c r="C338" s="11"/>
      <c r="D338" s="11"/>
      <c r="E338" s="134"/>
      <c r="F338" s="134"/>
      <c r="G338" s="134">
        <f t="shared" si="23"/>
        <v>2187088.732065537</v>
      </c>
      <c r="H338" s="11"/>
      <c r="I338" s="11"/>
      <c r="J338" s="11"/>
      <c r="K338" s="11"/>
    </row>
    <row r="339" spans="1:11" x14ac:dyDescent="0.25">
      <c r="A339" s="11" t="str">
        <f>+M339&amp;COUNTIF($M$2:M339,M339)</f>
        <v>0</v>
      </c>
      <c r="B339" s="11"/>
      <c r="C339" s="11"/>
      <c r="D339" s="11"/>
      <c r="E339" s="134"/>
      <c r="F339" s="134"/>
      <c r="G339" s="134">
        <f t="shared" si="23"/>
        <v>2187088.732065537</v>
      </c>
      <c r="H339" s="11"/>
      <c r="I339" s="11"/>
      <c r="J339" s="11"/>
      <c r="K339" s="11"/>
    </row>
    <row r="340" spans="1:11" x14ac:dyDescent="0.25">
      <c r="A340" s="11" t="str">
        <f>+M340&amp;COUNTIF($M$2:M340,M340)</f>
        <v>0</v>
      </c>
      <c r="B340" s="11"/>
      <c r="C340" s="11"/>
      <c r="D340" s="11"/>
      <c r="E340" s="134"/>
      <c r="F340" s="134"/>
      <c r="G340" s="134">
        <f t="shared" si="23"/>
        <v>2187088.732065537</v>
      </c>
      <c r="H340" s="11"/>
      <c r="I340" s="11"/>
      <c r="J340" s="11"/>
      <c r="K340" s="11"/>
    </row>
    <row r="341" spans="1:11" x14ac:dyDescent="0.25">
      <c r="A341" s="11" t="str">
        <f>+M341&amp;COUNTIF($M$2:M341,M341)</f>
        <v>0</v>
      </c>
      <c r="B341" s="11"/>
      <c r="C341" s="11"/>
      <c r="D341" s="11"/>
      <c r="E341" s="134"/>
      <c r="F341" s="134"/>
      <c r="G341" s="134">
        <f t="shared" si="23"/>
        <v>2187088.732065537</v>
      </c>
      <c r="H341" s="11"/>
      <c r="I341" s="11"/>
      <c r="J341" s="11"/>
      <c r="K341" s="11"/>
    </row>
    <row r="342" spans="1:11" x14ac:dyDescent="0.25">
      <c r="A342" s="11" t="str">
        <f>+M342&amp;COUNTIF($M$2:M342,M342)</f>
        <v>0</v>
      </c>
      <c r="B342" s="11"/>
      <c r="C342" s="11"/>
      <c r="D342" s="11"/>
      <c r="E342" s="134"/>
      <c r="F342" s="134"/>
      <c r="G342" s="134">
        <f t="shared" si="23"/>
        <v>2187088.732065537</v>
      </c>
      <c r="H342" s="11"/>
      <c r="I342" s="11"/>
      <c r="J342" s="11"/>
      <c r="K342" s="11"/>
    </row>
    <row r="343" spans="1:11" x14ac:dyDescent="0.25">
      <c r="A343" s="11" t="str">
        <f>+M343&amp;COUNTIF($M$2:M343,M343)</f>
        <v>0</v>
      </c>
      <c r="B343" s="11"/>
      <c r="C343" s="11"/>
      <c r="D343" s="11"/>
      <c r="E343" s="134"/>
      <c r="F343" s="134"/>
      <c r="G343" s="134">
        <f t="shared" si="23"/>
        <v>2187088.732065537</v>
      </c>
      <c r="H343" s="11"/>
      <c r="I343" s="11"/>
      <c r="J343" s="11"/>
      <c r="K343" s="11"/>
    </row>
    <row r="344" spans="1:11" x14ac:dyDescent="0.25">
      <c r="A344" s="11" t="str">
        <f>+M344&amp;COUNTIF($M$2:M344,M344)</f>
        <v>0</v>
      </c>
      <c r="B344" s="11"/>
      <c r="C344" s="11"/>
      <c r="D344" s="11"/>
      <c r="E344" s="134"/>
      <c r="F344" s="134"/>
      <c r="G344" s="134">
        <f t="shared" si="23"/>
        <v>2187088.732065537</v>
      </c>
      <c r="H344" s="11"/>
      <c r="I344" s="11"/>
      <c r="J344" s="11"/>
      <c r="K344" s="11"/>
    </row>
    <row r="345" spans="1:11" x14ac:dyDescent="0.25">
      <c r="A345" s="11" t="str">
        <f>+M345&amp;COUNTIF($M$2:M345,M345)</f>
        <v>0</v>
      </c>
      <c r="B345" s="11"/>
      <c r="C345" s="11"/>
      <c r="D345" s="11"/>
      <c r="E345" s="134"/>
      <c r="F345" s="134"/>
      <c r="G345" s="134">
        <f t="shared" si="23"/>
        <v>2187088.732065537</v>
      </c>
      <c r="H345" s="11"/>
      <c r="I345" s="11"/>
      <c r="J345" s="11"/>
      <c r="K345" s="11"/>
    </row>
    <row r="346" spans="1:11" x14ac:dyDescent="0.25">
      <c r="A346" s="11" t="str">
        <f>+M346&amp;COUNTIF($M$2:M346,M346)</f>
        <v>0</v>
      </c>
      <c r="B346" s="11"/>
      <c r="C346" s="11"/>
      <c r="D346" s="11"/>
      <c r="E346" s="134"/>
      <c r="F346" s="134"/>
      <c r="G346" s="134">
        <f t="shared" si="23"/>
        <v>2187088.732065537</v>
      </c>
      <c r="H346" s="11"/>
      <c r="I346" s="11"/>
      <c r="J346" s="11"/>
      <c r="K346" s="11"/>
    </row>
    <row r="347" spans="1:11" x14ac:dyDescent="0.25">
      <c r="A347" s="11" t="str">
        <f>+M347&amp;COUNTIF($M$2:M347,M347)</f>
        <v>0</v>
      </c>
      <c r="B347" s="11"/>
      <c r="C347" s="11"/>
      <c r="D347" s="11"/>
      <c r="E347" s="134"/>
      <c r="F347" s="134"/>
      <c r="G347" s="134">
        <f t="shared" si="23"/>
        <v>2187088.732065537</v>
      </c>
      <c r="H347" s="11"/>
      <c r="I347" s="11"/>
      <c r="J347" s="11"/>
      <c r="K347" s="11"/>
    </row>
    <row r="348" spans="1:11" x14ac:dyDescent="0.25">
      <c r="A348" s="11" t="str">
        <f>+M348&amp;COUNTIF($M$2:M348,M348)</f>
        <v>0</v>
      </c>
      <c r="B348" s="11"/>
      <c r="C348" s="11"/>
      <c r="D348" s="11"/>
      <c r="E348" s="134"/>
      <c r="F348" s="134"/>
      <c r="G348" s="134">
        <f t="shared" si="23"/>
        <v>2187088.732065537</v>
      </c>
      <c r="H348" s="11"/>
      <c r="I348" s="11"/>
      <c r="J348" s="11"/>
      <c r="K348" s="11"/>
    </row>
    <row r="349" spans="1:11" x14ac:dyDescent="0.25">
      <c r="A349" s="11" t="str">
        <f>+M349&amp;COUNTIF($M$2:M349,M349)</f>
        <v>0</v>
      </c>
      <c r="B349" s="11"/>
      <c r="C349" s="11"/>
      <c r="D349" s="11"/>
      <c r="E349" s="134"/>
      <c r="F349" s="134"/>
      <c r="G349" s="134">
        <f t="shared" si="23"/>
        <v>2187088.732065537</v>
      </c>
      <c r="H349" s="11"/>
      <c r="I349" s="11"/>
      <c r="J349" s="11"/>
      <c r="K349" s="11"/>
    </row>
    <row r="350" spans="1:11" x14ac:dyDescent="0.25">
      <c r="A350" s="11" t="str">
        <f>+M350&amp;COUNTIF($M$2:M350,M350)</f>
        <v>0</v>
      </c>
      <c r="B350" s="11"/>
      <c r="C350" s="11"/>
      <c r="D350" s="11"/>
      <c r="E350" s="134"/>
      <c r="F350" s="134"/>
      <c r="G350" s="134">
        <f t="shared" si="23"/>
        <v>2187088.732065537</v>
      </c>
      <c r="H350" s="11"/>
      <c r="I350" s="11"/>
      <c r="J350" s="11"/>
      <c r="K350" s="11"/>
    </row>
    <row r="351" spans="1:11" x14ac:dyDescent="0.25">
      <c r="A351" s="11" t="str">
        <f>+M351&amp;COUNTIF($M$2:M351,M351)</f>
        <v>0</v>
      </c>
      <c r="B351" s="11"/>
      <c r="C351" s="11"/>
      <c r="D351" s="11"/>
      <c r="E351" s="134"/>
      <c r="F351" s="134"/>
      <c r="G351" s="134">
        <f t="shared" si="23"/>
        <v>2187088.732065537</v>
      </c>
      <c r="H351" s="11"/>
      <c r="I351" s="11"/>
      <c r="J351" s="11"/>
      <c r="K351" s="11"/>
    </row>
    <row r="352" spans="1:11" x14ac:dyDescent="0.25">
      <c r="A352" s="11" t="str">
        <f>+M352&amp;COUNTIF($M$2:M352,M352)</f>
        <v>0</v>
      </c>
      <c r="B352" s="11"/>
      <c r="C352" s="11"/>
      <c r="D352" s="11"/>
      <c r="E352" s="134"/>
      <c r="F352" s="134"/>
      <c r="G352" s="134">
        <f t="shared" si="23"/>
        <v>2187088.732065537</v>
      </c>
      <c r="H352" s="11"/>
      <c r="I352" s="11"/>
      <c r="J352" s="11"/>
      <c r="K352" s="11"/>
    </row>
    <row r="353" spans="1:11" x14ac:dyDescent="0.25">
      <c r="A353" s="11" t="str">
        <f>+M353&amp;COUNTIF($M$2:M353,M353)</f>
        <v>0</v>
      </c>
      <c r="B353" s="11"/>
      <c r="C353" s="11"/>
      <c r="D353" s="11"/>
      <c r="E353" s="134"/>
      <c r="F353" s="134"/>
      <c r="G353" s="134">
        <f t="shared" si="23"/>
        <v>2187088.732065537</v>
      </c>
      <c r="H353" s="11"/>
      <c r="I353" s="11"/>
      <c r="J353" s="11"/>
      <c r="K353" s="11"/>
    </row>
    <row r="354" spans="1:11" x14ac:dyDescent="0.25">
      <c r="A354" s="11" t="str">
        <f>+M354&amp;COUNTIF($M$2:M354,M354)</f>
        <v>0</v>
      </c>
      <c r="B354" s="11"/>
      <c r="C354" s="11"/>
      <c r="D354" s="11"/>
      <c r="E354" s="134"/>
      <c r="F354" s="134"/>
      <c r="G354" s="134">
        <f t="shared" si="23"/>
        <v>2187088.732065537</v>
      </c>
      <c r="H354" s="11"/>
      <c r="I354" s="11"/>
      <c r="J354" s="11"/>
      <c r="K354" s="11"/>
    </row>
    <row r="355" spans="1:11" x14ac:dyDescent="0.25">
      <c r="A355" s="11" t="str">
        <f>+M355&amp;COUNTIF($M$2:M355,M355)</f>
        <v>0</v>
      </c>
      <c r="B355" s="11"/>
      <c r="C355" s="11"/>
      <c r="D355" s="11"/>
      <c r="E355" s="134"/>
      <c r="F355" s="134"/>
      <c r="G355" s="134">
        <f t="shared" si="23"/>
        <v>2187088.732065537</v>
      </c>
      <c r="H355" s="11"/>
      <c r="I355" s="11"/>
      <c r="J355" s="11"/>
      <c r="K355" s="11"/>
    </row>
    <row r="356" spans="1:11" x14ac:dyDescent="0.25">
      <c r="A356" s="11" t="str">
        <f>+M356&amp;COUNTIF($M$2:M356,M356)</f>
        <v>0</v>
      </c>
      <c r="B356" s="11"/>
      <c r="C356" s="11"/>
      <c r="D356" s="11"/>
      <c r="E356" s="134"/>
      <c r="F356" s="134"/>
      <c r="G356" s="134">
        <f t="shared" si="23"/>
        <v>2187088.732065537</v>
      </c>
      <c r="H356" s="11"/>
      <c r="I356" s="11"/>
      <c r="J356" s="11"/>
      <c r="K356" s="11"/>
    </row>
    <row r="357" spans="1:11" x14ac:dyDescent="0.25">
      <c r="A357" s="11" t="str">
        <f>+M357&amp;COUNTIF($M$2:M357,M357)</f>
        <v>0</v>
      </c>
      <c r="B357" s="11"/>
      <c r="C357" s="11"/>
      <c r="D357" s="11"/>
      <c r="E357" s="134"/>
      <c r="F357" s="134"/>
      <c r="G357" s="134">
        <f t="shared" si="23"/>
        <v>2187088.732065537</v>
      </c>
      <c r="H357" s="11"/>
      <c r="I357" s="11"/>
      <c r="J357" s="11"/>
      <c r="K357" s="11"/>
    </row>
    <row r="358" spans="1:11" x14ac:dyDescent="0.25">
      <c r="A358" s="11" t="str">
        <f>+M358&amp;COUNTIF($M$2:M358,M358)</f>
        <v>0</v>
      </c>
      <c r="B358" s="11"/>
      <c r="C358" s="11"/>
      <c r="D358" s="11"/>
      <c r="E358" s="134"/>
      <c r="F358" s="134"/>
      <c r="G358" s="134">
        <f t="shared" si="23"/>
        <v>2187088.732065537</v>
      </c>
      <c r="H358" s="11"/>
      <c r="I358" s="11"/>
      <c r="J358" s="11"/>
      <c r="K358" s="11"/>
    </row>
    <row r="359" spans="1:11" x14ac:dyDescent="0.25">
      <c r="A359" s="11" t="str">
        <f>+M359&amp;COUNTIF($M$2:M359,M359)</f>
        <v>0</v>
      </c>
      <c r="B359" s="11"/>
      <c r="C359" s="11"/>
      <c r="D359" s="11"/>
      <c r="E359" s="134"/>
      <c r="F359" s="134"/>
      <c r="G359" s="134">
        <f t="shared" si="23"/>
        <v>2187088.732065537</v>
      </c>
      <c r="H359" s="11"/>
      <c r="I359" s="11"/>
      <c r="J359" s="11"/>
      <c r="K359" s="11"/>
    </row>
    <row r="360" spans="1:11" x14ac:dyDescent="0.25">
      <c r="A360" s="11" t="str">
        <f>+M360&amp;COUNTIF($M$2:M360,M360)</f>
        <v>0</v>
      </c>
      <c r="B360" s="11"/>
      <c r="C360" s="11"/>
      <c r="D360" s="11"/>
      <c r="E360" s="134"/>
      <c r="F360" s="134"/>
      <c r="G360" s="134">
        <f t="shared" si="23"/>
        <v>2187088.732065537</v>
      </c>
      <c r="H360" s="11"/>
      <c r="I360" s="11"/>
      <c r="J360" s="11"/>
      <c r="K360" s="11"/>
    </row>
    <row r="361" spans="1:11" x14ac:dyDescent="0.25">
      <c r="A361" s="11" t="str">
        <f>+M361&amp;COUNTIF($M$2:M361,M361)</f>
        <v>0</v>
      </c>
      <c r="B361" s="11"/>
      <c r="C361" s="11"/>
      <c r="D361" s="11"/>
      <c r="E361" s="134"/>
      <c r="F361" s="134"/>
      <c r="G361" s="134">
        <f t="shared" si="23"/>
        <v>2187088.732065537</v>
      </c>
      <c r="H361" s="11"/>
      <c r="I361" s="11"/>
      <c r="J361" s="11"/>
      <c r="K361" s="11"/>
    </row>
    <row r="362" spans="1:11" x14ac:dyDescent="0.25">
      <c r="A362" s="11" t="str">
        <f>+M362&amp;COUNTIF($M$2:M362,M362)</f>
        <v>0</v>
      </c>
      <c r="B362" s="11"/>
      <c r="C362" s="11"/>
      <c r="D362" s="11"/>
      <c r="E362" s="134"/>
      <c r="F362" s="134"/>
      <c r="G362" s="134">
        <f t="shared" si="23"/>
        <v>2187088.732065537</v>
      </c>
      <c r="H362" s="11"/>
      <c r="I362" s="11"/>
      <c r="J362" s="11"/>
      <c r="K362" s="11"/>
    </row>
    <row r="363" spans="1:11" x14ac:dyDescent="0.25">
      <c r="A363" s="11" t="str">
        <f>+M363&amp;COUNTIF($M$2:M363,M363)</f>
        <v>0</v>
      </c>
      <c r="B363" s="11"/>
      <c r="C363" s="11"/>
      <c r="D363" s="11"/>
      <c r="E363" s="134"/>
      <c r="F363" s="134"/>
      <c r="G363" s="134">
        <f t="shared" si="23"/>
        <v>2187088.732065537</v>
      </c>
      <c r="H363" s="11"/>
      <c r="I363" s="11"/>
      <c r="J363" s="11"/>
      <c r="K363" s="11"/>
    </row>
    <row r="364" spans="1:11" x14ac:dyDescent="0.25">
      <c r="A364" s="11" t="str">
        <f>+M364&amp;COUNTIF($M$2:M364,M364)</f>
        <v>0</v>
      </c>
      <c r="B364" s="11"/>
      <c r="C364" s="11"/>
      <c r="D364" s="11"/>
      <c r="E364" s="134"/>
      <c r="F364" s="134"/>
      <c r="G364" s="134">
        <f t="shared" si="23"/>
        <v>2187088.732065537</v>
      </c>
      <c r="H364" s="11"/>
      <c r="I364" s="11"/>
      <c r="J364" s="11"/>
      <c r="K364" s="11"/>
    </row>
    <row r="365" spans="1:11" x14ac:dyDescent="0.25">
      <c r="A365" s="11" t="str">
        <f>+M365&amp;COUNTIF($M$2:M365,M365)</f>
        <v>0</v>
      </c>
      <c r="B365" s="11"/>
      <c r="C365" s="11"/>
      <c r="D365" s="11"/>
      <c r="E365" s="134"/>
      <c r="F365" s="134"/>
      <c r="G365" s="134">
        <f t="shared" si="23"/>
        <v>2187088.732065537</v>
      </c>
      <c r="H365" s="11"/>
      <c r="I365" s="11"/>
      <c r="J365" s="11"/>
      <c r="K365" s="11"/>
    </row>
    <row r="366" spans="1:11" x14ac:dyDescent="0.25">
      <c r="A366" s="11" t="str">
        <f>+M366&amp;COUNTIF($M$2:M366,M366)</f>
        <v>0</v>
      </c>
      <c r="B366" s="11"/>
      <c r="C366" s="11"/>
      <c r="D366" s="11"/>
      <c r="E366" s="134"/>
      <c r="F366" s="134"/>
      <c r="G366" s="134">
        <f t="shared" si="23"/>
        <v>2187088.732065537</v>
      </c>
      <c r="H366" s="11"/>
      <c r="I366" s="11"/>
      <c r="J366" s="11"/>
      <c r="K366" s="11"/>
    </row>
    <row r="367" spans="1:11" x14ac:dyDescent="0.25">
      <c r="A367" s="11" t="str">
        <f>+M367&amp;COUNTIF($M$2:M367,M367)</f>
        <v>0</v>
      </c>
      <c r="B367" s="11"/>
      <c r="C367" s="11"/>
      <c r="D367" s="11"/>
      <c r="E367" s="134"/>
      <c r="F367" s="134"/>
      <c r="G367" s="134">
        <f t="shared" si="23"/>
        <v>2187088.732065537</v>
      </c>
      <c r="H367" s="11"/>
      <c r="I367" s="11"/>
      <c r="J367" s="11"/>
      <c r="K367" s="11"/>
    </row>
    <row r="368" spans="1:11" x14ac:dyDescent="0.25">
      <c r="A368" s="11" t="str">
        <f>+M368&amp;COUNTIF($M$2:M368,M368)</f>
        <v>0</v>
      </c>
      <c r="B368" s="11"/>
      <c r="C368" s="11"/>
      <c r="D368" s="11"/>
      <c r="E368" s="134"/>
      <c r="F368" s="134"/>
      <c r="G368" s="134">
        <f t="shared" si="23"/>
        <v>2187088.732065537</v>
      </c>
      <c r="H368" s="11"/>
      <c r="I368" s="11"/>
      <c r="J368" s="11"/>
      <c r="K368" s="11"/>
    </row>
    <row r="369" spans="1:11" x14ac:dyDescent="0.25">
      <c r="A369" s="11" t="str">
        <f>+M369&amp;COUNTIF($M$2:M369,M369)</f>
        <v>0</v>
      </c>
      <c r="B369" s="11"/>
      <c r="C369" s="11"/>
      <c r="D369" s="11"/>
      <c r="E369" s="134"/>
      <c r="F369" s="134"/>
      <c r="G369" s="134">
        <f t="shared" si="23"/>
        <v>2187088.732065537</v>
      </c>
      <c r="H369" s="11"/>
      <c r="I369" s="11"/>
      <c r="J369" s="11"/>
      <c r="K369" s="11"/>
    </row>
    <row r="370" spans="1:11" x14ac:dyDescent="0.25">
      <c r="A370" s="11" t="str">
        <f>+M370&amp;COUNTIF($M$2:M370,M370)</f>
        <v>0</v>
      </c>
      <c r="B370" s="11"/>
      <c r="C370" s="11"/>
      <c r="D370" s="11"/>
      <c r="E370" s="134"/>
      <c r="F370" s="134"/>
      <c r="G370" s="134">
        <f t="shared" si="23"/>
        <v>2187088.732065537</v>
      </c>
      <c r="H370" s="11"/>
      <c r="I370" s="11"/>
      <c r="J370" s="11"/>
      <c r="K370" s="11"/>
    </row>
    <row r="371" spans="1:11" x14ac:dyDescent="0.25">
      <c r="A371" s="11" t="str">
        <f>+M371&amp;COUNTIF($M$2:M371,M371)</f>
        <v>0</v>
      </c>
      <c r="B371" s="11"/>
      <c r="C371" s="11"/>
      <c r="D371" s="11"/>
      <c r="E371" s="134"/>
      <c r="F371" s="134"/>
      <c r="G371" s="134">
        <f t="shared" si="23"/>
        <v>2187088.732065537</v>
      </c>
      <c r="H371" s="11"/>
      <c r="I371" s="11"/>
      <c r="J371" s="11"/>
      <c r="K371" s="11"/>
    </row>
    <row r="372" spans="1:11" x14ac:dyDescent="0.25">
      <c r="A372" s="11" t="str">
        <f>+M372&amp;COUNTIF($M$2:M372,M372)</f>
        <v>0</v>
      </c>
      <c r="B372" s="11"/>
      <c r="C372" s="11"/>
      <c r="D372" s="11"/>
      <c r="E372" s="134"/>
      <c r="F372" s="134"/>
      <c r="G372" s="134">
        <f t="shared" si="23"/>
        <v>2187088.732065537</v>
      </c>
      <c r="H372" s="11"/>
      <c r="I372" s="11"/>
      <c r="J372" s="11"/>
      <c r="K372" s="11"/>
    </row>
    <row r="373" spans="1:11" x14ac:dyDescent="0.25">
      <c r="A373" s="11" t="str">
        <f>+M373&amp;COUNTIF($M$2:M373,M373)</f>
        <v>0</v>
      </c>
      <c r="B373" s="11"/>
      <c r="C373" s="11"/>
      <c r="D373" s="11"/>
      <c r="E373" s="134"/>
      <c r="F373" s="134"/>
      <c r="G373" s="134">
        <f t="shared" si="23"/>
        <v>2187088.732065537</v>
      </c>
      <c r="H373" s="11"/>
      <c r="I373" s="11"/>
      <c r="J373" s="11"/>
      <c r="K373" s="11"/>
    </row>
    <row r="374" spans="1:11" x14ac:dyDescent="0.25">
      <c r="A374" s="11" t="str">
        <f>+M374&amp;COUNTIF($M$2:M374,M374)</f>
        <v>0</v>
      </c>
      <c r="B374" s="11"/>
      <c r="C374" s="11"/>
      <c r="D374" s="11"/>
      <c r="E374" s="134"/>
      <c r="F374" s="134"/>
      <c r="G374" s="134">
        <f t="shared" si="23"/>
        <v>2187088.732065537</v>
      </c>
      <c r="H374" s="11"/>
      <c r="I374" s="11"/>
      <c r="J374" s="11"/>
      <c r="K374" s="11"/>
    </row>
    <row r="375" spans="1:11" x14ac:dyDescent="0.25">
      <c r="A375" s="11" t="str">
        <f>+M375&amp;COUNTIF($M$2:M375,M375)</f>
        <v>0</v>
      </c>
      <c r="B375" s="11"/>
      <c r="C375" s="11"/>
      <c r="D375" s="11"/>
      <c r="E375" s="134"/>
      <c r="F375" s="134"/>
      <c r="G375" s="134">
        <f t="shared" si="23"/>
        <v>2187088.732065537</v>
      </c>
      <c r="H375" s="11"/>
      <c r="I375" s="11"/>
      <c r="J375" s="11"/>
      <c r="K375" s="11"/>
    </row>
    <row r="376" spans="1:11" x14ac:dyDescent="0.25">
      <c r="A376" s="11" t="str">
        <f>+M376&amp;COUNTIF($M$2:M376,M376)</f>
        <v>0</v>
      </c>
      <c r="B376" s="11"/>
      <c r="C376" s="11"/>
      <c r="D376" s="11"/>
      <c r="E376" s="134"/>
      <c r="F376" s="134"/>
      <c r="G376" s="134">
        <f t="shared" si="23"/>
        <v>2187088.732065537</v>
      </c>
      <c r="H376" s="11"/>
      <c r="I376" s="11"/>
      <c r="J376" s="11"/>
      <c r="K376" s="11"/>
    </row>
    <row r="377" spans="1:11" x14ac:dyDescent="0.25">
      <c r="A377" s="11" t="str">
        <f>+M377&amp;COUNTIF($M$2:M377,M377)</f>
        <v>0</v>
      </c>
      <c r="B377" s="11"/>
      <c r="C377" s="11"/>
      <c r="D377" s="11"/>
      <c r="E377" s="134"/>
      <c r="F377" s="134"/>
      <c r="G377" s="134">
        <f t="shared" si="23"/>
        <v>2187088.732065537</v>
      </c>
      <c r="H377" s="11"/>
      <c r="I377" s="11"/>
      <c r="J377" s="11"/>
      <c r="K377" s="11"/>
    </row>
    <row r="378" spans="1:11" x14ac:dyDescent="0.25">
      <c r="A378" s="11" t="str">
        <f>+M378&amp;COUNTIF($M$2:M378,M378)</f>
        <v>0</v>
      </c>
      <c r="B378" s="11"/>
      <c r="C378" s="11"/>
      <c r="D378" s="11"/>
      <c r="E378" s="134"/>
      <c r="F378" s="134"/>
      <c r="G378" s="134">
        <f t="shared" si="23"/>
        <v>2187088.732065537</v>
      </c>
      <c r="H378" s="11"/>
      <c r="I378" s="11"/>
      <c r="J378" s="11"/>
      <c r="K378" s="11"/>
    </row>
    <row r="379" spans="1:11" x14ac:dyDescent="0.25">
      <c r="A379" s="11" t="str">
        <f>+M379&amp;COUNTIF($M$2:M379,M379)</f>
        <v>0</v>
      </c>
      <c r="B379" s="11"/>
      <c r="C379" s="11"/>
      <c r="D379" s="11"/>
      <c r="E379" s="134"/>
      <c r="F379" s="134"/>
      <c r="G379" s="134">
        <f t="shared" si="23"/>
        <v>2187088.732065537</v>
      </c>
      <c r="H379" s="11"/>
      <c r="I379" s="11"/>
      <c r="J379" s="11"/>
      <c r="K379" s="11"/>
    </row>
    <row r="380" spans="1:11" x14ac:dyDescent="0.25">
      <c r="A380" s="11" t="str">
        <f>+M380&amp;COUNTIF($M$2:M380,M380)</f>
        <v>0</v>
      </c>
      <c r="B380" s="11"/>
      <c r="C380" s="11"/>
      <c r="D380" s="11"/>
      <c r="E380" s="134"/>
      <c r="F380" s="134"/>
      <c r="G380" s="134">
        <f t="shared" si="23"/>
        <v>2187088.732065537</v>
      </c>
      <c r="H380" s="11"/>
      <c r="I380" s="11"/>
      <c r="J380" s="11"/>
      <c r="K380" s="11"/>
    </row>
    <row r="381" spans="1:11" x14ac:dyDescent="0.25">
      <c r="A381" s="11" t="str">
        <f>+M381&amp;COUNTIF($M$2:M381,M381)</f>
        <v>0</v>
      </c>
      <c r="B381" s="11"/>
      <c r="C381" s="11"/>
      <c r="D381" s="11"/>
      <c r="E381" s="134"/>
      <c r="F381" s="134"/>
      <c r="G381" s="134">
        <f t="shared" si="23"/>
        <v>2187088.732065537</v>
      </c>
      <c r="H381" s="11"/>
      <c r="I381" s="11"/>
      <c r="J381" s="11"/>
      <c r="K381" s="11"/>
    </row>
    <row r="382" spans="1:11" x14ac:dyDescent="0.25">
      <c r="A382" s="11" t="str">
        <f>+M382&amp;COUNTIF($M$2:M382,M382)</f>
        <v>0</v>
      </c>
      <c r="B382" s="11"/>
      <c r="C382" s="11"/>
      <c r="D382" s="11"/>
      <c r="E382" s="134"/>
      <c r="F382" s="134"/>
      <c r="G382" s="134">
        <f t="shared" si="23"/>
        <v>2187088.732065537</v>
      </c>
      <c r="H382" s="11"/>
      <c r="I382" s="11"/>
      <c r="J382" s="11"/>
      <c r="K382" s="11"/>
    </row>
    <row r="383" spans="1:11" x14ac:dyDescent="0.25">
      <c r="A383" s="11" t="str">
        <f>+M383&amp;COUNTIF($M$2:M383,M383)</f>
        <v>0</v>
      </c>
      <c r="B383" s="11"/>
      <c r="C383" s="11"/>
      <c r="D383" s="11"/>
      <c r="E383" s="134"/>
      <c r="F383" s="134"/>
      <c r="G383" s="134">
        <f t="shared" si="23"/>
        <v>2187088.732065537</v>
      </c>
      <c r="H383" s="11"/>
      <c r="I383" s="11"/>
      <c r="J383" s="11"/>
      <c r="K383" s="11"/>
    </row>
    <row r="384" spans="1:11" x14ac:dyDescent="0.25">
      <c r="A384" s="11" t="str">
        <f>+M384&amp;COUNTIF($M$2:M384,M384)</f>
        <v>0</v>
      </c>
      <c r="B384" s="11"/>
      <c r="C384" s="11"/>
      <c r="D384" s="11"/>
      <c r="E384" s="134"/>
      <c r="F384" s="134"/>
      <c r="G384" s="134">
        <f t="shared" ref="G384:G447" si="24">+G383+E384-F384</f>
        <v>2187088.732065537</v>
      </c>
      <c r="H384" s="11"/>
      <c r="I384" s="11"/>
      <c r="J384" s="11"/>
      <c r="K384" s="11"/>
    </row>
    <row r="385" spans="1:11" x14ac:dyDescent="0.25">
      <c r="A385" s="11" t="str">
        <f>+M385&amp;COUNTIF($M$2:M385,M385)</f>
        <v>0</v>
      </c>
      <c r="B385" s="11"/>
      <c r="C385" s="11"/>
      <c r="D385" s="11"/>
      <c r="E385" s="134"/>
      <c r="F385" s="134"/>
      <c r="G385" s="134">
        <f t="shared" si="24"/>
        <v>2187088.732065537</v>
      </c>
      <c r="H385" s="11"/>
      <c r="I385" s="11"/>
      <c r="J385" s="11"/>
      <c r="K385" s="11"/>
    </row>
    <row r="386" spans="1:11" x14ac:dyDescent="0.25">
      <c r="A386" s="11" t="str">
        <f>+M386&amp;COUNTIF($M$2:M386,M386)</f>
        <v>0</v>
      </c>
      <c r="B386" s="11"/>
      <c r="C386" s="11"/>
      <c r="D386" s="11"/>
      <c r="E386" s="134"/>
      <c r="F386" s="134"/>
      <c r="G386" s="134">
        <f t="shared" si="24"/>
        <v>2187088.732065537</v>
      </c>
      <c r="H386" s="11"/>
      <c r="I386" s="11"/>
      <c r="J386" s="11"/>
      <c r="K386" s="11"/>
    </row>
    <row r="387" spans="1:11" x14ac:dyDescent="0.25">
      <c r="A387" s="11" t="str">
        <f>+M387&amp;COUNTIF($M$2:M387,M387)</f>
        <v>0</v>
      </c>
      <c r="B387" s="11"/>
      <c r="C387" s="11"/>
      <c r="D387" s="11"/>
      <c r="E387" s="134"/>
      <c r="F387" s="134"/>
      <c r="G387" s="134">
        <f t="shared" si="24"/>
        <v>2187088.732065537</v>
      </c>
      <c r="H387" s="11"/>
      <c r="I387" s="11"/>
      <c r="J387" s="11"/>
      <c r="K387" s="11"/>
    </row>
    <row r="388" spans="1:11" x14ac:dyDescent="0.25">
      <c r="A388" s="11" t="str">
        <f>+M388&amp;COUNTIF($M$2:M388,M388)</f>
        <v>0</v>
      </c>
      <c r="B388" s="11"/>
      <c r="C388" s="11"/>
      <c r="D388" s="11"/>
      <c r="E388" s="134"/>
      <c r="F388" s="134"/>
      <c r="G388" s="134">
        <f t="shared" si="24"/>
        <v>2187088.732065537</v>
      </c>
      <c r="H388" s="11"/>
      <c r="I388" s="11"/>
      <c r="J388" s="11"/>
      <c r="K388" s="11"/>
    </row>
    <row r="389" spans="1:11" x14ac:dyDescent="0.25">
      <c r="A389" s="11" t="str">
        <f>+M389&amp;COUNTIF($M$2:M389,M389)</f>
        <v>0</v>
      </c>
      <c r="B389" s="11"/>
      <c r="C389" s="11"/>
      <c r="D389" s="11"/>
      <c r="E389" s="134"/>
      <c r="F389" s="134"/>
      <c r="G389" s="134">
        <f t="shared" si="24"/>
        <v>2187088.732065537</v>
      </c>
      <c r="H389" s="11"/>
      <c r="I389" s="11"/>
      <c r="J389" s="11"/>
      <c r="K389" s="11"/>
    </row>
    <row r="390" spans="1:11" x14ac:dyDescent="0.25">
      <c r="A390" s="11" t="str">
        <f>+M390&amp;COUNTIF($M$2:M390,M390)</f>
        <v>0</v>
      </c>
      <c r="B390" s="11"/>
      <c r="C390" s="11"/>
      <c r="D390" s="11"/>
      <c r="E390" s="134"/>
      <c r="F390" s="134"/>
      <c r="G390" s="134">
        <f t="shared" si="24"/>
        <v>2187088.732065537</v>
      </c>
      <c r="H390" s="11"/>
      <c r="I390" s="11"/>
      <c r="J390" s="11"/>
      <c r="K390" s="11"/>
    </row>
    <row r="391" spans="1:11" x14ac:dyDescent="0.25">
      <c r="A391" s="11" t="str">
        <f>+M391&amp;COUNTIF($M$2:M391,M391)</f>
        <v>0</v>
      </c>
      <c r="B391" s="11"/>
      <c r="C391" s="11"/>
      <c r="D391" s="11"/>
      <c r="E391" s="134"/>
      <c r="F391" s="134"/>
      <c r="G391" s="134">
        <f t="shared" si="24"/>
        <v>2187088.732065537</v>
      </c>
      <c r="H391" s="11"/>
      <c r="I391" s="11"/>
      <c r="J391" s="11"/>
      <c r="K391" s="11"/>
    </row>
    <row r="392" spans="1:11" x14ac:dyDescent="0.25">
      <c r="A392" s="11" t="str">
        <f>+M392&amp;COUNTIF($M$2:M392,M392)</f>
        <v>0</v>
      </c>
      <c r="B392" s="11"/>
      <c r="C392" s="11"/>
      <c r="D392" s="11"/>
      <c r="E392" s="134"/>
      <c r="F392" s="134"/>
      <c r="G392" s="134">
        <f t="shared" si="24"/>
        <v>2187088.732065537</v>
      </c>
      <c r="H392" s="11"/>
      <c r="I392" s="11"/>
      <c r="J392" s="11"/>
      <c r="K392" s="11"/>
    </row>
    <row r="393" spans="1:11" x14ac:dyDescent="0.25">
      <c r="A393" s="11" t="str">
        <f>+M393&amp;COUNTIF($M$2:M393,M393)</f>
        <v>0</v>
      </c>
      <c r="B393" s="11"/>
      <c r="C393" s="11"/>
      <c r="D393" s="11"/>
      <c r="E393" s="134"/>
      <c r="F393" s="134"/>
      <c r="G393" s="134">
        <f t="shared" si="24"/>
        <v>2187088.732065537</v>
      </c>
      <c r="H393" s="11"/>
      <c r="I393" s="11"/>
      <c r="J393" s="11"/>
      <c r="K393" s="11"/>
    </row>
    <row r="394" spans="1:11" x14ac:dyDescent="0.25">
      <c r="A394" s="11" t="str">
        <f>+M394&amp;COUNTIF($M$2:M394,M394)</f>
        <v>0</v>
      </c>
      <c r="B394" s="11"/>
      <c r="C394" s="11"/>
      <c r="D394" s="11"/>
      <c r="E394" s="134"/>
      <c r="F394" s="134"/>
      <c r="G394" s="134">
        <f t="shared" si="24"/>
        <v>2187088.732065537</v>
      </c>
      <c r="H394" s="11"/>
      <c r="I394" s="11"/>
      <c r="J394" s="11"/>
      <c r="K394" s="11"/>
    </row>
    <row r="395" spans="1:11" x14ac:dyDescent="0.25">
      <c r="A395" s="11" t="str">
        <f>+M395&amp;COUNTIF($M$2:M395,M395)</f>
        <v>0</v>
      </c>
      <c r="B395" s="11"/>
      <c r="C395" s="11"/>
      <c r="D395" s="11"/>
      <c r="E395" s="134"/>
      <c r="F395" s="134"/>
      <c r="G395" s="134">
        <f t="shared" si="24"/>
        <v>2187088.732065537</v>
      </c>
      <c r="H395" s="11"/>
      <c r="I395" s="11"/>
      <c r="J395" s="11"/>
      <c r="K395" s="11"/>
    </row>
    <row r="396" spans="1:11" x14ac:dyDescent="0.25">
      <c r="A396" s="11" t="str">
        <f>+M396&amp;COUNTIF($M$2:M396,M396)</f>
        <v>0</v>
      </c>
      <c r="B396" s="11"/>
      <c r="C396" s="11"/>
      <c r="D396" s="11"/>
      <c r="E396" s="134"/>
      <c r="F396" s="134"/>
      <c r="G396" s="134">
        <f t="shared" si="24"/>
        <v>2187088.732065537</v>
      </c>
      <c r="H396" s="11"/>
      <c r="I396" s="11"/>
      <c r="J396" s="11"/>
      <c r="K396" s="11"/>
    </row>
    <row r="397" spans="1:11" x14ac:dyDescent="0.25">
      <c r="A397" s="11" t="str">
        <f>+M397&amp;COUNTIF($M$2:M397,M397)</f>
        <v>0</v>
      </c>
      <c r="B397" s="11"/>
      <c r="C397" s="11"/>
      <c r="D397" s="11"/>
      <c r="E397" s="134"/>
      <c r="F397" s="134"/>
      <c r="G397" s="134">
        <f t="shared" si="24"/>
        <v>2187088.732065537</v>
      </c>
      <c r="H397" s="11"/>
      <c r="I397" s="11"/>
      <c r="J397" s="11"/>
      <c r="K397" s="11"/>
    </row>
    <row r="398" spans="1:11" x14ac:dyDescent="0.25">
      <c r="A398" s="11" t="str">
        <f>+M398&amp;COUNTIF($M$2:M398,M398)</f>
        <v>0</v>
      </c>
      <c r="B398" s="11"/>
      <c r="C398" s="11"/>
      <c r="D398" s="11"/>
      <c r="E398" s="134"/>
      <c r="F398" s="134"/>
      <c r="G398" s="134">
        <f t="shared" si="24"/>
        <v>2187088.732065537</v>
      </c>
      <c r="H398" s="11"/>
      <c r="I398" s="11"/>
      <c r="J398" s="11"/>
      <c r="K398" s="11"/>
    </row>
    <row r="399" spans="1:11" x14ac:dyDescent="0.25">
      <c r="A399" s="11" t="str">
        <f>+M399&amp;COUNTIF($M$2:M399,M399)</f>
        <v>0</v>
      </c>
      <c r="B399" s="11"/>
      <c r="C399" s="11"/>
      <c r="D399" s="11"/>
      <c r="E399" s="134"/>
      <c r="F399" s="134"/>
      <c r="G399" s="134">
        <f t="shared" si="24"/>
        <v>2187088.732065537</v>
      </c>
      <c r="H399" s="11"/>
      <c r="I399" s="11"/>
      <c r="J399" s="11"/>
      <c r="K399" s="11"/>
    </row>
    <row r="400" spans="1:11" x14ac:dyDescent="0.25">
      <c r="A400" s="11" t="str">
        <f>+M400&amp;COUNTIF($M$2:M400,M400)</f>
        <v>0</v>
      </c>
      <c r="B400" s="11"/>
      <c r="C400" s="11"/>
      <c r="D400" s="11"/>
      <c r="E400" s="134"/>
      <c r="F400" s="134"/>
      <c r="G400" s="134">
        <f t="shared" si="24"/>
        <v>2187088.732065537</v>
      </c>
      <c r="H400" s="11"/>
      <c r="I400" s="11"/>
      <c r="J400" s="11"/>
      <c r="K400" s="11"/>
    </row>
    <row r="401" spans="1:11" x14ac:dyDescent="0.25">
      <c r="A401" s="11" t="str">
        <f>+M401&amp;COUNTIF($M$2:M401,M401)</f>
        <v>0</v>
      </c>
      <c r="B401" s="11"/>
      <c r="C401" s="11"/>
      <c r="D401" s="11"/>
      <c r="E401" s="134"/>
      <c r="F401" s="134"/>
      <c r="G401" s="134">
        <f t="shared" si="24"/>
        <v>2187088.732065537</v>
      </c>
      <c r="H401" s="11"/>
      <c r="I401" s="11"/>
      <c r="J401" s="11"/>
      <c r="K401" s="11"/>
    </row>
    <row r="402" spans="1:11" x14ac:dyDescent="0.25">
      <c r="A402" s="11" t="str">
        <f>+M402&amp;COUNTIF($M$2:M402,M402)</f>
        <v>0</v>
      </c>
      <c r="B402" s="11"/>
      <c r="C402" s="11"/>
      <c r="D402" s="11"/>
      <c r="E402" s="134"/>
      <c r="F402" s="134"/>
      <c r="G402" s="134">
        <f t="shared" si="24"/>
        <v>2187088.732065537</v>
      </c>
      <c r="H402" s="11"/>
      <c r="I402" s="11"/>
      <c r="J402" s="11"/>
      <c r="K402" s="11"/>
    </row>
    <row r="403" spans="1:11" x14ac:dyDescent="0.25">
      <c r="A403" s="11" t="str">
        <f>+M403&amp;COUNTIF($M$2:M403,M403)</f>
        <v>0</v>
      </c>
      <c r="B403" s="11"/>
      <c r="C403" s="11"/>
      <c r="D403" s="11"/>
      <c r="E403" s="134"/>
      <c r="F403" s="134"/>
      <c r="G403" s="134">
        <f t="shared" si="24"/>
        <v>2187088.732065537</v>
      </c>
      <c r="H403" s="11"/>
      <c r="I403" s="11"/>
      <c r="J403" s="11"/>
      <c r="K403" s="11"/>
    </row>
    <row r="404" spans="1:11" x14ac:dyDescent="0.25">
      <c r="A404" s="11" t="str">
        <f>+M404&amp;COUNTIF($M$2:M404,M404)</f>
        <v>0</v>
      </c>
      <c r="B404" s="11"/>
      <c r="C404" s="11"/>
      <c r="D404" s="11"/>
      <c r="E404" s="134"/>
      <c r="F404" s="134"/>
      <c r="G404" s="134">
        <f t="shared" si="24"/>
        <v>2187088.732065537</v>
      </c>
      <c r="H404" s="11"/>
      <c r="I404" s="11"/>
      <c r="J404" s="11"/>
      <c r="K404" s="11"/>
    </row>
    <row r="405" spans="1:11" x14ac:dyDescent="0.25">
      <c r="A405" s="11" t="str">
        <f>+M405&amp;COUNTIF($M$2:M405,M405)</f>
        <v>0</v>
      </c>
      <c r="B405" s="11"/>
      <c r="C405" s="11"/>
      <c r="D405" s="11"/>
      <c r="E405" s="134"/>
      <c r="F405" s="134"/>
      <c r="G405" s="134">
        <f t="shared" si="24"/>
        <v>2187088.732065537</v>
      </c>
      <c r="H405" s="11"/>
      <c r="I405" s="11"/>
      <c r="J405" s="11"/>
      <c r="K405" s="11"/>
    </row>
    <row r="406" spans="1:11" x14ac:dyDescent="0.25">
      <c r="A406" s="11" t="str">
        <f>+M406&amp;COUNTIF($M$2:M406,M406)</f>
        <v>0</v>
      </c>
      <c r="B406" s="11"/>
      <c r="C406" s="11"/>
      <c r="D406" s="11"/>
      <c r="E406" s="134"/>
      <c r="F406" s="134"/>
      <c r="G406" s="134">
        <f t="shared" si="24"/>
        <v>2187088.732065537</v>
      </c>
      <c r="H406" s="11"/>
      <c r="I406" s="11"/>
      <c r="J406" s="11"/>
      <c r="K406" s="11"/>
    </row>
    <row r="407" spans="1:11" x14ac:dyDescent="0.25">
      <c r="A407" s="11" t="str">
        <f>+M407&amp;COUNTIF($M$2:M407,M407)</f>
        <v>0</v>
      </c>
      <c r="B407" s="11"/>
      <c r="C407" s="11"/>
      <c r="D407" s="11"/>
      <c r="E407" s="134"/>
      <c r="F407" s="134"/>
      <c r="G407" s="134">
        <f t="shared" si="24"/>
        <v>2187088.732065537</v>
      </c>
      <c r="H407" s="11"/>
      <c r="I407" s="11"/>
      <c r="J407" s="11"/>
      <c r="K407" s="11"/>
    </row>
    <row r="408" spans="1:11" x14ac:dyDescent="0.25">
      <c r="A408" s="11" t="str">
        <f>+M408&amp;COUNTIF($M$2:M408,M408)</f>
        <v>0</v>
      </c>
      <c r="B408" s="11"/>
      <c r="C408" s="11"/>
      <c r="D408" s="11"/>
      <c r="E408" s="134"/>
      <c r="F408" s="134"/>
      <c r="G408" s="134">
        <f t="shared" si="24"/>
        <v>2187088.732065537</v>
      </c>
      <c r="H408" s="11"/>
      <c r="I408" s="11"/>
      <c r="J408" s="11"/>
      <c r="K408" s="11"/>
    </row>
    <row r="409" spans="1:11" x14ac:dyDescent="0.25">
      <c r="A409" s="11" t="str">
        <f>+M409&amp;COUNTIF($M$2:M409,M409)</f>
        <v>0</v>
      </c>
      <c r="B409" s="11"/>
      <c r="C409" s="11"/>
      <c r="D409" s="11"/>
      <c r="E409" s="134"/>
      <c r="F409" s="134"/>
      <c r="G409" s="134">
        <f t="shared" si="24"/>
        <v>2187088.732065537</v>
      </c>
      <c r="H409" s="11"/>
      <c r="I409" s="11"/>
      <c r="J409" s="11"/>
      <c r="K409" s="11"/>
    </row>
    <row r="410" spans="1:11" x14ac:dyDescent="0.25">
      <c r="A410" s="11" t="str">
        <f>+M410&amp;COUNTIF($M$2:M410,M410)</f>
        <v>0</v>
      </c>
      <c r="B410" s="11"/>
      <c r="C410" s="11"/>
      <c r="D410" s="11"/>
      <c r="E410" s="134"/>
      <c r="F410" s="134"/>
      <c r="G410" s="134">
        <f t="shared" si="24"/>
        <v>2187088.732065537</v>
      </c>
      <c r="H410" s="11"/>
      <c r="I410" s="11"/>
      <c r="J410" s="11"/>
      <c r="K410" s="11"/>
    </row>
    <row r="411" spans="1:11" x14ac:dyDescent="0.25">
      <c r="A411" s="11" t="str">
        <f>+M411&amp;COUNTIF($M$2:M411,M411)</f>
        <v>0</v>
      </c>
      <c r="B411" s="11"/>
      <c r="C411" s="11"/>
      <c r="D411" s="11"/>
      <c r="E411" s="134"/>
      <c r="F411" s="134"/>
      <c r="G411" s="134">
        <f t="shared" si="24"/>
        <v>2187088.732065537</v>
      </c>
      <c r="H411" s="11"/>
      <c r="I411" s="11"/>
      <c r="J411" s="11"/>
      <c r="K411" s="11"/>
    </row>
    <row r="412" spans="1:11" x14ac:dyDescent="0.25">
      <c r="A412" s="11" t="str">
        <f>+M412&amp;COUNTIF($M$2:M412,M412)</f>
        <v>0</v>
      </c>
      <c r="B412" s="11"/>
      <c r="C412" s="11"/>
      <c r="D412" s="11"/>
      <c r="E412" s="134"/>
      <c r="F412" s="134"/>
      <c r="G412" s="134">
        <f t="shared" si="24"/>
        <v>2187088.732065537</v>
      </c>
      <c r="H412" s="11"/>
      <c r="I412" s="11"/>
      <c r="J412" s="11"/>
      <c r="K412" s="11"/>
    </row>
    <row r="413" spans="1:11" x14ac:dyDescent="0.25">
      <c r="A413" s="11" t="str">
        <f>+M413&amp;COUNTIF($M$2:M413,M413)</f>
        <v>0</v>
      </c>
      <c r="B413" s="11"/>
      <c r="C413" s="11"/>
      <c r="D413" s="11"/>
      <c r="E413" s="134"/>
      <c r="F413" s="134"/>
      <c r="G413" s="134">
        <f t="shared" si="24"/>
        <v>2187088.732065537</v>
      </c>
      <c r="H413" s="11"/>
      <c r="I413" s="11"/>
      <c r="J413" s="11"/>
      <c r="K413" s="11"/>
    </row>
    <row r="414" spans="1:11" x14ac:dyDescent="0.25">
      <c r="A414" s="11" t="str">
        <f>+M414&amp;COUNTIF($M$2:M414,M414)</f>
        <v>0</v>
      </c>
      <c r="B414" s="11"/>
      <c r="C414" s="11"/>
      <c r="D414" s="11"/>
      <c r="E414" s="134"/>
      <c r="F414" s="134"/>
      <c r="G414" s="134">
        <f t="shared" si="24"/>
        <v>2187088.732065537</v>
      </c>
      <c r="H414" s="11"/>
      <c r="I414" s="11"/>
      <c r="J414" s="11"/>
      <c r="K414" s="11"/>
    </row>
    <row r="415" spans="1:11" x14ac:dyDescent="0.25">
      <c r="A415" s="11" t="str">
        <f>+M415&amp;COUNTIF($M$2:M415,M415)</f>
        <v>0</v>
      </c>
      <c r="B415" s="11"/>
      <c r="C415" s="11"/>
      <c r="D415" s="11"/>
      <c r="E415" s="134"/>
      <c r="F415" s="134"/>
      <c r="G415" s="134">
        <f t="shared" si="24"/>
        <v>2187088.732065537</v>
      </c>
      <c r="H415" s="11"/>
      <c r="I415" s="11"/>
      <c r="J415" s="11"/>
      <c r="K415" s="11"/>
    </row>
    <row r="416" spans="1:11" x14ac:dyDescent="0.25">
      <c r="A416" s="11" t="str">
        <f>+M416&amp;COUNTIF($M$2:M416,M416)</f>
        <v>0</v>
      </c>
      <c r="B416" s="11"/>
      <c r="C416" s="11"/>
      <c r="D416" s="11"/>
      <c r="E416" s="134"/>
      <c r="F416" s="134"/>
      <c r="G416" s="134">
        <f t="shared" si="24"/>
        <v>2187088.732065537</v>
      </c>
      <c r="H416" s="11"/>
      <c r="I416" s="11"/>
      <c r="J416" s="11"/>
      <c r="K416" s="11"/>
    </row>
    <row r="417" spans="1:11" x14ac:dyDescent="0.25">
      <c r="A417" s="11" t="str">
        <f>+M417&amp;COUNTIF($M$2:M417,M417)</f>
        <v>0</v>
      </c>
      <c r="B417" s="11"/>
      <c r="C417" s="11"/>
      <c r="D417" s="11"/>
      <c r="E417" s="134"/>
      <c r="F417" s="134"/>
      <c r="G417" s="134">
        <f t="shared" si="24"/>
        <v>2187088.732065537</v>
      </c>
      <c r="H417" s="11"/>
      <c r="I417" s="11"/>
      <c r="J417" s="11"/>
      <c r="K417" s="11"/>
    </row>
    <row r="418" spans="1:11" x14ac:dyDescent="0.25">
      <c r="A418" s="11" t="str">
        <f>+M418&amp;COUNTIF($M$2:M418,M418)</f>
        <v>0</v>
      </c>
      <c r="B418" s="11"/>
      <c r="C418" s="11"/>
      <c r="D418" s="11"/>
      <c r="E418" s="134"/>
      <c r="F418" s="134"/>
      <c r="G418" s="134">
        <f t="shared" si="24"/>
        <v>2187088.732065537</v>
      </c>
      <c r="H418" s="11"/>
      <c r="I418" s="11"/>
      <c r="J418" s="11"/>
      <c r="K418" s="11"/>
    </row>
    <row r="419" spans="1:11" x14ac:dyDescent="0.25">
      <c r="A419" s="11" t="str">
        <f>+M419&amp;COUNTIF($M$2:M419,M419)</f>
        <v>0</v>
      </c>
      <c r="B419" s="11"/>
      <c r="C419" s="11"/>
      <c r="D419" s="11"/>
      <c r="E419" s="134"/>
      <c r="F419" s="134"/>
      <c r="G419" s="134">
        <f t="shared" si="24"/>
        <v>2187088.732065537</v>
      </c>
      <c r="H419" s="11"/>
      <c r="I419" s="11"/>
      <c r="J419" s="11"/>
      <c r="K419" s="11"/>
    </row>
    <row r="420" spans="1:11" x14ac:dyDescent="0.25">
      <c r="A420" s="11" t="str">
        <f>+M420&amp;COUNTIF($M$2:M420,M420)</f>
        <v>0</v>
      </c>
      <c r="B420" s="11"/>
      <c r="C420" s="11"/>
      <c r="D420" s="11"/>
      <c r="E420" s="134"/>
      <c r="F420" s="134"/>
      <c r="G420" s="134">
        <f t="shared" si="24"/>
        <v>2187088.732065537</v>
      </c>
      <c r="H420" s="11"/>
      <c r="I420" s="11"/>
      <c r="J420" s="11"/>
      <c r="K420" s="11"/>
    </row>
    <row r="421" spans="1:11" x14ac:dyDescent="0.25">
      <c r="A421" s="11" t="str">
        <f>+M421&amp;COUNTIF($M$2:M421,M421)</f>
        <v>0</v>
      </c>
      <c r="B421" s="11"/>
      <c r="C421" s="11"/>
      <c r="D421" s="11"/>
      <c r="E421" s="134"/>
      <c r="F421" s="134"/>
      <c r="G421" s="134">
        <f t="shared" si="24"/>
        <v>2187088.732065537</v>
      </c>
      <c r="H421" s="11"/>
      <c r="I421" s="11"/>
      <c r="J421" s="11"/>
      <c r="K421" s="11"/>
    </row>
    <row r="422" spans="1:11" x14ac:dyDescent="0.25">
      <c r="A422" s="11" t="str">
        <f>+M422&amp;COUNTIF($M$2:M422,M422)</f>
        <v>0</v>
      </c>
      <c r="B422" s="11"/>
      <c r="C422" s="11"/>
      <c r="D422" s="11"/>
      <c r="E422" s="134"/>
      <c r="F422" s="134"/>
      <c r="G422" s="134">
        <f t="shared" si="24"/>
        <v>2187088.732065537</v>
      </c>
      <c r="H422" s="11"/>
      <c r="I422" s="11"/>
      <c r="J422" s="11"/>
      <c r="K422" s="11"/>
    </row>
    <row r="423" spans="1:11" x14ac:dyDescent="0.25">
      <c r="A423" s="11" t="str">
        <f>+M423&amp;COUNTIF($M$2:M423,M423)</f>
        <v>0</v>
      </c>
      <c r="B423" s="11"/>
      <c r="C423" s="11"/>
      <c r="D423" s="11"/>
      <c r="E423" s="134"/>
      <c r="F423" s="134"/>
      <c r="G423" s="134">
        <f t="shared" si="24"/>
        <v>2187088.732065537</v>
      </c>
      <c r="H423" s="11"/>
      <c r="I423" s="11"/>
      <c r="J423" s="11"/>
      <c r="K423" s="11"/>
    </row>
    <row r="424" spans="1:11" x14ac:dyDescent="0.25">
      <c r="A424" s="11" t="str">
        <f>+M424&amp;COUNTIF($M$2:M424,M424)</f>
        <v>0</v>
      </c>
      <c r="B424" s="11"/>
      <c r="C424" s="11"/>
      <c r="D424" s="11"/>
      <c r="E424" s="134"/>
      <c r="F424" s="134"/>
      <c r="G424" s="134">
        <f t="shared" si="24"/>
        <v>2187088.732065537</v>
      </c>
      <c r="H424" s="11"/>
      <c r="I424" s="11"/>
      <c r="J424" s="11"/>
      <c r="K424" s="11"/>
    </row>
    <row r="425" spans="1:11" x14ac:dyDescent="0.25">
      <c r="A425" s="11" t="str">
        <f>+M425&amp;COUNTIF($M$2:M425,M425)</f>
        <v>0</v>
      </c>
      <c r="B425" s="11"/>
      <c r="C425" s="11"/>
      <c r="D425" s="11"/>
      <c r="E425" s="134"/>
      <c r="F425" s="134"/>
      <c r="G425" s="134">
        <f t="shared" si="24"/>
        <v>2187088.732065537</v>
      </c>
      <c r="H425" s="11"/>
      <c r="I425" s="11"/>
      <c r="J425" s="11"/>
      <c r="K425" s="11"/>
    </row>
    <row r="426" spans="1:11" x14ac:dyDescent="0.25">
      <c r="A426" s="11" t="str">
        <f>+M426&amp;COUNTIF($M$2:M426,M426)</f>
        <v>0</v>
      </c>
      <c r="B426" s="11"/>
      <c r="C426" s="11"/>
      <c r="D426" s="11"/>
      <c r="E426" s="134"/>
      <c r="F426" s="134"/>
      <c r="G426" s="134">
        <f t="shared" si="24"/>
        <v>2187088.732065537</v>
      </c>
      <c r="H426" s="11"/>
      <c r="I426" s="11"/>
      <c r="J426" s="11"/>
      <c r="K426" s="11"/>
    </row>
    <row r="427" spans="1:11" x14ac:dyDescent="0.25">
      <c r="A427" s="11" t="str">
        <f>+M427&amp;COUNTIF($M$2:M427,M427)</f>
        <v>0</v>
      </c>
      <c r="B427" s="11"/>
      <c r="C427" s="11"/>
      <c r="D427" s="11"/>
      <c r="E427" s="134"/>
      <c r="F427" s="134"/>
      <c r="G427" s="134">
        <f t="shared" si="24"/>
        <v>2187088.732065537</v>
      </c>
      <c r="H427" s="11"/>
      <c r="I427" s="11"/>
      <c r="J427" s="11"/>
      <c r="K427" s="11"/>
    </row>
    <row r="428" spans="1:11" x14ac:dyDescent="0.25">
      <c r="A428" s="11" t="str">
        <f>+M428&amp;COUNTIF($M$2:M428,M428)</f>
        <v>0</v>
      </c>
      <c r="B428" s="11"/>
      <c r="C428" s="11"/>
      <c r="D428" s="11"/>
      <c r="E428" s="134"/>
      <c r="F428" s="134"/>
      <c r="G428" s="134">
        <f t="shared" si="24"/>
        <v>2187088.732065537</v>
      </c>
      <c r="H428" s="11"/>
      <c r="I428" s="11"/>
      <c r="J428" s="11"/>
      <c r="K428" s="11"/>
    </row>
    <row r="429" spans="1:11" x14ac:dyDescent="0.25">
      <c r="A429" s="11" t="str">
        <f>+M429&amp;COUNTIF($M$2:M429,M429)</f>
        <v>0</v>
      </c>
      <c r="B429" s="11"/>
      <c r="C429" s="11"/>
      <c r="D429" s="11"/>
      <c r="E429" s="134"/>
      <c r="F429" s="134"/>
      <c r="G429" s="134">
        <f t="shared" si="24"/>
        <v>2187088.732065537</v>
      </c>
      <c r="H429" s="11"/>
      <c r="I429" s="11"/>
      <c r="J429" s="11"/>
      <c r="K429" s="11"/>
    </row>
    <row r="430" spans="1:11" x14ac:dyDescent="0.25">
      <c r="A430" s="11" t="str">
        <f>+M430&amp;COUNTIF($M$2:M430,M430)</f>
        <v>0</v>
      </c>
      <c r="B430" s="11"/>
      <c r="C430" s="11"/>
      <c r="D430" s="11"/>
      <c r="E430" s="134"/>
      <c r="F430" s="134"/>
      <c r="G430" s="134">
        <f t="shared" si="24"/>
        <v>2187088.732065537</v>
      </c>
      <c r="H430" s="11"/>
      <c r="I430" s="11"/>
      <c r="J430" s="11"/>
      <c r="K430" s="11"/>
    </row>
    <row r="431" spans="1:11" x14ac:dyDescent="0.25">
      <c r="A431" s="11" t="str">
        <f>+M431&amp;COUNTIF($M$2:M431,M431)</f>
        <v>0</v>
      </c>
      <c r="B431" s="11"/>
      <c r="C431" s="11"/>
      <c r="D431" s="11"/>
      <c r="E431" s="134"/>
      <c r="F431" s="134"/>
      <c r="G431" s="134">
        <f t="shared" si="24"/>
        <v>2187088.732065537</v>
      </c>
      <c r="H431" s="11"/>
      <c r="I431" s="11"/>
      <c r="J431" s="11"/>
      <c r="K431" s="11"/>
    </row>
    <row r="432" spans="1:11" x14ac:dyDescent="0.25">
      <c r="A432" s="11" t="str">
        <f>+M432&amp;COUNTIF($M$2:M432,M432)</f>
        <v>0</v>
      </c>
      <c r="B432" s="11"/>
      <c r="C432" s="11"/>
      <c r="D432" s="11"/>
      <c r="E432" s="134"/>
      <c r="F432" s="134"/>
      <c r="G432" s="134">
        <f t="shared" si="24"/>
        <v>2187088.732065537</v>
      </c>
      <c r="H432" s="11"/>
      <c r="I432" s="11"/>
      <c r="J432" s="11"/>
      <c r="K432" s="11"/>
    </row>
    <row r="433" spans="1:11" x14ac:dyDescent="0.25">
      <c r="A433" s="11" t="str">
        <f>+M433&amp;COUNTIF($M$2:M433,M433)</f>
        <v>0</v>
      </c>
      <c r="B433" s="11"/>
      <c r="C433" s="11"/>
      <c r="D433" s="11"/>
      <c r="E433" s="134"/>
      <c r="F433" s="134"/>
      <c r="G433" s="134">
        <f t="shared" si="24"/>
        <v>2187088.732065537</v>
      </c>
      <c r="H433" s="11"/>
      <c r="I433" s="11"/>
      <c r="J433" s="11"/>
      <c r="K433" s="11"/>
    </row>
    <row r="434" spans="1:11" x14ac:dyDescent="0.25">
      <c r="A434" s="11" t="str">
        <f>+M434&amp;COUNTIF($M$2:M434,M434)</f>
        <v>0</v>
      </c>
      <c r="B434" s="11"/>
      <c r="C434" s="11"/>
      <c r="D434" s="11"/>
      <c r="E434" s="134"/>
      <c r="F434" s="134"/>
      <c r="G434" s="134">
        <f t="shared" si="24"/>
        <v>2187088.732065537</v>
      </c>
      <c r="H434" s="11"/>
      <c r="I434" s="11"/>
      <c r="J434" s="11"/>
      <c r="K434" s="11"/>
    </row>
    <row r="435" spans="1:11" x14ac:dyDescent="0.25">
      <c r="A435" s="11" t="str">
        <f>+M435&amp;COUNTIF($M$2:M435,M435)</f>
        <v>0</v>
      </c>
      <c r="B435" s="11"/>
      <c r="C435" s="11"/>
      <c r="D435" s="11"/>
      <c r="E435" s="134"/>
      <c r="F435" s="134"/>
      <c r="G435" s="134">
        <f t="shared" si="24"/>
        <v>2187088.732065537</v>
      </c>
      <c r="H435" s="11"/>
      <c r="I435" s="11"/>
      <c r="J435" s="11"/>
      <c r="K435" s="11"/>
    </row>
    <row r="436" spans="1:11" x14ac:dyDescent="0.25">
      <c r="A436" s="11" t="str">
        <f>+M436&amp;COUNTIF($M$2:M436,M436)</f>
        <v>0</v>
      </c>
      <c r="B436" s="11"/>
      <c r="C436" s="11"/>
      <c r="D436" s="11"/>
      <c r="E436" s="134"/>
      <c r="F436" s="134"/>
      <c r="G436" s="134">
        <f t="shared" si="24"/>
        <v>2187088.732065537</v>
      </c>
      <c r="H436" s="11"/>
      <c r="I436" s="11"/>
      <c r="J436" s="11"/>
      <c r="K436" s="11"/>
    </row>
    <row r="437" spans="1:11" x14ac:dyDescent="0.25">
      <c r="A437" s="11" t="str">
        <f>+M437&amp;COUNTIF($M$2:M437,M437)</f>
        <v>0</v>
      </c>
      <c r="B437" s="11"/>
      <c r="C437" s="11"/>
      <c r="D437" s="11"/>
      <c r="E437" s="134"/>
      <c r="F437" s="134"/>
      <c r="G437" s="134">
        <f t="shared" si="24"/>
        <v>2187088.732065537</v>
      </c>
      <c r="H437" s="11"/>
      <c r="I437" s="11"/>
      <c r="J437" s="11"/>
      <c r="K437" s="11"/>
    </row>
    <row r="438" spans="1:11" x14ac:dyDescent="0.25">
      <c r="A438" s="11" t="str">
        <f>+M438&amp;COUNTIF($M$2:M438,M438)</f>
        <v>0</v>
      </c>
      <c r="B438" s="11"/>
      <c r="C438" s="11"/>
      <c r="D438" s="11"/>
      <c r="E438" s="134"/>
      <c r="F438" s="134"/>
      <c r="G438" s="134">
        <f t="shared" si="24"/>
        <v>2187088.732065537</v>
      </c>
      <c r="H438" s="11"/>
      <c r="I438" s="11"/>
      <c r="J438" s="11"/>
      <c r="K438" s="11"/>
    </row>
    <row r="439" spans="1:11" x14ac:dyDescent="0.25">
      <c r="A439" s="11" t="str">
        <f>+M439&amp;COUNTIF($M$2:M439,M439)</f>
        <v>0</v>
      </c>
      <c r="B439" s="11"/>
      <c r="C439" s="11"/>
      <c r="D439" s="11"/>
      <c r="E439" s="134"/>
      <c r="F439" s="134"/>
      <c r="G439" s="134">
        <f t="shared" si="24"/>
        <v>2187088.732065537</v>
      </c>
      <c r="H439" s="11"/>
      <c r="I439" s="11"/>
      <c r="J439" s="11"/>
      <c r="K439" s="11"/>
    </row>
    <row r="440" spans="1:11" x14ac:dyDescent="0.25">
      <c r="A440" s="11" t="str">
        <f>+M440&amp;COUNTIF($M$2:M440,M440)</f>
        <v>0</v>
      </c>
      <c r="B440" s="11"/>
      <c r="C440" s="11"/>
      <c r="D440" s="11"/>
      <c r="E440" s="134"/>
      <c r="F440" s="134"/>
      <c r="G440" s="134">
        <f t="shared" si="24"/>
        <v>2187088.732065537</v>
      </c>
      <c r="H440" s="11"/>
      <c r="I440" s="11"/>
      <c r="J440" s="11"/>
      <c r="K440" s="11"/>
    </row>
    <row r="441" spans="1:11" x14ac:dyDescent="0.25">
      <c r="A441" s="11" t="str">
        <f>+M441&amp;COUNTIF($M$2:M441,M441)</f>
        <v>0</v>
      </c>
      <c r="B441" s="11"/>
      <c r="C441" s="11"/>
      <c r="D441" s="11"/>
      <c r="E441" s="134"/>
      <c r="F441" s="134"/>
      <c r="G441" s="134">
        <f t="shared" si="24"/>
        <v>2187088.732065537</v>
      </c>
      <c r="H441" s="11"/>
      <c r="I441" s="11"/>
      <c r="J441" s="11"/>
      <c r="K441" s="11"/>
    </row>
    <row r="442" spans="1:11" x14ac:dyDescent="0.25">
      <c r="A442" s="11" t="str">
        <f>+M442&amp;COUNTIF($M$2:M442,M442)</f>
        <v>0</v>
      </c>
      <c r="B442" s="11"/>
      <c r="C442" s="11"/>
      <c r="D442" s="11"/>
      <c r="E442" s="134"/>
      <c r="F442" s="134"/>
      <c r="G442" s="134">
        <f t="shared" si="24"/>
        <v>2187088.732065537</v>
      </c>
      <c r="H442" s="11"/>
      <c r="I442" s="11"/>
      <c r="J442" s="11"/>
      <c r="K442" s="11"/>
    </row>
    <row r="443" spans="1:11" x14ac:dyDescent="0.25">
      <c r="A443" s="11" t="str">
        <f>+M443&amp;COUNTIF($M$2:M443,M443)</f>
        <v>0</v>
      </c>
      <c r="B443" s="11"/>
      <c r="C443" s="11"/>
      <c r="D443" s="11"/>
      <c r="E443" s="134"/>
      <c r="F443" s="134"/>
      <c r="G443" s="134">
        <f t="shared" si="24"/>
        <v>2187088.732065537</v>
      </c>
      <c r="H443" s="11"/>
      <c r="I443" s="11"/>
      <c r="J443" s="11"/>
      <c r="K443" s="11"/>
    </row>
    <row r="444" spans="1:11" x14ac:dyDescent="0.25">
      <c r="A444" s="11" t="str">
        <f>+M444&amp;COUNTIF($M$2:M444,M444)</f>
        <v>0</v>
      </c>
      <c r="B444" s="11"/>
      <c r="C444" s="11"/>
      <c r="D444" s="11"/>
      <c r="E444" s="134"/>
      <c r="F444" s="134"/>
      <c r="G444" s="134">
        <f t="shared" si="24"/>
        <v>2187088.732065537</v>
      </c>
      <c r="H444" s="11"/>
      <c r="I444" s="11"/>
      <c r="J444" s="11"/>
      <c r="K444" s="11"/>
    </row>
    <row r="445" spans="1:11" x14ac:dyDescent="0.25">
      <c r="A445" s="11" t="str">
        <f>+M445&amp;COUNTIF($M$2:M445,M445)</f>
        <v>0</v>
      </c>
      <c r="B445" s="11"/>
      <c r="C445" s="11"/>
      <c r="D445" s="11"/>
      <c r="E445" s="134"/>
      <c r="F445" s="134"/>
      <c r="G445" s="134">
        <f t="shared" si="24"/>
        <v>2187088.732065537</v>
      </c>
      <c r="H445" s="11"/>
      <c r="I445" s="11"/>
      <c r="J445" s="11"/>
      <c r="K445" s="11"/>
    </row>
    <row r="446" spans="1:11" x14ac:dyDescent="0.25">
      <c r="A446" s="11" t="str">
        <f>+M446&amp;COUNTIF($M$2:M446,M446)</f>
        <v>0</v>
      </c>
      <c r="B446" s="11"/>
      <c r="C446" s="11"/>
      <c r="D446" s="11"/>
      <c r="E446" s="134"/>
      <c r="F446" s="134"/>
      <c r="G446" s="134">
        <f t="shared" si="24"/>
        <v>2187088.732065537</v>
      </c>
      <c r="H446" s="11"/>
      <c r="I446" s="11"/>
      <c r="J446" s="11"/>
      <c r="K446" s="11"/>
    </row>
    <row r="447" spans="1:11" x14ac:dyDescent="0.25">
      <c r="A447" s="11" t="str">
        <f>+M447&amp;COUNTIF($M$2:M447,M447)</f>
        <v>0</v>
      </c>
      <c r="B447" s="11"/>
      <c r="C447" s="11"/>
      <c r="D447" s="11"/>
      <c r="E447" s="134"/>
      <c r="F447" s="134"/>
      <c r="G447" s="134">
        <f t="shared" si="24"/>
        <v>2187088.732065537</v>
      </c>
      <c r="H447" s="11"/>
      <c r="I447" s="11"/>
      <c r="J447" s="11"/>
      <c r="K447" s="11"/>
    </row>
    <row r="448" spans="1:11" x14ac:dyDescent="0.25">
      <c r="A448" s="11" t="str">
        <f>+M448&amp;COUNTIF($M$2:M448,M448)</f>
        <v>0</v>
      </c>
      <c r="B448" s="11"/>
      <c r="C448" s="11"/>
      <c r="D448" s="11"/>
      <c r="E448" s="134"/>
      <c r="F448" s="134"/>
      <c r="G448" s="134">
        <f t="shared" ref="G448:G459" si="25">+G447+E448-F448</f>
        <v>2187088.732065537</v>
      </c>
      <c r="H448" s="11"/>
      <c r="I448" s="11"/>
      <c r="J448" s="11"/>
      <c r="K448" s="11"/>
    </row>
    <row r="449" spans="1:11" x14ac:dyDescent="0.25">
      <c r="A449" s="11" t="str">
        <f>+M449&amp;COUNTIF($M$2:M449,M449)</f>
        <v>0</v>
      </c>
      <c r="B449" s="11"/>
      <c r="C449" s="11"/>
      <c r="D449" s="11"/>
      <c r="E449" s="134"/>
      <c r="F449" s="134"/>
      <c r="G449" s="134">
        <f t="shared" si="25"/>
        <v>2187088.732065537</v>
      </c>
      <c r="H449" s="11"/>
      <c r="I449" s="11"/>
      <c r="J449" s="11"/>
      <c r="K449" s="11"/>
    </row>
    <row r="450" spans="1:11" x14ac:dyDescent="0.25">
      <c r="A450" s="11" t="str">
        <f>+M450&amp;COUNTIF($M$2:M450,M450)</f>
        <v>0</v>
      </c>
      <c r="B450" s="11"/>
      <c r="C450" s="11"/>
      <c r="D450" s="11"/>
      <c r="E450" s="134"/>
      <c r="F450" s="134"/>
      <c r="G450" s="134">
        <f t="shared" si="25"/>
        <v>2187088.732065537</v>
      </c>
      <c r="H450" s="11"/>
      <c r="I450" s="11"/>
      <c r="J450" s="11"/>
      <c r="K450" s="11"/>
    </row>
    <row r="451" spans="1:11" x14ac:dyDescent="0.25">
      <c r="A451" s="11" t="str">
        <f>+M451&amp;COUNTIF($M$2:M451,M451)</f>
        <v>0</v>
      </c>
      <c r="B451" s="11"/>
      <c r="C451" s="11"/>
      <c r="D451" s="11"/>
      <c r="E451" s="134"/>
      <c r="F451" s="134"/>
      <c r="G451" s="134">
        <f t="shared" si="25"/>
        <v>2187088.732065537</v>
      </c>
      <c r="H451" s="11"/>
      <c r="I451" s="11"/>
      <c r="J451" s="11"/>
      <c r="K451" s="11"/>
    </row>
    <row r="452" spans="1:11" x14ac:dyDescent="0.25">
      <c r="A452" s="11" t="str">
        <f>+M452&amp;COUNTIF($M$2:M452,M452)</f>
        <v>0</v>
      </c>
      <c r="B452" s="11"/>
      <c r="C452" s="11"/>
      <c r="D452" s="11"/>
      <c r="E452" s="134"/>
      <c r="F452" s="134"/>
      <c r="G452" s="134">
        <f t="shared" si="25"/>
        <v>2187088.732065537</v>
      </c>
      <c r="H452" s="11"/>
      <c r="I452" s="11"/>
      <c r="J452" s="11"/>
      <c r="K452" s="11"/>
    </row>
    <row r="453" spans="1:11" x14ac:dyDescent="0.25">
      <c r="A453" s="11" t="str">
        <f>+M453&amp;COUNTIF($M$2:M453,M453)</f>
        <v>0</v>
      </c>
      <c r="B453" s="11"/>
      <c r="C453" s="11"/>
      <c r="D453" s="11"/>
      <c r="E453" s="134"/>
      <c r="F453" s="134"/>
      <c r="G453" s="134">
        <f t="shared" si="25"/>
        <v>2187088.732065537</v>
      </c>
      <c r="H453" s="11"/>
      <c r="I453" s="11"/>
      <c r="J453" s="11"/>
      <c r="K453" s="11"/>
    </row>
    <row r="454" spans="1:11" x14ac:dyDescent="0.25">
      <c r="A454" s="11" t="str">
        <f>+M454&amp;COUNTIF($M$2:M454,M454)</f>
        <v>0</v>
      </c>
      <c r="B454" s="11"/>
      <c r="C454" s="11"/>
      <c r="D454" s="11"/>
      <c r="E454" s="134"/>
      <c r="F454" s="134"/>
      <c r="G454" s="134">
        <f t="shared" si="25"/>
        <v>2187088.732065537</v>
      </c>
      <c r="H454" s="11"/>
      <c r="I454" s="11"/>
      <c r="J454" s="11"/>
      <c r="K454" s="11"/>
    </row>
    <row r="455" spans="1:11" x14ac:dyDescent="0.25">
      <c r="A455" s="11" t="str">
        <f>+M455&amp;COUNTIF($M$2:M455,M455)</f>
        <v>0</v>
      </c>
      <c r="B455" s="11"/>
      <c r="C455" s="11"/>
      <c r="D455" s="11"/>
      <c r="E455" s="134"/>
      <c r="F455" s="134"/>
      <c r="G455" s="134">
        <f t="shared" si="25"/>
        <v>2187088.732065537</v>
      </c>
      <c r="H455" s="11"/>
      <c r="I455" s="11"/>
      <c r="J455" s="11"/>
      <c r="K455" s="11"/>
    </row>
    <row r="456" spans="1:11" x14ac:dyDescent="0.25">
      <c r="A456" s="11" t="str">
        <f>+M456&amp;COUNTIF($M$2:M456,M456)</f>
        <v>0</v>
      </c>
      <c r="B456" s="11"/>
      <c r="C456" s="11"/>
      <c r="D456" s="11"/>
      <c r="E456" s="134"/>
      <c r="F456" s="134"/>
      <c r="G456" s="134">
        <f t="shared" si="25"/>
        <v>2187088.732065537</v>
      </c>
      <c r="H456" s="11"/>
      <c r="I456" s="11"/>
      <c r="J456" s="11"/>
      <c r="K456" s="11"/>
    </row>
    <row r="457" spans="1:11" x14ac:dyDescent="0.25">
      <c r="A457" s="11" t="str">
        <f>+M457&amp;COUNTIF($M$2:M457,M457)</f>
        <v>0</v>
      </c>
      <c r="B457" s="11"/>
      <c r="C457" s="11"/>
      <c r="D457" s="11"/>
      <c r="E457" s="134"/>
      <c r="F457" s="134"/>
      <c r="G457" s="134">
        <f t="shared" si="25"/>
        <v>2187088.732065537</v>
      </c>
      <c r="H457" s="11"/>
      <c r="I457" s="11"/>
      <c r="J457" s="11"/>
      <c r="K457" s="11"/>
    </row>
    <row r="458" spans="1:11" x14ac:dyDescent="0.25">
      <c r="A458" s="11" t="str">
        <f>+M458&amp;COUNTIF($M$2:M458,M458)</f>
        <v>0</v>
      </c>
      <c r="B458" s="11"/>
      <c r="C458" s="11"/>
      <c r="D458" s="11"/>
      <c r="E458" s="134"/>
      <c r="F458" s="134"/>
      <c r="G458" s="134">
        <f t="shared" si="25"/>
        <v>2187088.732065537</v>
      </c>
      <c r="H458" s="11"/>
      <c r="I458" s="11"/>
      <c r="J458" s="11"/>
      <c r="K458" s="11"/>
    </row>
    <row r="459" spans="1:11" x14ac:dyDescent="0.25">
      <c r="A459" s="11" t="str">
        <f>+M459&amp;COUNTIF($M$2:M459,M459)</f>
        <v>0</v>
      </c>
      <c r="B459" s="11"/>
      <c r="C459" s="11"/>
      <c r="D459" s="11"/>
      <c r="E459" s="134"/>
      <c r="F459" s="134"/>
      <c r="G459" s="134">
        <f t="shared" si="25"/>
        <v>2187088.732065537</v>
      </c>
      <c r="H459" s="11"/>
      <c r="I459" s="11"/>
      <c r="J459" s="11"/>
      <c r="K459" s="11"/>
    </row>
  </sheetData>
  <autoFilter ref="A1:M129" xr:uid="{334474ED-F858-481E-9A8F-B99D41C76244}"/>
  <sortState xmlns:xlrd2="http://schemas.microsoft.com/office/spreadsheetml/2017/richdata2" ref="B159:M185">
    <sortCondition ref="B159:B185"/>
    <sortCondition ref="C159:C185"/>
  </sortState>
  <conditionalFormatting sqref="C1:C185 C187:C1048576">
    <cfRule type="duplicateValues" dxfId="4" priority="3"/>
  </conditionalFormatting>
  <pageMargins left="0.25" right="0.25" top="0.75" bottom="0.75" header="0.3" footer="0.3"/>
  <pageSetup paperSize="9" scale="48" fitToHeight="0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F01B0B9-D57B-4879-A10C-E5DB8BE27A98}">
          <x14:formula1>
            <xm:f>'AUX23'!$D$2:$D$50</xm:f>
          </x14:formula1>
          <xm:sqref>D2:D76 D154:D157 D78:D142 D144:D152 D169:D173 D162:D165 D193</xm:sqref>
        </x14:dataValidation>
        <x14:dataValidation type="list" allowBlank="1" showInputMessage="1" showErrorMessage="1" xr:uid="{3D846F73-11A5-42EA-8668-2D802822D0DC}">
          <x14:formula1>
            <xm:f>'AUX23'!$A$2:$A$15</xm:f>
          </x14:formula1>
          <xm:sqref>I2 I8:I15 I17:I459</xm:sqref>
        </x14:dataValidation>
        <x14:dataValidation type="list" allowBlank="1" showInputMessage="1" showErrorMessage="1" xr:uid="{423C83A4-4A0B-4725-9FE7-C36574022931}">
          <x14:formula1>
            <xm:f>'AUX23'!$D$2:$D$70</xm:f>
          </x14:formula1>
          <xm:sqref>D143 D158:D161 D153 D166:D168 D174:D192 D194:D459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751DA-7221-4FB7-9835-FDDDCC522A56}">
  <dimension ref="A1:O198"/>
  <sheetViews>
    <sheetView workbookViewId="0">
      <pane ySplit="1" topLeftCell="A174" activePane="bottomLeft" state="frozen"/>
      <selection pane="bottomLeft" activeCell="G188" sqref="G188"/>
    </sheetView>
  </sheetViews>
  <sheetFormatPr baseColWidth="10" defaultRowHeight="15" x14ac:dyDescent="0.25"/>
  <cols>
    <col min="1" max="1" width="11.85546875" bestFit="1" customWidth="1"/>
    <col min="2" max="2" width="42.85546875" bestFit="1" customWidth="1"/>
    <col min="3" max="3" width="7.28515625" customWidth="1"/>
    <col min="4" max="4" width="12.42578125" bestFit="1" customWidth="1"/>
    <col min="5" max="5" width="13.28515625" customWidth="1"/>
    <col min="6" max="6" width="15.28515625" bestFit="1" customWidth="1"/>
    <col min="7" max="7" width="13" bestFit="1" customWidth="1"/>
    <col min="8" max="8" width="12" bestFit="1" customWidth="1"/>
    <col min="9" max="9" width="13" bestFit="1" customWidth="1"/>
    <col min="12" max="12" width="2.85546875" customWidth="1"/>
    <col min="13" max="13" width="2.7109375" customWidth="1"/>
    <col min="14" max="14" width="2.42578125" customWidth="1"/>
    <col min="15" max="15" width="13.140625" customWidth="1"/>
  </cols>
  <sheetData>
    <row r="1" spans="1:13" x14ac:dyDescent="0.25">
      <c r="A1" s="2" t="s">
        <v>0</v>
      </c>
      <c r="B1" s="2" t="s">
        <v>2</v>
      </c>
      <c r="C1" s="2" t="s">
        <v>1</v>
      </c>
      <c r="D1" s="2" t="s">
        <v>7</v>
      </c>
      <c r="E1" s="2" t="s">
        <v>8</v>
      </c>
      <c r="F1" s="4" t="s">
        <v>527</v>
      </c>
      <c r="G1" s="2" t="s">
        <v>199</v>
      </c>
      <c r="J1" t="s">
        <v>713</v>
      </c>
      <c r="K1" t="s">
        <v>369</v>
      </c>
      <c r="L1" t="s">
        <v>724</v>
      </c>
      <c r="M1" t="s">
        <v>736</v>
      </c>
    </row>
    <row r="2" spans="1:13" x14ac:dyDescent="0.25">
      <c r="A2" s="103">
        <v>44791</v>
      </c>
      <c r="B2" s="104" t="s">
        <v>307</v>
      </c>
      <c r="C2" s="5"/>
      <c r="D2" s="193">
        <v>8000</v>
      </c>
      <c r="E2" s="102"/>
      <c r="F2" s="105">
        <f>+D2</f>
        <v>8000</v>
      </c>
      <c r="G2" s="11"/>
    </row>
    <row r="3" spans="1:13" x14ac:dyDescent="0.25">
      <c r="A3" s="9"/>
      <c r="B3" s="101" t="s">
        <v>13</v>
      </c>
      <c r="C3" s="5"/>
      <c r="D3" s="102"/>
      <c r="E3" s="102">
        <v>543.67999999999995</v>
      </c>
      <c r="F3" s="105">
        <f>+F2+D3-E3</f>
        <v>7456.32</v>
      </c>
      <c r="G3" s="11"/>
    </row>
    <row r="4" spans="1:13" x14ac:dyDescent="0.25">
      <c r="A4" s="9"/>
      <c r="B4" s="101" t="s">
        <v>13</v>
      </c>
      <c r="C4" s="5"/>
      <c r="D4" s="102"/>
      <c r="E4" s="102">
        <v>543.67999999999995</v>
      </c>
      <c r="F4" s="105">
        <f t="shared" ref="F4:F67" si="0">+F3+D4-E4</f>
        <v>6912.6399999999994</v>
      </c>
      <c r="G4" s="11"/>
    </row>
    <row r="5" spans="1:13" x14ac:dyDescent="0.25">
      <c r="A5" s="9"/>
      <c r="B5" s="101" t="s">
        <v>308</v>
      </c>
      <c r="C5" s="5"/>
      <c r="D5" s="102"/>
      <c r="E5" s="102">
        <v>1200</v>
      </c>
      <c r="F5" s="105">
        <f t="shared" si="0"/>
        <v>5712.6399999999994</v>
      </c>
      <c r="G5" s="11"/>
    </row>
    <row r="6" spans="1:13" x14ac:dyDescent="0.25">
      <c r="A6" s="9"/>
      <c r="B6" s="101" t="s">
        <v>309</v>
      </c>
      <c r="C6" s="5"/>
      <c r="D6" s="102"/>
      <c r="E6" s="106">
        <v>1750</v>
      </c>
      <c r="F6" s="105">
        <f t="shared" si="0"/>
        <v>3962.6399999999994</v>
      </c>
      <c r="G6" s="11"/>
    </row>
    <row r="7" spans="1:13" x14ac:dyDescent="0.25">
      <c r="A7" s="9"/>
      <c r="B7" s="101" t="s">
        <v>89</v>
      </c>
      <c r="C7" s="5"/>
      <c r="D7" s="102"/>
      <c r="E7" s="106">
        <v>1238.45</v>
      </c>
      <c r="F7" s="105">
        <f t="shared" si="0"/>
        <v>2724.1899999999996</v>
      </c>
      <c r="G7" s="11"/>
    </row>
    <row r="8" spans="1:13" x14ac:dyDescent="0.25">
      <c r="A8" s="9"/>
      <c r="B8" s="101" t="s">
        <v>89</v>
      </c>
      <c r="C8" s="5"/>
      <c r="D8" s="102"/>
      <c r="E8" s="106">
        <v>1261.95</v>
      </c>
      <c r="F8" s="105">
        <f t="shared" si="0"/>
        <v>1462.2399999999996</v>
      </c>
      <c r="G8" s="11"/>
    </row>
    <row r="9" spans="1:13" x14ac:dyDescent="0.25">
      <c r="A9" s="9"/>
      <c r="B9" s="138" t="s">
        <v>89</v>
      </c>
      <c r="C9" s="213"/>
      <c r="D9" s="214"/>
      <c r="E9" s="117">
        <v>1503.35</v>
      </c>
      <c r="F9" s="105">
        <f t="shared" si="0"/>
        <v>-41.110000000000355</v>
      </c>
      <c r="G9" s="11"/>
    </row>
    <row r="10" spans="1:13" x14ac:dyDescent="0.25">
      <c r="A10" s="103">
        <v>44803</v>
      </c>
      <c r="B10" s="138"/>
      <c r="C10" s="213"/>
      <c r="D10" s="193">
        <v>25000</v>
      </c>
      <c r="E10" s="215"/>
      <c r="F10" s="216">
        <f t="shared" si="0"/>
        <v>24958.89</v>
      </c>
      <c r="G10" s="11"/>
    </row>
    <row r="11" spans="1:13" x14ac:dyDescent="0.25">
      <c r="A11" s="103">
        <v>44805</v>
      </c>
      <c r="B11" s="138"/>
      <c r="C11" s="213"/>
      <c r="D11" s="193"/>
      <c r="E11" s="215"/>
      <c r="F11" s="216">
        <f t="shared" si="0"/>
        <v>24958.89</v>
      </c>
      <c r="G11" s="11"/>
    </row>
    <row r="12" spans="1:13" x14ac:dyDescent="0.25">
      <c r="A12" s="9"/>
      <c r="B12" s="138" t="s">
        <v>310</v>
      </c>
      <c r="C12" s="213"/>
      <c r="D12" s="102"/>
      <c r="E12" s="215">
        <v>3235</v>
      </c>
      <c r="F12" s="105">
        <f>+F11+D12-E12</f>
        <v>21723.89</v>
      </c>
      <c r="G12" s="11"/>
    </row>
    <row r="13" spans="1:13" x14ac:dyDescent="0.25">
      <c r="A13" s="9"/>
      <c r="B13" s="138" t="s">
        <v>308</v>
      </c>
      <c r="C13" s="213"/>
      <c r="D13" s="102"/>
      <c r="E13" s="215">
        <v>1700</v>
      </c>
      <c r="F13" s="105">
        <f t="shared" si="0"/>
        <v>20023.89</v>
      </c>
      <c r="G13" s="11"/>
    </row>
    <row r="14" spans="1:13" x14ac:dyDescent="0.25">
      <c r="A14" s="9"/>
      <c r="B14" s="138" t="s">
        <v>311</v>
      </c>
      <c r="C14" s="213"/>
      <c r="D14" s="102"/>
      <c r="E14" s="215">
        <v>1200</v>
      </c>
      <c r="F14" s="105">
        <f t="shared" si="0"/>
        <v>18823.89</v>
      </c>
      <c r="G14" s="11"/>
    </row>
    <row r="15" spans="1:13" x14ac:dyDescent="0.25">
      <c r="A15" s="9"/>
      <c r="B15" s="138" t="s">
        <v>308</v>
      </c>
      <c r="C15" s="213"/>
      <c r="D15" s="102"/>
      <c r="E15" s="215">
        <v>341</v>
      </c>
      <c r="F15" s="105">
        <f t="shared" si="0"/>
        <v>18482.89</v>
      </c>
      <c r="G15" s="11"/>
    </row>
    <row r="16" spans="1:13" x14ac:dyDescent="0.25">
      <c r="A16" s="9"/>
      <c r="B16" s="138" t="s">
        <v>271</v>
      </c>
      <c r="C16" s="213"/>
      <c r="D16" s="102"/>
      <c r="E16" s="215">
        <v>120</v>
      </c>
      <c r="F16" s="105">
        <f t="shared" si="0"/>
        <v>18362.89</v>
      </c>
      <c r="G16" s="11"/>
    </row>
    <row r="17" spans="1:7" x14ac:dyDescent="0.25">
      <c r="A17" s="212"/>
      <c r="B17" s="212"/>
      <c r="C17" s="212"/>
      <c r="D17" s="212"/>
      <c r="E17" s="212"/>
      <c r="F17" s="105">
        <f t="shared" si="0"/>
        <v>18362.89</v>
      </c>
      <c r="G17" s="11"/>
    </row>
    <row r="18" spans="1:7" x14ac:dyDescent="0.25">
      <c r="A18" s="212"/>
      <c r="B18" s="212"/>
      <c r="C18" s="212"/>
      <c r="D18" s="212"/>
      <c r="E18" s="212"/>
      <c r="F18" s="105">
        <f t="shared" si="0"/>
        <v>18362.89</v>
      </c>
      <c r="G18" s="11"/>
    </row>
    <row r="19" spans="1:7" x14ac:dyDescent="0.25">
      <c r="A19" s="103">
        <v>44805</v>
      </c>
      <c r="B19" s="138" t="s">
        <v>312</v>
      </c>
      <c r="C19" s="213"/>
      <c r="D19" s="193">
        <v>6600</v>
      </c>
      <c r="E19" s="102"/>
      <c r="F19" s="105">
        <f t="shared" si="0"/>
        <v>24962.89</v>
      </c>
      <c r="G19" s="11"/>
    </row>
    <row r="20" spans="1:7" x14ac:dyDescent="0.25">
      <c r="A20" s="9"/>
      <c r="B20" s="194" t="s">
        <v>89</v>
      </c>
      <c r="C20" s="5"/>
      <c r="D20" s="102"/>
      <c r="E20" s="195">
        <v>1261.95</v>
      </c>
      <c r="F20" s="105">
        <f t="shared" si="0"/>
        <v>23700.94</v>
      </c>
      <c r="G20" s="11"/>
    </row>
    <row r="21" spans="1:7" x14ac:dyDescent="0.25">
      <c r="A21" s="9"/>
      <c r="B21" s="196" t="s">
        <v>264</v>
      </c>
      <c r="C21" s="5"/>
      <c r="D21" s="11"/>
      <c r="E21" s="197">
        <v>7250</v>
      </c>
      <c r="F21" s="105">
        <f t="shared" si="0"/>
        <v>16450.939999999999</v>
      </c>
      <c r="G21" s="11"/>
    </row>
    <row r="22" spans="1:7" x14ac:dyDescent="0.25">
      <c r="A22" s="9"/>
      <c r="B22" s="196" t="s">
        <v>265</v>
      </c>
      <c r="C22" s="5"/>
      <c r="D22" s="102"/>
      <c r="E22" s="198">
        <v>9660</v>
      </c>
      <c r="F22" s="105">
        <f t="shared" si="0"/>
        <v>6790.9399999999987</v>
      </c>
      <c r="G22" s="11"/>
    </row>
    <row r="23" spans="1:7" x14ac:dyDescent="0.25">
      <c r="A23" s="9"/>
      <c r="B23" s="196" t="s">
        <v>266</v>
      </c>
      <c r="C23" s="5"/>
      <c r="D23" s="102"/>
      <c r="E23" s="195">
        <v>5590</v>
      </c>
      <c r="F23" s="105">
        <f t="shared" si="0"/>
        <v>1200.9399999999987</v>
      </c>
      <c r="G23" s="11"/>
    </row>
    <row r="24" spans="1:7" x14ac:dyDescent="0.25">
      <c r="A24" s="9">
        <v>44811</v>
      </c>
      <c r="B24" s="104" t="s">
        <v>263</v>
      </c>
      <c r="C24" s="5"/>
      <c r="D24" s="102">
        <v>25000</v>
      </c>
      <c r="E24" s="117"/>
      <c r="F24" s="105">
        <f t="shared" si="0"/>
        <v>26200.94</v>
      </c>
      <c r="G24" s="11"/>
    </row>
    <row r="25" spans="1:7" x14ac:dyDescent="0.25">
      <c r="A25" s="9"/>
      <c r="B25" s="196" t="s">
        <v>90</v>
      </c>
      <c r="C25" s="5"/>
      <c r="D25" s="102"/>
      <c r="E25" s="199">
        <v>4000.17</v>
      </c>
      <c r="F25" s="105">
        <f t="shared" si="0"/>
        <v>22200.769999999997</v>
      </c>
      <c r="G25" s="11"/>
    </row>
    <row r="26" spans="1:7" x14ac:dyDescent="0.25">
      <c r="A26" s="9"/>
      <c r="B26" s="196" t="s">
        <v>267</v>
      </c>
      <c r="C26" s="5"/>
      <c r="D26" s="11"/>
      <c r="E26" s="199">
        <v>9900</v>
      </c>
      <c r="F26" s="105">
        <f t="shared" si="0"/>
        <v>12300.769999999997</v>
      </c>
      <c r="G26" s="11"/>
    </row>
    <row r="27" spans="1:7" x14ac:dyDescent="0.25">
      <c r="A27" s="9"/>
      <c r="B27" s="196" t="s">
        <v>90</v>
      </c>
      <c r="C27" s="5"/>
      <c r="D27" s="11"/>
      <c r="E27" s="199">
        <v>4000.17</v>
      </c>
      <c r="F27" s="105">
        <f t="shared" si="0"/>
        <v>8300.5999999999967</v>
      </c>
      <c r="G27" s="11"/>
    </row>
    <row r="28" spans="1:7" x14ac:dyDescent="0.25">
      <c r="A28" s="9"/>
      <c r="B28" s="196" t="s">
        <v>268</v>
      </c>
      <c r="C28" s="5"/>
      <c r="D28" s="102"/>
      <c r="E28" s="199">
        <v>2500</v>
      </c>
      <c r="F28" s="105">
        <f t="shared" si="0"/>
        <v>5800.5999999999967</v>
      </c>
      <c r="G28" s="11"/>
    </row>
    <row r="29" spans="1:7" x14ac:dyDescent="0.25">
      <c r="A29" s="9">
        <v>44819</v>
      </c>
      <c r="B29" s="104" t="s">
        <v>263</v>
      </c>
      <c r="C29" s="5"/>
      <c r="D29" s="102">
        <v>25000</v>
      </c>
      <c r="E29" s="106"/>
      <c r="F29" s="105">
        <f t="shared" si="0"/>
        <v>30800.6</v>
      </c>
      <c r="G29" s="11"/>
    </row>
    <row r="30" spans="1:7" x14ac:dyDescent="0.25">
      <c r="A30" s="9"/>
      <c r="B30" s="196" t="s">
        <v>269</v>
      </c>
      <c r="C30" s="5"/>
      <c r="D30" s="102"/>
      <c r="E30" s="198">
        <v>6830</v>
      </c>
      <c r="F30" s="105">
        <f t="shared" si="0"/>
        <v>23970.6</v>
      </c>
      <c r="G30" s="11"/>
    </row>
    <row r="31" spans="1:7" x14ac:dyDescent="0.25">
      <c r="A31" s="9"/>
      <c r="B31" s="196" t="s">
        <v>270</v>
      </c>
      <c r="C31" s="5"/>
      <c r="D31" s="102"/>
      <c r="E31" s="199">
        <v>8000</v>
      </c>
      <c r="F31" s="105">
        <f t="shared" si="0"/>
        <v>15970.599999999999</v>
      </c>
      <c r="G31" s="11"/>
    </row>
    <row r="32" spans="1:7" x14ac:dyDescent="0.25">
      <c r="A32" s="9"/>
      <c r="B32" s="196" t="s">
        <v>90</v>
      </c>
      <c r="C32" s="5"/>
      <c r="D32" s="11"/>
      <c r="E32" s="199">
        <v>1520.84</v>
      </c>
      <c r="F32" s="105">
        <f t="shared" si="0"/>
        <v>14449.759999999998</v>
      </c>
      <c r="G32" s="11"/>
    </row>
    <row r="33" spans="1:7" x14ac:dyDescent="0.25">
      <c r="A33" s="9"/>
      <c r="B33" s="196" t="s">
        <v>94</v>
      </c>
      <c r="C33" s="5"/>
      <c r="D33" s="11"/>
      <c r="E33" s="199">
        <v>9544.7000000000007</v>
      </c>
      <c r="F33" s="105">
        <f t="shared" si="0"/>
        <v>4905.0599999999977</v>
      </c>
      <c r="G33" s="11"/>
    </row>
    <row r="34" spans="1:7" x14ac:dyDescent="0.25">
      <c r="A34" s="9"/>
      <c r="B34" s="196" t="s">
        <v>264</v>
      </c>
      <c r="C34" s="5"/>
      <c r="D34" s="11"/>
      <c r="E34" s="199">
        <v>3900</v>
      </c>
      <c r="F34" s="105">
        <f t="shared" si="0"/>
        <v>1005.0599999999977</v>
      </c>
      <c r="G34" s="11"/>
    </row>
    <row r="35" spans="1:7" x14ac:dyDescent="0.25">
      <c r="A35" s="9">
        <v>44839</v>
      </c>
      <c r="B35" s="104" t="s">
        <v>263</v>
      </c>
      <c r="C35" s="5"/>
      <c r="D35" s="134">
        <v>8100</v>
      </c>
      <c r="E35" s="117"/>
      <c r="F35" s="105">
        <f t="shared" si="0"/>
        <v>9105.0599999999977</v>
      </c>
      <c r="G35" s="11"/>
    </row>
    <row r="36" spans="1:7" x14ac:dyDescent="0.25">
      <c r="A36" s="9"/>
      <c r="B36" s="196" t="s">
        <v>271</v>
      </c>
      <c r="C36" s="5"/>
      <c r="D36" s="11"/>
      <c r="E36" s="199">
        <v>2600</v>
      </c>
      <c r="F36" s="105">
        <f t="shared" si="0"/>
        <v>6505.0599999999977</v>
      </c>
      <c r="G36" s="11"/>
    </row>
    <row r="37" spans="1:7" x14ac:dyDescent="0.25">
      <c r="A37" s="9">
        <v>44840</v>
      </c>
      <c r="B37" s="104" t="s">
        <v>263</v>
      </c>
      <c r="C37" s="5"/>
      <c r="D37" s="134">
        <v>9900</v>
      </c>
      <c r="E37" s="117">
        <v>0</v>
      </c>
      <c r="F37" s="105">
        <f t="shared" si="0"/>
        <v>16405.059999999998</v>
      </c>
      <c r="G37" s="11"/>
    </row>
    <row r="38" spans="1:7" x14ac:dyDescent="0.25">
      <c r="A38" s="9"/>
      <c r="B38" s="200" t="s">
        <v>94</v>
      </c>
      <c r="C38" s="5"/>
      <c r="D38" s="11"/>
      <c r="E38" s="199">
        <v>9150.15</v>
      </c>
      <c r="F38" s="105">
        <f t="shared" si="0"/>
        <v>7254.909999999998</v>
      </c>
      <c r="G38" s="11"/>
    </row>
    <row r="39" spans="1:7" x14ac:dyDescent="0.25">
      <c r="A39" s="9"/>
      <c r="B39" s="196" t="s">
        <v>100</v>
      </c>
      <c r="C39" s="5"/>
      <c r="D39" s="11"/>
      <c r="E39" s="199">
        <v>1930</v>
      </c>
      <c r="F39" s="105">
        <f t="shared" si="0"/>
        <v>5324.909999999998</v>
      </c>
      <c r="G39" s="11"/>
    </row>
    <row r="40" spans="1:7" x14ac:dyDescent="0.25">
      <c r="A40" s="9">
        <v>44846</v>
      </c>
      <c r="B40" s="104" t="s">
        <v>272</v>
      </c>
      <c r="C40" s="5"/>
      <c r="D40" s="134">
        <v>40000</v>
      </c>
      <c r="E40" s="117">
        <v>0</v>
      </c>
      <c r="F40" s="105">
        <f t="shared" si="0"/>
        <v>45324.909999999996</v>
      </c>
      <c r="G40" s="258"/>
    </row>
    <row r="41" spans="1:7" x14ac:dyDescent="0.25">
      <c r="A41" s="9"/>
      <c r="B41" s="196" t="s">
        <v>104</v>
      </c>
      <c r="C41" s="5"/>
      <c r="D41" s="11"/>
      <c r="E41" s="199">
        <v>9598</v>
      </c>
      <c r="F41" s="105">
        <f t="shared" si="0"/>
        <v>35726.909999999996</v>
      </c>
      <c r="G41" s="11"/>
    </row>
    <row r="42" spans="1:7" x14ac:dyDescent="0.25">
      <c r="A42" s="9"/>
      <c r="B42" s="196" t="s">
        <v>90</v>
      </c>
      <c r="C42" s="5"/>
      <c r="D42" s="11"/>
      <c r="E42" s="199">
        <v>5901.04</v>
      </c>
      <c r="F42" s="105">
        <f t="shared" si="0"/>
        <v>29825.869999999995</v>
      </c>
      <c r="G42" s="11"/>
    </row>
    <row r="43" spans="1:7" x14ac:dyDescent="0.25">
      <c r="A43" s="9"/>
      <c r="B43" s="196" t="s">
        <v>90</v>
      </c>
      <c r="C43" s="5"/>
      <c r="D43" s="11"/>
      <c r="E43" s="199">
        <v>1687.95</v>
      </c>
      <c r="F43" s="105">
        <f t="shared" si="0"/>
        <v>28137.919999999995</v>
      </c>
      <c r="G43" s="11"/>
    </row>
    <row r="44" spans="1:7" x14ac:dyDescent="0.25">
      <c r="A44" s="9"/>
      <c r="B44" s="196" t="s">
        <v>273</v>
      </c>
      <c r="C44" s="5"/>
      <c r="D44" s="11"/>
      <c r="E44" s="199">
        <v>2516.5</v>
      </c>
      <c r="F44" s="105">
        <f t="shared" si="0"/>
        <v>25621.419999999995</v>
      </c>
      <c r="G44" s="11"/>
    </row>
    <row r="45" spans="1:7" x14ac:dyDescent="0.25">
      <c r="A45" s="9"/>
      <c r="B45" s="196" t="s">
        <v>274</v>
      </c>
      <c r="C45" s="5"/>
      <c r="D45" s="11"/>
      <c r="E45" s="199">
        <v>3630</v>
      </c>
      <c r="F45" s="105">
        <f t="shared" si="0"/>
        <v>21991.419999999995</v>
      </c>
      <c r="G45" s="11"/>
    </row>
    <row r="46" spans="1:7" x14ac:dyDescent="0.25">
      <c r="A46" s="9"/>
      <c r="B46" s="196" t="s">
        <v>275</v>
      </c>
      <c r="C46" s="5"/>
      <c r="D46" s="134"/>
      <c r="E46" s="199">
        <v>10255.89</v>
      </c>
      <c r="F46" s="105">
        <f t="shared" si="0"/>
        <v>11735.529999999995</v>
      </c>
      <c r="G46" s="11"/>
    </row>
    <row r="47" spans="1:7" x14ac:dyDescent="0.25">
      <c r="A47" s="9"/>
      <c r="B47" s="196" t="s">
        <v>273</v>
      </c>
      <c r="C47" s="5"/>
      <c r="D47" s="201"/>
      <c r="E47" s="199">
        <v>400</v>
      </c>
      <c r="F47" s="105">
        <f t="shared" si="0"/>
        <v>11335.529999999995</v>
      </c>
      <c r="G47" s="11"/>
    </row>
    <row r="48" spans="1:7" x14ac:dyDescent="0.25">
      <c r="A48" s="103">
        <v>44851</v>
      </c>
      <c r="B48" s="104" t="s">
        <v>272</v>
      </c>
      <c r="C48" s="5" t="s">
        <v>292</v>
      </c>
      <c r="D48" s="193">
        <v>28600</v>
      </c>
      <c r="E48" s="102"/>
      <c r="F48" s="105">
        <f t="shared" si="0"/>
        <v>39935.53</v>
      </c>
      <c r="G48" s="11"/>
    </row>
    <row r="49" spans="1:8" x14ac:dyDescent="0.25">
      <c r="A49" s="9"/>
      <c r="B49" s="194" t="s">
        <v>91</v>
      </c>
      <c r="C49" s="5"/>
      <c r="D49" s="102"/>
      <c r="E49" s="102">
        <v>9500</v>
      </c>
      <c r="F49" s="105">
        <f t="shared" si="0"/>
        <v>30435.53</v>
      </c>
      <c r="G49" s="11"/>
    </row>
    <row r="50" spans="1:8" x14ac:dyDescent="0.25">
      <c r="A50" s="9"/>
      <c r="B50" s="196" t="s">
        <v>105</v>
      </c>
      <c r="C50" s="5"/>
      <c r="D50" s="102"/>
      <c r="E50" s="117">
        <v>190</v>
      </c>
      <c r="F50" s="105">
        <f t="shared" si="0"/>
        <v>30245.53</v>
      </c>
      <c r="G50" s="11"/>
    </row>
    <row r="51" spans="1:8" x14ac:dyDescent="0.25">
      <c r="A51" s="9"/>
      <c r="B51" s="196" t="s">
        <v>90</v>
      </c>
      <c r="C51" s="5"/>
      <c r="D51" s="102"/>
      <c r="E51" s="102">
        <v>1687.95</v>
      </c>
      <c r="F51" s="105">
        <f t="shared" si="0"/>
        <v>28557.579999999998</v>
      </c>
      <c r="G51" s="11"/>
    </row>
    <row r="52" spans="1:8" x14ac:dyDescent="0.25">
      <c r="A52" s="9">
        <v>44851</v>
      </c>
      <c r="B52" s="104" t="s">
        <v>276</v>
      </c>
      <c r="C52" s="5" t="s">
        <v>313</v>
      </c>
      <c r="D52" s="102">
        <v>0</v>
      </c>
      <c r="E52" s="106"/>
      <c r="F52" s="105">
        <f t="shared" si="0"/>
        <v>28557.579999999998</v>
      </c>
      <c r="G52" s="11"/>
    </row>
    <row r="53" spans="1:8" x14ac:dyDescent="0.25">
      <c r="A53" s="9"/>
      <c r="B53" s="196" t="s">
        <v>104</v>
      </c>
      <c r="C53" s="5"/>
      <c r="D53" s="102"/>
      <c r="E53" s="117">
        <v>4570</v>
      </c>
      <c r="F53" s="105">
        <f t="shared" si="0"/>
        <v>23987.579999999998</v>
      </c>
      <c r="G53" s="11"/>
      <c r="H53" s="1"/>
    </row>
    <row r="54" spans="1:8" x14ac:dyDescent="0.25">
      <c r="A54" s="9"/>
      <c r="B54" s="196" t="s">
        <v>107</v>
      </c>
      <c r="C54" s="5"/>
      <c r="D54" s="11"/>
      <c r="E54" s="117">
        <v>2020</v>
      </c>
      <c r="F54" s="105">
        <f t="shared" si="0"/>
        <v>21967.579999999998</v>
      </c>
      <c r="G54" s="11"/>
      <c r="H54" s="217"/>
    </row>
    <row r="55" spans="1:8" x14ac:dyDescent="0.25">
      <c r="A55" s="9"/>
      <c r="B55" s="196" t="s">
        <v>90</v>
      </c>
      <c r="C55" s="5"/>
      <c r="D55" s="102"/>
      <c r="E55" s="106">
        <v>5627.46</v>
      </c>
      <c r="F55" s="105">
        <f t="shared" si="0"/>
        <v>16340.119999999999</v>
      </c>
      <c r="G55" s="11"/>
      <c r="H55" s="1"/>
    </row>
    <row r="56" spans="1:8" x14ac:dyDescent="0.25">
      <c r="A56" s="9"/>
      <c r="B56" s="200" t="s">
        <v>94</v>
      </c>
      <c r="C56" s="5"/>
      <c r="D56" s="102"/>
      <c r="E56" s="117">
        <v>2459.38</v>
      </c>
      <c r="F56" s="105">
        <f t="shared" si="0"/>
        <v>13880.739999999998</v>
      </c>
      <c r="G56" s="11"/>
    </row>
    <row r="57" spans="1:8" x14ac:dyDescent="0.25">
      <c r="A57" s="9"/>
      <c r="B57" s="196" t="s">
        <v>107</v>
      </c>
      <c r="C57" s="5"/>
      <c r="D57" s="102"/>
      <c r="E57" s="106">
        <v>1800</v>
      </c>
      <c r="F57" s="105">
        <f t="shared" si="0"/>
        <v>12080.739999999998</v>
      </c>
      <c r="G57" s="11"/>
    </row>
    <row r="58" spans="1:8" x14ac:dyDescent="0.25">
      <c r="A58" s="9"/>
      <c r="B58" s="196" t="s">
        <v>277</v>
      </c>
      <c r="C58" s="5"/>
      <c r="D58" s="11"/>
      <c r="E58" s="117">
        <v>2000</v>
      </c>
      <c r="F58" s="105">
        <f t="shared" si="0"/>
        <v>10080.739999999998</v>
      </c>
      <c r="G58" s="11"/>
    </row>
    <row r="59" spans="1:8" x14ac:dyDescent="0.25">
      <c r="A59" s="9"/>
      <c r="B59" s="196" t="s">
        <v>268</v>
      </c>
      <c r="C59" s="5"/>
      <c r="D59" s="11"/>
      <c r="E59" s="117">
        <v>3500</v>
      </c>
      <c r="F59" s="105">
        <f t="shared" si="0"/>
        <v>6580.739999999998</v>
      </c>
      <c r="G59" s="11"/>
    </row>
    <row r="60" spans="1:8" x14ac:dyDescent="0.25">
      <c r="A60" s="9"/>
      <c r="B60" s="196" t="s">
        <v>278</v>
      </c>
      <c r="C60" s="5"/>
      <c r="D60" s="11"/>
      <c r="E60" s="117">
        <v>800</v>
      </c>
      <c r="F60" s="105">
        <f t="shared" si="0"/>
        <v>5780.739999999998</v>
      </c>
      <c r="G60" s="11"/>
    </row>
    <row r="61" spans="1:8" x14ac:dyDescent="0.25">
      <c r="A61" s="9"/>
      <c r="B61" s="196" t="s">
        <v>279</v>
      </c>
      <c r="C61" s="5"/>
      <c r="D61" s="11"/>
      <c r="E61" s="117">
        <v>400</v>
      </c>
      <c r="F61" s="105">
        <f t="shared" si="0"/>
        <v>5380.739999999998</v>
      </c>
      <c r="G61" s="11"/>
    </row>
    <row r="62" spans="1:8" x14ac:dyDescent="0.25">
      <c r="A62" s="9">
        <v>44861</v>
      </c>
      <c r="B62" s="104" t="s">
        <v>276</v>
      </c>
      <c r="C62" s="5"/>
      <c r="D62" s="134">
        <v>8000</v>
      </c>
      <c r="E62" s="117"/>
      <c r="F62" s="105">
        <f t="shared" si="0"/>
        <v>13380.739999999998</v>
      </c>
      <c r="G62" s="11"/>
    </row>
    <row r="63" spans="1:8" x14ac:dyDescent="0.25">
      <c r="A63" s="9"/>
      <c r="B63" s="196" t="s">
        <v>280</v>
      </c>
      <c r="C63" s="5"/>
      <c r="D63" s="11"/>
      <c r="E63" s="117">
        <v>5795.09</v>
      </c>
      <c r="F63" s="105">
        <f t="shared" si="0"/>
        <v>7585.6499999999978</v>
      </c>
      <c r="G63" s="11"/>
    </row>
    <row r="64" spans="1:8" x14ac:dyDescent="0.25">
      <c r="A64" s="9"/>
      <c r="B64" s="196" t="s">
        <v>109</v>
      </c>
      <c r="C64" s="5"/>
      <c r="D64" s="11"/>
      <c r="E64" s="117">
        <v>0</v>
      </c>
      <c r="F64" s="105">
        <f t="shared" si="0"/>
        <v>7585.6499999999978</v>
      </c>
      <c r="G64" s="11"/>
    </row>
    <row r="65" spans="1:7" x14ac:dyDescent="0.25">
      <c r="A65" s="9">
        <v>44880</v>
      </c>
      <c r="B65" s="104" t="s">
        <v>276</v>
      </c>
      <c r="C65" s="5"/>
      <c r="D65" s="134">
        <v>45000</v>
      </c>
      <c r="E65" s="117"/>
      <c r="F65" s="105">
        <f t="shared" si="0"/>
        <v>52585.649999999994</v>
      </c>
      <c r="G65" s="258"/>
    </row>
    <row r="66" spans="1:7" x14ac:dyDescent="0.25">
      <c r="A66" s="9"/>
      <c r="B66" s="196" t="s">
        <v>281</v>
      </c>
      <c r="C66" s="5"/>
      <c r="D66" s="11"/>
      <c r="E66" s="117">
        <v>31626.59</v>
      </c>
      <c r="F66" s="105">
        <f t="shared" si="0"/>
        <v>20959.059999999994</v>
      </c>
      <c r="G66" s="11"/>
    </row>
    <row r="67" spans="1:7" x14ac:dyDescent="0.25">
      <c r="A67" s="9"/>
      <c r="B67" s="196" t="s">
        <v>282</v>
      </c>
      <c r="C67" s="5"/>
      <c r="D67" s="11"/>
      <c r="E67" s="117">
        <v>9600</v>
      </c>
      <c r="F67" s="105">
        <f t="shared" si="0"/>
        <v>11359.059999999994</v>
      </c>
      <c r="G67" s="11"/>
    </row>
    <row r="68" spans="1:7" x14ac:dyDescent="0.25">
      <c r="A68" s="9"/>
      <c r="B68" s="196" t="s">
        <v>271</v>
      </c>
      <c r="C68" s="5"/>
      <c r="D68" s="11"/>
      <c r="E68" s="117">
        <v>3600</v>
      </c>
      <c r="F68" s="105">
        <f t="shared" ref="F68:F131" si="1">+F67+D68-E68</f>
        <v>7759.059999999994</v>
      </c>
      <c r="G68" s="11"/>
    </row>
    <row r="69" spans="1:7" x14ac:dyDescent="0.25">
      <c r="A69" s="9"/>
      <c r="B69" s="196" t="s">
        <v>283</v>
      </c>
      <c r="C69" s="5"/>
      <c r="D69" s="11"/>
      <c r="E69" s="117">
        <v>3450</v>
      </c>
      <c r="F69" s="105">
        <f t="shared" si="1"/>
        <v>4309.059999999994</v>
      </c>
      <c r="G69" s="11"/>
    </row>
    <row r="70" spans="1:7" x14ac:dyDescent="0.25">
      <c r="A70" s="9"/>
      <c r="B70" s="196" t="s">
        <v>82</v>
      </c>
      <c r="C70" s="5"/>
      <c r="D70" s="11"/>
      <c r="E70" s="117">
        <v>508</v>
      </c>
      <c r="F70" s="105">
        <f>+F69+D70-E70+37.11</f>
        <v>3838.1699999999942</v>
      </c>
      <c r="G70" s="258"/>
    </row>
    <row r="71" spans="1:7" x14ac:dyDescent="0.25">
      <c r="A71" s="103"/>
      <c r="B71" s="104" t="s">
        <v>284</v>
      </c>
      <c r="C71" s="5" t="s">
        <v>293</v>
      </c>
      <c r="D71" s="193"/>
      <c r="E71" s="102"/>
      <c r="F71" s="105">
        <v>3838.1699999999942</v>
      </c>
      <c r="G71" s="11"/>
    </row>
    <row r="72" spans="1:7" x14ac:dyDescent="0.25">
      <c r="A72" s="9">
        <v>44900</v>
      </c>
      <c r="B72" s="104" t="s">
        <v>285</v>
      </c>
      <c r="C72" s="5"/>
      <c r="D72" s="102">
        <v>15000</v>
      </c>
      <c r="E72" s="102"/>
      <c r="F72" s="105">
        <f t="shared" si="1"/>
        <v>18838.169999999995</v>
      </c>
      <c r="G72" s="11"/>
    </row>
    <row r="73" spans="1:7" x14ac:dyDescent="0.25">
      <c r="A73" s="9">
        <v>44907</v>
      </c>
      <c r="B73" s="104"/>
      <c r="C73" s="5"/>
      <c r="D73" s="102">
        <v>11400</v>
      </c>
      <c r="E73" s="102"/>
      <c r="F73" s="105">
        <f t="shared" si="1"/>
        <v>30238.169999999995</v>
      </c>
      <c r="G73" s="258"/>
    </row>
    <row r="74" spans="1:7" x14ac:dyDescent="0.25">
      <c r="A74" s="9"/>
      <c r="B74" s="104"/>
      <c r="C74" s="5"/>
      <c r="D74" s="102"/>
      <c r="E74" s="102"/>
      <c r="F74" s="105">
        <f t="shared" si="1"/>
        <v>30238.169999999995</v>
      </c>
      <c r="G74" s="11"/>
    </row>
    <row r="75" spans="1:7" x14ac:dyDescent="0.25">
      <c r="A75" s="9"/>
      <c r="B75" s="200" t="s">
        <v>10</v>
      </c>
      <c r="C75" s="5"/>
      <c r="D75" s="102"/>
      <c r="E75" s="102">
        <v>87.5</v>
      </c>
      <c r="F75" s="105">
        <f t="shared" si="1"/>
        <v>30150.669999999995</v>
      </c>
      <c r="G75" s="11"/>
    </row>
    <row r="76" spans="1:7" x14ac:dyDescent="0.25">
      <c r="A76" s="9"/>
      <c r="B76" s="200" t="s">
        <v>109</v>
      </c>
      <c r="C76" s="5"/>
      <c r="D76" s="102"/>
      <c r="E76" s="102">
        <v>3838.1</v>
      </c>
      <c r="F76" s="105">
        <f t="shared" si="1"/>
        <v>26312.569999999996</v>
      </c>
      <c r="G76" s="11"/>
    </row>
    <row r="77" spans="1:7" x14ac:dyDescent="0.25">
      <c r="A77" s="9"/>
      <c r="B77" s="200" t="s">
        <v>287</v>
      </c>
      <c r="C77" s="5"/>
      <c r="D77" s="102"/>
      <c r="E77" s="102">
        <v>11.14</v>
      </c>
      <c r="F77" s="105">
        <f t="shared" si="1"/>
        <v>26301.429999999997</v>
      </c>
      <c r="G77" s="11"/>
    </row>
    <row r="78" spans="1:7" x14ac:dyDescent="0.25">
      <c r="A78" s="9"/>
      <c r="B78" s="200" t="s">
        <v>288</v>
      </c>
      <c r="C78" s="5"/>
      <c r="D78" s="11"/>
      <c r="E78" s="117">
        <v>13822.74</v>
      </c>
      <c r="F78" s="105">
        <f t="shared" si="1"/>
        <v>12478.689999999997</v>
      </c>
      <c r="G78" s="11"/>
    </row>
    <row r="79" spans="1:7" x14ac:dyDescent="0.25">
      <c r="A79" s="9"/>
      <c r="B79" s="200" t="s">
        <v>89</v>
      </c>
      <c r="C79" s="5"/>
      <c r="D79" s="102"/>
      <c r="E79" s="106">
        <v>1261.95</v>
      </c>
      <c r="F79" s="105">
        <f t="shared" si="1"/>
        <v>11216.739999999996</v>
      </c>
      <c r="G79" s="11"/>
    </row>
    <row r="80" spans="1:7" x14ac:dyDescent="0.25">
      <c r="A80" s="9"/>
      <c r="B80" s="200" t="s">
        <v>89</v>
      </c>
      <c r="C80" s="5"/>
      <c r="D80" s="102"/>
      <c r="E80" s="117">
        <v>2290.92</v>
      </c>
      <c r="F80" s="105">
        <f t="shared" si="1"/>
        <v>8925.8199999999961</v>
      </c>
      <c r="G80" s="11"/>
    </row>
    <row r="81" spans="1:8" x14ac:dyDescent="0.25">
      <c r="A81" s="9"/>
      <c r="B81" s="104"/>
      <c r="C81" s="5"/>
      <c r="D81" s="102"/>
      <c r="E81" s="117"/>
      <c r="F81" s="105">
        <f t="shared" si="1"/>
        <v>8925.8199999999961</v>
      </c>
      <c r="G81" s="11"/>
    </row>
    <row r="82" spans="1:8" x14ac:dyDescent="0.25">
      <c r="A82" s="9"/>
      <c r="B82" s="104"/>
      <c r="C82" s="5"/>
      <c r="D82" s="102"/>
      <c r="E82" s="117"/>
      <c r="F82" s="105">
        <f t="shared" si="1"/>
        <v>8925.8199999999961</v>
      </c>
      <c r="G82" s="11"/>
    </row>
    <row r="83" spans="1:8" x14ac:dyDescent="0.25">
      <c r="A83" s="9"/>
      <c r="B83" s="138"/>
      <c r="C83" s="5"/>
      <c r="D83" s="102"/>
      <c r="E83" s="106"/>
      <c r="F83" s="105">
        <f t="shared" si="1"/>
        <v>8925.8199999999961</v>
      </c>
      <c r="G83" s="11"/>
    </row>
    <row r="84" spans="1:8" x14ac:dyDescent="0.25">
      <c r="A84" s="9"/>
      <c r="B84" s="138"/>
      <c r="C84" s="5"/>
      <c r="D84" s="134"/>
      <c r="E84" s="117"/>
      <c r="F84" s="105">
        <f t="shared" si="1"/>
        <v>8925.8199999999961</v>
      </c>
      <c r="G84" s="11"/>
    </row>
    <row r="85" spans="1:8" x14ac:dyDescent="0.25">
      <c r="A85" s="203"/>
      <c r="B85" s="104" t="s">
        <v>290</v>
      </c>
      <c r="C85" s="5" t="s">
        <v>294</v>
      </c>
      <c r="D85" s="202"/>
      <c r="E85" s="102"/>
      <c r="F85" s="105">
        <f t="shared" si="1"/>
        <v>8925.8199999999961</v>
      </c>
      <c r="G85" s="11"/>
    </row>
    <row r="86" spans="1:8" x14ac:dyDescent="0.25">
      <c r="A86" s="9">
        <v>44911</v>
      </c>
      <c r="B86" s="104" t="s">
        <v>286</v>
      </c>
      <c r="C86" s="5"/>
      <c r="D86" s="102">
        <v>35000</v>
      </c>
      <c r="E86" s="102"/>
      <c r="F86" s="105">
        <f t="shared" si="1"/>
        <v>43925.819999999992</v>
      </c>
      <c r="G86" s="11"/>
    </row>
    <row r="87" spans="1:8" x14ac:dyDescent="0.25">
      <c r="A87" s="9"/>
      <c r="B87" s="196" t="s">
        <v>109</v>
      </c>
      <c r="C87" s="5"/>
      <c r="D87" s="102"/>
      <c r="E87" s="102">
        <v>6370.6</v>
      </c>
      <c r="F87" s="105">
        <f t="shared" si="1"/>
        <v>37555.219999999994</v>
      </c>
      <c r="G87" s="11"/>
    </row>
    <row r="88" spans="1:8" x14ac:dyDescent="0.25">
      <c r="A88" s="9"/>
      <c r="B88" s="196" t="s">
        <v>109</v>
      </c>
      <c r="C88" s="5"/>
      <c r="D88" s="102"/>
      <c r="E88" s="102">
        <v>9849.57</v>
      </c>
      <c r="F88" s="105">
        <f t="shared" si="1"/>
        <v>27705.649999999994</v>
      </c>
      <c r="G88" s="11"/>
      <c r="H88" s="217"/>
    </row>
    <row r="89" spans="1:8" x14ac:dyDescent="0.25">
      <c r="A89" s="9"/>
      <c r="B89" s="196" t="s">
        <v>115</v>
      </c>
      <c r="C89" s="5"/>
      <c r="D89" s="102"/>
      <c r="E89" s="106">
        <v>1500</v>
      </c>
      <c r="F89" s="105">
        <f t="shared" si="1"/>
        <v>26205.649999999994</v>
      </c>
      <c r="G89" s="11"/>
      <c r="H89" s="1"/>
    </row>
    <row r="90" spans="1:8" x14ac:dyDescent="0.25">
      <c r="A90" s="9"/>
      <c r="B90" s="196" t="s">
        <v>116</v>
      </c>
      <c r="C90" s="5"/>
      <c r="D90" s="102"/>
      <c r="E90" s="117">
        <v>3000</v>
      </c>
      <c r="F90" s="105">
        <f t="shared" si="1"/>
        <v>23205.649999999994</v>
      </c>
      <c r="G90" s="11"/>
      <c r="H90" s="217"/>
    </row>
    <row r="91" spans="1:8" x14ac:dyDescent="0.25">
      <c r="A91" s="9"/>
      <c r="B91" s="196" t="s">
        <v>107</v>
      </c>
      <c r="C91" s="5"/>
      <c r="D91" s="11"/>
      <c r="E91" s="117">
        <v>1200</v>
      </c>
      <c r="F91" s="105">
        <f t="shared" si="1"/>
        <v>22005.649999999994</v>
      </c>
      <c r="G91" s="11"/>
    </row>
    <row r="92" spans="1:8" x14ac:dyDescent="0.25">
      <c r="A92" s="9"/>
      <c r="B92" s="196" t="s">
        <v>117</v>
      </c>
      <c r="C92" s="5"/>
      <c r="D92" s="102"/>
      <c r="E92" s="106">
        <v>1578</v>
      </c>
      <c r="F92" s="105">
        <f t="shared" si="1"/>
        <v>20427.649999999994</v>
      </c>
      <c r="G92" s="11"/>
    </row>
    <row r="93" spans="1:8" x14ac:dyDescent="0.25">
      <c r="A93" s="9"/>
      <c r="B93" s="196" t="s">
        <v>288</v>
      </c>
      <c r="C93" s="5"/>
      <c r="D93" s="11"/>
      <c r="E93" s="117">
        <v>12920.46</v>
      </c>
      <c r="F93" s="105">
        <f t="shared" si="1"/>
        <v>7507.1899999999951</v>
      </c>
      <c r="G93" s="11"/>
    </row>
    <row r="94" spans="1:8" x14ac:dyDescent="0.25">
      <c r="A94" s="9"/>
      <c r="B94" s="196" t="s">
        <v>291</v>
      </c>
      <c r="C94" s="5"/>
      <c r="D94" s="11"/>
      <c r="E94" s="117">
        <v>4600</v>
      </c>
      <c r="F94" s="105">
        <f t="shared" si="1"/>
        <v>2907.1899999999951</v>
      </c>
      <c r="G94" s="11"/>
    </row>
    <row r="95" spans="1:8" x14ac:dyDescent="0.25">
      <c r="A95" s="9">
        <v>44950</v>
      </c>
      <c r="B95" s="104" t="s">
        <v>286</v>
      </c>
      <c r="C95" s="5"/>
      <c r="D95" s="102">
        <v>30000</v>
      </c>
      <c r="E95" s="106"/>
      <c r="F95" s="105">
        <f t="shared" si="1"/>
        <v>32907.189999999995</v>
      </c>
      <c r="G95" s="258"/>
    </row>
    <row r="96" spans="1:8" x14ac:dyDescent="0.25">
      <c r="A96" s="9"/>
      <c r="B96" s="101"/>
      <c r="C96" s="5"/>
      <c r="D96" s="102"/>
      <c r="E96" s="106"/>
      <c r="F96" s="105">
        <f t="shared" si="1"/>
        <v>32907.189999999995</v>
      </c>
      <c r="G96" s="11"/>
      <c r="H96" s="1"/>
    </row>
    <row r="97" spans="1:8" x14ac:dyDescent="0.25">
      <c r="A97" s="9"/>
      <c r="B97" s="200" t="s">
        <v>89</v>
      </c>
      <c r="C97" s="5"/>
      <c r="D97" s="102"/>
      <c r="E97" s="106">
        <v>1238.45</v>
      </c>
      <c r="F97" s="105">
        <f t="shared" si="1"/>
        <v>31668.739999999994</v>
      </c>
      <c r="G97" s="11"/>
      <c r="H97" s="217"/>
    </row>
    <row r="98" spans="1:8" x14ac:dyDescent="0.25">
      <c r="A98" s="9"/>
      <c r="B98" s="200" t="s">
        <v>89</v>
      </c>
      <c r="C98" s="5"/>
      <c r="D98" s="102"/>
      <c r="E98" s="106">
        <v>1261.95</v>
      </c>
      <c r="F98" s="105">
        <f t="shared" si="1"/>
        <v>30406.789999999994</v>
      </c>
      <c r="G98" s="11"/>
    </row>
    <row r="99" spans="1:8" x14ac:dyDescent="0.25">
      <c r="A99" s="9"/>
      <c r="B99" s="196" t="s">
        <v>89</v>
      </c>
      <c r="C99" s="5"/>
      <c r="D99" s="11"/>
      <c r="E99" s="117">
        <v>1503.35</v>
      </c>
      <c r="F99" s="105">
        <f t="shared" si="1"/>
        <v>28903.439999999995</v>
      </c>
      <c r="G99" s="11"/>
      <c r="H99" s="1"/>
    </row>
    <row r="100" spans="1:8" x14ac:dyDescent="0.25">
      <c r="A100" s="9"/>
      <c r="B100" s="196" t="s">
        <v>89</v>
      </c>
      <c r="C100" s="5"/>
      <c r="D100" s="11"/>
      <c r="E100" s="117">
        <v>1948.03</v>
      </c>
      <c r="F100" s="105">
        <f t="shared" si="1"/>
        <v>26955.409999999996</v>
      </c>
      <c r="G100" s="11"/>
    </row>
    <row r="101" spans="1:8" x14ac:dyDescent="0.25">
      <c r="A101" s="9"/>
      <c r="B101" s="196" t="s">
        <v>89</v>
      </c>
      <c r="C101" s="5"/>
      <c r="D101" s="11"/>
      <c r="E101" s="117">
        <v>1948.03</v>
      </c>
      <c r="F101" s="105">
        <f t="shared" si="1"/>
        <v>25007.379999999997</v>
      </c>
      <c r="G101" s="11"/>
    </row>
    <row r="102" spans="1:8" x14ac:dyDescent="0.25">
      <c r="A102" s="9"/>
      <c r="B102" s="101"/>
      <c r="C102" s="5"/>
      <c r="D102" s="11"/>
      <c r="E102" s="117"/>
      <c r="F102" s="105">
        <f t="shared" si="1"/>
        <v>25007.379999999997</v>
      </c>
      <c r="G102" s="11"/>
    </row>
    <row r="103" spans="1:8" x14ac:dyDescent="0.25">
      <c r="A103" s="9"/>
      <c r="B103" s="194" t="s">
        <v>89</v>
      </c>
      <c r="C103" s="5"/>
      <c r="D103" s="134"/>
      <c r="E103" s="117">
        <v>2334.38</v>
      </c>
      <c r="F103" s="105">
        <f t="shared" si="1"/>
        <v>22672.999999999996</v>
      </c>
      <c r="G103" s="11"/>
    </row>
    <row r="104" spans="1:8" x14ac:dyDescent="0.25">
      <c r="A104" s="9"/>
      <c r="B104" s="196" t="s">
        <v>89</v>
      </c>
      <c r="C104" s="5"/>
      <c r="D104" s="11"/>
      <c r="E104" s="117">
        <v>2290.92</v>
      </c>
      <c r="F104" s="105">
        <f t="shared" si="1"/>
        <v>20382.079999999994</v>
      </c>
      <c r="G104" s="11"/>
    </row>
    <row r="105" spans="1:8" x14ac:dyDescent="0.25">
      <c r="A105" s="9"/>
      <c r="B105" s="196" t="s">
        <v>89</v>
      </c>
      <c r="C105" s="5"/>
      <c r="D105" s="11"/>
      <c r="E105" s="117">
        <v>1948.03</v>
      </c>
      <c r="F105" s="105">
        <f t="shared" si="1"/>
        <v>18434.049999999996</v>
      </c>
      <c r="G105" s="11"/>
    </row>
    <row r="106" spans="1:8" x14ac:dyDescent="0.25">
      <c r="A106" s="9"/>
      <c r="B106" s="196" t="s">
        <v>89</v>
      </c>
      <c r="C106" s="5"/>
      <c r="D106" s="11"/>
      <c r="E106" s="117">
        <v>1948.03</v>
      </c>
      <c r="F106" s="105">
        <f t="shared" si="1"/>
        <v>16486.019999999997</v>
      </c>
      <c r="G106" s="11"/>
    </row>
    <row r="107" spans="1:8" x14ac:dyDescent="0.25">
      <c r="A107" s="9"/>
      <c r="B107" s="196" t="s">
        <v>89</v>
      </c>
      <c r="C107" s="5"/>
      <c r="D107" s="11"/>
      <c r="E107" s="117">
        <v>2290.92</v>
      </c>
      <c r="F107" s="105">
        <f t="shared" si="1"/>
        <v>14195.099999999997</v>
      </c>
      <c r="G107" s="11"/>
    </row>
    <row r="108" spans="1:8" x14ac:dyDescent="0.25">
      <c r="A108" s="9"/>
      <c r="B108" s="196" t="s">
        <v>89</v>
      </c>
      <c r="C108" s="5"/>
      <c r="D108" s="11"/>
      <c r="E108" s="117">
        <v>2334.38</v>
      </c>
      <c r="F108" s="105">
        <f t="shared" si="1"/>
        <v>11860.719999999998</v>
      </c>
      <c r="G108" s="11"/>
    </row>
    <row r="109" spans="1:8" x14ac:dyDescent="0.25">
      <c r="A109" s="9"/>
      <c r="B109" s="196" t="s">
        <v>89</v>
      </c>
      <c r="C109" s="5"/>
      <c r="D109" s="126"/>
      <c r="E109" s="117">
        <v>3333.16</v>
      </c>
      <c r="F109" s="105">
        <f t="shared" si="1"/>
        <v>8527.5599999999977</v>
      </c>
      <c r="G109" s="11"/>
    </row>
    <row r="110" spans="1:8" x14ac:dyDescent="0.25">
      <c r="A110" s="9">
        <v>44963</v>
      </c>
      <c r="B110" s="138" t="s">
        <v>289</v>
      </c>
      <c r="C110" s="5"/>
      <c r="D110" s="102">
        <v>50000</v>
      </c>
      <c r="E110" s="106"/>
      <c r="F110" s="105">
        <f t="shared" si="1"/>
        <v>58527.56</v>
      </c>
      <c r="G110" s="11"/>
    </row>
    <row r="111" spans="1:8" x14ac:dyDescent="0.25">
      <c r="A111" s="9">
        <v>44967</v>
      </c>
      <c r="B111" s="138" t="s">
        <v>289</v>
      </c>
      <c r="C111" s="5"/>
      <c r="D111" s="134">
        <v>48700</v>
      </c>
      <c r="E111" s="106"/>
      <c r="F111" s="105">
        <f t="shared" si="1"/>
        <v>107227.56</v>
      </c>
      <c r="G111" s="126"/>
    </row>
    <row r="112" spans="1:8" x14ac:dyDescent="0.25">
      <c r="A112" s="9"/>
      <c r="B112" s="138" t="s">
        <v>295</v>
      </c>
      <c r="C112" s="5"/>
      <c r="D112" s="102"/>
      <c r="E112" s="106"/>
      <c r="F112" s="105">
        <f t="shared" si="1"/>
        <v>107227.56</v>
      </c>
      <c r="G112" s="258"/>
    </row>
    <row r="113" spans="1:7" x14ac:dyDescent="0.25">
      <c r="A113" s="9"/>
      <c r="B113" s="200" t="s">
        <v>10</v>
      </c>
      <c r="C113" s="5"/>
      <c r="D113" s="102"/>
      <c r="E113" s="106">
        <v>1000</v>
      </c>
      <c r="F113" s="105">
        <f t="shared" si="1"/>
        <v>106227.56</v>
      </c>
      <c r="G113" s="11"/>
    </row>
    <row r="114" spans="1:7" x14ac:dyDescent="0.25">
      <c r="A114" s="9"/>
      <c r="B114" s="200" t="s">
        <v>109</v>
      </c>
      <c r="C114" s="5"/>
      <c r="D114" s="102"/>
      <c r="E114" s="106">
        <v>9310.93</v>
      </c>
      <c r="F114" s="105">
        <f t="shared" si="1"/>
        <v>96916.63</v>
      </c>
      <c r="G114" s="11"/>
    </row>
    <row r="115" spans="1:7" x14ac:dyDescent="0.25">
      <c r="A115" s="9"/>
      <c r="B115" s="200" t="s">
        <v>109</v>
      </c>
      <c r="C115" s="5"/>
      <c r="D115" s="102"/>
      <c r="E115" s="106">
        <v>6593.8</v>
      </c>
      <c r="F115" s="105">
        <f t="shared" si="1"/>
        <v>90322.83</v>
      </c>
      <c r="G115" s="11"/>
    </row>
    <row r="116" spans="1:7" x14ac:dyDescent="0.25">
      <c r="A116" s="9"/>
      <c r="B116" s="200" t="s">
        <v>82</v>
      </c>
      <c r="C116" s="5"/>
      <c r="D116" s="102"/>
      <c r="E116" s="106">
        <v>2500</v>
      </c>
      <c r="F116" s="105">
        <f t="shared" si="1"/>
        <v>87822.83</v>
      </c>
      <c r="G116" s="11"/>
    </row>
    <row r="117" spans="1:7" x14ac:dyDescent="0.25">
      <c r="A117" s="9"/>
      <c r="B117" s="200" t="s">
        <v>188</v>
      </c>
      <c r="C117" s="5"/>
      <c r="D117" s="102"/>
      <c r="E117" s="106">
        <v>4750</v>
      </c>
      <c r="F117" s="105">
        <f t="shared" si="1"/>
        <v>83072.83</v>
      </c>
      <c r="G117" s="11"/>
    </row>
    <row r="118" spans="1:7" x14ac:dyDescent="0.25">
      <c r="A118" s="9"/>
      <c r="B118" s="200" t="s">
        <v>117</v>
      </c>
      <c r="C118" s="5"/>
      <c r="D118" s="102"/>
      <c r="E118" s="106">
        <v>1658</v>
      </c>
      <c r="F118" s="105">
        <f t="shared" si="1"/>
        <v>81414.83</v>
      </c>
      <c r="G118" s="11"/>
    </row>
    <row r="119" spans="1:7" x14ac:dyDescent="0.25">
      <c r="A119" s="9"/>
      <c r="B119" s="200" t="s">
        <v>107</v>
      </c>
      <c r="C119" s="5"/>
      <c r="D119" s="102"/>
      <c r="E119" s="106">
        <v>6800</v>
      </c>
      <c r="F119" s="105">
        <f t="shared" si="1"/>
        <v>74614.83</v>
      </c>
      <c r="G119" s="11"/>
    </row>
    <row r="120" spans="1:7" x14ac:dyDescent="0.25">
      <c r="A120" s="9"/>
      <c r="B120" s="200" t="s">
        <v>126</v>
      </c>
      <c r="C120" s="5"/>
      <c r="D120" s="102"/>
      <c r="E120" s="106">
        <v>9600</v>
      </c>
      <c r="F120" s="105">
        <f t="shared" si="1"/>
        <v>65014.83</v>
      </c>
      <c r="G120" s="11"/>
    </row>
    <row r="121" spans="1:7" x14ac:dyDescent="0.25">
      <c r="A121" s="9"/>
      <c r="B121" s="200" t="s">
        <v>189</v>
      </c>
      <c r="C121" s="5"/>
      <c r="D121" s="102"/>
      <c r="E121" s="106">
        <v>9920</v>
      </c>
      <c r="F121" s="105">
        <f t="shared" si="1"/>
        <v>55094.83</v>
      </c>
      <c r="G121" s="11"/>
    </row>
    <row r="122" spans="1:7" x14ac:dyDescent="0.25">
      <c r="A122" s="9"/>
      <c r="B122" s="200"/>
      <c r="C122" s="5"/>
      <c r="D122" s="102"/>
      <c r="E122" s="106">
        <v>0</v>
      </c>
      <c r="F122" s="105">
        <f t="shared" si="1"/>
        <v>55094.83</v>
      </c>
      <c r="G122" s="11"/>
    </row>
    <row r="123" spans="1:7" x14ac:dyDescent="0.25">
      <c r="A123" s="9"/>
      <c r="B123" s="138" t="s">
        <v>207</v>
      </c>
      <c r="C123" s="5"/>
      <c r="D123" s="134"/>
      <c r="E123" s="117">
        <v>726</v>
      </c>
      <c r="F123" s="105">
        <f t="shared" si="1"/>
        <v>54368.83</v>
      </c>
      <c r="G123" s="11"/>
    </row>
    <row r="124" spans="1:7" x14ac:dyDescent="0.25">
      <c r="A124" s="9"/>
      <c r="B124" s="138" t="s">
        <v>209</v>
      </c>
      <c r="C124" s="5"/>
      <c r="D124" s="134"/>
      <c r="E124" s="117">
        <v>7000</v>
      </c>
      <c r="F124" s="105">
        <f t="shared" si="1"/>
        <v>47368.83</v>
      </c>
      <c r="G124" s="11"/>
    </row>
    <row r="125" spans="1:7" x14ac:dyDescent="0.25">
      <c r="A125" s="9"/>
      <c r="B125" s="200" t="s">
        <v>296</v>
      </c>
      <c r="C125" s="5"/>
      <c r="D125" s="134"/>
      <c r="E125" s="117">
        <v>13570.511624999999</v>
      </c>
      <c r="F125" s="105">
        <f t="shared" si="1"/>
        <v>33798.318375000003</v>
      </c>
      <c r="G125" s="11"/>
    </row>
    <row r="126" spans="1:7" x14ac:dyDescent="0.25">
      <c r="A126" s="204">
        <v>44979</v>
      </c>
      <c r="B126" s="138" t="s">
        <v>289</v>
      </c>
      <c r="C126" s="11"/>
      <c r="D126" s="134">
        <v>50000</v>
      </c>
      <c r="E126" s="117"/>
      <c r="F126" s="105">
        <f t="shared" si="1"/>
        <v>83798.318375000003</v>
      </c>
      <c r="G126" s="11"/>
    </row>
    <row r="127" spans="1:7" x14ac:dyDescent="0.25">
      <c r="A127" s="9"/>
      <c r="B127" s="138" t="s">
        <v>297</v>
      </c>
      <c r="C127" s="5"/>
      <c r="D127" s="134"/>
      <c r="E127" s="117"/>
      <c r="F127" s="105">
        <f t="shared" si="1"/>
        <v>83798.318375000003</v>
      </c>
      <c r="G127" s="11"/>
    </row>
    <row r="128" spans="1:7" x14ac:dyDescent="0.25">
      <c r="A128" s="9"/>
      <c r="B128" s="138" t="s">
        <v>253</v>
      </c>
      <c r="C128" s="5"/>
      <c r="D128" s="134"/>
      <c r="E128" s="117">
        <v>10236.700000000001</v>
      </c>
      <c r="F128" s="105">
        <f t="shared" si="1"/>
        <v>73561.618375000005</v>
      </c>
      <c r="G128" s="11"/>
    </row>
    <row r="129" spans="1:15" x14ac:dyDescent="0.25">
      <c r="A129" s="9"/>
      <c r="B129" s="138" t="s">
        <v>314</v>
      </c>
      <c r="C129" s="5"/>
      <c r="D129" s="134">
        <v>10236.700000000001</v>
      </c>
      <c r="E129" s="134"/>
      <c r="F129" s="105">
        <f t="shared" si="1"/>
        <v>83798.318375000003</v>
      </c>
      <c r="G129" s="11"/>
      <c r="H129" s="1"/>
    </row>
    <row r="130" spans="1:15" x14ac:dyDescent="0.25">
      <c r="A130" s="204">
        <v>44981</v>
      </c>
      <c r="B130" s="138" t="s">
        <v>289</v>
      </c>
      <c r="C130" s="11"/>
      <c r="D130" s="134">
        <v>50000</v>
      </c>
      <c r="E130" s="117"/>
      <c r="F130" s="105">
        <f t="shared" si="1"/>
        <v>133798.318375</v>
      </c>
      <c r="G130" s="11"/>
      <c r="H130" s="1"/>
    </row>
    <row r="131" spans="1:15" x14ac:dyDescent="0.25">
      <c r="A131" s="9"/>
      <c r="B131" s="138" t="s">
        <v>189</v>
      </c>
      <c r="C131" s="5"/>
      <c r="D131" s="134"/>
      <c r="E131" s="117">
        <v>5250</v>
      </c>
      <c r="F131" s="105">
        <f t="shared" si="1"/>
        <v>128548.318375</v>
      </c>
      <c r="G131" s="11"/>
    </row>
    <row r="132" spans="1:15" x14ac:dyDescent="0.25">
      <c r="A132" s="9"/>
      <c r="B132" s="138" t="s">
        <v>340</v>
      </c>
      <c r="C132" s="5"/>
      <c r="D132" s="134"/>
      <c r="E132" s="117">
        <v>740</v>
      </c>
      <c r="F132" s="105">
        <f t="shared" ref="F132:F140" si="2">+F131+D132-E132</f>
        <v>127808.318375</v>
      </c>
      <c r="G132" s="11"/>
    </row>
    <row r="133" spans="1:15" x14ac:dyDescent="0.25">
      <c r="A133" s="9">
        <v>44992</v>
      </c>
      <c r="B133" s="138" t="s">
        <v>315</v>
      </c>
      <c r="C133" s="5"/>
      <c r="D133" s="134"/>
      <c r="E133" s="117">
        <v>5363.3</v>
      </c>
      <c r="F133" s="105">
        <f t="shared" si="2"/>
        <v>122445.018375</v>
      </c>
      <c r="G133" s="11"/>
    </row>
    <row r="134" spans="1:15" x14ac:dyDescent="0.25">
      <c r="A134" s="9"/>
      <c r="B134" s="138" t="s">
        <v>107</v>
      </c>
      <c r="C134" s="5"/>
      <c r="D134" s="134"/>
      <c r="E134" s="134">
        <v>3000</v>
      </c>
      <c r="F134" s="105">
        <f t="shared" si="2"/>
        <v>119445.018375</v>
      </c>
      <c r="G134" s="11"/>
    </row>
    <row r="135" spans="1:15" x14ac:dyDescent="0.25">
      <c r="A135" s="9"/>
      <c r="B135" s="138" t="s">
        <v>188</v>
      </c>
      <c r="C135" s="5"/>
      <c r="D135" s="134"/>
      <c r="E135" s="117">
        <v>9600</v>
      </c>
      <c r="F135" s="105">
        <f t="shared" si="2"/>
        <v>109845.018375</v>
      </c>
      <c r="G135" s="11"/>
    </row>
    <row r="136" spans="1:15" x14ac:dyDescent="0.25">
      <c r="A136" s="9"/>
      <c r="B136" s="138" t="s">
        <v>207</v>
      </c>
      <c r="C136" s="5"/>
      <c r="D136" s="134"/>
      <c r="E136" s="117">
        <v>4235</v>
      </c>
      <c r="F136" s="105">
        <f t="shared" si="2"/>
        <v>105610.018375</v>
      </c>
      <c r="G136" s="11"/>
    </row>
    <row r="137" spans="1:15" x14ac:dyDescent="0.25">
      <c r="A137" s="9">
        <v>44998</v>
      </c>
      <c r="B137" t="s">
        <v>289</v>
      </c>
      <c r="C137" s="5"/>
      <c r="D137" s="134">
        <v>31000</v>
      </c>
      <c r="E137" s="117"/>
      <c r="F137" s="250">
        <v>136572.91</v>
      </c>
      <c r="G137" s="290">
        <v>136610.01999999999</v>
      </c>
      <c r="H137" s="1">
        <f>+G137-F137</f>
        <v>37.10999999998603</v>
      </c>
    </row>
    <row r="138" spans="1:15" x14ac:dyDescent="0.25">
      <c r="A138" s="9">
        <v>44998</v>
      </c>
      <c r="B138" t="s">
        <v>352</v>
      </c>
      <c r="C138" s="291" t="str">
        <f>+INDEX(CARGAFACTURAS!$A:$W,MATCH(CC!L138,CARGAFACTURAS!W:W,0),4)</f>
        <v>00011-0012344</v>
      </c>
      <c r="D138" s="134"/>
      <c r="E138" s="117">
        <v>9296</v>
      </c>
      <c r="F138" s="105">
        <f t="shared" si="2"/>
        <v>127276.91</v>
      </c>
      <c r="G138" s="11" t="s">
        <v>719</v>
      </c>
      <c r="J138" t="str">
        <f>+VLOOKUP(B138,'AUX23'!$D$1:$N$79,11,0)</f>
        <v>04-MANTENIMIENTO</v>
      </c>
      <c r="K138">
        <v>294</v>
      </c>
      <c r="L138" t="str">
        <f>+M138&amp;COUNTIF($M$138:M138,M138)</f>
        <v>MILER SRL3CC1</v>
      </c>
      <c r="M138" t="str">
        <f>+CLEAN(B138)&amp;MONTH(A138)&amp;"CC"</f>
        <v>MILER SRL3CC</v>
      </c>
    </row>
    <row r="139" spans="1:15" x14ac:dyDescent="0.25">
      <c r="A139" s="9">
        <v>44998</v>
      </c>
      <c r="B139" s="138" t="s">
        <v>315</v>
      </c>
      <c r="C139" s="291" t="str">
        <f>+INDEX(CARGAFACTURAS!$A:$W,MATCH(CC!L139,CARGAFACTURAS!W:W,0),4)</f>
        <v>0018-00009114</v>
      </c>
      <c r="D139" s="134"/>
      <c r="E139" s="117">
        <v>5363.3</v>
      </c>
      <c r="F139" s="105">
        <f t="shared" si="2"/>
        <v>121913.61</v>
      </c>
      <c r="G139" s="11" t="s">
        <v>718</v>
      </c>
      <c r="H139" s="1"/>
      <c r="J139" t="str">
        <f>+VLOOKUP(B139,'AUX23'!$D$1:$N$79,11,0)</f>
        <v>03-VIVERES</v>
      </c>
      <c r="K139">
        <v>211</v>
      </c>
      <c r="L139" t="str">
        <f>+M139&amp;COUNTIF($M$138:M139,M139)</f>
        <v>LAMAS MONICA GABRIELA3CC1</v>
      </c>
      <c r="M139" t="str">
        <f t="shared" ref="M139:M198" si="3">+CLEAN(B139)&amp;MONTH(A139)&amp;"CC"</f>
        <v>LAMAS MONICA GABRIELA3CC</v>
      </c>
    </row>
    <row r="140" spans="1:15" x14ac:dyDescent="0.25">
      <c r="A140" s="9">
        <v>45000</v>
      </c>
      <c r="B140" s="138" t="s">
        <v>188</v>
      </c>
      <c r="C140" s="291" t="str">
        <f>+INDEX(CARGAFACTURAS!$A:$W,MATCH(CC!L140,CARGAFACTURAS!W:W,0),4)</f>
        <v>00004-00005475</v>
      </c>
      <c r="D140" s="134"/>
      <c r="E140" s="117">
        <v>2400</v>
      </c>
      <c r="F140" s="105">
        <f t="shared" si="2"/>
        <v>119513.61</v>
      </c>
      <c r="G140" s="11" t="s">
        <v>717</v>
      </c>
      <c r="J140" t="str">
        <f>+VLOOKUP(B140,'AUX23'!$D$1:$N$79,11,0)</f>
        <v>04-MANTENIMIENTO</v>
      </c>
      <c r="K140">
        <v>293</v>
      </c>
      <c r="L140" t="str">
        <f>+M140&amp;COUNTIF($M$138:M140,M140)</f>
        <v>ROTTA FRANCISCO(COMPUMAQ)3CC1</v>
      </c>
      <c r="M140" t="str">
        <f t="shared" si="3"/>
        <v>ROTTA FRANCISCO(COMPUMAQ)3CC</v>
      </c>
    </row>
    <row r="141" spans="1:15" x14ac:dyDescent="0.25">
      <c r="A141" s="204">
        <v>45000</v>
      </c>
      <c r="B141" s="11" t="s">
        <v>136</v>
      </c>
      <c r="C141" s="291" t="str">
        <f>+INDEX(CARGAFACTURAS!$A:$W,MATCH(CC!L141,CARGAFACTURAS!W:W,0),4)</f>
        <v>00001-00000208</v>
      </c>
      <c r="D141" s="134"/>
      <c r="E141" s="249">
        <v>6200</v>
      </c>
      <c r="F141" s="105">
        <f>+F140+D141-E141</f>
        <v>113313.61</v>
      </c>
      <c r="G141" s="11" t="s">
        <v>716</v>
      </c>
      <c r="H141">
        <v>113313.61</v>
      </c>
      <c r="I141" s="1">
        <f>+F141-H141</f>
        <v>0</v>
      </c>
      <c r="J141" t="str">
        <f>+VLOOKUP(B141,'AUX23'!$D$1:$N$79,11,0)</f>
        <v>04-MANTENIMIENTO</v>
      </c>
      <c r="K141">
        <v>293</v>
      </c>
      <c r="L141" t="str">
        <f>+M141&amp;COUNTIF($M$138:M141,M141)</f>
        <v>LOFT COMPUTACION SAS3CC1</v>
      </c>
      <c r="M141" t="str">
        <f t="shared" si="3"/>
        <v>LOFT COMPUTACION SAS3CC</v>
      </c>
      <c r="N141" t="s">
        <v>369</v>
      </c>
      <c r="O141" t="s">
        <v>3</v>
      </c>
    </row>
    <row r="142" spans="1:15" x14ac:dyDescent="0.25">
      <c r="A142" s="204">
        <v>45006</v>
      </c>
      <c r="B142" s="11" t="s">
        <v>100</v>
      </c>
      <c r="C142" s="291" t="str">
        <f>+INDEX(CARGAFACTURAS!$A:$W,MATCH(CC!L142,CARGAFACTURAS!W:W,0),4)</f>
        <v>0001-00001508</v>
      </c>
      <c r="D142" s="134"/>
      <c r="E142" s="249">
        <v>1000</v>
      </c>
      <c r="F142" s="105">
        <f t="shared" ref="F142:F159" si="4">+F141+D142-E142</f>
        <v>112313.61</v>
      </c>
      <c r="G142" s="11" t="s">
        <v>715</v>
      </c>
      <c r="J142" t="str">
        <f>+VLOOKUP(B142,'AUX23'!$D$1:$N$79,11,0)</f>
        <v>04-MANTENIMIENTO</v>
      </c>
      <c r="K142">
        <v>279</v>
      </c>
      <c r="L142" t="str">
        <f>+M142&amp;COUNTIF($M$138:M142,M142)</f>
        <v>VICINI CESAR LUIS3CC1</v>
      </c>
      <c r="M142" t="str">
        <f t="shared" si="3"/>
        <v>VICINI CESAR LUIS3CC</v>
      </c>
      <c r="N142" t="s">
        <v>370</v>
      </c>
      <c r="O142">
        <v>12838.28</v>
      </c>
    </row>
    <row r="143" spans="1:15" x14ac:dyDescent="0.25">
      <c r="A143" s="204">
        <v>45021</v>
      </c>
      <c r="B143" s="11" t="s">
        <v>442</v>
      </c>
      <c r="C143" s="291" t="str">
        <f>+INDEX(CARGAFACTURAS!$A:$W,MATCH(CC!L143,CARGAFACTURAS!W:W,0),4)</f>
        <v>00003-00001672</v>
      </c>
      <c r="D143" s="134"/>
      <c r="E143" s="249">
        <v>1300</v>
      </c>
      <c r="F143" s="105">
        <f t="shared" si="4"/>
        <v>111013.61</v>
      </c>
      <c r="G143" s="11" t="s">
        <v>538</v>
      </c>
      <c r="J143" t="str">
        <f>+VLOOKUP(B143,'AUX23'!$D$1:$N$79,11,0)</f>
        <v>01-LIBRERÍA</v>
      </c>
      <c r="K143">
        <v>292</v>
      </c>
      <c r="L143" t="str">
        <f>+M143&amp;COUNTIF($M$138:M143,M143)</f>
        <v>TUMBURUS PEDRO RUBEN4CC1</v>
      </c>
      <c r="M143" t="str">
        <f t="shared" si="3"/>
        <v>TUMBURUS PEDRO RUBEN4CC</v>
      </c>
      <c r="N143" t="s">
        <v>371</v>
      </c>
      <c r="O143">
        <v>10218</v>
      </c>
    </row>
    <row r="144" spans="1:15" x14ac:dyDescent="0.25">
      <c r="A144" s="204">
        <v>45027</v>
      </c>
      <c r="B144" s="11" t="s">
        <v>117</v>
      </c>
      <c r="C144" s="291" t="str">
        <f>+INDEX(CARGAFACTURAS!$A:$W,MATCH(CC!L144,CARGAFACTURAS!W:W,0),4)</f>
        <v>16781-00136575</v>
      </c>
      <c r="D144" s="134"/>
      <c r="E144" s="249">
        <v>1641</v>
      </c>
      <c r="F144" s="105">
        <f t="shared" si="4"/>
        <v>109372.61</v>
      </c>
      <c r="G144" s="11" t="s">
        <v>522</v>
      </c>
      <c r="J144" t="str">
        <f>+VLOOKUP(B144,'AUX23'!$D$1:$N$79,11,0)</f>
        <v>03-VIVERES</v>
      </c>
      <c r="K144">
        <v>292</v>
      </c>
      <c r="L144" t="str">
        <f>+M144&amp;COUNTIF($M$138:M144,M144)</f>
        <v>CARREFOUR4CC1</v>
      </c>
      <c r="M144" t="str">
        <f t="shared" si="3"/>
        <v>CARREFOUR4CC</v>
      </c>
      <c r="N144" t="s">
        <v>372</v>
      </c>
      <c r="O144">
        <v>13247.2</v>
      </c>
    </row>
    <row r="145" spans="1:15" x14ac:dyDescent="0.25">
      <c r="A145" s="204">
        <v>45027</v>
      </c>
      <c r="B145" s="11" t="s">
        <v>340</v>
      </c>
      <c r="C145" s="291" t="str">
        <f>+INDEX(CARGAFACTURAS!$A:$W,MATCH(CC!L145,CARGAFACTURAS!W:W,0),4)</f>
        <v>00005-00001501</v>
      </c>
      <c r="D145" s="134"/>
      <c r="E145" s="249">
        <v>650</v>
      </c>
      <c r="F145" s="105">
        <f t="shared" si="4"/>
        <v>108722.61</v>
      </c>
      <c r="G145" s="11" t="s">
        <v>537</v>
      </c>
      <c r="J145" t="str">
        <f>+VLOOKUP(B145,'AUX23'!$D$1:$N$79,11,0)</f>
        <v>04-MANTENIMIENTO</v>
      </c>
      <c r="K145">
        <v>279</v>
      </c>
      <c r="L145" t="str">
        <f>+M145&amp;COUNTIF($M$138:M145,M145)</f>
        <v>NAGLE JORGE ELIAS(FERRETERIA)4CC1</v>
      </c>
      <c r="M145" t="str">
        <f t="shared" si="3"/>
        <v>NAGLE JORGE ELIAS(FERRETERIA)4CC</v>
      </c>
      <c r="N145" t="s">
        <v>373</v>
      </c>
      <c r="O145">
        <v>2941</v>
      </c>
    </row>
    <row r="146" spans="1:15" x14ac:dyDescent="0.25">
      <c r="A146" s="204">
        <v>45028</v>
      </c>
      <c r="B146" s="11" t="s">
        <v>340</v>
      </c>
      <c r="C146" s="291" t="str">
        <f>+INDEX(CARGAFACTURAS!$A:$W,MATCH(CC!L146,CARGAFACTURAS!W:W,0),4)</f>
        <v>00005-00001503</v>
      </c>
      <c r="D146" s="134"/>
      <c r="E146" s="249">
        <v>4298</v>
      </c>
      <c r="F146" s="105">
        <f t="shared" si="4"/>
        <v>104424.61</v>
      </c>
      <c r="G146" s="11" t="s">
        <v>536</v>
      </c>
      <c r="J146" t="str">
        <f>+VLOOKUP(B146,'AUX23'!$D$1:$N$79,11,0)</f>
        <v>04-MANTENIMIENTO</v>
      </c>
      <c r="K146">
        <v>279</v>
      </c>
      <c r="L146" t="str">
        <f>+M146&amp;COUNTIF($M$138:M146,M146)</f>
        <v>NAGLE JORGE ELIAS(FERRETERIA)4CC2</v>
      </c>
      <c r="M146" t="str">
        <f t="shared" si="3"/>
        <v>NAGLE JORGE ELIAS(FERRETERIA)4CC</v>
      </c>
      <c r="N146" t="s">
        <v>374</v>
      </c>
      <c r="O146">
        <v>30100</v>
      </c>
    </row>
    <row r="147" spans="1:15" x14ac:dyDescent="0.25">
      <c r="A147" s="204">
        <v>45030</v>
      </c>
      <c r="B147" s="11" t="s">
        <v>458</v>
      </c>
      <c r="C147" s="291" t="str">
        <f>+INDEX(CARGAFACTURAS!$A:$W,MATCH(CC!L147,CARGAFACTURAS!W:W,0),4)</f>
        <v>00005-00014769</v>
      </c>
      <c r="D147" s="134"/>
      <c r="E147" s="249">
        <v>3600</v>
      </c>
      <c r="F147" s="105">
        <f t="shared" si="4"/>
        <v>100824.61</v>
      </c>
      <c r="G147" s="11" t="s">
        <v>535</v>
      </c>
      <c r="J147" t="str">
        <f>+VLOOKUP(B147,'AUX23'!$D$1:$N$79,11,0)</f>
        <v>04-MANTENIMIENTO</v>
      </c>
      <c r="K147">
        <v>293</v>
      </c>
      <c r="L147" t="str">
        <f>+M147&amp;COUNTIF($M$138:M147,M147)</f>
        <v>GOLDMAN RUBEN EDUARDO4CC1</v>
      </c>
      <c r="M147" t="str">
        <f t="shared" si="3"/>
        <v>GOLDMAN RUBEN EDUARDO4CC</v>
      </c>
      <c r="N147" t="s">
        <v>714</v>
      </c>
      <c r="O147">
        <v>13496</v>
      </c>
    </row>
    <row r="148" spans="1:15" x14ac:dyDescent="0.25">
      <c r="A148" s="204">
        <v>45030</v>
      </c>
      <c r="B148" s="11" t="s">
        <v>462</v>
      </c>
      <c r="C148" s="291" t="str">
        <f>+INDEX(CARGAFACTURAS!$A:$W,MATCH(CC!L148,CARGAFACTURAS!W:W,0),4)</f>
        <v>00035-00006354</v>
      </c>
      <c r="D148" s="134"/>
      <c r="E148" s="249">
        <v>2528.1799999999998</v>
      </c>
      <c r="F148" s="105">
        <f t="shared" si="4"/>
        <v>98296.430000000008</v>
      </c>
      <c r="G148" s="11" t="s">
        <v>534</v>
      </c>
      <c r="J148" t="str">
        <f>+VLOOKUP(B148,'AUX23'!$D$1:$N$79,11,0)</f>
        <v>04-MANTENIMIENTO</v>
      </c>
      <c r="K148">
        <v>296</v>
      </c>
      <c r="L148" t="str">
        <f>+M148&amp;COUNTIF($M$138:M148,M148)</f>
        <v>MEGAVENTAS SRL4CC1</v>
      </c>
      <c r="M148" t="str">
        <f t="shared" si="3"/>
        <v>MEGAVENTAS SRL4CC</v>
      </c>
      <c r="N148" t="s">
        <v>375</v>
      </c>
      <c r="O148">
        <v>17588.82</v>
      </c>
    </row>
    <row r="149" spans="1:15" x14ac:dyDescent="0.25">
      <c r="A149" s="204">
        <v>45035</v>
      </c>
      <c r="B149" s="11" t="s">
        <v>82</v>
      </c>
      <c r="C149" s="291" t="str">
        <f>+INDEX(CARGAFACTURAS!$A:$W,MATCH(CC!L149,CARGAFACTURAS!W:W,0),4)</f>
        <v>00011-00000659</v>
      </c>
      <c r="D149" s="134"/>
      <c r="E149" s="249">
        <v>2000</v>
      </c>
      <c r="F149" s="105">
        <f t="shared" si="4"/>
        <v>96296.430000000008</v>
      </c>
      <c r="G149" s="11" t="s">
        <v>539</v>
      </c>
      <c r="J149" t="str">
        <f>+VLOOKUP(B149,'AUX23'!$D$1:$N$79,11,0)</f>
        <v>03-VIVERES</v>
      </c>
      <c r="K149">
        <v>211</v>
      </c>
      <c r="L149" t="str">
        <f>+M149&amp;COUNTIF($M$138:M149,M149)</f>
        <v>MAIMARA MAXIKIOSCO4CC1</v>
      </c>
      <c r="M149" t="str">
        <f t="shared" si="3"/>
        <v>MAIMARA MAXIKIOSCO4CC</v>
      </c>
      <c r="N149" t="s">
        <v>376</v>
      </c>
      <c r="O149">
        <v>32160.05</v>
      </c>
    </row>
    <row r="150" spans="1:15" x14ac:dyDescent="0.25">
      <c r="A150" s="204">
        <v>45035</v>
      </c>
      <c r="B150" s="11" t="s">
        <v>340</v>
      </c>
      <c r="C150" s="291" t="str">
        <f>+INDEX(CARGAFACTURAS!$A:$W,MATCH(CC!L150,CARGAFACTURAS!W:W,0),4)</f>
        <v>00005-00001519</v>
      </c>
      <c r="D150" s="134"/>
      <c r="E150" s="249">
        <v>1350</v>
      </c>
      <c r="F150" s="105">
        <f t="shared" si="4"/>
        <v>94946.430000000008</v>
      </c>
      <c r="G150" s="11" t="s">
        <v>533</v>
      </c>
      <c r="J150" t="str">
        <f>+VLOOKUP(B150,'AUX23'!$D$1:$N$79,11,0)</f>
        <v>04-MANTENIMIENTO</v>
      </c>
      <c r="K150">
        <v>279</v>
      </c>
      <c r="L150" t="str">
        <f>+M150&amp;COUNTIF($M$138:M150,M150)</f>
        <v>NAGLE JORGE ELIAS(FERRETERIA)4CC3</v>
      </c>
      <c r="M150" t="str">
        <f t="shared" si="3"/>
        <v>NAGLE JORGE ELIAS(FERRETERIA)4CC</v>
      </c>
    </row>
    <row r="151" spans="1:15" x14ac:dyDescent="0.25">
      <c r="A151" s="204">
        <v>45035</v>
      </c>
      <c r="B151" s="11" t="s">
        <v>266</v>
      </c>
      <c r="C151" s="291" t="str">
        <f>+INDEX(CARGAFACTURAS!$A:$W,MATCH(CC!L151,CARGAFACTURAS!W:W,0),4)</f>
        <v>00002-00012585</v>
      </c>
      <c r="D151" s="134"/>
      <c r="E151" s="249">
        <v>500</v>
      </c>
      <c r="F151" s="105">
        <f t="shared" si="4"/>
        <v>94446.430000000008</v>
      </c>
      <c r="G151" s="11" t="s">
        <v>532</v>
      </c>
      <c r="J151" t="str">
        <f>+VLOOKUP(B151,'AUX23'!$D$1:$N$79,11,0)</f>
        <v>04-MANTENIMIENTO</v>
      </c>
      <c r="K151">
        <v>279</v>
      </c>
      <c r="L151" t="str">
        <f>+M151&amp;COUNTIF($M$138:M151,M151)</f>
        <v>OSYM4CC1</v>
      </c>
      <c r="M151" t="str">
        <f t="shared" si="3"/>
        <v>OSYM4CC</v>
      </c>
    </row>
    <row r="152" spans="1:15" x14ac:dyDescent="0.25">
      <c r="A152" s="204">
        <v>45037</v>
      </c>
      <c r="B152" s="11" t="s">
        <v>188</v>
      </c>
      <c r="C152" s="291" t="str">
        <f>+INDEX(CARGAFACTURAS!$A:$W,MATCH(CC!L152,CARGAFACTURAS!W:W,0),4)</f>
        <v>0004-00006451</v>
      </c>
      <c r="D152" s="134"/>
      <c r="E152" s="249">
        <v>4600</v>
      </c>
      <c r="F152" s="105">
        <f t="shared" si="4"/>
        <v>89846.430000000008</v>
      </c>
      <c r="G152" s="11" t="s">
        <v>530</v>
      </c>
      <c r="J152" t="str">
        <f>+VLOOKUP(B152,'AUX23'!$D$1:$N$79,11,0)</f>
        <v>04-MANTENIMIENTO</v>
      </c>
      <c r="K152">
        <v>293</v>
      </c>
      <c r="L152" t="str">
        <f>+M152&amp;COUNTIF($M$138:M152,M152)</f>
        <v>ROTTA FRANCISCO(COMPUMAQ)4CC1</v>
      </c>
      <c r="M152" t="str">
        <f t="shared" si="3"/>
        <v>ROTTA FRANCISCO(COMPUMAQ)4CC</v>
      </c>
      <c r="N152" t="str">
        <f>+LEFT(N142,3)</f>
        <v>211</v>
      </c>
      <c r="O152" s="141">
        <f>+SUMIF($K$138:$K$172,N152,$E$138:$E$172)</f>
        <v>12838.28</v>
      </c>
    </row>
    <row r="153" spans="1:15" x14ac:dyDescent="0.25">
      <c r="A153" s="204">
        <v>45041</v>
      </c>
      <c r="B153" s="11" t="s">
        <v>188</v>
      </c>
      <c r="C153" s="291" t="str">
        <f>+INDEX(CARGAFACTURAS!$A:$W,MATCH(CC!L153,CARGAFACTURAS!W:W,0),4)</f>
        <v>0003-00002434</v>
      </c>
      <c r="D153" s="134"/>
      <c r="E153" s="249">
        <v>6000</v>
      </c>
      <c r="F153" s="105">
        <f t="shared" si="4"/>
        <v>83846.430000000008</v>
      </c>
      <c r="G153" s="11" t="s">
        <v>531</v>
      </c>
      <c r="J153" t="str">
        <f>+VLOOKUP(B153,'AUX23'!$D$1:$N$79,11,0)</f>
        <v>04-MANTENIMIENTO</v>
      </c>
      <c r="K153">
        <v>293</v>
      </c>
      <c r="L153" t="str">
        <f>+M153&amp;COUNTIF($M$138:M153,M153)</f>
        <v>ROTTA FRANCISCO(COMPUMAQ)4CC2</v>
      </c>
      <c r="M153" t="str">
        <f t="shared" si="3"/>
        <v>ROTTA FRANCISCO(COMPUMAQ)4CC</v>
      </c>
      <c r="N153" t="str">
        <f t="shared" ref="N153:N159" si="5">+LEFT(N143,3)</f>
        <v>279</v>
      </c>
      <c r="O153" s="141">
        <f t="shared" ref="O153:O159" si="6">+SUMIF($K$138:$K$172,N153,$E$138:$E$172)</f>
        <v>10218</v>
      </c>
    </row>
    <row r="154" spans="1:15" x14ac:dyDescent="0.25">
      <c r="A154" s="204">
        <v>45048</v>
      </c>
      <c r="B154" s="11" t="s">
        <v>107</v>
      </c>
      <c r="C154" s="291" t="str">
        <f>+INDEX(CARGAFACTURAS!$A:$W,MATCH(CC!L154,CARGAFACTURAS!W:W,0),4)</f>
        <v>0006-00039736</v>
      </c>
      <c r="D154" s="134"/>
      <c r="E154" s="249">
        <v>5400</v>
      </c>
      <c r="F154" s="105">
        <f t="shared" si="4"/>
        <v>78446.430000000008</v>
      </c>
      <c r="G154" s="11" t="s">
        <v>529</v>
      </c>
      <c r="J154" t="str">
        <f>+VLOOKUP(B154,'AUX23'!$D$1:$N$79,11,0)</f>
        <v>04-MANTENIMIENTO</v>
      </c>
      <c r="K154">
        <v>291</v>
      </c>
      <c r="L154" t="str">
        <f>+M154&amp;COUNTIF($M$138:M154,M154)</f>
        <v>PUERTAS RUBEN ALBERTO(PLASTINORT)5CC1</v>
      </c>
      <c r="M154" t="str">
        <f t="shared" si="3"/>
        <v>PUERTAS RUBEN ALBERTO(PLASTINORT)5CC</v>
      </c>
      <c r="N154" t="str">
        <f t="shared" si="5"/>
        <v>291</v>
      </c>
      <c r="O154" s="141">
        <f t="shared" si="6"/>
        <v>13247.2</v>
      </c>
    </row>
    <row r="155" spans="1:15" x14ac:dyDescent="0.25">
      <c r="A155" s="204">
        <v>45048</v>
      </c>
      <c r="B155" s="11" t="s">
        <v>188</v>
      </c>
      <c r="C155" s="291" t="str">
        <f>+INDEX(CARGAFACTURAS!$A:$W,MATCH(CC!L155,CARGAFACTURAS!W:W,0),4)</f>
        <v>00004-00006557</v>
      </c>
      <c r="D155" s="134"/>
      <c r="E155" s="249">
        <v>1100</v>
      </c>
      <c r="F155" s="105">
        <f t="shared" si="4"/>
        <v>77346.430000000008</v>
      </c>
      <c r="G155" s="11" t="s">
        <v>528</v>
      </c>
      <c r="J155" t="str">
        <f>+VLOOKUP(B155,'AUX23'!$D$1:$N$79,11,0)</f>
        <v>04-MANTENIMIENTO</v>
      </c>
      <c r="K155">
        <v>293</v>
      </c>
      <c r="L155" t="str">
        <f>+M155&amp;COUNTIF($M$138:M155,M155)</f>
        <v>ROTTA FRANCISCO(COMPUMAQ)5CC1</v>
      </c>
      <c r="M155" t="str">
        <f t="shared" si="3"/>
        <v>ROTTA FRANCISCO(COMPUMAQ)5CC</v>
      </c>
      <c r="N155" t="str">
        <f t="shared" si="5"/>
        <v>292</v>
      </c>
      <c r="O155" s="141">
        <f t="shared" si="6"/>
        <v>2941</v>
      </c>
    </row>
    <row r="156" spans="1:15" x14ac:dyDescent="0.25">
      <c r="A156" s="204">
        <v>45054</v>
      </c>
      <c r="B156" s="11" t="s">
        <v>540</v>
      </c>
      <c r="C156" s="291" t="str">
        <f>+INDEX(CARGAFACTURAS!$A:$W,MATCH(CC!L156,CARGAFACTURAS!W:W,0),4)</f>
        <v>0091-00021599</v>
      </c>
      <c r="D156" s="134"/>
      <c r="E156" s="249">
        <v>7430.03</v>
      </c>
      <c r="F156" s="105">
        <f t="shared" si="4"/>
        <v>69916.400000000009</v>
      </c>
      <c r="G156" s="11" t="s">
        <v>544</v>
      </c>
      <c r="J156" t="str">
        <f>+VLOOKUP(B156,'AUX23'!$D$1:$N$79,11,0)</f>
        <v>02-SERVICIOS</v>
      </c>
      <c r="K156">
        <v>379</v>
      </c>
      <c r="L156" t="str">
        <f>+M156&amp;COUNTIF($M$138:M156,M156)</f>
        <v>LA GACETA5CC1</v>
      </c>
      <c r="M156" t="str">
        <f t="shared" si="3"/>
        <v>LA GACETA5CC</v>
      </c>
      <c r="N156" t="str">
        <f t="shared" si="5"/>
        <v>293</v>
      </c>
      <c r="O156" s="141">
        <f t="shared" si="6"/>
        <v>30100</v>
      </c>
    </row>
    <row r="157" spans="1:15" x14ac:dyDescent="0.25">
      <c r="A157" s="204">
        <v>45055</v>
      </c>
      <c r="B157" t="s">
        <v>546</v>
      </c>
      <c r="C157" s="291" t="str">
        <f>+INDEX(CARGAFACTURAS!$A:$W,MATCH(CC!L157,CARGAFACTURAS!W:W,0),4)</f>
        <v>00001-00001566</v>
      </c>
      <c r="D157" s="134"/>
      <c r="E157" s="249">
        <v>1700</v>
      </c>
      <c r="F157" s="105">
        <f t="shared" si="4"/>
        <v>68216.400000000009</v>
      </c>
      <c r="G157" s="11" t="s">
        <v>550</v>
      </c>
      <c r="J157" t="str">
        <f>+VLOOKUP(B157,'AUX23'!$D$1:$N$79,11,0)</f>
        <v>04-MANTENIMIENTO</v>
      </c>
      <c r="K157">
        <v>379</v>
      </c>
      <c r="L157" t="str">
        <f>+M157&amp;COUNTIF($M$138:M157,M157)</f>
        <v>BARRIONUEVO CEBALLOS MARIA ENRIQUETA5CC1</v>
      </c>
      <c r="M157" t="str">
        <f t="shared" si="3"/>
        <v>BARRIONUEVO CEBALLOS MARIA ENRIQUETA5CC</v>
      </c>
      <c r="N157" t="str">
        <f t="shared" si="5"/>
        <v>294</v>
      </c>
      <c r="O157" s="141">
        <f t="shared" si="6"/>
        <v>13496</v>
      </c>
    </row>
    <row r="158" spans="1:15" x14ac:dyDescent="0.25">
      <c r="A158" s="204">
        <v>45057</v>
      </c>
      <c r="B158" s="11" t="s">
        <v>114</v>
      </c>
      <c r="C158" s="291" t="str">
        <f>+INDEX(CARGAFACTURAS!$A:$W,MATCH(CC!L158,CARGAFACTURAS!W:W,0),4)</f>
        <v>0008-00017979</v>
      </c>
      <c r="D158" s="134"/>
      <c r="E158" s="249">
        <v>4402.57</v>
      </c>
      <c r="F158" s="105">
        <f t="shared" si="4"/>
        <v>63813.830000000009</v>
      </c>
      <c r="G158" s="11" t="s">
        <v>557</v>
      </c>
      <c r="J158" t="str">
        <f>+VLOOKUP(B158,'AUX23'!$D$1:$N$79,11,0)</f>
        <v>04-MANTENIMIENTO</v>
      </c>
      <c r="K158">
        <v>291</v>
      </c>
      <c r="L158" t="str">
        <f>+M158&amp;COUNTIF($M$138:M158,M158)</f>
        <v>GOMEZ PARDO RAUL(LIMPLUS)5CC1</v>
      </c>
      <c r="M158" t="str">
        <f t="shared" si="3"/>
        <v>GOMEZ PARDO RAUL(LIMPLUS)5CC</v>
      </c>
      <c r="N158" t="str">
        <f t="shared" si="5"/>
        <v>296</v>
      </c>
      <c r="O158" s="141">
        <f t="shared" si="6"/>
        <v>17588.82</v>
      </c>
    </row>
    <row r="159" spans="1:15" x14ac:dyDescent="0.25">
      <c r="A159" s="204">
        <v>45061</v>
      </c>
      <c r="B159" s="11" t="s">
        <v>560</v>
      </c>
      <c r="C159" s="291" t="str">
        <f>+INDEX(CARGAFACTURAS!$A:$W,MATCH(CC!L159,CARGAFACTURAS!W:W,0),4)</f>
        <v>0005-00001700</v>
      </c>
      <c r="D159" s="134"/>
      <c r="E159" s="249">
        <v>9690.64</v>
      </c>
      <c r="F159" s="105">
        <f t="shared" si="4"/>
        <v>54123.19000000001</v>
      </c>
      <c r="G159" s="11" t="s">
        <v>584</v>
      </c>
      <c r="H159">
        <v>54160.3</v>
      </c>
      <c r="I159" s="1">
        <f>+F159-H159</f>
        <v>-37.109999999993306</v>
      </c>
      <c r="J159" t="str">
        <f>+VLOOKUP(B159,'AUX23'!$D$1:$N$79,11,0)</f>
        <v>04-MANTENIMIENTO</v>
      </c>
      <c r="K159">
        <v>296</v>
      </c>
      <c r="L159" t="str">
        <f>+M159&amp;COUNTIF($M$138:M159,M159)</f>
        <v>SUCESION DE NUÑEZ CAMPERO MARIO ROBERTO5CC1</v>
      </c>
      <c r="M159" t="str">
        <f t="shared" si="3"/>
        <v>SUCESION DE NUÑEZ CAMPERO MARIO ROBERTO5CC</v>
      </c>
      <c r="N159" t="str">
        <f t="shared" si="5"/>
        <v>379</v>
      </c>
      <c r="O159" s="141">
        <f t="shared" si="6"/>
        <v>32160.05</v>
      </c>
    </row>
    <row r="160" spans="1:15" x14ac:dyDescent="0.25">
      <c r="A160" s="204">
        <v>45075</v>
      </c>
      <c r="B160" t="s">
        <v>340</v>
      </c>
      <c r="C160" s="291" t="str">
        <f>+INDEX(CARGAFACTURAS!$A:$W,MATCH(CC!L160,CARGAFACTURAS!W:W,0),4)</f>
        <v>0005-00001615</v>
      </c>
      <c r="D160" s="134"/>
      <c r="E160" s="249">
        <v>740</v>
      </c>
      <c r="F160" s="105">
        <f t="shared" ref="F160:F161" si="7">+F159+D160-E160</f>
        <v>53383.19000000001</v>
      </c>
      <c r="G160" s="11" t="s">
        <v>723</v>
      </c>
      <c r="J160" t="str">
        <f>+VLOOKUP(B160,'AUX23'!$D$1:$N$79,11,0)</f>
        <v>04-MANTENIMIENTO</v>
      </c>
      <c r="K160">
        <v>279</v>
      </c>
      <c r="L160" t="str">
        <f>+M160&amp;COUNTIF($M$138:M160,M160)</f>
        <v>NAGLE JORGE ELIAS(FERRETERIA)5CC1</v>
      </c>
      <c r="M160" t="str">
        <f t="shared" si="3"/>
        <v>NAGLE JORGE ELIAS(FERRETERIA)5CC</v>
      </c>
      <c r="O160" s="1">
        <f>SUM(O152:O159)</f>
        <v>132589.34999999998</v>
      </c>
    </row>
    <row r="161" spans="1:15" x14ac:dyDescent="0.25">
      <c r="A161" s="204">
        <v>45085</v>
      </c>
      <c r="B161" s="11" t="s">
        <v>340</v>
      </c>
      <c r="C161" s="291" t="str">
        <f>+INDEX(CARGAFACTURAS!$A:$W,MATCH(CC!L161,CARGAFACTURAS!W:W,0),4)</f>
        <v>0005-00001642</v>
      </c>
      <c r="D161" s="134"/>
      <c r="E161" s="249">
        <v>1680</v>
      </c>
      <c r="F161" s="105">
        <f t="shared" si="7"/>
        <v>51703.19000000001</v>
      </c>
      <c r="G161" s="11" t="s">
        <v>607</v>
      </c>
      <c r="J161" t="str">
        <f>+VLOOKUP(B161,'AUX23'!$D$1:$N$79,11,0)</f>
        <v>04-MANTENIMIENTO</v>
      </c>
      <c r="K161">
        <v>279</v>
      </c>
      <c r="L161" t="str">
        <f>+M161&amp;COUNTIF($M$138:M161,M161)</f>
        <v>NAGLE JORGE ELIAS(FERRETERIA)6CC1</v>
      </c>
      <c r="M161" t="str">
        <f t="shared" si="3"/>
        <v>NAGLE JORGE ELIAS(FERRETERIA)6CC</v>
      </c>
      <c r="O161" s="1">
        <f>+F172</f>
        <v>3983.5600000000013</v>
      </c>
    </row>
    <row r="162" spans="1:15" x14ac:dyDescent="0.25">
      <c r="A162" s="204">
        <v>45089</v>
      </c>
      <c r="B162" s="11" t="s">
        <v>114</v>
      </c>
      <c r="C162" s="291" t="str">
        <f>+INDEX(CARGAFACTURAS!$A:$W,MATCH(CC!L162,CARGAFACTURAS!W:W,0),4)</f>
        <v>0008-00018297</v>
      </c>
      <c r="D162" s="134"/>
      <c r="E162" s="249">
        <v>3444.63</v>
      </c>
      <c r="F162" s="105">
        <f t="shared" ref="F162:F198" si="8">+F161+D162-E162</f>
        <v>48258.560000000012</v>
      </c>
      <c r="G162" s="11" t="s">
        <v>636</v>
      </c>
      <c r="J162" t="str">
        <f>+VLOOKUP(B162,'AUX23'!$D$1:$N$79,11,0)</f>
        <v>04-MANTENIMIENTO</v>
      </c>
      <c r="K162">
        <v>291</v>
      </c>
      <c r="L162" t="str">
        <f>+M162&amp;COUNTIF($M$138:M162,M162)</f>
        <v>GOMEZ PARDO RAUL(LIMPLUS)6CC1</v>
      </c>
      <c r="M162" t="str">
        <f t="shared" si="3"/>
        <v>GOMEZ PARDO RAUL(LIMPLUS)6CC</v>
      </c>
      <c r="O162" s="217">
        <f>+O160+O161</f>
        <v>136572.90999999997</v>
      </c>
    </row>
    <row r="163" spans="1:15" x14ac:dyDescent="0.25">
      <c r="A163" s="204">
        <v>45089</v>
      </c>
      <c r="B163" s="11" t="s">
        <v>117</v>
      </c>
      <c r="C163" s="291" t="str">
        <f>+INDEX(CARGAFACTURAS!$A:$W,MATCH(CC!L163,CARGAFACTURAS!W:W,0),4)</f>
        <v>16787-00124952</v>
      </c>
      <c r="D163" s="134"/>
      <c r="E163" s="249">
        <v>5370</v>
      </c>
      <c r="F163" s="105">
        <f t="shared" si="8"/>
        <v>42888.560000000012</v>
      </c>
      <c r="G163" s="11" t="s">
        <v>638</v>
      </c>
      <c r="J163" t="str">
        <f>+VLOOKUP(B163,'AUX23'!$D$1:$N$79,11,0)</f>
        <v>03-VIVERES</v>
      </c>
      <c r="K163">
        <v>296</v>
      </c>
      <c r="L163" t="str">
        <f>+M163&amp;COUNTIF($M$138:M163,M163)</f>
        <v>CARREFOUR6CC1</v>
      </c>
      <c r="M163" t="str">
        <f t="shared" si="3"/>
        <v>CARREFOUR6CC</v>
      </c>
    </row>
    <row r="164" spans="1:15" x14ac:dyDescent="0.25">
      <c r="A164" s="204">
        <v>45100</v>
      </c>
      <c r="B164" s="11" t="s">
        <v>540</v>
      </c>
      <c r="C164" s="291" t="str">
        <f>+INDEX(CARGAFACTURAS!$A:$W,MATCH(CC!L164,CARGAFACTURAS!W:W,0),4)</f>
        <v>0084-00017948</v>
      </c>
      <c r="D164" s="134"/>
      <c r="E164" s="249">
        <v>6230.02</v>
      </c>
      <c r="F164" s="105">
        <f t="shared" si="8"/>
        <v>36658.540000000008</v>
      </c>
      <c r="G164" s="11" t="s">
        <v>544</v>
      </c>
      <c r="J164" t="str">
        <f>+VLOOKUP(B164,'AUX23'!$D$1:$N$79,11,0)</f>
        <v>02-SERVICIOS</v>
      </c>
      <c r="K164">
        <v>379</v>
      </c>
      <c r="L164" t="str">
        <f>+M164&amp;COUNTIF($M$138:M164,M164)</f>
        <v>LA GACETA6CC1</v>
      </c>
      <c r="M164" t="str">
        <f t="shared" si="3"/>
        <v>LA GACETA6CC</v>
      </c>
    </row>
    <row r="165" spans="1:15" x14ac:dyDescent="0.25">
      <c r="A165" s="204">
        <v>45103</v>
      </c>
      <c r="B165" s="11" t="s">
        <v>107</v>
      </c>
      <c r="C165" s="291" t="str">
        <f>+INDEX(CARGAFACTURAS!$A:$W,MATCH(CC!L165,CARGAFACTURAS!W:W,0),4)</f>
        <v>0006-000041912</v>
      </c>
      <c r="D165" s="134"/>
      <c r="E165" s="249">
        <v>2700</v>
      </c>
      <c r="F165" s="105">
        <v>33995.65</v>
      </c>
      <c r="G165" s="11" t="s">
        <v>632</v>
      </c>
      <c r="H165">
        <v>33995.65</v>
      </c>
      <c r="I165" s="217">
        <f>+H165-F165</f>
        <v>0</v>
      </c>
      <c r="J165" t="str">
        <f>+VLOOKUP(B165,'AUX23'!$D$1:$N$79,11,0)</f>
        <v>04-MANTENIMIENTO</v>
      </c>
      <c r="K165">
        <v>294</v>
      </c>
      <c r="L165" t="str">
        <f>+M165&amp;COUNTIF($M$138:M165,M165)</f>
        <v>PUERTAS RUBEN ALBERTO(PLASTINORT)6CC1</v>
      </c>
      <c r="M165" t="str">
        <f t="shared" si="3"/>
        <v>PUERTAS RUBEN ALBERTO(PLASTINORT)6CC</v>
      </c>
    </row>
    <row r="166" spans="1:15" x14ac:dyDescent="0.25">
      <c r="A166" s="204">
        <v>45107</v>
      </c>
      <c r="B166" t="s">
        <v>639</v>
      </c>
      <c r="C166" s="291" t="str">
        <f>+INDEX(CARGAFACTURAS!$A:$W,MATCH(CC!L166,CARGAFACTURAS!W:W,0),4)</f>
        <v>0010-00007338</v>
      </c>
      <c r="D166" s="134"/>
      <c r="E166" s="249">
        <v>6200</v>
      </c>
      <c r="F166" s="105">
        <f t="shared" si="8"/>
        <v>27795.65</v>
      </c>
      <c r="G166" s="11" t="s">
        <v>642</v>
      </c>
      <c r="J166" t="str">
        <f>+VLOOKUP(B166,'AUX23'!$D$1:$N$79,11,0)</f>
        <v>04-MANTENIMIENTO</v>
      </c>
      <c r="K166">
        <v>293</v>
      </c>
      <c r="L166" t="str">
        <f>+M166&amp;COUNTIF($M$138:M166,M166)</f>
        <v>ANDRADA NICOLAS MATIAS6CC1</v>
      </c>
      <c r="M166" t="str">
        <f t="shared" si="3"/>
        <v>ANDRADA NICOLAS MATIAS6CC</v>
      </c>
    </row>
    <row r="167" spans="1:15" x14ac:dyDescent="0.25">
      <c r="A167" s="204">
        <v>45114</v>
      </c>
      <c r="B167" s="11" t="s">
        <v>82</v>
      </c>
      <c r="C167" s="291" t="str">
        <f>+INDEX(CARGAFACTURAS!$A:$W,MATCH(CC!L167,CARGAFACTURAS!W:W,0),4)</f>
        <v>0011-00000742</v>
      </c>
      <c r="D167" s="134"/>
      <c r="E167" s="249">
        <v>1474.98</v>
      </c>
      <c r="F167" s="105">
        <v>26283.56</v>
      </c>
      <c r="G167" s="11" t="s">
        <v>718</v>
      </c>
      <c r="H167">
        <f>26320.67-37.11</f>
        <v>26283.559999999998</v>
      </c>
      <c r="J167" t="str">
        <f>+VLOOKUP(B167,'AUX23'!$D$1:$N$79,11,0)</f>
        <v>03-VIVERES</v>
      </c>
      <c r="K167">
        <v>211</v>
      </c>
      <c r="L167" t="str">
        <f>+M167&amp;COUNTIF($M$138:M167,M167)</f>
        <v>MAIMARA MAXIKIOSCO7CC1</v>
      </c>
      <c r="M167" t="str">
        <f t="shared" si="3"/>
        <v>MAIMARA MAXIKIOSCO7CC</v>
      </c>
    </row>
    <row r="168" spans="1:15" x14ac:dyDescent="0.25">
      <c r="A168" s="204">
        <v>45110</v>
      </c>
      <c r="B168" s="11" t="s">
        <v>643</v>
      </c>
      <c r="C168" s="291" t="str">
        <f>+INDEX(CARGAFACTURAS!$A:$W,MATCH(CC!L168,CARGAFACTURAS!W:W,0),4)</f>
        <v>0003-00000204</v>
      </c>
      <c r="D168" s="134"/>
      <c r="E168" s="249">
        <v>9000</v>
      </c>
      <c r="F168" s="105">
        <f t="shared" si="8"/>
        <v>17283.560000000001</v>
      </c>
      <c r="G168" s="11" t="s">
        <v>707</v>
      </c>
      <c r="J168" t="str">
        <f>+VLOOKUP(B168,'AUX23'!$D$1:$N$79,11,0)</f>
        <v>04-MANTENIMIENTO</v>
      </c>
      <c r="K168">
        <v>379</v>
      </c>
      <c r="L168" t="str">
        <f>+M168&amp;COUNTIF($M$138:M168,M168)</f>
        <v>MOLINA GONZALO RAUL7CC1</v>
      </c>
      <c r="M168" t="str">
        <f t="shared" si="3"/>
        <v>MOLINA GONZALO RAUL7CC</v>
      </c>
    </row>
    <row r="169" spans="1:15" x14ac:dyDescent="0.25">
      <c r="A169" s="204">
        <v>45112</v>
      </c>
      <c r="B169" s="11" t="s">
        <v>643</v>
      </c>
      <c r="C169" s="291" t="str">
        <f>+INDEX(CARGAFACTURAS!$A:$W,MATCH(CC!L169,CARGAFACTURAS!W:W,0),4)</f>
        <v>0003-00000201</v>
      </c>
      <c r="D169" s="134"/>
      <c r="E169" s="249">
        <v>7800</v>
      </c>
      <c r="F169" s="105">
        <f t="shared" si="8"/>
        <v>9483.5600000000013</v>
      </c>
      <c r="G169" s="11" t="s">
        <v>708</v>
      </c>
      <c r="J169" t="str">
        <f>+VLOOKUP(B169,'AUX23'!$D$1:$N$79,11,0)</f>
        <v>04-MANTENIMIENTO</v>
      </c>
      <c r="K169">
        <v>379</v>
      </c>
      <c r="L169" t="str">
        <f>+M169&amp;COUNTIF($M$138:M169,M169)</f>
        <v>MOLINA GONZALO RAUL7CC2</v>
      </c>
      <c r="M169" t="str">
        <f t="shared" si="3"/>
        <v>MOLINA GONZALO RAUL7CC</v>
      </c>
    </row>
    <row r="170" spans="1:15" x14ac:dyDescent="0.25">
      <c r="A170" s="204">
        <v>45114</v>
      </c>
      <c r="B170" s="11" t="s">
        <v>82</v>
      </c>
      <c r="C170" s="291" t="str">
        <f>+INDEX(CARGAFACTURAS!$A:$W,MATCH(CC!L170,CARGAFACTURAS!W:W,0),4)</f>
        <v>0011-00000741</v>
      </c>
      <c r="D170" s="134"/>
      <c r="E170" s="249">
        <v>2000</v>
      </c>
      <c r="F170" s="105">
        <f t="shared" si="8"/>
        <v>7483.5600000000013</v>
      </c>
      <c r="G170" s="11" t="s">
        <v>709</v>
      </c>
      <c r="J170" t="str">
        <f>+VLOOKUP(B170,'AUX23'!$D$1:$N$79,11,0)</f>
        <v>03-VIVERES</v>
      </c>
      <c r="K170">
        <v>211</v>
      </c>
      <c r="L170" t="str">
        <f>+M170&amp;COUNTIF($M$138:M170,M170)</f>
        <v>MAIMARA MAXIKIOSCO7CC2</v>
      </c>
      <c r="M170" t="str">
        <f t="shared" si="3"/>
        <v>MAIMARA MAXIKIOSCO7CC</v>
      </c>
    </row>
    <row r="171" spans="1:15" x14ac:dyDescent="0.25">
      <c r="A171" s="204">
        <v>45120</v>
      </c>
      <c r="B171" s="11" t="s">
        <v>107</v>
      </c>
      <c r="C171" s="291" t="str">
        <f>+INDEX(CARGAFACTURAS!$A:$W,MATCH(CC!L171,CARGAFACTURAS!W:W,0),4)</f>
        <v>0006-00042664</v>
      </c>
      <c r="D171" s="134"/>
      <c r="E171" s="249">
        <v>1500</v>
      </c>
      <c r="F171" s="105">
        <f t="shared" si="8"/>
        <v>5983.5600000000013</v>
      </c>
      <c r="G171" s="11" t="s">
        <v>710</v>
      </c>
      <c r="J171" t="str">
        <f>+VLOOKUP(B171,'AUX23'!$D$1:$N$79,11,0)</f>
        <v>04-MANTENIMIENTO</v>
      </c>
      <c r="K171">
        <v>294</v>
      </c>
      <c r="L171" t="str">
        <f>+M171&amp;COUNTIF($M$138:M171,M171)</f>
        <v>PUERTAS RUBEN ALBERTO(PLASTINORT)7CC1</v>
      </c>
      <c r="M171" t="str">
        <f t="shared" si="3"/>
        <v>PUERTAS RUBEN ALBERTO(PLASTINORT)7CC</v>
      </c>
    </row>
    <row r="172" spans="1:15" x14ac:dyDescent="0.25">
      <c r="A172" s="204">
        <v>45120</v>
      </c>
      <c r="B172" s="11" t="s">
        <v>82</v>
      </c>
      <c r="C172" s="291" t="str">
        <f>+INDEX(CARGAFACTURAS!$A:$W,MATCH(CC!L172,CARGAFACTURAS!W:W,0),4)</f>
        <v>0011-00000749</v>
      </c>
      <c r="D172" s="134"/>
      <c r="E172" s="249">
        <v>2000</v>
      </c>
      <c r="F172" s="105">
        <f t="shared" si="8"/>
        <v>3983.5600000000013</v>
      </c>
      <c r="G172" s="11" t="s">
        <v>709</v>
      </c>
      <c r="H172">
        <v>3983.56</v>
      </c>
      <c r="I172" s="217">
        <f>+F137-F172</f>
        <v>132589.35</v>
      </c>
      <c r="J172" t="str">
        <f>+VLOOKUP(B172,'AUX23'!$D$1:$N$79,11,0)</f>
        <v>03-VIVERES</v>
      </c>
      <c r="K172">
        <v>211</v>
      </c>
      <c r="L172" t="str">
        <f>+M172&amp;COUNTIF($M$138:M172,M172)</f>
        <v>MAIMARA MAXIKIOSCO7CC3</v>
      </c>
      <c r="M172" t="str">
        <f t="shared" si="3"/>
        <v>MAIMARA MAXIKIOSCO7CC</v>
      </c>
    </row>
    <row r="173" spans="1:15" x14ac:dyDescent="0.25">
      <c r="A173" s="204">
        <v>45134</v>
      </c>
      <c r="B173" s="11" t="s">
        <v>289</v>
      </c>
      <c r="C173" s="291" t="e">
        <f>+INDEX(CARGAFACTURAS!$A:$W,MATCH(CC!L173,CARGAFACTURAS!W:W,0),4)</f>
        <v>#N/A</v>
      </c>
      <c r="D173" s="134">
        <v>45000</v>
      </c>
      <c r="E173" s="249"/>
      <c r="F173" s="105">
        <f t="shared" si="8"/>
        <v>48983.56</v>
      </c>
      <c r="G173" s="11" t="s">
        <v>712</v>
      </c>
      <c r="L173" t="str">
        <f>+M173&amp;COUNTIF($M$138:M173,M173)</f>
        <v>CC7CC1</v>
      </c>
      <c r="M173" t="str">
        <f t="shared" si="3"/>
        <v>CC7CC</v>
      </c>
    </row>
    <row r="174" spans="1:15" x14ac:dyDescent="0.25">
      <c r="A174" s="204">
        <v>45128</v>
      </c>
      <c r="B174" s="11" t="s">
        <v>702</v>
      </c>
      <c r="C174" s="291" t="str">
        <f>+INDEX(CARGAFACTURAS!$A:$W,MATCH(CC!L174,CARGAFACTURAS!W:W,0),4)</f>
        <v>0001-00000021</v>
      </c>
      <c r="D174" s="134"/>
      <c r="E174" s="249">
        <v>6600</v>
      </c>
      <c r="F174" s="105">
        <f t="shared" si="8"/>
        <v>42383.56</v>
      </c>
      <c r="G174" s="11" t="s">
        <v>711</v>
      </c>
      <c r="J174" t="str">
        <f>+VLOOKUP(B174,'AUX23'!$D$1:$N$79,11,0)</f>
        <v>04-MANTENIMIENTO</v>
      </c>
      <c r="L174" t="str">
        <f>+M174&amp;COUNTIF($M$138:M174,M174)</f>
        <v>REINA ELECTRONICA SAS7CC1</v>
      </c>
      <c r="M174" t="str">
        <f t="shared" si="3"/>
        <v>REINA ELECTRONICA SAS7CC</v>
      </c>
    </row>
    <row r="175" spans="1:15" x14ac:dyDescent="0.25">
      <c r="A175" s="204">
        <v>45128</v>
      </c>
      <c r="B175" s="11" t="s">
        <v>702</v>
      </c>
      <c r="C175" s="291" t="str">
        <f>+INDEX(CARGAFACTURAS!$A:$W,MATCH(CC!L175,CARGAFACTURAS!W:W,0),4)</f>
        <v>0001-00000022</v>
      </c>
      <c r="D175" s="134"/>
      <c r="E175" s="249">
        <v>6600</v>
      </c>
      <c r="F175" s="105">
        <f t="shared" si="8"/>
        <v>35783.56</v>
      </c>
      <c r="G175" s="11" t="s">
        <v>711</v>
      </c>
      <c r="J175" t="str">
        <f>+VLOOKUP(B175,'AUX23'!$D$1:$N$79,11,0)</f>
        <v>04-MANTENIMIENTO</v>
      </c>
      <c r="L175" t="str">
        <f>+M175&amp;COUNTIF($M$138:M175,M175)</f>
        <v>REINA ELECTRONICA SAS7CC2</v>
      </c>
      <c r="M175" t="str">
        <f t="shared" si="3"/>
        <v>REINA ELECTRONICA SAS7CC</v>
      </c>
    </row>
    <row r="176" spans="1:15" x14ac:dyDescent="0.25">
      <c r="A176" s="204">
        <v>45132</v>
      </c>
      <c r="B176" s="11" t="s">
        <v>117</v>
      </c>
      <c r="C176" s="291" t="str">
        <f>+INDEX(CARGAFACTURAS!$A:$W,MATCH(CC!L176,CARGAFACTURAS!W:W,0),4)</f>
        <v>16785-0179161</v>
      </c>
      <c r="D176" s="134"/>
      <c r="E176" s="249">
        <v>1889</v>
      </c>
      <c r="F176" s="105">
        <f t="shared" si="8"/>
        <v>33894.559999999998</v>
      </c>
      <c r="G176" s="11" t="s">
        <v>735</v>
      </c>
      <c r="J176" t="str">
        <f>+VLOOKUP(B176,'AUX23'!$D$1:$N$79,11,0)</f>
        <v>03-VIVERES</v>
      </c>
      <c r="L176" t="str">
        <f>+M176&amp;COUNTIF($M$138:M176,M176)</f>
        <v>CARREFOUR7CC1</v>
      </c>
      <c r="M176" t="str">
        <f t="shared" si="3"/>
        <v>CARREFOUR7CC</v>
      </c>
    </row>
    <row r="177" spans="1:13" x14ac:dyDescent="0.25">
      <c r="A177" s="204">
        <v>45139</v>
      </c>
      <c r="B177" s="11" t="s">
        <v>107</v>
      </c>
      <c r="C177" s="291" t="str">
        <f>+INDEX(CARGAFACTURAS!$A:$W,MATCH(CC!L177,CARGAFACTURAS!W:W,0),4)</f>
        <v>0006-00043432</v>
      </c>
      <c r="D177" s="134"/>
      <c r="E177" s="249">
        <v>4800</v>
      </c>
      <c r="F177" s="105">
        <f t="shared" si="8"/>
        <v>29094.559999999998</v>
      </c>
      <c r="G177" s="11" t="s">
        <v>762</v>
      </c>
      <c r="J177" t="str">
        <f>+VLOOKUP(B177,'AUX23'!$D$1:$N$79,11,0)</f>
        <v>04-MANTENIMIENTO</v>
      </c>
      <c r="L177" t="str">
        <f>+M177&amp;COUNTIF($M$138:M177,M177)</f>
        <v>PUERTAS RUBEN ALBERTO(PLASTINORT)8CC1</v>
      </c>
      <c r="M177" t="str">
        <f t="shared" si="3"/>
        <v>PUERTAS RUBEN ALBERTO(PLASTINORT)8CC</v>
      </c>
    </row>
    <row r="178" spans="1:13" x14ac:dyDescent="0.25">
      <c r="A178" s="204">
        <v>45139</v>
      </c>
      <c r="B178" s="11" t="s">
        <v>340</v>
      </c>
      <c r="C178" s="291" t="str">
        <f>+INDEX(CARGAFACTURAS!$A:$W,MATCH(CC!L178,CARGAFACTURAS!W:W,0),4)</f>
        <v>0005-00001796</v>
      </c>
      <c r="D178" s="134"/>
      <c r="E178" s="249">
        <v>5260</v>
      </c>
      <c r="F178" s="105">
        <f t="shared" si="8"/>
        <v>23834.559999999998</v>
      </c>
      <c r="G178" s="11" t="s">
        <v>763</v>
      </c>
      <c r="J178" t="str">
        <f>+VLOOKUP(B178,'AUX23'!$D$1:$N$79,11,0)</f>
        <v>04-MANTENIMIENTO</v>
      </c>
      <c r="L178" t="str">
        <f>+M178&amp;COUNTIF($M$138:M178,M178)</f>
        <v>NAGLE JORGE ELIAS(FERRETERIA)8CC1</v>
      </c>
      <c r="M178" t="str">
        <f t="shared" si="3"/>
        <v>NAGLE JORGE ELIAS(FERRETERIA)8CC</v>
      </c>
    </row>
    <row r="179" spans="1:13" x14ac:dyDescent="0.25">
      <c r="A179" s="204">
        <v>45140</v>
      </c>
      <c r="B179" s="11" t="s">
        <v>82</v>
      </c>
      <c r="C179" s="291" t="str">
        <f>+INDEX(CARGAFACTURAS!$A:$W,MATCH(CC!L179,CARGAFACTURAS!W:W,0),4)</f>
        <v>0011-00000766</v>
      </c>
      <c r="D179" s="134"/>
      <c r="E179" s="249">
        <v>5000</v>
      </c>
      <c r="F179" s="105">
        <f t="shared" si="8"/>
        <v>18834.559999999998</v>
      </c>
      <c r="G179" s="11" t="s">
        <v>764</v>
      </c>
      <c r="J179" t="str">
        <f>+VLOOKUP(B179,'AUX23'!$D$1:$N$79,11,0)</f>
        <v>03-VIVERES</v>
      </c>
      <c r="L179" t="str">
        <f>+M179&amp;COUNTIF($M$138:M179,M179)</f>
        <v>MAIMARA MAXIKIOSCO8CC1</v>
      </c>
      <c r="M179" t="str">
        <f t="shared" si="3"/>
        <v>MAIMARA MAXIKIOSCO8CC</v>
      </c>
    </row>
    <row r="180" spans="1:13" x14ac:dyDescent="0.25">
      <c r="A180" s="204">
        <v>45139</v>
      </c>
      <c r="B180" s="11" t="s">
        <v>753</v>
      </c>
      <c r="C180" s="291" t="str">
        <f>+INDEX(CARGAFACTURAS!$A:$W,MATCH(CC!L180,CARGAFACTURAS!W:W,0),4)</f>
        <v>0003-00007997</v>
      </c>
      <c r="D180" s="134"/>
      <c r="E180" s="249">
        <v>7463.74</v>
      </c>
      <c r="F180" s="105">
        <f t="shared" si="8"/>
        <v>11370.819999999998</v>
      </c>
      <c r="G180" s="11" t="s">
        <v>765</v>
      </c>
      <c r="J180" t="str">
        <f>+VLOOKUP(B180,'AUX23'!$D$1:$N$79,11,0)</f>
        <v>04-MANTENIMIENTO</v>
      </c>
      <c r="L180" t="str">
        <f>+M180&amp;COUNTIF($M$138:M180,M180)</f>
        <v>ALUNORT SRL8CC1</v>
      </c>
      <c r="M180" t="str">
        <f t="shared" si="3"/>
        <v>ALUNORT SRL8CC</v>
      </c>
    </row>
    <row r="181" spans="1:13" x14ac:dyDescent="0.25">
      <c r="A181" s="204">
        <v>45139</v>
      </c>
      <c r="B181" s="11" t="s">
        <v>753</v>
      </c>
      <c r="C181" s="291" t="str">
        <f>+INDEX(CARGAFACTURAS!$A:$W,MATCH(CC!L181,CARGAFACTURAS!W:W,0),4)</f>
        <v>0003-00007998</v>
      </c>
      <c r="D181" s="134"/>
      <c r="E181" s="249">
        <v>7463.74</v>
      </c>
      <c r="F181" s="105">
        <f t="shared" si="8"/>
        <v>3907.0799999999981</v>
      </c>
      <c r="G181" s="11" t="s">
        <v>765</v>
      </c>
      <c r="J181" t="str">
        <f>+VLOOKUP(B181,'AUX23'!$D$1:$N$79,11,0)</f>
        <v>04-MANTENIMIENTO</v>
      </c>
      <c r="L181" t="str">
        <f>+M181&amp;COUNTIF($M$138:M181,M181)</f>
        <v>ALUNORT SRL8CC2</v>
      </c>
      <c r="M181" t="str">
        <f t="shared" si="3"/>
        <v>ALUNORT SRL8CC</v>
      </c>
    </row>
    <row r="182" spans="1:13" x14ac:dyDescent="0.25">
      <c r="A182" s="204">
        <v>45142</v>
      </c>
      <c r="B182" s="11" t="s">
        <v>758</v>
      </c>
      <c r="C182" s="291" t="str">
        <f>+INDEX(CARGAFACTURAS!$A:$W,MATCH(CC!L182,CARGAFACTURAS!W:W,0),4)</f>
        <v>0006-00010320</v>
      </c>
      <c r="D182" s="134"/>
      <c r="E182" s="249">
        <v>865</v>
      </c>
      <c r="F182" s="105">
        <f t="shared" si="8"/>
        <v>3042.0799999999981</v>
      </c>
      <c r="G182" s="11" t="s">
        <v>766</v>
      </c>
      <c r="J182" t="str">
        <f>+VLOOKUP(B182,'AUX23'!$D$1:$N$90,11,0)</f>
        <v>03-VIVERES</v>
      </c>
      <c r="L182" t="str">
        <f>+M182&amp;COUNTIF($M$138:M182,M182)</f>
        <v>POTENTE SUSANA BEATRIZ8CC1</v>
      </c>
      <c r="M182" t="str">
        <f t="shared" si="3"/>
        <v>POTENTE SUSANA BEATRIZ8CC</v>
      </c>
    </row>
    <row r="183" spans="1:13" x14ac:dyDescent="0.25">
      <c r="A183" s="204">
        <v>45145</v>
      </c>
      <c r="B183" s="11" t="s">
        <v>805</v>
      </c>
      <c r="C183" s="291" t="str">
        <f>+INDEX(CARGAFACTURAS!$A:$W,MATCH(CC!L183,CARGAFACTURAS!W:W,0),4)</f>
        <v>0001-00009989</v>
      </c>
      <c r="D183" s="134"/>
      <c r="E183" s="249">
        <v>540.14</v>
      </c>
      <c r="F183" s="105">
        <f t="shared" si="8"/>
        <v>2501.9399999999982</v>
      </c>
      <c r="G183" s="11" t="s">
        <v>788</v>
      </c>
      <c r="J183" t="str">
        <f>+VLOOKUP(B183,'AUX23'!$D$1:$N$90,11,0)</f>
        <v>04-MANTENIMIENTO</v>
      </c>
      <c r="L183" t="str">
        <f>+M183&amp;COUNTIF($M$138:M183,M183)</f>
        <v>PANTHER DISTRIBUCIONES SRL8CC1</v>
      </c>
      <c r="M183" t="str">
        <f t="shared" si="3"/>
        <v>PANTHER DISTRIBUCIONES SRL8CC</v>
      </c>
    </row>
    <row r="184" spans="1:13" x14ac:dyDescent="0.25">
      <c r="A184" s="204"/>
      <c r="B184" s="11" t="s">
        <v>289</v>
      </c>
      <c r="C184" s="291" t="e">
        <f>+INDEX(CARGAFACTURAS!$A:$W,MATCH(CC!L184,CARGAFACTURAS!W:W,0),4)</f>
        <v>#N/A</v>
      </c>
      <c r="D184" s="134">
        <v>20000</v>
      </c>
      <c r="E184" s="249"/>
      <c r="F184" s="105">
        <f t="shared" si="8"/>
        <v>22501.94</v>
      </c>
      <c r="G184" s="11"/>
      <c r="J184" t="e">
        <f>+VLOOKUP(B184,'AUX23'!$D$1:$N$90,11,0)</f>
        <v>#N/A</v>
      </c>
      <c r="L184" t="str">
        <f>+M184&amp;COUNTIF($M$138:M184,M184)</f>
        <v>CC1CC1</v>
      </c>
      <c r="M184" t="str">
        <f t="shared" si="3"/>
        <v>CC1CC</v>
      </c>
    </row>
    <row r="185" spans="1:13" x14ac:dyDescent="0.25">
      <c r="A185" s="204">
        <v>45145</v>
      </c>
      <c r="B185" s="11" t="s">
        <v>673</v>
      </c>
      <c r="C185" s="291" t="str">
        <f>+INDEX(CARGAFACTURAS!$A:$W,MATCH(CC!L185,CARGAFACTURAS!W:W,0),4)</f>
        <v>0003-00019860</v>
      </c>
      <c r="D185" s="134"/>
      <c r="E185" s="249">
        <v>4280</v>
      </c>
      <c r="F185" s="105">
        <f t="shared" ref="F185:F187" si="9">+F184+D185-E185</f>
        <v>18221.939999999999</v>
      </c>
      <c r="G185" s="11" t="s">
        <v>778</v>
      </c>
      <c r="J185" t="str">
        <f>+VLOOKUP(B185,'AUX23'!$D$1:$N$90,11,0)</f>
        <v>04-MANTENIMIENTO</v>
      </c>
      <c r="L185" t="str">
        <f>+M185&amp;COUNTIF($M$138:M185,M185)</f>
        <v>MULTISHOP SAS8CC1</v>
      </c>
      <c r="M185" t="str">
        <f t="shared" si="3"/>
        <v>MULTISHOP SAS8CC</v>
      </c>
    </row>
    <row r="186" spans="1:13" x14ac:dyDescent="0.25">
      <c r="A186" s="204">
        <v>45154</v>
      </c>
      <c r="B186" s="11" t="s">
        <v>887</v>
      </c>
      <c r="C186" s="291" t="str">
        <f>+INDEX(CARGAFACTURAS!$A:$W,MATCH(CC!L186,CARGAFACTURAS!W:W,0),4)</f>
        <v>0007-00010772</v>
      </c>
      <c r="D186" s="134"/>
      <c r="E186" s="249">
        <v>8500</v>
      </c>
      <c r="F186" s="105">
        <f t="shared" si="9"/>
        <v>9721.9399999999987</v>
      </c>
      <c r="G186" s="11" t="s">
        <v>890</v>
      </c>
      <c r="J186" t="str">
        <f>+VLOOKUP(B186,'AUX23'!$D$1:$N$90,11,0)</f>
        <v>04-MANTENIMIENTO</v>
      </c>
      <c r="L186" t="str">
        <f>+M186&amp;COUNTIF($M$138:M186,M186)</f>
        <v>MARTIN PEDRO8CC1</v>
      </c>
      <c r="M186" t="str">
        <f t="shared" si="3"/>
        <v>MARTIN PEDRO8CC</v>
      </c>
    </row>
    <row r="187" spans="1:13" x14ac:dyDescent="0.25">
      <c r="A187" s="204">
        <v>45154</v>
      </c>
      <c r="B187" t="s">
        <v>107</v>
      </c>
      <c r="C187" s="291" t="str">
        <f>+INDEX(CARGAFACTURAS!$A:$W,MATCH(CC!L187,CARGAFACTURAS!W:W,0),4)</f>
        <v>0006-00044125</v>
      </c>
      <c r="D187" s="134"/>
      <c r="E187" s="249">
        <v>4000</v>
      </c>
      <c r="F187" s="105">
        <f t="shared" si="9"/>
        <v>5721.9399999999987</v>
      </c>
      <c r="G187" s="11" t="s">
        <v>891</v>
      </c>
      <c r="J187" t="str">
        <f>+VLOOKUP(B187,'AUX23'!$D$1:$N$90,11,0)</f>
        <v>04-MANTENIMIENTO</v>
      </c>
      <c r="L187" t="str">
        <f>+M187&amp;COUNTIF($M$138:M187,M187)</f>
        <v>PUERTAS RUBEN ALBERTO(PLASTINORT)8CC2</v>
      </c>
      <c r="M187" t="str">
        <f t="shared" si="3"/>
        <v>PUERTAS RUBEN ALBERTO(PLASTINORT)8CC</v>
      </c>
    </row>
    <row r="188" spans="1:13" x14ac:dyDescent="0.25">
      <c r="A188" s="204"/>
      <c r="C188" s="291">
        <f>+INDEX(CARGAFACTURAS!$A:$W,MATCH(CC!L188,CARGAFACTURAS!W:W,0),4)</f>
        <v>0</v>
      </c>
      <c r="D188" s="134"/>
      <c r="E188" s="249"/>
      <c r="F188" s="105">
        <f t="shared" si="8"/>
        <v>5721.9399999999987</v>
      </c>
      <c r="G188" s="11"/>
      <c r="J188" t="e">
        <f>+VLOOKUP(B188,'AUX23'!$D$1:$N$90,11,0)</f>
        <v>#N/A</v>
      </c>
      <c r="L188" t="str">
        <f>+M188&amp;COUNTIF($M$138:M188,M188)</f>
        <v>1CC1</v>
      </c>
      <c r="M188" t="str">
        <f t="shared" si="3"/>
        <v>1CC</v>
      </c>
    </row>
    <row r="189" spans="1:13" x14ac:dyDescent="0.25">
      <c r="A189" s="204"/>
      <c r="B189" s="11"/>
      <c r="C189" s="291">
        <f>+INDEX(CARGAFACTURAS!$A:$W,MATCH(CC!L189,CARGAFACTURAS!W:W,0),4)</f>
        <v>0</v>
      </c>
      <c r="D189" s="134"/>
      <c r="E189" s="249"/>
      <c r="F189" s="105">
        <f t="shared" si="8"/>
        <v>5721.9399999999987</v>
      </c>
      <c r="G189" s="11"/>
      <c r="J189" t="e">
        <f>+VLOOKUP(B189,'AUX23'!$D$1:$N$90,11,0)</f>
        <v>#N/A</v>
      </c>
      <c r="L189" t="str">
        <f>+M189&amp;COUNTIF($M$138:M189,M189)</f>
        <v>1CC2</v>
      </c>
      <c r="M189" t="str">
        <f t="shared" si="3"/>
        <v>1CC</v>
      </c>
    </row>
    <row r="190" spans="1:13" x14ac:dyDescent="0.25">
      <c r="A190" s="204"/>
      <c r="B190" s="11"/>
      <c r="C190" s="291">
        <f>+INDEX(CARGAFACTURAS!$A:$W,MATCH(CC!L190,CARGAFACTURAS!W:W,0),4)</f>
        <v>0</v>
      </c>
      <c r="D190" s="134"/>
      <c r="E190" s="249"/>
      <c r="F190" s="105">
        <f t="shared" si="8"/>
        <v>5721.9399999999987</v>
      </c>
      <c r="G190" s="11"/>
      <c r="J190" t="e">
        <f>+VLOOKUP(B190,'AUX23'!$D$1:$N$90,11,0)</f>
        <v>#N/A</v>
      </c>
      <c r="L190" t="str">
        <f>+M190&amp;COUNTIF($M$138:M190,M190)</f>
        <v>1CC3</v>
      </c>
      <c r="M190" t="str">
        <f t="shared" si="3"/>
        <v>1CC</v>
      </c>
    </row>
    <row r="191" spans="1:13" x14ac:dyDescent="0.25">
      <c r="A191" s="204"/>
      <c r="B191" s="11"/>
      <c r="C191" s="291">
        <f>+INDEX(CARGAFACTURAS!$A:$W,MATCH(CC!L191,CARGAFACTURAS!W:W,0),4)</f>
        <v>0</v>
      </c>
      <c r="D191" s="134"/>
      <c r="E191" s="249"/>
      <c r="F191" s="105">
        <f t="shared" si="8"/>
        <v>5721.9399999999987</v>
      </c>
      <c r="G191" s="11"/>
      <c r="J191" t="e">
        <f>+VLOOKUP(B191,'AUX23'!$D$1:$N$90,11,0)</f>
        <v>#N/A</v>
      </c>
      <c r="L191" t="str">
        <f>+M191&amp;COUNTIF($M$138:M191,M191)</f>
        <v>1CC4</v>
      </c>
      <c r="M191" t="str">
        <f t="shared" si="3"/>
        <v>1CC</v>
      </c>
    </row>
    <row r="192" spans="1:13" x14ac:dyDescent="0.25">
      <c r="A192" s="204"/>
      <c r="B192" s="11"/>
      <c r="C192" s="291">
        <f>+INDEX(CARGAFACTURAS!$A:$W,MATCH(CC!L192,CARGAFACTURAS!W:W,0),4)</f>
        <v>0</v>
      </c>
      <c r="D192" s="134"/>
      <c r="E192" s="249"/>
      <c r="F192" s="105">
        <f t="shared" si="8"/>
        <v>5721.9399999999987</v>
      </c>
      <c r="G192" s="11"/>
      <c r="J192" t="e">
        <f>+VLOOKUP(B192,'AUX23'!$D$1:$N$90,11,0)</f>
        <v>#N/A</v>
      </c>
      <c r="L192" t="str">
        <f>+M192&amp;COUNTIF($M$138:M192,M192)</f>
        <v>1CC5</v>
      </c>
      <c r="M192" t="str">
        <f t="shared" si="3"/>
        <v>1CC</v>
      </c>
    </row>
    <row r="193" spans="1:13" x14ac:dyDescent="0.25">
      <c r="A193" s="204"/>
      <c r="B193" s="11"/>
      <c r="C193" s="291">
        <f>+INDEX(CARGAFACTURAS!$A:$W,MATCH(CC!L193,CARGAFACTURAS!W:W,0),4)</f>
        <v>0</v>
      </c>
      <c r="D193" s="134"/>
      <c r="E193" s="249"/>
      <c r="F193" s="105">
        <f t="shared" si="8"/>
        <v>5721.9399999999987</v>
      </c>
      <c r="G193" s="11"/>
      <c r="J193" t="e">
        <f>+VLOOKUP(B193,'AUX23'!$D$1:$N$90,11,0)</f>
        <v>#N/A</v>
      </c>
      <c r="L193" t="str">
        <f>+M193&amp;COUNTIF($M$138:M193,M193)</f>
        <v>1CC6</v>
      </c>
      <c r="M193" t="str">
        <f t="shared" si="3"/>
        <v>1CC</v>
      </c>
    </row>
    <row r="194" spans="1:13" x14ac:dyDescent="0.25">
      <c r="A194" s="204"/>
      <c r="B194" s="11"/>
      <c r="C194" s="291">
        <f>+INDEX(CARGAFACTURAS!$A:$W,MATCH(CC!L194,CARGAFACTURAS!W:W,0),4)</f>
        <v>0</v>
      </c>
      <c r="D194" s="134"/>
      <c r="E194" s="249"/>
      <c r="F194" s="105">
        <f t="shared" si="8"/>
        <v>5721.9399999999987</v>
      </c>
      <c r="G194" s="11"/>
      <c r="J194" t="e">
        <f>+VLOOKUP(B194,'AUX23'!$D$1:$N$90,11,0)</f>
        <v>#N/A</v>
      </c>
      <c r="L194" t="str">
        <f>+M194&amp;COUNTIF($M$138:M194,M194)</f>
        <v>1CC7</v>
      </c>
      <c r="M194" t="str">
        <f t="shared" si="3"/>
        <v>1CC</v>
      </c>
    </row>
    <row r="195" spans="1:13" x14ac:dyDescent="0.25">
      <c r="A195" s="204"/>
      <c r="B195" s="11"/>
      <c r="C195" s="291">
        <f>+INDEX(CARGAFACTURAS!$A:$W,MATCH(CC!L195,CARGAFACTURAS!W:W,0),4)</f>
        <v>0</v>
      </c>
      <c r="D195" s="134"/>
      <c r="E195" s="249"/>
      <c r="F195" s="105">
        <f t="shared" si="8"/>
        <v>5721.9399999999987</v>
      </c>
      <c r="G195" s="11"/>
      <c r="J195" t="e">
        <f>+VLOOKUP(B195,'AUX23'!$D$1:$N$90,11,0)</f>
        <v>#N/A</v>
      </c>
      <c r="L195" t="str">
        <f>+M195&amp;COUNTIF($M$138:M195,M195)</f>
        <v>1CC8</v>
      </c>
      <c r="M195" t="str">
        <f t="shared" si="3"/>
        <v>1CC</v>
      </c>
    </row>
    <row r="196" spans="1:13" x14ac:dyDescent="0.25">
      <c r="A196" s="204"/>
      <c r="B196" s="11"/>
      <c r="C196" s="291">
        <f>+INDEX(CARGAFACTURAS!$A:$W,MATCH(CC!L196,CARGAFACTURAS!W:W,0),4)</f>
        <v>0</v>
      </c>
      <c r="D196" s="134"/>
      <c r="E196" s="249"/>
      <c r="F196" s="105">
        <f t="shared" si="8"/>
        <v>5721.9399999999987</v>
      </c>
      <c r="G196" s="11"/>
      <c r="J196" t="e">
        <f>+VLOOKUP(B196,'AUX23'!$D$1:$N$90,11,0)</f>
        <v>#N/A</v>
      </c>
      <c r="L196" t="str">
        <f>+M196&amp;COUNTIF($M$138:M196,M196)</f>
        <v>1CC9</v>
      </c>
      <c r="M196" t="str">
        <f t="shared" si="3"/>
        <v>1CC</v>
      </c>
    </row>
    <row r="197" spans="1:13" x14ac:dyDescent="0.25">
      <c r="A197" s="204"/>
      <c r="B197" s="11"/>
      <c r="C197" s="291">
        <f>+INDEX(CARGAFACTURAS!$A:$W,MATCH(CC!L197,CARGAFACTURAS!W:W,0),4)</f>
        <v>0</v>
      </c>
      <c r="D197" s="134"/>
      <c r="E197" s="249"/>
      <c r="F197" s="105">
        <f t="shared" si="8"/>
        <v>5721.9399999999987</v>
      </c>
      <c r="G197" s="11"/>
      <c r="J197" t="e">
        <f>+VLOOKUP(B197,'AUX23'!$D$1:$N$90,11,0)</f>
        <v>#N/A</v>
      </c>
      <c r="L197" t="str">
        <f>+M197&amp;COUNTIF($M$138:M197,M197)</f>
        <v>1CC10</v>
      </c>
      <c r="M197" t="str">
        <f t="shared" si="3"/>
        <v>1CC</v>
      </c>
    </row>
    <row r="198" spans="1:13" x14ac:dyDescent="0.25">
      <c r="A198" s="204"/>
      <c r="B198" s="11"/>
      <c r="C198" s="11"/>
      <c r="D198" s="134"/>
      <c r="E198" s="249"/>
      <c r="F198" s="105">
        <f t="shared" si="8"/>
        <v>5721.9399999999987</v>
      </c>
      <c r="G198" s="11"/>
      <c r="J198" t="e">
        <f>+VLOOKUP(B198,'AUX23'!$D$1:$N$90,11,0)</f>
        <v>#N/A</v>
      </c>
      <c r="L198" t="str">
        <f>+M198&amp;COUNTIF($M$138:M198,M198)</f>
        <v>1CC11</v>
      </c>
      <c r="M198" t="str">
        <f t="shared" si="3"/>
        <v>1CC</v>
      </c>
    </row>
  </sheetData>
  <autoFilter ref="A1:K198" xr:uid="{2B6751DA-7221-4FB7-9835-FDDDCC522A56}"/>
  <sortState xmlns:xlrd2="http://schemas.microsoft.com/office/spreadsheetml/2017/richdata2" ref="A141:G159">
    <sortCondition ref="A141:A159"/>
    <sortCondition ref="B141:B159"/>
  </sortState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302389-ECE4-42F3-81F2-CB403C703B47}">
          <x14:formula1>
            <xm:f>'AUX23'!$D$2:$D$50</xm:f>
          </x14:formula1>
          <xm:sqref>B141:B149 B151:B165 B167:B172 B174:B179</xm:sqref>
        </x14:dataValidation>
        <x14:dataValidation type="list" allowBlank="1" showInputMessage="1" showErrorMessage="1" xr:uid="{80DED515-605A-409A-9EF3-F68D45C38D2B}">
          <x14:formula1>
            <xm:f>'AUX23'!$D$2:$D$70</xm:f>
          </x14:formula1>
          <xm:sqref>B166 B185:B198 B180:B183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746F-287B-4302-9647-8071604CC740}">
  <dimension ref="A1:Q79"/>
  <sheetViews>
    <sheetView workbookViewId="0">
      <selection activeCell="O9" sqref="O9"/>
    </sheetView>
  </sheetViews>
  <sheetFormatPr baseColWidth="10" defaultRowHeight="15" x14ac:dyDescent="0.25"/>
  <cols>
    <col min="1" max="1" width="13.28515625" customWidth="1"/>
    <col min="2" max="2" width="15.140625" customWidth="1"/>
    <col min="3" max="3" width="12.85546875" customWidth="1"/>
    <col min="4" max="4" width="12.42578125" bestFit="1" customWidth="1"/>
    <col min="5" max="5" width="16" customWidth="1"/>
    <col min="6" max="6" width="14.28515625" customWidth="1"/>
    <col min="7" max="7" width="13.7109375" customWidth="1"/>
    <col min="8" max="8" width="12.140625" customWidth="1"/>
    <col min="9" max="9" width="14.85546875" customWidth="1"/>
    <col min="10" max="10" width="14.28515625" customWidth="1"/>
    <col min="11" max="11" width="15" customWidth="1"/>
    <col min="12" max="12" width="14.42578125" customWidth="1"/>
    <col min="13" max="13" width="14.28515625" customWidth="1"/>
    <col min="14" max="14" width="12.85546875" customWidth="1"/>
    <col min="15" max="15" width="13.85546875" customWidth="1"/>
    <col min="16" max="16" width="15" customWidth="1"/>
  </cols>
  <sheetData>
    <row r="1" spans="1:17" ht="30.75" thickBot="1" x14ac:dyDescent="0.3">
      <c r="A1" s="171" t="s">
        <v>161</v>
      </c>
      <c r="B1" s="171" t="s">
        <v>163</v>
      </c>
      <c r="C1" s="172" t="s">
        <v>101</v>
      </c>
      <c r="D1" s="172" t="s">
        <v>102</v>
      </c>
      <c r="E1" s="172" t="s">
        <v>164</v>
      </c>
      <c r="F1" s="172" t="s">
        <v>124</v>
      </c>
      <c r="G1" s="172" t="s">
        <v>165</v>
      </c>
      <c r="H1" s="172" t="s">
        <v>202</v>
      </c>
      <c r="I1" s="173" t="s">
        <v>213</v>
      </c>
      <c r="J1" s="171" t="s">
        <v>191</v>
      </c>
      <c r="K1" s="172" t="s">
        <v>205</v>
      </c>
      <c r="L1" s="172" t="s">
        <v>203</v>
      </c>
      <c r="M1" s="172" t="s">
        <v>192</v>
      </c>
      <c r="N1" s="173" t="s">
        <v>204</v>
      </c>
      <c r="O1" s="174" t="s">
        <v>214</v>
      </c>
      <c r="P1" s="174" t="s">
        <v>499</v>
      </c>
      <c r="Q1" s="174" t="s">
        <v>199</v>
      </c>
    </row>
    <row r="2" spans="1:17" x14ac:dyDescent="0.25">
      <c r="A2" s="145" t="s">
        <v>166</v>
      </c>
      <c r="B2" s="156">
        <v>2244435.4500000002</v>
      </c>
      <c r="C2" s="146">
        <v>448500</v>
      </c>
      <c r="D2" s="146">
        <v>652662.84</v>
      </c>
      <c r="E2" s="146">
        <v>201877.71</v>
      </c>
      <c r="F2" s="146">
        <v>940500</v>
      </c>
      <c r="G2" s="146">
        <v>894.9</v>
      </c>
      <c r="H2" s="146"/>
      <c r="I2" s="147">
        <f>+B2-C2-D2-E2-F2-G2</f>
        <v>3.7255176721373573E-10</v>
      </c>
      <c r="J2" s="156">
        <f>+SUMIFS(CARGAFACTURAS!G:G,CARGAFACTURAS!B:B,FONDOS!A2,CARGAFACTURAS!P:P,"FONDO")</f>
        <v>448446.81999999995</v>
      </c>
      <c r="K2" s="151">
        <f>+C2-J2</f>
        <v>53.180000000051223</v>
      </c>
      <c r="L2" s="162">
        <f>+SUMIFS(CARGAFACTURAS!G:G,CARGAFACTURAS!B:B,FONDOS!A2,CARGAFACTURAS!P:P,"COMIDA")</f>
        <v>779000</v>
      </c>
      <c r="M2" s="146">
        <f>F2-L2</f>
        <v>161500</v>
      </c>
      <c r="N2" s="147">
        <f>G2-SUMIFS(CARGAFACTURAS!G:G,CARGAFACTURAS!B:B,FONDOS!A2,CARGAFACTURAS!P:P,"OTROS")</f>
        <v>894.9</v>
      </c>
      <c r="O2" s="169">
        <f>H2-SUMIFS(CARGAFACTURAS!G:G,CARGAFACTURAS!B:B,FONDOS!A2,CARGAFACTURAS!P:P,"RF")</f>
        <v>0</v>
      </c>
      <c r="P2" s="165">
        <f>+K2+M2+N2+O2</f>
        <v>162448.08000000005</v>
      </c>
      <c r="Q2" s="144" t="s">
        <v>206</v>
      </c>
    </row>
    <row r="3" spans="1:17" x14ac:dyDescent="0.25">
      <c r="A3" s="145" t="s">
        <v>143</v>
      </c>
      <c r="B3" s="156">
        <v>2169357.4500000002</v>
      </c>
      <c r="C3" s="146">
        <f>448500</f>
        <v>448500</v>
      </c>
      <c r="D3" s="146">
        <v>652662.84</v>
      </c>
      <c r="E3" s="146">
        <v>213194.61</v>
      </c>
      <c r="F3" s="146">
        <v>855000</v>
      </c>
      <c r="G3" s="146"/>
      <c r="H3" s="146">
        <v>134749</v>
      </c>
      <c r="I3" s="147">
        <f>+B3-C3-D3-E3-F3-G3</f>
        <v>3.4924596548080444E-10</v>
      </c>
      <c r="J3" s="156">
        <f>+SUMIFS(CARGAFACTURAS!G:G,CARGAFACTURAS!B:B,FONDOS!A3,CARGAFACTURAS!P:P,"FONDO")</f>
        <v>651719.99999999988</v>
      </c>
      <c r="K3" s="151">
        <f>+C3-J3</f>
        <v>-203219.99999999988</v>
      </c>
      <c r="L3" s="162">
        <f>+SUMIFS(CARGAFACTURAS!G:G,CARGAFACTURAS!B:B,FONDOS!A3,CARGAFACTURAS!P:P,"COMIDA")</f>
        <v>671650</v>
      </c>
      <c r="M3" s="146">
        <f>F3-L3</f>
        <v>183350</v>
      </c>
      <c r="N3" s="147">
        <f>G3-SUMIFS(CARGAFACTURAS!G:G,CARGAFACTURAS!B:B,FONDOS!A3,CARGAFACTURAS!P:P,"OTROS")</f>
        <v>0</v>
      </c>
      <c r="O3" s="169">
        <f>H3-SUMIFS(CARGAFACTURAS!G:G,CARGAFACTURAS!B:B,FONDOS!A3,CARGAFACTURAS!P:P,"RF")</f>
        <v>19870</v>
      </c>
      <c r="P3" s="165">
        <f>+K3+M3+N3+O3</f>
        <v>1.1641532182693481E-10</v>
      </c>
      <c r="Q3" s="144" t="s">
        <v>416</v>
      </c>
    </row>
    <row r="4" spans="1:17" x14ac:dyDescent="0.25">
      <c r="A4" s="145" t="s">
        <v>145</v>
      </c>
      <c r="B4" s="156">
        <v>2198644.5299999998</v>
      </c>
      <c r="C4" s="146">
        <v>448500</v>
      </c>
      <c r="D4" s="146">
        <v>589501.92000000004</v>
      </c>
      <c r="E4" s="146">
        <v>220142.61</v>
      </c>
      <c r="F4" s="146">
        <v>940500</v>
      </c>
      <c r="G4" s="146"/>
      <c r="H4" s="146"/>
      <c r="I4" s="147">
        <f t="shared" ref="I4:I12" si="0">+B4-C4-D4-E4-F4-G4</f>
        <v>-1.1641532182693481E-10</v>
      </c>
      <c r="J4" s="156">
        <f>+SUMIFS(CARGAFACTURAS!G:G,CARGAFACTURAS!B:B,FONDOS!A4,CARGAFACTURAS!P:P,"FONDO")</f>
        <v>448535.32000000007</v>
      </c>
      <c r="K4" s="151">
        <f t="shared" ref="K4:K5" si="1">+C4-J4</f>
        <v>-35.320000000065193</v>
      </c>
      <c r="L4" s="162">
        <f>+SUMIFS(CARGAFACTURAS!G:G,CARGAFACTURAS!B:B,FONDOS!A4,CARGAFACTURAS!P:P,"COMIDA")</f>
        <v>940500</v>
      </c>
      <c r="M4" s="146">
        <f t="shared" ref="M4:M13" si="2">F4-L4</f>
        <v>0</v>
      </c>
      <c r="N4" s="147">
        <f>G4-SUMIFS(CARGAFACTURAS!G:G,CARGAFACTURAS!B:B,FONDOS!A4,CARGAFACTURAS!P:P,"OTROS")</f>
        <v>0</v>
      </c>
      <c r="O4" s="169">
        <f>H4-SUMIFS(CARGAFACTURAS!G:G,CARGAFACTURAS!B:B,FONDOS!A4,CARGAFACTURAS!P:P,"RF")</f>
        <v>0</v>
      </c>
      <c r="P4" s="165">
        <f t="shared" ref="P4:P13" si="3">+K4+M4+N4+O4</f>
        <v>-35.320000000065193</v>
      </c>
      <c r="Q4" s="144"/>
    </row>
    <row r="5" spans="1:17" x14ac:dyDescent="0.25">
      <c r="A5" s="145" t="s">
        <v>144</v>
      </c>
      <c r="B5" s="156">
        <v>2265414.5699999998</v>
      </c>
      <c r="C5" s="146">
        <v>448500</v>
      </c>
      <c r="D5" s="146">
        <v>822000.96</v>
      </c>
      <c r="E5" s="146">
        <v>225413.61</v>
      </c>
      <c r="F5" s="146">
        <v>769500</v>
      </c>
      <c r="G5" s="146"/>
      <c r="H5" s="146">
        <v>881000</v>
      </c>
      <c r="I5" s="147">
        <f t="shared" si="0"/>
        <v>-1.1641532182693481E-10</v>
      </c>
      <c r="J5" s="156">
        <f>+SUMIFS(CARGAFACTURAS!G:G,CARGAFACTURAS!B:B,FONDOS!A5,CARGAFACTURAS!P:P,"FONDO")</f>
        <v>448516.17000000004</v>
      </c>
      <c r="K5" s="151">
        <f t="shared" si="1"/>
        <v>-16.17000000004191</v>
      </c>
      <c r="L5" s="162">
        <f>+SUMIFS(CARGAFACTURAS!G:G,CARGAFACTURAS!B:B,FONDOS!A5,CARGAFACTURAS!P:P,"COMIDA")</f>
        <v>769500</v>
      </c>
      <c r="M5" s="146">
        <f t="shared" si="2"/>
        <v>0</v>
      </c>
      <c r="N5" s="147">
        <f>G5-SUMIFS(CARGAFACTURAS!G:G,CARGAFACTURAS!B:B,FONDOS!A5,CARGAFACTURAS!P:P,"OTROS")</f>
        <v>0</v>
      </c>
      <c r="O5" s="169">
        <f>H5-SUMIFS(CARGAFACTURAS!G:G,CARGAFACTURAS!B:B,FONDOS!A5,CARGAFACTURAS!P:P,"RF")</f>
        <v>0</v>
      </c>
      <c r="P5" s="165">
        <f t="shared" si="3"/>
        <v>-16.17000000004191</v>
      </c>
      <c r="Q5" s="144"/>
    </row>
    <row r="6" spans="1:17" x14ac:dyDescent="0.25">
      <c r="A6" s="145" t="s">
        <v>146</v>
      </c>
      <c r="B6" s="156">
        <v>3203525.55</v>
      </c>
      <c r="C6" s="146">
        <v>448500</v>
      </c>
      <c r="D6" s="146">
        <v>795484.8</v>
      </c>
      <c r="E6" s="146">
        <f>300927.18+75513.57</f>
        <v>376440.75</v>
      </c>
      <c r="F6" s="146">
        <f>1240200+80000</f>
        <v>1320200</v>
      </c>
      <c r="G6" s="146">
        <v>262900</v>
      </c>
      <c r="H6" s="146">
        <f>322288.68+60000</f>
        <v>382288.68</v>
      </c>
      <c r="I6" s="147">
        <f>+B6-C6-D6-E6-F6-G6</f>
        <v>0</v>
      </c>
      <c r="J6" s="156">
        <f>+SUMIFS(CARGAFACTURAS!G:G,CARGAFACTURAS!B:B,FONDOS!A6,CARGAFACTURAS!P:P,"FONDO")</f>
        <v>471483.83</v>
      </c>
      <c r="K6" s="151">
        <f>+C6-J6</f>
        <v>-22983.830000000016</v>
      </c>
      <c r="L6" s="162">
        <f>+SUMIFS(CARGAFACTURAS!G:G,CARGAFACTURAS!B:B,FONDOS!A6,CARGAFACTURAS!P:P,"COMIDA")</f>
        <v>1297200</v>
      </c>
      <c r="M6" s="146">
        <f t="shared" si="2"/>
        <v>23000</v>
      </c>
      <c r="N6" s="147">
        <f>G6-SUMIFS(CARGAFACTURAS!G:G,CARGAFACTURAS!B:B,FONDOS!A6,CARGAFACTURAS!P:P,"OTROS")</f>
        <v>0</v>
      </c>
      <c r="O6" s="169">
        <f>H6-SUMIFS(CARGAFACTURAS!G:G,CARGAFACTURAS!B:B,FONDOS!A6,CARGAFACTURAS!P:P,"RF")</f>
        <v>0</v>
      </c>
      <c r="P6" s="165">
        <f>+K6+M6+N6+O6</f>
        <v>16.169999999983702</v>
      </c>
      <c r="Q6" s="144"/>
    </row>
    <row r="7" spans="1:17" x14ac:dyDescent="0.25">
      <c r="A7" s="145" t="s">
        <v>147</v>
      </c>
      <c r="B7" s="156">
        <v>2952529.66</v>
      </c>
      <c r="C7" s="146">
        <v>448500</v>
      </c>
      <c r="D7" s="146">
        <v>742452.48</v>
      </c>
      <c r="E7" s="146">
        <v>300927.18</v>
      </c>
      <c r="F7" s="146">
        <v>1378000</v>
      </c>
      <c r="G7" s="146">
        <v>82650</v>
      </c>
      <c r="H7" s="146">
        <f>150000+20000</f>
        <v>170000</v>
      </c>
      <c r="I7" s="147">
        <f t="shared" si="0"/>
        <v>2.3283064365386963E-10</v>
      </c>
      <c r="J7" s="156">
        <f>+SUMIFS(CARGAFACTURAS!G:G,CARGAFACTURAS!B:B,FONDOS!A7,CARGAFACTURAS!P:P,"FONDO")</f>
        <v>574600.09000000008</v>
      </c>
      <c r="K7" s="151">
        <f t="shared" ref="K7:K12" si="4">+C7-J7</f>
        <v>-126100.09000000008</v>
      </c>
      <c r="L7" s="162">
        <f>+SUMIFS(CARGAFACTURAS!G:G,CARGAFACTURAS!B:B,FONDOS!A7,CARGAFACTURAS!P:P,"COMIDA")</f>
        <v>1251900</v>
      </c>
      <c r="M7" s="146">
        <f t="shared" si="2"/>
        <v>126100</v>
      </c>
      <c r="N7" s="147">
        <f>G7-SUMIFS(CARGAFACTURAS!G:G,CARGAFACTURAS!B:B,FONDOS!A7,CARGAFACTURAS!P:P,"OTROS")</f>
        <v>0</v>
      </c>
      <c r="O7" s="169">
        <f>H7-SUMIFS(CARGAFACTURAS!G:G,CARGAFACTURAS!B:B,FONDOS!A7,CARGAFACTURAS!P:P,"RF")</f>
        <v>0</v>
      </c>
      <c r="P7" s="165">
        <f t="shared" si="3"/>
        <v>-9.0000000083819032E-2</v>
      </c>
      <c r="Q7" s="144"/>
    </row>
    <row r="8" spans="1:17" x14ac:dyDescent="0.25">
      <c r="A8" s="145" t="s">
        <v>148</v>
      </c>
      <c r="B8" s="156">
        <v>3305761.98</v>
      </c>
      <c r="C8" s="146">
        <f>448500+224250</f>
        <v>672750</v>
      </c>
      <c r="D8" s="146">
        <v>795484.8</v>
      </c>
      <c r="E8" s="146">
        <v>300927.18</v>
      </c>
      <c r="F8" s="146">
        <v>1446900</v>
      </c>
      <c r="G8" s="146">
        <v>89700</v>
      </c>
      <c r="H8" s="146">
        <v>600000</v>
      </c>
      <c r="I8" s="147">
        <f t="shared" si="0"/>
        <v>0</v>
      </c>
      <c r="J8" s="156">
        <f>+SUMIFS(CARGAFACTURAS!G:G,CARGAFACTURAS!B:B,FONDOS!A8,CARGAFACTURAS!P:P,"FONDO")</f>
        <v>888549.01000000024</v>
      </c>
      <c r="K8" s="151">
        <f t="shared" si="4"/>
        <v>-215799.01000000024</v>
      </c>
      <c r="L8" s="162">
        <f>+SUMIFS(CARGAFACTURAS!G:G,CARGAFACTURAS!B:B,FONDOS!A8,CARGAFACTURAS!P:P,"COMIDA")</f>
        <v>1231100</v>
      </c>
      <c r="M8" s="146">
        <f t="shared" si="2"/>
        <v>215800</v>
      </c>
      <c r="N8" s="147">
        <f>G8-SUMIFS(CARGAFACTURAS!G:G,CARGAFACTURAS!B:B,FONDOS!A8,CARGAFACTURAS!P:P,"OTROS")</f>
        <v>0</v>
      </c>
      <c r="O8" s="169">
        <f>H8-SUMIFS(CARGAFACTURAS!G:G,CARGAFACTURAS!B:B,FONDOS!A8,CARGAFACTURAS!P:P,"RF")</f>
        <v>0</v>
      </c>
      <c r="P8" s="165">
        <f t="shared" si="3"/>
        <v>0.98999999975785613</v>
      </c>
      <c r="Q8" s="144"/>
    </row>
    <row r="9" spans="1:17" x14ac:dyDescent="0.25">
      <c r="A9" s="145" t="s">
        <v>149</v>
      </c>
      <c r="B9" s="156">
        <f>3367360.83+9999.99</f>
        <v>3377360.8200000003</v>
      </c>
      <c r="C9" s="146">
        <f>672750+89700</f>
        <v>762450</v>
      </c>
      <c r="D9" s="146">
        <f>822000.96</f>
        <v>822000.96</v>
      </c>
      <c r="E9" s="146">
        <f>323468.52+22541.34</f>
        <v>346009.86000000004</v>
      </c>
      <c r="F9" s="146">
        <v>1446900</v>
      </c>
      <c r="G9" s="146"/>
      <c r="H9" s="146">
        <v>151184.51999999999</v>
      </c>
      <c r="I9" s="147">
        <f t="shared" si="0"/>
        <v>2.3283064365386963E-10</v>
      </c>
      <c r="J9" s="156">
        <f>+SUMIFS(CARGAFACTURAS!G:G,CARGAFACTURAS!B:B,FONDOS!A9,CARGAFACTURAS!P:P,"FONDO")</f>
        <v>506928.42000000004</v>
      </c>
      <c r="K9" s="151">
        <f t="shared" si="4"/>
        <v>255521.57999999996</v>
      </c>
      <c r="L9" s="162">
        <f>+SUMIFS(CARGAFACTURAS!G:G,CARGAFACTURAS!B:B,FONDOS!A9,CARGAFACTURAS!P:P,"COMIDA")</f>
        <v>1446900</v>
      </c>
      <c r="M9" s="146">
        <f t="shared" si="2"/>
        <v>0</v>
      </c>
      <c r="N9" s="147">
        <f>G9-SUMIFS(CARGAFACTURAS!G:G,CARGAFACTURAS!B:B,FONDOS!A9,CARGAFACTURAS!P:P,"OTROS")</f>
        <v>0</v>
      </c>
      <c r="O9" s="169">
        <f>H9-SUMIFS(CARGAFACTURAS!G:G,CARGAFACTURAS!B:B,FONDOS!A9,CARGAFACTURAS!P:P,"RF")</f>
        <v>0</v>
      </c>
      <c r="P9" s="165">
        <f t="shared" si="3"/>
        <v>255521.57999999996</v>
      </c>
      <c r="Q9" s="144"/>
    </row>
    <row r="10" spans="1:17" x14ac:dyDescent="0.25">
      <c r="A10" s="145" t="s">
        <v>162</v>
      </c>
      <c r="B10" s="156"/>
      <c r="C10" s="146"/>
      <c r="D10" s="146"/>
      <c r="E10" s="146"/>
      <c r="F10" s="146"/>
      <c r="G10" s="146"/>
      <c r="H10" s="146"/>
      <c r="I10" s="147">
        <f t="shared" si="0"/>
        <v>0</v>
      </c>
      <c r="J10" s="156">
        <f>+SUMIFS(CARGAFACTURAS!G:G,CARGAFACTURAS!B:B,FONDOS!A10,CARGAFACTURAS!P:P,"FONDO")</f>
        <v>0</v>
      </c>
      <c r="K10" s="151">
        <f t="shared" si="4"/>
        <v>0</v>
      </c>
      <c r="L10" s="162">
        <f>+SUMIFS(CARGAFACTURAS!G:G,CARGAFACTURAS!B:B,FONDOS!A10,CARGAFACTURAS!P:P,"COMIDA")</f>
        <v>0</v>
      </c>
      <c r="M10" s="146">
        <f t="shared" si="2"/>
        <v>0</v>
      </c>
      <c r="N10" s="147">
        <f>G10-SUMIFS(CARGAFACTURAS!G:G,CARGAFACTURAS!B:B,FONDOS!A10,CARGAFACTURAS!P:P,"OTROS")</f>
        <v>0</v>
      </c>
      <c r="O10" s="169">
        <f>H10-SUMIFS(CARGAFACTURAS!G:G,CARGAFACTURAS!B:B,FONDOS!A10,CARGAFACTURAS!P:P,"RF")</f>
        <v>0</v>
      </c>
      <c r="P10" s="165">
        <f t="shared" si="3"/>
        <v>0</v>
      </c>
      <c r="Q10" s="144"/>
    </row>
    <row r="11" spans="1:17" x14ac:dyDescent="0.25">
      <c r="A11" s="145" t="s">
        <v>193</v>
      </c>
      <c r="B11" s="157"/>
      <c r="I11" s="147">
        <f t="shared" si="0"/>
        <v>0</v>
      </c>
      <c r="J11" s="156">
        <f>+SUMIFS(CARGAFACTURAS!G:G,CARGAFACTURAS!B:B,FONDOS!A11,CARGAFACTURAS!P:P,"FONDO")</f>
        <v>0</v>
      </c>
      <c r="K11" s="151">
        <f t="shared" si="4"/>
        <v>0</v>
      </c>
      <c r="L11" s="162">
        <f>+SUMIFS(CARGAFACTURAS!G:G,CARGAFACTURAS!B:B,FONDOS!A11,CARGAFACTURAS!P:P,"COMIDA")</f>
        <v>0</v>
      </c>
      <c r="M11" s="146">
        <f t="shared" si="2"/>
        <v>0</v>
      </c>
      <c r="N11" s="147">
        <f>G11-SUMIFS(CARGAFACTURAS!G:G,CARGAFACTURAS!B:B,FONDOS!A11,CARGAFACTURAS!P:P,"OTROS")</f>
        <v>0</v>
      </c>
      <c r="O11" s="169">
        <f>H11-SUMIFS(CARGAFACTURAS!G:G,CARGAFACTURAS!B:B,FONDOS!A11,CARGAFACTURAS!P:P,"RF")</f>
        <v>0</v>
      </c>
      <c r="P11" s="165">
        <f t="shared" si="3"/>
        <v>0</v>
      </c>
      <c r="Q11" s="144"/>
    </row>
    <row r="12" spans="1:17" x14ac:dyDescent="0.25">
      <c r="A12" s="145" t="s">
        <v>194</v>
      </c>
      <c r="B12" s="157"/>
      <c r="I12" s="147">
        <f t="shared" si="0"/>
        <v>0</v>
      </c>
      <c r="J12" s="156">
        <f>+SUMIFS(CARGAFACTURAS!G:G,CARGAFACTURAS!B:B,FONDOS!A12,CARGAFACTURAS!P:P,"FONDO")</f>
        <v>0</v>
      </c>
      <c r="K12" s="151">
        <f t="shared" si="4"/>
        <v>0</v>
      </c>
      <c r="L12" s="162">
        <f>+SUMIFS(CARGAFACTURAS!G:G,CARGAFACTURAS!B:B,FONDOS!A12,CARGAFACTURAS!P:P,"COMIDA")</f>
        <v>0</v>
      </c>
      <c r="M12" s="146">
        <f t="shared" si="2"/>
        <v>0</v>
      </c>
      <c r="N12" s="147">
        <f>G12-SUMIFS(CARGAFACTURAS!G:G,CARGAFACTURAS!B:B,FONDOS!A12,CARGAFACTURAS!P:P,"OTROS")</f>
        <v>0</v>
      </c>
      <c r="O12" s="169">
        <f>H12-SUMIFS(CARGAFACTURAS!G:G,CARGAFACTURAS!B:B,FONDOS!A12,CARGAFACTURAS!P:P,"RF")</f>
        <v>0</v>
      </c>
      <c r="P12" s="165">
        <f t="shared" si="3"/>
        <v>0</v>
      </c>
      <c r="Q12" s="144"/>
    </row>
    <row r="13" spans="1:17" ht="15.75" thickBot="1" x14ac:dyDescent="0.3">
      <c r="A13" s="148" t="s">
        <v>195</v>
      </c>
      <c r="B13" s="158"/>
      <c r="C13" s="153"/>
      <c r="D13" s="153"/>
      <c r="E13" s="153"/>
      <c r="F13" s="153"/>
      <c r="G13" s="153"/>
      <c r="H13" s="153"/>
      <c r="I13" s="155"/>
      <c r="J13" s="164">
        <f>+SUMIFS(CARGAFACTURAS!G:G,CARGAFACTURAS!B:B,FONDOS!A13)</f>
        <v>0</v>
      </c>
      <c r="K13" s="154">
        <f t="shared" ref="K13" si="5">+B13-J13</f>
        <v>0</v>
      </c>
      <c r="L13" s="163">
        <f>+SUMIFS(CARGAFACTURAS!G:G,CARGAFACTURAS!B:B,FONDOS!A13,CARGAFACTURAS!P:P,"COMIDA")</f>
        <v>0</v>
      </c>
      <c r="M13" s="163">
        <f t="shared" si="2"/>
        <v>0</v>
      </c>
      <c r="N13" s="150">
        <f>G13-SUMIFS(CARGAFACTURAS!G:G,CARGAFACTURAS!B:B,FONDOS!A13,CARGAFACTURAS!P:P,"OTROS")</f>
        <v>0</v>
      </c>
      <c r="O13" s="170">
        <f>H13-SUMIFS(CARGAFACTURAS!G:G,CARGAFACTURAS!B:B,FONDOS!A13,CARGAFACTURAS!P:P,"RF")</f>
        <v>0</v>
      </c>
      <c r="P13" s="170">
        <f t="shared" si="3"/>
        <v>0</v>
      </c>
      <c r="Q13" s="89"/>
    </row>
    <row r="15" spans="1:17" x14ac:dyDescent="0.25">
      <c r="E15" s="217"/>
      <c r="G15" s="217">
        <f>+H6+G6+80000+75513.57</f>
        <v>800702.25</v>
      </c>
      <c r="I15" s="141">
        <v>672750</v>
      </c>
    </row>
    <row r="16" spans="1:17" x14ac:dyDescent="0.25">
      <c r="I16" s="141">
        <v>822000.96</v>
      </c>
    </row>
    <row r="17" spans="1:9" x14ac:dyDescent="0.25">
      <c r="I17" s="141">
        <v>323468.52</v>
      </c>
    </row>
    <row r="18" spans="1:9" x14ac:dyDescent="0.25">
      <c r="I18" s="141">
        <v>1446900</v>
      </c>
    </row>
    <row r="19" spans="1:9" x14ac:dyDescent="0.25">
      <c r="I19" s="141">
        <v>89700</v>
      </c>
    </row>
    <row r="20" spans="1:9" ht="30.75" thickBot="1" x14ac:dyDescent="0.3">
      <c r="A20" s="161" t="s">
        <v>215</v>
      </c>
      <c r="B20" s="161" t="s">
        <v>9</v>
      </c>
      <c r="C20" s="161" t="s">
        <v>6</v>
      </c>
      <c r="D20" s="161" t="s">
        <v>198</v>
      </c>
      <c r="E20" s="161" t="s">
        <v>198</v>
      </c>
      <c r="F20" s="161" t="s">
        <v>198</v>
      </c>
      <c r="I20" s="141">
        <v>22541.34</v>
      </c>
    </row>
    <row r="21" spans="1:9" ht="15.75" thickBot="1" x14ac:dyDescent="0.3">
      <c r="A21" s="127" t="s">
        <v>196</v>
      </c>
      <c r="B21" s="159" t="s">
        <v>4</v>
      </c>
      <c r="C21" s="159" t="s">
        <v>5</v>
      </c>
      <c r="D21" s="159" t="s">
        <v>84</v>
      </c>
      <c r="E21" s="159" t="s">
        <v>197</v>
      </c>
      <c r="F21" s="160" t="s">
        <v>85</v>
      </c>
      <c r="I21" s="141">
        <v>9999.99</v>
      </c>
    </row>
    <row r="22" spans="1:9" x14ac:dyDescent="0.25">
      <c r="A22" s="166" t="s">
        <v>166</v>
      </c>
      <c r="B22" s="167">
        <f>+SUMIFS(CARGAFACTURAS!$H:$H,CARGAFACTURAS!$B:$B,FONDOS!A22)</f>
        <v>13570.511624999999</v>
      </c>
      <c r="C22" s="167">
        <f>+SUMIFS(CARGAFACTURAS!$I:$I,CARGAFACTURAS!$B:$B,FONDOS!A22)</f>
        <v>59689.046499999997</v>
      </c>
      <c r="D22" s="167">
        <f>+SUMIFS(CARGAFACTURAS!$J:$J,CARGAFACTURAS!$B:$B,FONDOS!A22)</f>
        <v>56651.134511999997</v>
      </c>
      <c r="E22" s="167">
        <f>+SUMIFS(CARGAFACTURAS!$K:$K,CARGAFACTURAS!$B:$B,FONDOS!A22)</f>
        <v>23259.656799999997</v>
      </c>
      <c r="F22" s="168">
        <f>+SUMIFS(CARGAFACTURAS!$L:$L,CARGAFACTURAS!$B:$B,FONDOS!A22)</f>
        <v>11831.924297520662</v>
      </c>
      <c r="I22" s="141">
        <f>SUM(I15:I21)</f>
        <v>3387360.81</v>
      </c>
    </row>
    <row r="23" spans="1:9" x14ac:dyDescent="0.25">
      <c r="A23" s="145" t="s">
        <v>143</v>
      </c>
      <c r="B23" s="146">
        <f>+SUMIFS(CARGAFACTURAS!H30:H500,CARGAFACTURAS!O30:O500,"=2")</f>
        <v>13174.973</v>
      </c>
      <c r="C23" s="146">
        <f>+SUMIFS(CARGAFACTURAS!$I:$I,CARGAFACTURAS!$B:$B,FONDOS!A23)</f>
        <v>69871.271349999995</v>
      </c>
      <c r="D23" s="146">
        <f>+SUMIFS(CARGAFACTURAS!$J:$J,CARGAFACTURAS!$B:$B,FONDOS!A23)</f>
        <v>56651.134511999997</v>
      </c>
      <c r="E23" s="146">
        <f>+SUMIFS(CARGAFACTURAS!$K:$K,CARGAFACTURAS!$B:$B,FONDOS!A23)</f>
        <v>21112.656799999997</v>
      </c>
      <c r="F23" s="147">
        <f>+SUMIFS(CARGAFACTURAS!$L:$L,CARGAFACTURAS!$B:$B,FONDOS!A23)</f>
        <v>11894.147438016531</v>
      </c>
      <c r="G23" s="1"/>
      <c r="I23" s="217">
        <f>+I22-B9</f>
        <v>9999.9899999997579</v>
      </c>
    </row>
    <row r="24" spans="1:9" x14ac:dyDescent="0.25">
      <c r="A24" s="145" t="s">
        <v>145</v>
      </c>
      <c r="B24" s="146">
        <f>+SUMIFS(CARGAFACTURAS!H31:H501,CARGAFACTURAS!O31:O501,"=3")</f>
        <v>12881.41525</v>
      </c>
      <c r="C24" s="146">
        <f>+SUMIFS(CARGAFACTURAS!$I:$I,CARGAFACTURAS!$B:$B,FONDOS!A24)</f>
        <v>58170.924500000001</v>
      </c>
      <c r="D24" s="146">
        <f>+SUMIFS(CARGAFACTURAS!$J:$J,CARGAFACTURAS!$B:$B,FONDOS!A24)</f>
        <v>51168.766655999993</v>
      </c>
      <c r="E24" s="146">
        <f>+SUMIFS(CARGAFACTURAS!$K:$K,CARGAFACTURAS!$B:$B,FONDOS!A24)</f>
        <v>25226.438399999999</v>
      </c>
      <c r="F24" s="147">
        <f>+SUMIFS(CARGAFACTURAS!$L:$L,CARGAFACTURAS!$B:$B,FONDOS!A24)</f>
        <v>12644.643966942151</v>
      </c>
    </row>
    <row r="25" spans="1:9" x14ac:dyDescent="0.25">
      <c r="A25" s="145" t="s">
        <v>144</v>
      </c>
      <c r="B25" s="146">
        <f>+SUMIFS(CARGAFACTURAS!H32:H502,CARGAFACTURAS!O32:O502,"=4")</f>
        <v>15912.631875000001</v>
      </c>
      <c r="C25" s="146">
        <f>+SUMIFS(CARGAFACTURAS!$I:$I,CARGAFACTURAS!$B:$B,FONDOS!A25)</f>
        <v>80882.729500000001</v>
      </c>
      <c r="D25" s="146">
        <f>+SUMIFS(CARGAFACTURAS!$J:$J,CARGAFACTURAS!$B:$B,FONDOS!A25)</f>
        <v>71349.683327999999</v>
      </c>
      <c r="E25" s="146">
        <f>+SUMIFS(CARGAFACTURAS!$K:$K,CARGAFACTURAS!$B:$B,FONDOS!A25)</f>
        <v>44508.769199999995</v>
      </c>
      <c r="F25" s="147">
        <f>+SUMIFS(CARGAFACTURAS!$L:$L,CARGAFACTURAS!$B:$B,FONDOS!A25)</f>
        <v>20433.89223140496</v>
      </c>
    </row>
    <row r="26" spans="1:9" x14ac:dyDescent="0.25">
      <c r="A26" s="145" t="s">
        <v>146</v>
      </c>
      <c r="B26" s="146">
        <f>+SUMIFS(CARGAFACTURAS!H33:H503,CARGAFACTURAS!O33:O503,"=5")</f>
        <v>23479.760000000006</v>
      </c>
      <c r="C26" s="146">
        <f>+SUMIFS(CARGAFACTURAS!$I:$I,CARGAFACTURAS!$B:$B,FONDOS!A26)</f>
        <v>109770.988</v>
      </c>
      <c r="D26" s="146">
        <f>+SUMIFS(CARGAFACTURAS!$J:$J,CARGAFACTURAS!$B:$B,FONDOS!A26)</f>
        <v>97022.738064000005</v>
      </c>
      <c r="E26" s="146">
        <f>+SUMIFS(CARGAFACTURAS!$K:$K,CARGAFACTURAS!$B:$B,FONDOS!A26)</f>
        <v>37241.8128</v>
      </c>
      <c r="F26" s="147">
        <f>+SUMIFS(CARGAFACTURAS!$L:$L,CARGAFACTURAS!$B:$B,FONDOS!A26)</f>
        <v>19958.458512396694</v>
      </c>
    </row>
    <row r="27" spans="1:9" x14ac:dyDescent="0.25">
      <c r="A27" s="145" t="s">
        <v>147</v>
      </c>
      <c r="B27" s="146">
        <f>+SUMIFS(CARGAFACTURAS!H34:H504,CARGAFACTURAS!O34:O504,"=6")</f>
        <v>19108.911874999998</v>
      </c>
      <c r="C27" s="146">
        <f>+SUMIFS(CARGAFACTURAS!$I:$I,CARGAFACTURAS!$B:$B,FONDOS!A27)</f>
        <v>85212.867499999993</v>
      </c>
      <c r="D27" s="146">
        <f>+SUMIFS(CARGAFACTURAS!$J:$J,CARGAFACTURAS!$B:$B,FONDOS!A27)</f>
        <v>64444.875263999995</v>
      </c>
      <c r="E27" s="146">
        <f>+SUMIFS(CARGAFACTURAS!$K:$K,CARGAFACTURAS!$B:$B,FONDOS!A27)</f>
        <v>35097.369599999998</v>
      </c>
      <c r="F27" s="147">
        <f>+SUMIFS(CARGAFACTURAS!$L:$L,CARGAFACTURAS!$B:$B,FONDOS!A27)</f>
        <v>18388.909752066116</v>
      </c>
    </row>
    <row r="28" spans="1:9" x14ac:dyDescent="0.25">
      <c r="A28" s="145" t="s">
        <v>148</v>
      </c>
      <c r="B28" s="146">
        <f>+SUMIFS(CARGAFACTURAS!H35:H505,CARGAFACTURAS!O35:O505,"=7")</f>
        <v>18608.303025000005</v>
      </c>
      <c r="C28" s="146">
        <f>+SUMIFS(CARGAFACTURAS!$I:$I,CARGAFACTURAS!$B:$B,FONDOS!A28)</f>
        <v>94285.183950000021</v>
      </c>
      <c r="D28" s="146">
        <f>+SUMIFS(CARGAFACTURAS!$J:$J,CARGAFACTURAS!$B:$B,FONDOS!A28)</f>
        <v>69048.083417599992</v>
      </c>
      <c r="E28" s="146">
        <f>+SUMIFS(CARGAFACTURAS!$K:$K,CARGAFACTURAS!$B:$B,FONDOS!A28)</f>
        <v>43829.896639999999</v>
      </c>
      <c r="F28" s="147">
        <f>+SUMIFS(CARGAFACTURAS!$L:$L,CARGAFACTURAS!$B:$B,FONDOS!A28)</f>
        <v>22448.634975206609</v>
      </c>
    </row>
    <row r="29" spans="1:9" x14ac:dyDescent="0.25">
      <c r="A29" s="145" t="s">
        <v>149</v>
      </c>
      <c r="B29" s="146">
        <f>+SUMIFS(CARGAFACTURAS!H36:H506,CARGAFACTURAS!O36:O506,"=8")</f>
        <v>34345.148124999992</v>
      </c>
      <c r="C29" s="146">
        <f>+SUMIFS(CARGAFACTURAS!$I:$I,CARGAFACTURAS!$B:$B,FONDOS!A29)</f>
        <v>92774.558249999987</v>
      </c>
      <c r="D29" s="146">
        <f>+SUMIFS(CARGAFACTURAS!$J:$J,CARGAFACTURAS!$B:$B,FONDOS!A29)</f>
        <v>84472.499664000003</v>
      </c>
      <c r="E29" s="146">
        <f>+SUMIFS(CARGAFACTURAS!$K:$K,CARGAFACTURAS!$B:$B,FONDOS!A29)</f>
        <v>41684.709599999995</v>
      </c>
      <c r="F29" s="147">
        <f>+SUMIFS(CARGAFACTURAS!$L:$L,CARGAFACTURAS!$B:$B,FONDOS!A29)</f>
        <v>20000.706446280994</v>
      </c>
    </row>
    <row r="30" spans="1:9" x14ac:dyDescent="0.25">
      <c r="A30" s="145" t="s">
        <v>162</v>
      </c>
      <c r="B30" s="146">
        <f>+SUMIFS(CARGAFACTURAS!H37:H507,CARGAFACTURAS!O37:O507,"=9")</f>
        <v>0</v>
      </c>
      <c r="C30" s="146">
        <f>+SUMIFS(CARGAFACTURAS!$I:$I,CARGAFACTURAS!$B:$B,FONDOS!A30)</f>
        <v>0</v>
      </c>
      <c r="D30" s="146">
        <f>+SUMIFS(CARGAFACTURAS!$J:$J,CARGAFACTURAS!$B:$B,FONDOS!A30)</f>
        <v>0</v>
      </c>
      <c r="E30" s="146">
        <f>+SUMIFS(CARGAFACTURAS!$K:$K,CARGAFACTURAS!$B:$B,FONDOS!A30)</f>
        <v>0</v>
      </c>
      <c r="F30" s="147">
        <f>+SUMIFS(CARGAFACTURAS!$L:$L,CARGAFACTURAS!$B:$B,FONDOS!A30)</f>
        <v>0</v>
      </c>
    </row>
    <row r="31" spans="1:9" x14ac:dyDescent="0.25">
      <c r="A31" s="145" t="s">
        <v>193</v>
      </c>
      <c r="B31" s="146">
        <f>+SUMIFS(CARGAFACTURAS!H38:H508,CARGAFACTURAS!O38:O508,"=10")</f>
        <v>0</v>
      </c>
      <c r="C31" s="146">
        <f>+SUMIFS(CARGAFACTURAS!$I:$I,CARGAFACTURAS!$B:$B,FONDOS!A31)</f>
        <v>0</v>
      </c>
      <c r="D31" s="146">
        <f>+SUMIFS(CARGAFACTURAS!$J:$J,CARGAFACTURAS!$B:$B,FONDOS!A31)</f>
        <v>0</v>
      </c>
      <c r="E31" s="146">
        <f>+SUMIFS(CARGAFACTURAS!$K:$K,CARGAFACTURAS!$B:$B,FONDOS!A31)</f>
        <v>0</v>
      </c>
      <c r="F31" s="147">
        <f>+SUMIFS(CARGAFACTURAS!$L:$L,CARGAFACTURAS!$B:$B,FONDOS!A31)</f>
        <v>0</v>
      </c>
    </row>
    <row r="32" spans="1:9" x14ac:dyDescent="0.25">
      <c r="A32" s="145" t="s">
        <v>194</v>
      </c>
      <c r="B32" s="146">
        <f>+SUMIFS(CARGAFACTURAS!H39:H509,CARGAFACTURAS!O39:O509,"=11")</f>
        <v>0</v>
      </c>
      <c r="C32" s="146">
        <f>+SUMIFS(CARGAFACTURAS!$I:$I,CARGAFACTURAS!$B:$B,FONDOS!A32)</f>
        <v>0</v>
      </c>
      <c r="D32" s="146">
        <f>+SUMIFS(CARGAFACTURAS!$J:$J,CARGAFACTURAS!$B:$B,FONDOS!A32)</f>
        <v>0</v>
      </c>
      <c r="E32" s="146">
        <f>+SUMIFS(CARGAFACTURAS!$K:$K,CARGAFACTURAS!$B:$B,FONDOS!A32)</f>
        <v>0</v>
      </c>
      <c r="F32" s="147">
        <f>+SUMIFS(CARGAFACTURAS!$L:$L,CARGAFACTURAS!$B:$B,FONDOS!A32)</f>
        <v>0</v>
      </c>
    </row>
    <row r="33" spans="1:6" ht="15.75" thickBot="1" x14ac:dyDescent="0.3">
      <c r="A33" s="148" t="s">
        <v>195</v>
      </c>
      <c r="B33" s="149">
        <f>+SUMIFS(CARGAFACTURAS!H40:H510,CARGAFACTURAS!O40:O510,"=12")</f>
        <v>0</v>
      </c>
      <c r="C33" s="149">
        <f>+SUMIFS(CARGAFACTURAS!$I:$I,CARGAFACTURAS!$B:$B,FONDOS!A33)</f>
        <v>0</v>
      </c>
      <c r="D33" s="149">
        <f>+SUMIFS(CARGAFACTURAS!$J:$J,CARGAFACTURAS!$B:$B,FONDOS!A33)</f>
        <v>0</v>
      </c>
      <c r="E33" s="149">
        <f>+SUMIFS(CARGAFACTURAS!$K:$K,CARGAFACTURAS!$B:$B,FONDOS!A33)</f>
        <v>0</v>
      </c>
      <c r="F33" s="150">
        <f>+SUMIFS(CARGAFACTURAS!$L:$L,CARGAFACTURAS!$B:$B,FONDOS!A33)</f>
        <v>0</v>
      </c>
    </row>
    <row r="37" spans="1:6" ht="15.75" thickBot="1" x14ac:dyDescent="0.3">
      <c r="A37" t="s">
        <v>259</v>
      </c>
    </row>
    <row r="38" spans="1:6" ht="15.75" thickBot="1" x14ac:dyDescent="0.3">
      <c r="A38" s="127" t="s">
        <v>196</v>
      </c>
      <c r="B38" t="s">
        <v>260</v>
      </c>
      <c r="C38" t="s">
        <v>6</v>
      </c>
      <c r="D38" t="s">
        <v>9</v>
      </c>
    </row>
    <row r="39" spans="1:6" x14ac:dyDescent="0.25">
      <c r="A39" s="166" t="s">
        <v>166</v>
      </c>
      <c r="B39" s="141">
        <f>+SUMIFS(CARGAFACTURAS!G:G,CARGAFACTURAS!B:B,FONDOS!A39,CARGAFACTURAS!N:N,"&lt;&gt;CC")</f>
        <v>2022128.6400000004</v>
      </c>
      <c r="C39" s="141"/>
      <c r="D39" s="141">
        <f>+SUMIFS(CARGAFACTURAS!G:G,CARGAFACTURAS!B:B,FONDOS!A39,CARGAFACTURAS!N:N,"CC")</f>
        <v>59858.729999999996</v>
      </c>
    </row>
    <row r="40" spans="1:6" x14ac:dyDescent="0.25">
      <c r="A40" s="145" t="s">
        <v>143</v>
      </c>
      <c r="B40" s="141">
        <f>+SUMIFS(CARGAFACTURAS!G:G,CARGAFACTURAS!B:B,FONDOS!A40,CARGAFACTURAS!N:N,"&lt;&gt;CC")</f>
        <v>2263580.1900000004</v>
      </c>
      <c r="C40" s="141"/>
      <c r="D40" s="141">
        <f>+SUMIFS(CARGAFACTURAS!G:G,CARGAFACTURAS!B:B,FONDOS!A40,CARGAFACTURAS!N:N,"CC")</f>
        <v>40526.26</v>
      </c>
    </row>
    <row r="41" spans="1:6" x14ac:dyDescent="0.25">
      <c r="A41" s="145" t="s">
        <v>145</v>
      </c>
      <c r="B41" s="141">
        <f>+SUMIFS(CARGAFACTURAS!G:G,CARGAFACTURAS!B:B,FONDOS!A41,CARGAFACTURAS!N:N,"&lt;&gt;CC")</f>
        <v>2179768.5499999998</v>
      </c>
      <c r="C41" s="141"/>
      <c r="D41" s="141">
        <f>+SUMIFS(CARGAFACTURAS!G:G,CARGAFACTURAS!B:B,FONDOS!A41,CARGAFACTURAS!N:N,"CC")</f>
        <v>18911.3</v>
      </c>
    </row>
    <row r="42" spans="1:6" x14ac:dyDescent="0.25">
      <c r="A42" s="145" t="s">
        <v>144</v>
      </c>
      <c r="B42" s="141">
        <f>+SUMIFS(CARGAFACTURAS!G:G,CARGAFACTURAS!B:B,FONDOS!A42,CARGAFACTURAS!N:N,"&lt;&gt;CC")</f>
        <v>6263796.0999999987</v>
      </c>
      <c r="C42" s="141"/>
      <c r="D42" s="141">
        <f>+SUMIFS(CARGAFACTURAS!G:G,CARGAFACTURAS!B:B,FONDOS!A42,CARGAFACTURAS!N:N,"CC")</f>
        <v>29049.21</v>
      </c>
    </row>
    <row r="43" spans="1:6" x14ac:dyDescent="0.25">
      <c r="A43" s="145" t="s">
        <v>146</v>
      </c>
      <c r="B43" s="141">
        <f>+SUMIFS(CARGAFACTURAS!G:G,CARGAFACTURAS!B:B,FONDOS!A43,CARGAFACTURAS!N:N,"&lt;&gt;CC")</f>
        <v>7159969.7200000007</v>
      </c>
      <c r="C43" s="141"/>
      <c r="D43" s="141">
        <f>+SUMIFS(CARGAFACTURAS!G:G,CARGAFACTURAS!B:B,FONDOS!A43,CARGAFACTURAS!N:N,"CC")</f>
        <v>11642.57</v>
      </c>
    </row>
    <row r="44" spans="1:6" x14ac:dyDescent="0.25">
      <c r="A44" s="145" t="s">
        <v>147</v>
      </c>
      <c r="B44" s="141">
        <f>+SUMIFS(CARGAFACTURAS!G:G,CARGAFACTURAS!B:B,FONDOS!A44,CARGAFACTURAS!N:N,"&lt;&gt;CC")</f>
        <v>6201454.7399999993</v>
      </c>
      <c r="C44" s="141"/>
      <c r="D44" s="141">
        <f>+SUMIFS(CARGAFACTURAS!G:G,CARGAFACTURAS!B:B,FONDOS!A44,CARGAFACTURAS!N:N,"CC")</f>
        <v>43604.67</v>
      </c>
    </row>
    <row r="45" spans="1:6" x14ac:dyDescent="0.25">
      <c r="A45" s="145" t="s">
        <v>148</v>
      </c>
      <c r="B45" s="141">
        <f>+SUMIFS(CARGAFACTURAS!G:G,CARGAFACTURAS!B:B,FONDOS!A45,CARGAFACTURAS!N:N,"&lt;&gt;CC")</f>
        <v>7740350.3819999984</v>
      </c>
      <c r="C45" s="141"/>
      <c r="D45" s="141">
        <f>+SUMIFS(CARGAFACTURAS!G:G,CARGAFACTURAS!B:B,FONDOS!A45,CARGAFACTURAS!N:N,"CC")</f>
        <v>71172.62</v>
      </c>
    </row>
    <row r="46" spans="1:6" x14ac:dyDescent="0.25">
      <c r="A46" s="145" t="s">
        <v>149</v>
      </c>
      <c r="B46" s="141">
        <f>+SUMIFS(CARGAFACTURAS!G:G,CARGAFACTURAS!B:B,FONDOS!A46,CARGAFACTURAS!N:N,"&lt;&gt;CC")</f>
        <v>6892180.0999999978</v>
      </c>
      <c r="C46" s="141"/>
      <c r="D46" s="141">
        <f>+SUMIFS(CARGAFACTURAS!G:G,CARGAFACTURAS!B:B,FONDOS!A46,CARGAFACTURAS!N:N,"CC")</f>
        <v>14389</v>
      </c>
    </row>
    <row r="47" spans="1:6" x14ac:dyDescent="0.25">
      <c r="A47" s="145" t="s">
        <v>162</v>
      </c>
      <c r="B47" s="141">
        <f>+SUMIFS(CARGAFACTURAS!G:G,CARGAFACTURAS!B:B,FONDOS!A47,CARGAFACTURAS!N:N,"&lt;&gt;CC")</f>
        <v>0</v>
      </c>
      <c r="C47" s="141"/>
      <c r="D47" s="141">
        <f>+SUMIFS(CARGAFACTURAS!G:G,CARGAFACTURAS!B:B,FONDOS!A47,CARGAFACTURAS!N:N,"CC")</f>
        <v>0</v>
      </c>
    </row>
    <row r="48" spans="1:6" x14ac:dyDescent="0.25">
      <c r="A48" s="145" t="s">
        <v>193</v>
      </c>
      <c r="B48" s="141">
        <f>+SUMIFS(CARGAFACTURAS!G:G,CARGAFACTURAS!B:B,FONDOS!A48,CARGAFACTURAS!N:N,"&lt;&gt;CC")</f>
        <v>0</v>
      </c>
      <c r="C48" s="141"/>
      <c r="D48" s="141">
        <f>+SUMIFS(CARGAFACTURAS!G:G,CARGAFACTURAS!B:B,FONDOS!A48,CARGAFACTURAS!N:N,"CC")</f>
        <v>0</v>
      </c>
    </row>
    <row r="49" spans="1:8" x14ac:dyDescent="0.25">
      <c r="A49" s="145" t="s">
        <v>194</v>
      </c>
      <c r="B49" s="141">
        <f>+SUMIFS(CARGAFACTURAS!G:G,CARGAFACTURAS!B:B,FONDOS!A49,CARGAFACTURAS!N:N,"&lt;&gt;CC")</f>
        <v>0</v>
      </c>
      <c r="C49" s="141"/>
      <c r="D49" s="141">
        <f>+SUMIFS(CARGAFACTURAS!G:G,CARGAFACTURAS!B:B,FONDOS!A49,CARGAFACTURAS!N:N,"CC")</f>
        <v>0</v>
      </c>
    </row>
    <row r="50" spans="1:8" ht="15.75" thickBot="1" x14ac:dyDescent="0.3">
      <c r="A50" s="148" t="s">
        <v>195</v>
      </c>
      <c r="B50" s="141">
        <f>+SUMIFS(CARGAFACTURAS!G:G,CARGAFACTURAS!B:B,FONDOS!A50,CARGAFACTURAS!N:N,"&lt;&gt;CC")</f>
        <v>0</v>
      </c>
      <c r="C50" s="141"/>
      <c r="D50" s="141">
        <f>+SUMIFS(CARGAFACTURAS!G:G,CARGAFACTURAS!B:B,FONDOS!A50,CARGAFACTURAS!N:N,"CC")</f>
        <v>0</v>
      </c>
    </row>
    <row r="56" spans="1:8" x14ac:dyDescent="0.25">
      <c r="A56" s="11" t="s">
        <v>369</v>
      </c>
      <c r="B56" s="11" t="s">
        <v>3</v>
      </c>
      <c r="D56" s="11" t="s">
        <v>377</v>
      </c>
      <c r="E56" s="11" t="s">
        <v>41</v>
      </c>
      <c r="F56" s="11" t="s">
        <v>3</v>
      </c>
      <c r="G56" s="11" t="s">
        <v>369</v>
      </c>
      <c r="H56" s="11" t="s">
        <v>378</v>
      </c>
    </row>
    <row r="57" spans="1:8" x14ac:dyDescent="0.25">
      <c r="A57" s="11" t="s">
        <v>370</v>
      </c>
      <c r="B57" s="11"/>
      <c r="D57" s="246" t="s">
        <v>316</v>
      </c>
      <c r="E57" s="11" t="s">
        <v>315</v>
      </c>
      <c r="F57" s="134">
        <v>5363.3</v>
      </c>
      <c r="G57" s="294">
        <v>211</v>
      </c>
      <c r="H57" s="293">
        <f>+SUMIF($G$56:$G$66,G57,$F$56:$F$66)</f>
        <v>5363.3</v>
      </c>
    </row>
    <row r="58" spans="1:8" x14ac:dyDescent="0.25">
      <c r="A58" s="11" t="s">
        <v>371</v>
      </c>
      <c r="B58" s="11"/>
      <c r="D58" s="246" t="s">
        <v>305</v>
      </c>
      <c r="E58" s="11" t="s">
        <v>82</v>
      </c>
      <c r="F58" s="134">
        <v>1300</v>
      </c>
      <c r="G58" s="294"/>
      <c r="H58" s="293"/>
    </row>
    <row r="59" spans="1:8" x14ac:dyDescent="0.25">
      <c r="A59" s="11" t="s">
        <v>372</v>
      </c>
      <c r="B59" s="11"/>
      <c r="D59" s="246" t="s">
        <v>341</v>
      </c>
      <c r="E59" s="11" t="s">
        <v>340</v>
      </c>
      <c r="F59" s="134">
        <v>740</v>
      </c>
      <c r="G59" s="294">
        <v>279</v>
      </c>
      <c r="H59" s="293">
        <f t="shared" ref="H59:H65" si="6">+SUMIF($G$56:$G$66,G59,$F$56:$F$66)</f>
        <v>740</v>
      </c>
    </row>
    <row r="60" spans="1:8" x14ac:dyDescent="0.25">
      <c r="A60" s="11" t="s">
        <v>373</v>
      </c>
      <c r="B60" s="11"/>
      <c r="D60" s="246" t="s">
        <v>262</v>
      </c>
      <c r="E60" s="11" t="s">
        <v>253</v>
      </c>
      <c r="F60" s="134">
        <v>9790.02</v>
      </c>
      <c r="G60" s="294"/>
      <c r="H60" s="293"/>
    </row>
    <row r="61" spans="1:8" x14ac:dyDescent="0.25">
      <c r="A61" s="11" t="s">
        <v>374</v>
      </c>
      <c r="B61" s="11"/>
      <c r="D61" s="246" t="s">
        <v>320</v>
      </c>
      <c r="E61" s="11" t="s">
        <v>253</v>
      </c>
      <c r="F61" s="201">
        <v>9746.85</v>
      </c>
      <c r="G61" s="294"/>
      <c r="H61" s="293"/>
    </row>
    <row r="62" spans="1:8" x14ac:dyDescent="0.25">
      <c r="A62" s="11" t="s">
        <v>375</v>
      </c>
      <c r="B62" s="11"/>
      <c r="D62" s="246" t="s">
        <v>317</v>
      </c>
      <c r="E62" s="11" t="s">
        <v>107</v>
      </c>
      <c r="F62" s="134">
        <v>3000</v>
      </c>
      <c r="G62" s="176">
        <v>291</v>
      </c>
      <c r="H62" s="113">
        <f t="shared" si="6"/>
        <v>3000</v>
      </c>
    </row>
    <row r="63" spans="1:8" x14ac:dyDescent="0.25">
      <c r="A63" s="11" t="s">
        <v>376</v>
      </c>
      <c r="B63" s="11"/>
      <c r="D63" s="246" t="s">
        <v>336</v>
      </c>
      <c r="E63" s="11" t="s">
        <v>188</v>
      </c>
      <c r="F63" s="134">
        <v>9600</v>
      </c>
      <c r="G63" s="176">
        <v>293</v>
      </c>
      <c r="H63" s="113">
        <f t="shared" si="6"/>
        <v>9600</v>
      </c>
    </row>
    <row r="64" spans="1:8" x14ac:dyDescent="0.25">
      <c r="A64" s="11"/>
      <c r="B64" s="11"/>
      <c r="D64" s="246" t="s">
        <v>319</v>
      </c>
      <c r="E64" s="11" t="s">
        <v>207</v>
      </c>
      <c r="F64" s="247">
        <v>4235</v>
      </c>
      <c r="G64" s="176">
        <v>296</v>
      </c>
      <c r="H64" s="113">
        <f t="shared" si="6"/>
        <v>4235</v>
      </c>
    </row>
    <row r="65" spans="1:8" x14ac:dyDescent="0.25">
      <c r="A65" s="11"/>
      <c r="B65" s="11"/>
      <c r="D65" s="246" t="s">
        <v>356</v>
      </c>
      <c r="E65" s="11" t="s">
        <v>189</v>
      </c>
      <c r="F65" s="134">
        <v>5250</v>
      </c>
      <c r="G65" s="294">
        <v>379</v>
      </c>
      <c r="H65" s="293">
        <f t="shared" si="6"/>
        <v>5250</v>
      </c>
    </row>
    <row r="66" spans="1:8" x14ac:dyDescent="0.25">
      <c r="A66" s="11"/>
      <c r="B66" s="11"/>
      <c r="D66" s="246" t="s">
        <v>355</v>
      </c>
      <c r="E66" s="11" t="s">
        <v>352</v>
      </c>
      <c r="F66" s="134">
        <v>9296</v>
      </c>
      <c r="G66" s="294"/>
      <c r="H66" s="293"/>
    </row>
    <row r="67" spans="1:8" x14ac:dyDescent="0.25">
      <c r="A67" s="11"/>
      <c r="B67" s="11"/>
    </row>
    <row r="68" spans="1:8" x14ac:dyDescent="0.25">
      <c r="A68" s="11"/>
      <c r="B68" s="11"/>
    </row>
    <row r="69" spans="1:8" x14ac:dyDescent="0.25">
      <c r="A69" s="11"/>
      <c r="B69" s="11"/>
    </row>
    <row r="70" spans="1:8" x14ac:dyDescent="0.25">
      <c r="A70" s="11"/>
      <c r="B70" s="11"/>
    </row>
    <row r="71" spans="1:8" x14ac:dyDescent="0.25">
      <c r="A71" s="11"/>
      <c r="B71" s="11"/>
    </row>
    <row r="72" spans="1:8" x14ac:dyDescent="0.25">
      <c r="A72" s="11"/>
      <c r="B72" s="11"/>
    </row>
    <row r="73" spans="1:8" x14ac:dyDescent="0.25">
      <c r="A73" s="11"/>
      <c r="B73" s="11"/>
    </row>
    <row r="74" spans="1:8" x14ac:dyDescent="0.25">
      <c r="A74" s="11"/>
      <c r="B74" s="11"/>
    </row>
    <row r="75" spans="1:8" x14ac:dyDescent="0.25">
      <c r="A75" s="11"/>
      <c r="B75" s="11"/>
    </row>
    <row r="76" spans="1:8" x14ac:dyDescent="0.25">
      <c r="A76" s="11"/>
      <c r="B76" s="11"/>
    </row>
    <row r="77" spans="1:8" x14ac:dyDescent="0.25">
      <c r="A77" s="11"/>
      <c r="B77" s="11"/>
    </row>
    <row r="78" spans="1:8" x14ac:dyDescent="0.25">
      <c r="A78" s="11"/>
      <c r="B78" s="11"/>
    </row>
    <row r="79" spans="1:8" x14ac:dyDescent="0.25">
      <c r="A79" s="11"/>
      <c r="B79" s="11"/>
    </row>
  </sheetData>
  <sortState xmlns:xlrd2="http://schemas.microsoft.com/office/spreadsheetml/2017/richdata2" ref="D57:G66">
    <sortCondition ref="G57:G66"/>
    <sortCondition ref="E57:E66"/>
  </sortState>
  <mergeCells count="6">
    <mergeCell ref="H59:H61"/>
    <mergeCell ref="H57:H58"/>
    <mergeCell ref="H65:H66"/>
    <mergeCell ref="G57:G58"/>
    <mergeCell ref="G59:G61"/>
    <mergeCell ref="G65:G66"/>
  </mergeCells>
  <conditionalFormatting sqref="M2:M12">
    <cfRule type="cellIs" dxfId="3" priority="2" operator="greaterThan">
      <formula>0</formula>
    </cfRule>
    <cfRule type="expression" dxfId="2" priority="3">
      <formula>"&gt;0"</formula>
    </cfRule>
  </conditionalFormatting>
  <conditionalFormatting sqref="P2:P12">
    <cfRule type="cellIs" dxfId="1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9B6062-E68D-4DEB-91DD-CC20A0C55F90}">
          <x14:formula1>
            <xm:f>'AUX23'!$D$2:$D$50</xm:f>
          </x14:formula1>
          <xm:sqref>E57:E66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32A0-801C-470F-B8F1-CB54BBC48DEF}">
  <dimension ref="A1:P77"/>
  <sheetViews>
    <sheetView topLeftCell="A55" workbookViewId="0">
      <selection activeCell="G69" sqref="G69"/>
    </sheetView>
  </sheetViews>
  <sheetFormatPr baseColWidth="10" defaultRowHeight="15" x14ac:dyDescent="0.25"/>
  <cols>
    <col min="3" max="3" width="13" customWidth="1"/>
    <col min="4" max="4" width="40.28515625" customWidth="1"/>
    <col min="5" max="5" width="14.5703125" customWidth="1"/>
    <col min="12" max="14" width="14.28515625" customWidth="1"/>
    <col min="15" max="15" width="25.140625" customWidth="1"/>
  </cols>
  <sheetData>
    <row r="1" spans="1:16" x14ac:dyDescent="0.25">
      <c r="A1" s="142" t="s">
        <v>142</v>
      </c>
      <c r="C1" t="s">
        <v>150</v>
      </c>
      <c r="D1" t="s">
        <v>41</v>
      </c>
      <c r="E1" t="s">
        <v>151</v>
      </c>
      <c r="F1" t="s">
        <v>4</v>
      </c>
      <c r="G1" t="s">
        <v>5</v>
      </c>
      <c r="H1" t="s">
        <v>84</v>
      </c>
      <c r="I1" t="s">
        <v>86</v>
      </c>
      <c r="J1" t="s">
        <v>85</v>
      </c>
      <c r="K1" t="s">
        <v>0</v>
      </c>
      <c r="L1" t="s">
        <v>163</v>
      </c>
      <c r="M1" t="s">
        <v>243</v>
      </c>
      <c r="N1" t="s">
        <v>404</v>
      </c>
      <c r="O1" t="s">
        <v>255</v>
      </c>
      <c r="P1" t="s">
        <v>257</v>
      </c>
    </row>
    <row r="2" spans="1:16" x14ac:dyDescent="0.25">
      <c r="A2" s="143" t="s">
        <v>166</v>
      </c>
      <c r="C2" t="s">
        <v>581</v>
      </c>
      <c r="D2" t="s">
        <v>583</v>
      </c>
      <c r="E2" t="s">
        <v>582</v>
      </c>
      <c r="F2">
        <v>2.5</v>
      </c>
      <c r="G2">
        <v>5</v>
      </c>
      <c r="L2" t="s">
        <v>101</v>
      </c>
      <c r="M2" t="s">
        <v>359</v>
      </c>
      <c r="N2" t="s">
        <v>368</v>
      </c>
    </row>
    <row r="3" spans="1:16" x14ac:dyDescent="0.25">
      <c r="A3" s="143" t="s">
        <v>143</v>
      </c>
      <c r="C3" t="s">
        <v>127</v>
      </c>
      <c r="D3" t="s">
        <v>126</v>
      </c>
      <c r="E3" t="s">
        <v>424</v>
      </c>
      <c r="H3">
        <v>0</v>
      </c>
      <c r="I3">
        <v>0</v>
      </c>
      <c r="J3">
        <v>0</v>
      </c>
      <c r="L3" t="s">
        <v>101</v>
      </c>
      <c r="N3" t="s">
        <v>368</v>
      </c>
    </row>
    <row r="4" spans="1:16" x14ac:dyDescent="0.25">
      <c r="A4" s="143" t="s">
        <v>145</v>
      </c>
      <c r="C4" t="s">
        <v>547</v>
      </c>
      <c r="D4" t="s">
        <v>546</v>
      </c>
      <c r="E4" t="s">
        <v>548</v>
      </c>
      <c r="L4" t="s">
        <v>101</v>
      </c>
      <c r="N4" t="s">
        <v>368</v>
      </c>
    </row>
    <row r="5" spans="1:16" x14ac:dyDescent="0.25">
      <c r="A5" s="143" t="s">
        <v>144</v>
      </c>
      <c r="C5" t="s">
        <v>120</v>
      </c>
      <c r="D5" t="s">
        <v>119</v>
      </c>
      <c r="E5" t="s">
        <v>185</v>
      </c>
      <c r="F5">
        <v>2.5</v>
      </c>
      <c r="G5">
        <v>1.5</v>
      </c>
      <c r="H5">
        <v>0</v>
      </c>
      <c r="I5">
        <v>0</v>
      </c>
      <c r="J5">
        <v>0</v>
      </c>
      <c r="K5" s="10">
        <v>44958</v>
      </c>
      <c r="L5" t="s">
        <v>101</v>
      </c>
      <c r="M5" t="s">
        <v>406</v>
      </c>
      <c r="N5" t="s">
        <v>368</v>
      </c>
    </row>
    <row r="6" spans="1:16" x14ac:dyDescent="0.25">
      <c r="A6" s="143" t="s">
        <v>146</v>
      </c>
      <c r="C6" t="s">
        <v>485</v>
      </c>
      <c r="D6" t="s">
        <v>486</v>
      </c>
      <c r="E6" t="s">
        <v>484</v>
      </c>
      <c r="F6">
        <v>0</v>
      </c>
      <c r="G6">
        <v>3.5</v>
      </c>
      <c r="L6" t="s">
        <v>101</v>
      </c>
      <c r="M6" t="s">
        <v>406</v>
      </c>
      <c r="N6" t="s">
        <v>366</v>
      </c>
      <c r="O6" s="140" t="s">
        <v>488</v>
      </c>
      <c r="P6" t="s">
        <v>489</v>
      </c>
    </row>
    <row r="7" spans="1:16" x14ac:dyDescent="0.25">
      <c r="A7" s="143" t="s">
        <v>147</v>
      </c>
      <c r="C7" t="s">
        <v>118</v>
      </c>
      <c r="D7" t="s">
        <v>117</v>
      </c>
      <c r="H7">
        <v>0</v>
      </c>
      <c r="I7">
        <v>0</v>
      </c>
      <c r="J7">
        <v>0</v>
      </c>
      <c r="L7" t="s">
        <v>101</v>
      </c>
      <c r="N7" t="s">
        <v>367</v>
      </c>
    </row>
    <row r="8" spans="1:16" x14ac:dyDescent="0.25">
      <c r="A8" s="143" t="s">
        <v>148</v>
      </c>
      <c r="C8" t="s">
        <v>56</v>
      </c>
      <c r="D8" t="s">
        <v>50</v>
      </c>
      <c r="E8" t="s">
        <v>51</v>
      </c>
      <c r="F8">
        <v>2.5</v>
      </c>
      <c r="G8">
        <v>5</v>
      </c>
      <c r="H8">
        <v>0</v>
      </c>
      <c r="I8">
        <v>0</v>
      </c>
      <c r="J8">
        <v>0</v>
      </c>
      <c r="K8" s="10">
        <v>44958</v>
      </c>
      <c r="L8" t="s">
        <v>101</v>
      </c>
      <c r="M8" t="s">
        <v>359</v>
      </c>
      <c r="N8" t="s">
        <v>366</v>
      </c>
    </row>
    <row r="9" spans="1:16" x14ac:dyDescent="0.25">
      <c r="A9" s="143" t="s">
        <v>149</v>
      </c>
      <c r="C9" t="s">
        <v>490</v>
      </c>
      <c r="D9" t="s">
        <v>477</v>
      </c>
      <c r="L9" t="s">
        <v>101</v>
      </c>
      <c r="N9" t="s">
        <v>366</v>
      </c>
    </row>
    <row r="10" spans="1:16" x14ac:dyDescent="0.25">
      <c r="A10" s="143"/>
      <c r="C10" t="s">
        <v>490</v>
      </c>
      <c r="D10" t="s">
        <v>476</v>
      </c>
      <c r="L10" t="s">
        <v>101</v>
      </c>
      <c r="N10" t="s">
        <v>366</v>
      </c>
    </row>
    <row r="11" spans="1:16" x14ac:dyDescent="0.25">
      <c r="A11" s="143"/>
      <c r="C11" t="s">
        <v>57</v>
      </c>
      <c r="D11" t="s">
        <v>18</v>
      </c>
      <c r="E11" t="s">
        <v>159</v>
      </c>
      <c r="F11">
        <v>0</v>
      </c>
      <c r="G11">
        <v>0</v>
      </c>
      <c r="H11">
        <v>0</v>
      </c>
      <c r="I11">
        <v>0</v>
      </c>
      <c r="J11">
        <v>0</v>
      </c>
      <c r="K11" s="10">
        <v>44958</v>
      </c>
      <c r="L11" t="s">
        <v>101</v>
      </c>
      <c r="M11" t="s">
        <v>359</v>
      </c>
      <c r="N11" t="s">
        <v>366</v>
      </c>
    </row>
    <row r="12" spans="1:16" x14ac:dyDescent="0.25">
      <c r="A12" s="143"/>
      <c r="C12" t="s">
        <v>492</v>
      </c>
      <c r="D12" t="s">
        <v>495</v>
      </c>
      <c r="E12" t="s">
        <v>496</v>
      </c>
      <c r="F12">
        <v>0</v>
      </c>
      <c r="G12">
        <v>0</v>
      </c>
      <c r="H12">
        <v>0</v>
      </c>
      <c r="I12">
        <v>2</v>
      </c>
      <c r="J12">
        <v>1</v>
      </c>
      <c r="L12" t="s">
        <v>202</v>
      </c>
      <c r="M12" t="s">
        <v>359</v>
      </c>
      <c r="N12" t="s">
        <v>366</v>
      </c>
    </row>
    <row r="13" spans="1:16" x14ac:dyDescent="0.25">
      <c r="A13" s="143"/>
      <c r="C13" t="s">
        <v>67</v>
      </c>
      <c r="D13" t="s">
        <v>92</v>
      </c>
      <c r="E13" t="s">
        <v>157</v>
      </c>
      <c r="F13">
        <v>0</v>
      </c>
      <c r="G13">
        <v>0</v>
      </c>
      <c r="H13">
        <v>0</v>
      </c>
      <c r="I13">
        <v>0</v>
      </c>
      <c r="J13">
        <v>0</v>
      </c>
      <c r="K13" s="10">
        <v>44958</v>
      </c>
      <c r="L13" t="s">
        <v>164</v>
      </c>
      <c r="M13" t="s">
        <v>359</v>
      </c>
      <c r="N13" t="s">
        <v>366</v>
      </c>
    </row>
    <row r="14" spans="1:16" x14ac:dyDescent="0.25">
      <c r="A14" s="144"/>
      <c r="C14" t="s">
        <v>563</v>
      </c>
      <c r="D14" t="s">
        <v>564</v>
      </c>
      <c r="E14" t="s">
        <v>565</v>
      </c>
      <c r="L14" t="s">
        <v>101</v>
      </c>
      <c r="M14" t="s">
        <v>359</v>
      </c>
      <c r="N14" t="s">
        <v>366</v>
      </c>
    </row>
    <row r="15" spans="1:16" x14ac:dyDescent="0.25">
      <c r="A15" s="144"/>
      <c r="C15" t="s">
        <v>572</v>
      </c>
      <c r="D15" t="s">
        <v>571</v>
      </c>
      <c r="E15" t="s">
        <v>573</v>
      </c>
      <c r="F15">
        <v>1.25</v>
      </c>
      <c r="G15">
        <v>5</v>
      </c>
      <c r="L15" t="s">
        <v>101</v>
      </c>
      <c r="M15" t="s">
        <v>359</v>
      </c>
      <c r="N15" t="s">
        <v>368</v>
      </c>
    </row>
    <row r="16" spans="1:16" x14ac:dyDescent="0.25">
      <c r="A16" s="144"/>
      <c r="C16" t="s">
        <v>454</v>
      </c>
      <c r="D16" t="s">
        <v>452</v>
      </c>
      <c r="E16" t="s">
        <v>455</v>
      </c>
      <c r="L16" t="s">
        <v>101</v>
      </c>
      <c r="M16" t="s">
        <v>406</v>
      </c>
      <c r="N16" t="s">
        <v>366</v>
      </c>
    </row>
    <row r="17" spans="1:14" x14ac:dyDescent="0.25">
      <c r="A17" s="144" t="s">
        <v>101</v>
      </c>
      <c r="C17" t="s">
        <v>103</v>
      </c>
      <c r="D17" t="s">
        <v>104</v>
      </c>
      <c r="E17" t="s">
        <v>152</v>
      </c>
      <c r="F17">
        <v>1.25</v>
      </c>
      <c r="G17">
        <v>5</v>
      </c>
      <c r="H17">
        <v>0</v>
      </c>
      <c r="I17">
        <v>0</v>
      </c>
      <c r="J17">
        <v>0</v>
      </c>
      <c r="K17" s="10">
        <v>44958</v>
      </c>
      <c r="L17" t="s">
        <v>101</v>
      </c>
      <c r="M17" t="s">
        <v>359</v>
      </c>
      <c r="N17" t="s">
        <v>368</v>
      </c>
    </row>
    <row r="18" spans="1:14" ht="15.75" thickBot="1" x14ac:dyDescent="0.3">
      <c r="A18" s="89"/>
      <c r="C18" t="s">
        <v>190</v>
      </c>
      <c r="D18" t="s">
        <v>189</v>
      </c>
      <c r="H18">
        <v>0</v>
      </c>
      <c r="I18">
        <v>0</v>
      </c>
      <c r="J18">
        <v>0</v>
      </c>
      <c r="L18" t="s">
        <v>101</v>
      </c>
      <c r="N18" t="s">
        <v>368</v>
      </c>
    </row>
    <row r="19" spans="1:14" x14ac:dyDescent="0.25">
      <c r="C19" t="s">
        <v>99</v>
      </c>
      <c r="D19" t="s">
        <v>98</v>
      </c>
      <c r="E19" t="s">
        <v>156</v>
      </c>
      <c r="F19">
        <v>0</v>
      </c>
      <c r="G19">
        <v>1.5</v>
      </c>
      <c r="H19">
        <v>0</v>
      </c>
      <c r="I19">
        <v>2</v>
      </c>
      <c r="J19">
        <v>1</v>
      </c>
      <c r="K19" s="10">
        <v>44958</v>
      </c>
      <c r="L19" t="s">
        <v>124</v>
      </c>
      <c r="M19" t="s">
        <v>359</v>
      </c>
      <c r="N19" t="s">
        <v>366</v>
      </c>
    </row>
    <row r="20" spans="1:14" x14ac:dyDescent="0.25">
      <c r="C20" t="s">
        <v>459</v>
      </c>
      <c r="D20" t="s">
        <v>458</v>
      </c>
      <c r="E20" t="s">
        <v>460</v>
      </c>
      <c r="L20" t="s">
        <v>101</v>
      </c>
      <c r="N20" t="s">
        <v>368</v>
      </c>
    </row>
    <row r="21" spans="1:14" x14ac:dyDescent="0.25">
      <c r="C21" t="s">
        <v>95</v>
      </c>
      <c r="D21" t="s">
        <v>114</v>
      </c>
      <c r="E21" t="s">
        <v>153</v>
      </c>
      <c r="F21">
        <v>1.25</v>
      </c>
      <c r="G21">
        <v>5</v>
      </c>
      <c r="H21">
        <v>0</v>
      </c>
      <c r="I21">
        <v>0</v>
      </c>
      <c r="J21">
        <v>0</v>
      </c>
      <c r="K21" s="10">
        <v>44958</v>
      </c>
      <c r="L21" t="s">
        <v>101</v>
      </c>
      <c r="M21" t="s">
        <v>359</v>
      </c>
      <c r="N21" t="s">
        <v>368</v>
      </c>
    </row>
    <row r="22" spans="1:14" x14ac:dyDescent="0.25">
      <c r="C22" t="s">
        <v>493</v>
      </c>
      <c r="D22" t="s">
        <v>491</v>
      </c>
      <c r="E22" t="s">
        <v>494</v>
      </c>
      <c r="F22">
        <v>0</v>
      </c>
      <c r="G22">
        <v>1.5</v>
      </c>
      <c r="H22">
        <v>0</v>
      </c>
      <c r="I22">
        <v>2.5</v>
      </c>
      <c r="J22">
        <v>1</v>
      </c>
      <c r="L22" t="s">
        <v>202</v>
      </c>
      <c r="M22" t="s">
        <v>359</v>
      </c>
      <c r="N22" t="s">
        <v>366</v>
      </c>
    </row>
    <row r="23" spans="1:14" x14ac:dyDescent="0.25">
      <c r="C23" t="s">
        <v>58</v>
      </c>
      <c r="D23" t="s">
        <v>59</v>
      </c>
      <c r="E23" t="s">
        <v>158</v>
      </c>
      <c r="F23">
        <v>0</v>
      </c>
      <c r="G23">
        <v>2.5</v>
      </c>
      <c r="H23">
        <v>0</v>
      </c>
      <c r="I23">
        <v>0</v>
      </c>
      <c r="J23">
        <v>0</v>
      </c>
      <c r="K23" s="10">
        <v>44958</v>
      </c>
      <c r="L23" t="s">
        <v>101</v>
      </c>
      <c r="M23" t="s">
        <v>406</v>
      </c>
      <c r="N23" t="s">
        <v>366</v>
      </c>
    </row>
    <row r="24" spans="1:14" x14ac:dyDescent="0.25">
      <c r="C24" t="s">
        <v>541</v>
      </c>
      <c r="D24" t="s">
        <v>540</v>
      </c>
      <c r="E24" t="s">
        <v>542</v>
      </c>
      <c r="L24" t="s">
        <v>101</v>
      </c>
      <c r="N24" t="s">
        <v>366</v>
      </c>
    </row>
    <row r="25" spans="1:14" x14ac:dyDescent="0.25">
      <c r="C25" t="s">
        <v>54</v>
      </c>
      <c r="D25" t="s">
        <v>11</v>
      </c>
      <c r="E25" t="s">
        <v>48</v>
      </c>
      <c r="F25">
        <v>1.25</v>
      </c>
      <c r="G25">
        <v>5</v>
      </c>
      <c r="H25">
        <v>8.68</v>
      </c>
      <c r="I25">
        <v>2</v>
      </c>
      <c r="J25">
        <v>1</v>
      </c>
      <c r="K25" s="10">
        <v>44958</v>
      </c>
      <c r="L25" t="s">
        <v>102</v>
      </c>
      <c r="M25" t="s">
        <v>359</v>
      </c>
      <c r="N25" t="s">
        <v>366</v>
      </c>
    </row>
    <row r="26" spans="1:14" x14ac:dyDescent="0.25">
      <c r="C26" t="s">
        <v>337</v>
      </c>
      <c r="D26" t="s">
        <v>315</v>
      </c>
      <c r="E26" t="s">
        <v>318</v>
      </c>
      <c r="F26">
        <v>1.25</v>
      </c>
      <c r="G26">
        <v>5</v>
      </c>
      <c r="H26">
        <v>0</v>
      </c>
      <c r="I26">
        <v>0</v>
      </c>
      <c r="J26">
        <v>0</v>
      </c>
      <c r="L26" t="s">
        <v>101</v>
      </c>
      <c r="N26" t="s">
        <v>367</v>
      </c>
    </row>
    <row r="27" spans="1:14" x14ac:dyDescent="0.25">
      <c r="C27" t="s">
        <v>110</v>
      </c>
      <c r="D27" t="s">
        <v>109</v>
      </c>
      <c r="E27" t="s">
        <v>154</v>
      </c>
      <c r="F27">
        <v>1.25</v>
      </c>
      <c r="G27">
        <v>5</v>
      </c>
      <c r="H27">
        <v>0</v>
      </c>
      <c r="I27">
        <v>0</v>
      </c>
      <c r="J27">
        <v>0</v>
      </c>
      <c r="K27" s="10">
        <v>45036</v>
      </c>
      <c r="L27" t="s">
        <v>101</v>
      </c>
      <c r="M27" t="s">
        <v>359</v>
      </c>
      <c r="N27" t="s">
        <v>365</v>
      </c>
    </row>
    <row r="28" spans="1:14" x14ac:dyDescent="0.25">
      <c r="C28" t="s">
        <v>53</v>
      </c>
      <c r="D28" t="s">
        <v>10</v>
      </c>
      <c r="E28" t="s">
        <v>80</v>
      </c>
      <c r="F28">
        <v>1.25</v>
      </c>
      <c r="G28">
        <v>5</v>
      </c>
      <c r="H28">
        <v>0</v>
      </c>
      <c r="I28">
        <v>0</v>
      </c>
      <c r="J28">
        <v>0</v>
      </c>
      <c r="K28" s="10">
        <v>44958</v>
      </c>
      <c r="L28" t="s">
        <v>101</v>
      </c>
      <c r="M28" t="s">
        <v>359</v>
      </c>
      <c r="N28" t="s">
        <v>365</v>
      </c>
    </row>
    <row r="29" spans="1:14" x14ac:dyDescent="0.25">
      <c r="C29" t="s">
        <v>137</v>
      </c>
      <c r="D29" t="s">
        <v>136</v>
      </c>
      <c r="E29" t="s">
        <v>221</v>
      </c>
      <c r="F29">
        <v>1.25</v>
      </c>
      <c r="G29">
        <v>3.5</v>
      </c>
      <c r="H29">
        <v>0</v>
      </c>
      <c r="I29">
        <v>0</v>
      </c>
      <c r="J29">
        <v>0</v>
      </c>
      <c r="K29" s="10">
        <v>44958</v>
      </c>
      <c r="L29" t="s">
        <v>101</v>
      </c>
      <c r="M29" t="s">
        <v>359</v>
      </c>
      <c r="N29" t="s">
        <v>368</v>
      </c>
    </row>
    <row r="30" spans="1:14" x14ac:dyDescent="0.25">
      <c r="C30" t="s">
        <v>83</v>
      </c>
      <c r="D30" t="s">
        <v>82</v>
      </c>
      <c r="H30">
        <v>0</v>
      </c>
      <c r="I30">
        <v>0</v>
      </c>
      <c r="J30">
        <v>0</v>
      </c>
      <c r="L30" t="s">
        <v>101</v>
      </c>
      <c r="M30" t="s">
        <v>406</v>
      </c>
      <c r="N30" t="s">
        <v>367</v>
      </c>
    </row>
    <row r="31" spans="1:14" x14ac:dyDescent="0.25">
      <c r="C31" t="s">
        <v>210</v>
      </c>
      <c r="D31" t="s">
        <v>209</v>
      </c>
      <c r="L31" t="s">
        <v>101</v>
      </c>
      <c r="N31" t="s">
        <v>368</v>
      </c>
    </row>
    <row r="32" spans="1:14" x14ac:dyDescent="0.25">
      <c r="C32" t="s">
        <v>463</v>
      </c>
      <c r="D32" t="s">
        <v>462</v>
      </c>
      <c r="E32" t="s">
        <v>464</v>
      </c>
      <c r="L32" t="s">
        <v>101</v>
      </c>
      <c r="N32" t="s">
        <v>368</v>
      </c>
    </row>
    <row r="33" spans="3:16" x14ac:dyDescent="0.25">
      <c r="C33" t="s">
        <v>353</v>
      </c>
      <c r="D33" t="s">
        <v>352</v>
      </c>
      <c r="E33" t="s">
        <v>354</v>
      </c>
      <c r="L33" t="s">
        <v>101</v>
      </c>
      <c r="N33" t="s">
        <v>368</v>
      </c>
    </row>
    <row r="34" spans="3:16" x14ac:dyDescent="0.25">
      <c r="C34" t="s">
        <v>106</v>
      </c>
      <c r="D34" t="s">
        <v>340</v>
      </c>
      <c r="E34" t="s">
        <v>339</v>
      </c>
      <c r="L34" t="s">
        <v>101</v>
      </c>
      <c r="N34" t="s">
        <v>368</v>
      </c>
    </row>
    <row r="35" spans="3:16" x14ac:dyDescent="0.25">
      <c r="C35" t="s">
        <v>469</v>
      </c>
      <c r="D35" t="s">
        <v>266</v>
      </c>
      <c r="E35" t="s">
        <v>468</v>
      </c>
      <c r="L35" t="s">
        <v>101</v>
      </c>
      <c r="N35" t="s">
        <v>368</v>
      </c>
    </row>
    <row r="36" spans="3:16" x14ac:dyDescent="0.25">
      <c r="C36" t="s">
        <v>108</v>
      </c>
      <c r="D36" t="s">
        <v>107</v>
      </c>
      <c r="H36">
        <v>0</v>
      </c>
      <c r="I36">
        <v>0</v>
      </c>
      <c r="J36">
        <v>0</v>
      </c>
      <c r="L36" t="s">
        <v>101</v>
      </c>
      <c r="N36" t="s">
        <v>368</v>
      </c>
    </row>
    <row r="37" spans="3:16" x14ac:dyDescent="0.25">
      <c r="C37" t="s">
        <v>122</v>
      </c>
      <c r="D37" t="s">
        <v>121</v>
      </c>
      <c r="E37" t="s">
        <v>220</v>
      </c>
      <c r="F37">
        <v>1.25</v>
      </c>
      <c r="G37">
        <v>5</v>
      </c>
      <c r="H37">
        <v>0</v>
      </c>
      <c r="I37">
        <v>0</v>
      </c>
      <c r="J37">
        <v>1</v>
      </c>
      <c r="K37" s="10">
        <v>44958</v>
      </c>
      <c r="L37" t="s">
        <v>202</v>
      </c>
      <c r="N37" t="s">
        <v>368</v>
      </c>
    </row>
    <row r="38" spans="3:16" x14ac:dyDescent="0.25">
      <c r="C38" t="s">
        <v>97</v>
      </c>
      <c r="D38" t="s">
        <v>188</v>
      </c>
      <c r="E38" t="s">
        <v>568</v>
      </c>
      <c r="F38">
        <v>1.25</v>
      </c>
      <c r="G38">
        <v>5</v>
      </c>
      <c r="H38">
        <v>0</v>
      </c>
      <c r="I38">
        <v>0</v>
      </c>
      <c r="J38">
        <v>0</v>
      </c>
      <c r="L38" t="s">
        <v>101</v>
      </c>
      <c r="M38" t="s">
        <v>359</v>
      </c>
      <c r="N38" t="s">
        <v>368</v>
      </c>
    </row>
    <row r="39" spans="3:16" x14ac:dyDescent="0.25">
      <c r="C39" t="s">
        <v>183</v>
      </c>
      <c r="D39" t="s">
        <v>182</v>
      </c>
      <c r="E39" t="s">
        <v>184</v>
      </c>
      <c r="F39">
        <v>2.5</v>
      </c>
      <c r="G39">
        <v>3.5</v>
      </c>
      <c r="H39">
        <v>0</v>
      </c>
      <c r="I39">
        <v>0</v>
      </c>
      <c r="J39">
        <v>0</v>
      </c>
      <c r="K39" s="10">
        <v>44958</v>
      </c>
      <c r="L39" t="s">
        <v>101</v>
      </c>
      <c r="N39" t="s">
        <v>368</v>
      </c>
    </row>
    <row r="40" spans="3:16" x14ac:dyDescent="0.25">
      <c r="C40" t="s">
        <v>588</v>
      </c>
      <c r="D40" t="s">
        <v>587</v>
      </c>
      <c r="E40" t="s">
        <v>589</v>
      </c>
      <c r="F40">
        <v>2.5</v>
      </c>
      <c r="G40">
        <v>7</v>
      </c>
      <c r="L40" t="s">
        <v>101</v>
      </c>
      <c r="M40" t="s">
        <v>406</v>
      </c>
      <c r="N40" t="s">
        <v>366</v>
      </c>
    </row>
    <row r="41" spans="3:16" x14ac:dyDescent="0.25">
      <c r="C41" t="s">
        <v>81</v>
      </c>
      <c r="D41" t="s">
        <v>89</v>
      </c>
      <c r="F41">
        <v>0</v>
      </c>
      <c r="G41">
        <v>0</v>
      </c>
      <c r="H41">
        <v>0</v>
      </c>
      <c r="I41">
        <v>0</v>
      </c>
      <c r="J41">
        <v>0</v>
      </c>
      <c r="K41" s="10">
        <v>44958</v>
      </c>
      <c r="L41" t="s">
        <v>101</v>
      </c>
      <c r="N41" t="s">
        <v>366</v>
      </c>
    </row>
    <row r="42" spans="3:16" x14ac:dyDescent="0.25">
      <c r="C42" t="s">
        <v>93</v>
      </c>
      <c r="D42" t="s">
        <v>253</v>
      </c>
      <c r="E42" t="s">
        <v>254</v>
      </c>
      <c r="F42">
        <v>2.5</v>
      </c>
      <c r="G42">
        <v>3.5</v>
      </c>
      <c r="H42">
        <v>0</v>
      </c>
      <c r="I42">
        <v>0</v>
      </c>
      <c r="J42">
        <v>0</v>
      </c>
      <c r="L42" t="s">
        <v>101</v>
      </c>
      <c r="M42" t="s">
        <v>359</v>
      </c>
      <c r="N42" t="s">
        <v>368</v>
      </c>
      <c r="O42" s="140" t="s">
        <v>256</v>
      </c>
      <c r="P42" t="s">
        <v>258</v>
      </c>
    </row>
    <row r="43" spans="3:16" x14ac:dyDescent="0.25">
      <c r="C43" t="s">
        <v>208</v>
      </c>
      <c r="D43" t="s">
        <v>207</v>
      </c>
      <c r="E43" t="s">
        <v>668</v>
      </c>
      <c r="F43">
        <v>2.5</v>
      </c>
      <c r="G43">
        <v>5</v>
      </c>
      <c r="H43">
        <v>0</v>
      </c>
      <c r="I43">
        <v>2</v>
      </c>
      <c r="J43">
        <v>1</v>
      </c>
      <c r="L43" t="s">
        <v>101</v>
      </c>
      <c r="M43" t="s">
        <v>359</v>
      </c>
      <c r="N43" t="s">
        <v>365</v>
      </c>
    </row>
    <row r="44" spans="3:16" x14ac:dyDescent="0.25">
      <c r="C44" t="s">
        <v>562</v>
      </c>
      <c r="D44" t="s">
        <v>560</v>
      </c>
      <c r="E44" t="s">
        <v>561</v>
      </c>
      <c r="L44" t="s">
        <v>101</v>
      </c>
      <c r="N44" t="s">
        <v>368</v>
      </c>
    </row>
    <row r="45" spans="3:16" x14ac:dyDescent="0.25">
      <c r="C45" t="s">
        <v>578</v>
      </c>
      <c r="D45" t="s">
        <v>577</v>
      </c>
      <c r="E45" t="s">
        <v>579</v>
      </c>
      <c r="F45">
        <v>1.25</v>
      </c>
      <c r="G45">
        <v>5</v>
      </c>
      <c r="L45" t="s">
        <v>101</v>
      </c>
      <c r="M45" t="s">
        <v>359</v>
      </c>
      <c r="N45" t="s">
        <v>365</v>
      </c>
    </row>
    <row r="46" spans="3:16" x14ac:dyDescent="0.25">
      <c r="C46" t="s">
        <v>443</v>
      </c>
      <c r="D46" t="s">
        <v>442</v>
      </c>
      <c r="E46" t="s">
        <v>444</v>
      </c>
      <c r="G46">
        <v>3.5</v>
      </c>
      <c r="L46" t="s">
        <v>101</v>
      </c>
      <c r="M46" t="s">
        <v>359</v>
      </c>
      <c r="N46" t="s">
        <v>365</v>
      </c>
    </row>
    <row r="47" spans="3:16" x14ac:dyDescent="0.25">
      <c r="C47" t="s">
        <v>422</v>
      </c>
      <c r="D47" t="s">
        <v>100</v>
      </c>
      <c r="E47" t="s">
        <v>423</v>
      </c>
      <c r="L47" t="s">
        <v>101</v>
      </c>
      <c r="N47" t="s">
        <v>368</v>
      </c>
    </row>
    <row r="48" spans="3:16" x14ac:dyDescent="0.25">
      <c r="C48" t="s">
        <v>55</v>
      </c>
      <c r="D48" t="s">
        <v>20</v>
      </c>
      <c r="E48" t="s">
        <v>155</v>
      </c>
      <c r="F48">
        <v>0</v>
      </c>
      <c r="G48">
        <v>2.5</v>
      </c>
      <c r="H48">
        <v>0</v>
      </c>
      <c r="I48">
        <v>0</v>
      </c>
      <c r="J48">
        <v>0</v>
      </c>
      <c r="K48" s="10">
        <v>44958</v>
      </c>
      <c r="L48" t="s">
        <v>101</v>
      </c>
      <c r="M48" t="s">
        <v>359</v>
      </c>
      <c r="N48" t="s">
        <v>366</v>
      </c>
    </row>
    <row r="49" spans="3:14" x14ac:dyDescent="0.25">
      <c r="C49" t="s">
        <v>617</v>
      </c>
      <c r="D49" t="s">
        <v>616</v>
      </c>
      <c r="E49" t="s">
        <v>618</v>
      </c>
      <c r="F49">
        <v>2.5</v>
      </c>
      <c r="G49">
        <v>2.5</v>
      </c>
      <c r="H49">
        <v>0</v>
      </c>
      <c r="I49">
        <v>0</v>
      </c>
      <c r="J49">
        <v>0</v>
      </c>
      <c r="L49" t="s">
        <v>101</v>
      </c>
      <c r="M49" t="s">
        <v>359</v>
      </c>
      <c r="N49" t="s">
        <v>368</v>
      </c>
    </row>
    <row r="50" spans="3:14" x14ac:dyDescent="0.25">
      <c r="C50" t="s">
        <v>625</v>
      </c>
      <c r="D50" t="s">
        <v>624</v>
      </c>
      <c r="L50" t="s">
        <v>101</v>
      </c>
      <c r="N50" t="s">
        <v>367</v>
      </c>
    </row>
    <row r="51" spans="3:14" x14ac:dyDescent="0.25">
      <c r="C51" t="s">
        <v>628</v>
      </c>
      <c r="D51" t="s">
        <v>627</v>
      </c>
      <c r="E51" t="s">
        <v>629</v>
      </c>
      <c r="F51">
        <v>0</v>
      </c>
      <c r="G51">
        <v>5</v>
      </c>
      <c r="H51">
        <v>0</v>
      </c>
      <c r="I51">
        <v>2</v>
      </c>
      <c r="J51">
        <v>0</v>
      </c>
      <c r="L51" t="s">
        <v>101</v>
      </c>
      <c r="N51" t="s">
        <v>366</v>
      </c>
    </row>
    <row r="52" spans="3:14" x14ac:dyDescent="0.25">
      <c r="C52" t="s">
        <v>640</v>
      </c>
      <c r="D52" t="s">
        <v>639</v>
      </c>
      <c r="E52" t="s">
        <v>641</v>
      </c>
      <c r="L52" t="s">
        <v>101</v>
      </c>
      <c r="N52" t="s">
        <v>368</v>
      </c>
    </row>
    <row r="53" spans="3:14" x14ac:dyDescent="0.25">
      <c r="C53" t="s">
        <v>644</v>
      </c>
      <c r="D53" t="s">
        <v>643</v>
      </c>
      <c r="F53">
        <v>2.5</v>
      </c>
      <c r="G53">
        <v>3.5</v>
      </c>
      <c r="L53" t="s">
        <v>101</v>
      </c>
      <c r="M53" t="s">
        <v>406</v>
      </c>
      <c r="N53" t="s">
        <v>368</v>
      </c>
    </row>
    <row r="54" spans="3:14" x14ac:dyDescent="0.25">
      <c r="C54" t="s">
        <v>675</v>
      </c>
      <c r="D54" t="s">
        <v>673</v>
      </c>
      <c r="E54" t="s">
        <v>674</v>
      </c>
      <c r="F54">
        <v>1.25</v>
      </c>
      <c r="G54">
        <v>5</v>
      </c>
      <c r="L54" t="s">
        <v>101</v>
      </c>
      <c r="M54" t="s">
        <v>359</v>
      </c>
      <c r="N54" t="s">
        <v>368</v>
      </c>
    </row>
    <row r="55" spans="3:14" x14ac:dyDescent="0.25">
      <c r="C55" t="s">
        <v>699</v>
      </c>
      <c r="D55" t="s">
        <v>698</v>
      </c>
      <c r="E55" t="s">
        <v>700</v>
      </c>
      <c r="F55">
        <v>2.5</v>
      </c>
      <c r="G55">
        <v>3.5</v>
      </c>
      <c r="L55" t="s">
        <v>101</v>
      </c>
      <c r="M55" t="s">
        <v>406</v>
      </c>
      <c r="N55" t="s">
        <v>366</v>
      </c>
    </row>
    <row r="56" spans="3:14" x14ac:dyDescent="0.25">
      <c r="C56" t="s">
        <v>703</v>
      </c>
      <c r="D56" t="s">
        <v>702</v>
      </c>
      <c r="E56" t="s">
        <v>704</v>
      </c>
      <c r="F56">
        <v>2.5</v>
      </c>
      <c r="G56">
        <v>3.5</v>
      </c>
      <c r="L56" t="s">
        <v>101</v>
      </c>
      <c r="M56" t="s">
        <v>359</v>
      </c>
      <c r="N56" t="s">
        <v>368</v>
      </c>
    </row>
    <row r="57" spans="3:14" x14ac:dyDescent="0.25">
      <c r="C57" t="s">
        <v>721</v>
      </c>
      <c r="D57" t="s">
        <v>720</v>
      </c>
      <c r="E57" t="s">
        <v>722</v>
      </c>
      <c r="F57">
        <v>1.25</v>
      </c>
      <c r="G57">
        <v>3.5</v>
      </c>
      <c r="L57" t="s">
        <v>101</v>
      </c>
      <c r="M57" t="s">
        <v>359</v>
      </c>
      <c r="N57" t="s">
        <v>366</v>
      </c>
    </row>
    <row r="58" spans="3:14" x14ac:dyDescent="0.25">
      <c r="C58" t="s">
        <v>725</v>
      </c>
      <c r="D58" t="s">
        <v>726</v>
      </c>
      <c r="E58" t="s">
        <v>727</v>
      </c>
      <c r="F58">
        <v>2.5</v>
      </c>
      <c r="G58">
        <v>5</v>
      </c>
      <c r="L58" t="s">
        <v>101</v>
      </c>
      <c r="M58" t="s">
        <v>359</v>
      </c>
      <c r="N58" t="s">
        <v>368</v>
      </c>
    </row>
    <row r="59" spans="3:14" x14ac:dyDescent="0.25">
      <c r="C59" t="s">
        <v>729</v>
      </c>
      <c r="D59" t="s">
        <v>805</v>
      </c>
      <c r="E59" t="s">
        <v>730</v>
      </c>
      <c r="F59">
        <v>2.5</v>
      </c>
      <c r="G59">
        <v>5</v>
      </c>
      <c r="L59" t="s">
        <v>101</v>
      </c>
      <c r="M59" t="s">
        <v>359</v>
      </c>
      <c r="N59" t="s">
        <v>368</v>
      </c>
    </row>
    <row r="60" spans="3:14" x14ac:dyDescent="0.25">
      <c r="C60" t="s">
        <v>742</v>
      </c>
      <c r="D60" t="s">
        <v>743</v>
      </c>
      <c r="E60" t="s">
        <v>744</v>
      </c>
      <c r="F60">
        <v>2.5</v>
      </c>
      <c r="G60">
        <v>0</v>
      </c>
      <c r="H60">
        <v>0</v>
      </c>
      <c r="I60">
        <v>2</v>
      </c>
      <c r="J60">
        <v>1</v>
      </c>
      <c r="L60" t="s">
        <v>101</v>
      </c>
      <c r="M60" t="s">
        <v>406</v>
      </c>
      <c r="N60" t="s">
        <v>366</v>
      </c>
    </row>
    <row r="61" spans="3:14" x14ac:dyDescent="0.25">
      <c r="C61" t="s">
        <v>745</v>
      </c>
      <c r="D61" t="s">
        <v>746</v>
      </c>
      <c r="E61" t="s">
        <v>747</v>
      </c>
      <c r="F61">
        <v>2.5</v>
      </c>
      <c r="G61">
        <v>0</v>
      </c>
      <c r="H61">
        <v>0</v>
      </c>
      <c r="I61">
        <v>2</v>
      </c>
      <c r="J61">
        <v>1</v>
      </c>
      <c r="L61" t="s">
        <v>101</v>
      </c>
      <c r="M61" t="s">
        <v>406</v>
      </c>
      <c r="N61" t="s">
        <v>366</v>
      </c>
    </row>
    <row r="62" spans="3:14" x14ac:dyDescent="0.25">
      <c r="C62" t="s">
        <v>754</v>
      </c>
      <c r="D62" t="s">
        <v>753</v>
      </c>
      <c r="E62" t="s">
        <v>755</v>
      </c>
      <c r="L62" t="s">
        <v>101</v>
      </c>
      <c r="M62" t="s">
        <v>359</v>
      </c>
      <c r="N62" t="s">
        <v>368</v>
      </c>
    </row>
    <row r="63" spans="3:14" x14ac:dyDescent="0.25">
      <c r="C63" t="s">
        <v>759</v>
      </c>
      <c r="D63" t="s">
        <v>758</v>
      </c>
      <c r="E63" t="s">
        <v>760</v>
      </c>
      <c r="F63">
        <v>1.25</v>
      </c>
      <c r="G63">
        <v>3.5</v>
      </c>
      <c r="H63">
        <v>0</v>
      </c>
      <c r="L63" t="s">
        <v>101</v>
      </c>
      <c r="M63" t="s">
        <v>359</v>
      </c>
      <c r="N63" t="s">
        <v>367</v>
      </c>
    </row>
    <row r="64" spans="3:14" x14ac:dyDescent="0.25">
      <c r="C64" t="s">
        <v>784</v>
      </c>
      <c r="D64" t="s">
        <v>772</v>
      </c>
      <c r="E64" t="s">
        <v>773</v>
      </c>
      <c r="F64">
        <v>1.25</v>
      </c>
      <c r="G64">
        <v>4.5</v>
      </c>
      <c r="L64" t="s">
        <v>101</v>
      </c>
      <c r="M64" t="s">
        <v>359</v>
      </c>
      <c r="N64" t="s">
        <v>366</v>
      </c>
    </row>
    <row r="65" spans="3:14" x14ac:dyDescent="0.25">
      <c r="C65" t="s">
        <v>783</v>
      </c>
      <c r="D65" t="s">
        <v>781</v>
      </c>
      <c r="E65" t="s">
        <v>782</v>
      </c>
      <c r="F65">
        <v>2.5</v>
      </c>
      <c r="G65">
        <v>3.5</v>
      </c>
      <c r="L65" t="s">
        <v>101</v>
      </c>
      <c r="M65" t="s">
        <v>406</v>
      </c>
      <c r="N65" t="s">
        <v>366</v>
      </c>
    </row>
    <row r="66" spans="3:14" x14ac:dyDescent="0.25">
      <c r="C66" t="s">
        <v>885</v>
      </c>
      <c r="D66" t="s">
        <v>887</v>
      </c>
      <c r="E66" t="s">
        <v>886</v>
      </c>
      <c r="F66">
        <v>1.25</v>
      </c>
      <c r="G66">
        <v>5</v>
      </c>
      <c r="L66" t="s">
        <v>101</v>
      </c>
      <c r="M66" t="s">
        <v>359</v>
      </c>
      <c r="N66" t="s">
        <v>368</v>
      </c>
    </row>
    <row r="67" spans="3:14" x14ac:dyDescent="0.25">
      <c r="D67" t="s">
        <v>397</v>
      </c>
    </row>
    <row r="68" spans="3:14" x14ac:dyDescent="0.25">
      <c r="D68" t="s">
        <v>396</v>
      </c>
    </row>
    <row r="69" spans="3:14" x14ac:dyDescent="0.25">
      <c r="D69" t="s">
        <v>398</v>
      </c>
    </row>
    <row r="70" spans="3:14" x14ac:dyDescent="0.25">
      <c r="D70" t="s">
        <v>411</v>
      </c>
    </row>
    <row r="71" spans="3:14" x14ac:dyDescent="0.25">
      <c r="D71" t="s">
        <v>402</v>
      </c>
    </row>
    <row r="72" spans="3:14" x14ac:dyDescent="0.25">
      <c r="D72" t="s">
        <v>407</v>
      </c>
    </row>
    <row r="73" spans="3:14" x14ac:dyDescent="0.25">
      <c r="D73" t="s">
        <v>408</v>
      </c>
    </row>
    <row r="74" spans="3:14" x14ac:dyDescent="0.25">
      <c r="D74" t="s">
        <v>409</v>
      </c>
    </row>
    <row r="75" spans="3:14" x14ac:dyDescent="0.25">
      <c r="D75" t="s">
        <v>412</v>
      </c>
    </row>
    <row r="76" spans="3:14" x14ac:dyDescent="0.25">
      <c r="D76" t="s">
        <v>403</v>
      </c>
    </row>
    <row r="77" spans="3:14" x14ac:dyDescent="0.25">
      <c r="D77" t="s">
        <v>413</v>
      </c>
    </row>
  </sheetData>
  <sortState xmlns:xlrd2="http://schemas.microsoft.com/office/spreadsheetml/2017/richdata2" ref="C2:P48">
    <sortCondition ref="D2:D48"/>
  </sortState>
  <phoneticPr fontId="18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D25B1-9CDA-4E7C-9BE1-F8D2815F482A}">
  <sheetPr>
    <pageSetUpPr fitToPage="1"/>
  </sheetPr>
  <dimension ref="A1:O22"/>
  <sheetViews>
    <sheetView workbookViewId="0">
      <selection activeCell="C6" sqref="C6"/>
    </sheetView>
  </sheetViews>
  <sheetFormatPr baseColWidth="10" defaultRowHeight="15" x14ac:dyDescent="0.25"/>
  <cols>
    <col min="1" max="1" width="3.42578125" customWidth="1"/>
    <col min="2" max="2" width="15.5703125" customWidth="1"/>
    <col min="3" max="3" width="29.28515625" customWidth="1"/>
    <col min="4" max="4" width="28.140625" customWidth="1"/>
    <col min="5" max="5" width="25.28515625" customWidth="1"/>
    <col min="6" max="6" width="21.85546875" customWidth="1"/>
    <col min="7" max="7" width="21" customWidth="1"/>
    <col min="8" max="8" width="18.28515625" customWidth="1"/>
    <col min="9" max="9" width="12.28515625" customWidth="1"/>
    <col min="10" max="10" width="12.42578125" customWidth="1"/>
    <col min="11" max="11" width="4.7109375" customWidth="1"/>
    <col min="12" max="12" width="9.7109375" customWidth="1"/>
  </cols>
  <sheetData>
    <row r="1" spans="1:15" x14ac:dyDescent="0.25">
      <c r="A1" s="178" t="s">
        <v>216</v>
      </c>
      <c r="B1" s="179" t="s">
        <v>24</v>
      </c>
      <c r="C1" s="179" t="s">
        <v>41</v>
      </c>
      <c r="D1" s="179" t="s">
        <v>42</v>
      </c>
      <c r="E1" s="179" t="s">
        <v>43</v>
      </c>
      <c r="F1" s="179" t="s">
        <v>44</v>
      </c>
      <c r="G1" s="179" t="s">
        <v>45</v>
      </c>
      <c r="H1" s="179" t="s">
        <v>68</v>
      </c>
      <c r="I1" s="179" t="s">
        <v>46</v>
      </c>
      <c r="J1" s="180" t="s">
        <v>47</v>
      </c>
      <c r="L1" s="175" t="s">
        <v>217</v>
      </c>
      <c r="M1" t="s">
        <v>148</v>
      </c>
      <c r="N1" s="234" t="s">
        <v>338</v>
      </c>
      <c r="O1">
        <v>7</v>
      </c>
    </row>
    <row r="2" spans="1:15" x14ac:dyDescent="0.25">
      <c r="A2" s="157" t="str">
        <f>N2&amp;COUNTIF($N$2:N2,N2)</f>
        <v>LA PROVIDENCIA DEL NOA SRL71</v>
      </c>
      <c r="B2" t="str">
        <f>+IFERROR(INDEX(CARGAFACTURAS!B:S,MATCH(A2,CARGAFACTURAS!S:S,0),5),"")</f>
        <v>30-68568395-0</v>
      </c>
      <c r="C2" t="s">
        <v>11</v>
      </c>
      <c r="D2" t="str">
        <f>+IF(C2&lt;&gt;"",VLOOKUP(C2,'AUX23'!$D$1:$L$65,2,0),"")</f>
        <v>CORDOBA 119</v>
      </c>
      <c r="E2" t="str">
        <f>+IFERROR(INDEX(CARGAFACTURAS!B:S,MATCH(A2,CARGAFACTURAS!S:S,0),3),"")</f>
        <v>0002-000006007</v>
      </c>
      <c r="F2" t="s">
        <v>684</v>
      </c>
      <c r="G2" s="177">
        <f>+IFERROR(INDEX(CARGAFACTURAS!B:S,MATCH(A2,CARGAFACTURAS!S:S,0),4),"")</f>
        <v>45110</v>
      </c>
      <c r="H2" s="146">
        <f>+IFERROR(INDEX(CARGAFACTURAS!B:S,MATCH(A2,CARGAFACTURAS!S:S,0),6),"")</f>
        <v>583355.55200000003</v>
      </c>
      <c r="I2" s="146">
        <f>+IFERROR(INDEX(CARGAFACTURAS!B:S,MATCH(A2,CARGAFACTURAS!S:S,0),7),"")</f>
        <v>7291.9444000000003</v>
      </c>
      <c r="J2" s="152" t="s">
        <v>49</v>
      </c>
      <c r="M2" t="str">
        <f>+IF(C2&lt;&gt;"",C2&amp;$M$1,"")</f>
        <v>LA PROVIDENCIA DEL NOA SRLJULIO 23</v>
      </c>
      <c r="N2" t="str">
        <f>+IF(C2&lt;&gt;"",C2&amp;$O$1,"")</f>
        <v>LA PROVIDENCIA DEL NOA SRL7</v>
      </c>
    </row>
    <row r="3" spans="1:15" x14ac:dyDescent="0.25">
      <c r="A3" s="157" t="str">
        <f>N3&amp;COUNTIF($N$2:N3,N3)</f>
        <v>LA PROVIDENCIA DEL NOA SRL72</v>
      </c>
      <c r="B3" t="str">
        <f>+IFERROR(INDEX(CARGAFACTURAS!B:S,MATCH(A3,CARGAFACTURAS!S:S,0),5),"")</f>
        <v>30-68568395-0</v>
      </c>
      <c r="C3" t="s">
        <v>11</v>
      </c>
      <c r="D3" t="str">
        <f>+IF(C3&lt;&gt;"",VLOOKUP(C3,'AUX23'!$D$1:$L$65,2,0),"")</f>
        <v>CORDOBA 119</v>
      </c>
      <c r="E3" t="str">
        <f>+IFERROR(INDEX(CARGAFACTURAS!B:S,MATCH(A3,CARGAFACTURAS!S:S,0),3),"")</f>
        <v>0002-000006008</v>
      </c>
      <c r="F3" t="s">
        <v>685</v>
      </c>
      <c r="G3" s="177">
        <f>+IFERROR(INDEX(CARGAFACTURAS!B:S,MATCH(A3,CARGAFACTURAS!S:S,0),4),"")</f>
        <v>45110</v>
      </c>
      <c r="H3" s="146">
        <f>+IFERROR(INDEX(CARGAFACTURAS!B:S,MATCH(A3,CARGAFACTURAS!S:S,0),6),"")</f>
        <v>212129.28</v>
      </c>
      <c r="I3" s="146">
        <f>+IFERROR(INDEX(CARGAFACTURAS!B:S,MATCH(A3,CARGAFACTURAS!S:S,0),7),"")</f>
        <v>2651.616</v>
      </c>
      <c r="J3" s="152" t="s">
        <v>49</v>
      </c>
      <c r="M3" t="str">
        <f t="shared" ref="M3" si="0">+IF(C3&lt;&gt;"",C3&amp;$M$1,"")</f>
        <v>LA PROVIDENCIA DEL NOA SRLJULIO 23</v>
      </c>
      <c r="N3" t="str">
        <f t="shared" ref="N3" si="1">+IF(C3&lt;&gt;"",C3&amp;$O$1,"")</f>
        <v>LA PROVIDENCIA DEL NOA SRL7</v>
      </c>
    </row>
    <row r="4" spans="1:15" x14ac:dyDescent="0.25">
      <c r="A4" s="157" t="str">
        <f>N4&amp;COUNTIF($N$2:N4,N4)</f>
        <v>CEGE SRL71</v>
      </c>
      <c r="B4" t="str">
        <f>+IFERROR(INDEX(CARGAFACTURAS!B:S,MATCH(A4,CARGAFACTURAS!S:S,0),5),"")</f>
        <v>30-65710669-7</v>
      </c>
      <c r="C4" t="s">
        <v>50</v>
      </c>
      <c r="D4" t="str">
        <f>+IF(C4&lt;&gt;"",VLOOKUP(C4,'AUX23'!$D$1:$L$65,2,0),"")</f>
        <v>24 DE SEPTIEMBRE 1090</v>
      </c>
      <c r="E4" t="str">
        <f>+IFERROR(INDEX(CARGAFACTURAS!B:S,MATCH(A4,CARGAFACTURAS!S:S,0),3),"")</f>
        <v>0004-00013003</v>
      </c>
      <c r="F4" t="s">
        <v>686</v>
      </c>
      <c r="G4" s="177">
        <f>+IFERROR(INDEX(CARGAFACTURAS!B:S,MATCH(A4,CARGAFACTURAS!S:S,0),4),"")</f>
        <v>45114</v>
      </c>
      <c r="H4" s="146">
        <f>+IFERROR(INDEX(CARGAFACTURAS!B:S,MATCH(A4,CARGAFACTURAS!S:S,0),6),"")</f>
        <v>123890</v>
      </c>
      <c r="I4" s="146">
        <f>+IFERROR(INDEX(CARGAFACTURAS!B:S,MATCH(A4,CARGAFACTURAS!S:S,0),7),"")</f>
        <v>3097.25</v>
      </c>
      <c r="J4" s="152" t="s">
        <v>49</v>
      </c>
      <c r="M4" t="str">
        <f t="shared" ref="M4:M10" si="2">+IF(C4&lt;&gt;"",C4&amp;$M$1,"")</f>
        <v>CEGE SRLJULIO 23</v>
      </c>
      <c r="N4" t="str">
        <f t="shared" ref="N4:N10" si="3">+IF(C4&lt;&gt;"",C4&amp;$O$1,"")</f>
        <v>CEGE SRL7</v>
      </c>
    </row>
    <row r="5" spans="1:15" x14ac:dyDescent="0.25">
      <c r="A5" s="288" t="s">
        <v>693</v>
      </c>
      <c r="B5" t="str">
        <f>+IFERROR(INDEX(CARGAFACTURAS!B:S,MATCH(A5,CARGAFACTURAS!S:S,0),5),"")</f>
        <v>30-58351679-0</v>
      </c>
      <c r="C5" t="s">
        <v>10</v>
      </c>
      <c r="D5" t="str">
        <f>+IF(C5&lt;&gt;"",VLOOKUP(C5,'AUX23'!$D$1:$L$65,2,0),"")</f>
        <v>SAN MARTIN 628</v>
      </c>
      <c r="E5" t="str">
        <f>+IFERROR(INDEX(CARGAFACTURAS!B:S,MATCH(A5,CARGAFACTURAS!S:S,0),3),"")</f>
        <v>0069-00071876</v>
      </c>
      <c r="F5" t="s">
        <v>687</v>
      </c>
      <c r="G5" s="177">
        <f>+IFERROR(INDEX(CARGAFACTURAS!B:S,MATCH(A5,CARGAFACTURAS!S:S,0),4),"")</f>
        <v>45120</v>
      </c>
      <c r="H5" s="146">
        <f>+IFERROR(INDEX(CARGAFACTURAS!B:S,MATCH(A5,CARGAFACTURAS!S:S,0),6),"")</f>
        <v>66307.47</v>
      </c>
      <c r="I5" s="146">
        <f>+IFERROR(INDEX(CARGAFACTURAS!B:S,MATCH(A5,CARGAFACTURAS!S:S,0),7),"")</f>
        <v>828.84337499999992</v>
      </c>
      <c r="J5" s="152" t="s">
        <v>49</v>
      </c>
      <c r="M5" t="str">
        <f t="shared" si="2"/>
        <v>LIBRERÍA SAN PABLO SRLJULIO 23</v>
      </c>
      <c r="N5" t="str">
        <f t="shared" si="3"/>
        <v>LIBRERÍA SAN PABLO SRL7</v>
      </c>
    </row>
    <row r="6" spans="1:15" x14ac:dyDescent="0.25">
      <c r="A6" s="157" t="str">
        <f>N6&amp;COUNTIF($N$2:N6,N6)</f>
        <v>LEON LUIS CESAR71</v>
      </c>
      <c r="B6" t="str">
        <f>+IFERROR(INDEX(CARGAFACTURAS!B:S,MATCH(A6,CARGAFACTURAS!S:S,0),5),"")</f>
        <v>20-13278210-6</v>
      </c>
      <c r="C6" t="s">
        <v>109</v>
      </c>
      <c r="D6" t="str">
        <f>+IF(C6&lt;&gt;"",VLOOKUP(C6,'AUX23'!$D$1:$L$65,2,0),"")</f>
        <v>JUNIN 273</v>
      </c>
      <c r="E6" t="str">
        <f>+IFERROR(INDEX(CARGAFACTURAS!B:S,MATCH(A6,CARGAFACTURAS!S:S,0),3),"")</f>
        <v>0013-00008315</v>
      </c>
      <c r="F6" t="s">
        <v>688</v>
      </c>
      <c r="G6" s="177">
        <f>+IFERROR(INDEX(CARGAFACTURAS!B:S,MATCH(A6,CARGAFACTURAS!S:S,0),4),"")</f>
        <v>45121</v>
      </c>
      <c r="H6" s="146">
        <f>+IFERROR(INDEX(CARGAFACTURAS!B:S,MATCH(A6,CARGAFACTURAS!S:S,0),6),"")</f>
        <v>22589.7</v>
      </c>
      <c r="I6" s="146">
        <f>+IFERROR(INDEX(CARGAFACTURAS!B:S,MATCH(A6,CARGAFACTURAS!S:S,0),7),"")</f>
        <v>282.37124999999997</v>
      </c>
      <c r="J6" s="152" t="s">
        <v>49</v>
      </c>
      <c r="M6" t="str">
        <f t="shared" si="2"/>
        <v>LEON LUIS CESARJULIO 23</v>
      </c>
      <c r="N6" t="str">
        <f t="shared" si="3"/>
        <v>LEON LUIS CESAR7</v>
      </c>
    </row>
    <row r="7" spans="1:15" x14ac:dyDescent="0.25">
      <c r="A7" s="157" t="str">
        <f>N7&amp;COUNTIF($N$2:N7,N7)</f>
        <v>GOMEZ PARDO RAUL(LIMPLUS)71</v>
      </c>
      <c r="B7" t="str">
        <f>+IFERROR(INDEX(CARGAFACTURAS!B:S,MATCH(A7,CARGAFACTURAS!S:S,0),5),"")</f>
        <v>20-34285327-8</v>
      </c>
      <c r="C7" t="s">
        <v>114</v>
      </c>
      <c r="D7" t="str">
        <f>+IF(C7&lt;&gt;"",VLOOKUP(C7,'AUX23'!$D$1:$L$65,2,0),"")</f>
        <v>CORDOBA 809</v>
      </c>
      <c r="E7" t="str">
        <f>+IFERROR(INDEX(CARGAFACTURAS!B:S,MATCH(A7,CARGAFACTURAS!S:S,0),3),"")</f>
        <v>0009-00012372</v>
      </c>
      <c r="F7" t="s">
        <v>689</v>
      </c>
      <c r="G7" s="177">
        <f>+IFERROR(INDEX(CARGAFACTURAS!B:S,MATCH(A7,CARGAFACTURAS!S:S,0),4),"")</f>
        <v>45120</v>
      </c>
      <c r="H7" s="146">
        <f>+IFERROR(INDEX(CARGAFACTURAS!B:S,MATCH(A7,CARGAFACTURAS!S:S,0),6),"")</f>
        <v>46788.27</v>
      </c>
      <c r="I7" s="146">
        <f>+IFERROR(INDEX(CARGAFACTURAS!B:S,MATCH(A7,CARGAFACTURAS!S:S,0),7),"")</f>
        <v>584.85337499999991</v>
      </c>
      <c r="J7" s="152" t="s">
        <v>49</v>
      </c>
      <c r="M7" t="str">
        <f t="shared" si="2"/>
        <v>GOMEZ PARDO RAUL(LIMPLUS)JULIO 23</v>
      </c>
      <c r="N7" t="str">
        <f t="shared" si="3"/>
        <v>GOMEZ PARDO RAUL(LIMPLUS)7</v>
      </c>
    </row>
    <row r="8" spans="1:15" x14ac:dyDescent="0.25">
      <c r="A8" s="157" t="str">
        <f>N8&amp;COUNTIF($N$2:N8,N8)</f>
        <v>ESCOBEDO LUCAS NICOLAS (PAPERTUC)71</v>
      </c>
      <c r="B8" t="str">
        <f>+IFERROR(INDEX(CARGAFACTURAS!B:S,MATCH(A8,CARGAFACTURAS!S:S,0),5),"")</f>
        <v>20-31729103-6</v>
      </c>
      <c r="C8" t="s">
        <v>104</v>
      </c>
      <c r="D8" t="str">
        <f>+IF(C8&lt;&gt;"",VLOOKUP(C8,'AUX23'!$D$1:$L$65,2,0),"")</f>
        <v>PERU 2929</v>
      </c>
      <c r="E8" t="str">
        <f>+IFERROR(INDEX(CARGAFACTURAS!B:S,MATCH(A8,CARGAFACTURAS!S:S,0),3),"")</f>
        <v>0005-00001012</v>
      </c>
      <c r="F8" t="s">
        <v>690</v>
      </c>
      <c r="G8" s="177">
        <f>+IFERROR(INDEX(CARGAFACTURAS!B:S,MATCH(A8,CARGAFACTURAS!S:S,0),4),"")</f>
        <v>45120</v>
      </c>
      <c r="H8" s="146">
        <f>+IFERROR(INDEX(CARGAFACTURAS!B:S,MATCH(A8,CARGAFACTURAS!S:S,0),6),"")</f>
        <v>40562.199999999997</v>
      </c>
      <c r="I8" s="146">
        <f>+IFERROR(INDEX(CARGAFACTURAS!B:S,MATCH(A8,CARGAFACTURAS!S:S,0),7),"")</f>
        <v>507.02749999999997</v>
      </c>
      <c r="J8" s="152" t="s">
        <v>49</v>
      </c>
      <c r="M8" t="str">
        <f t="shared" si="2"/>
        <v>ESCOBEDO LUCAS NICOLAS (PAPERTUC)JULIO 23</v>
      </c>
      <c r="N8" t="str">
        <f t="shared" si="3"/>
        <v>ESCOBEDO LUCAS NICOLAS (PAPERTUC)7</v>
      </c>
    </row>
    <row r="9" spans="1:15" x14ac:dyDescent="0.25">
      <c r="A9" s="157" t="str">
        <f>N9&amp;COUNTIF($N$2:N9,N9)</f>
        <v>ROTTA FRANCISCO(COMPUMAQ)71</v>
      </c>
      <c r="B9" t="str">
        <f>+IFERROR(INDEX(CARGAFACTURAS!B:S,MATCH(A9,CARGAFACTURAS!S:S,0),5),"")</f>
        <v>20-16216700-7</v>
      </c>
      <c r="C9" t="s">
        <v>188</v>
      </c>
      <c r="D9" t="str">
        <f>+IF(C9&lt;&gt;"",VLOOKUP(C9,'AUX23'!$D$1:$L$65,2,0),"")</f>
        <v>MONTEAGUDO BERNARDO 50</v>
      </c>
      <c r="E9" t="str">
        <f>+IFERROR(INDEX(CARGAFACTURAS!B:S,MATCH(A9,CARGAFACTURAS!S:S,0),3),"")</f>
        <v>0003-00002673</v>
      </c>
      <c r="F9" t="s">
        <v>691</v>
      </c>
      <c r="G9" s="177">
        <f>+IFERROR(INDEX(CARGAFACTURAS!B:S,MATCH(A9,CARGAFACTURAS!S:S,0),4),"")</f>
        <v>45120</v>
      </c>
      <c r="H9" s="146">
        <f>+IFERROR(INDEX(CARGAFACTURAS!B:S,MATCH(A9,CARGAFACTURAS!S:S,0),6),"")</f>
        <v>26500</v>
      </c>
      <c r="I9" s="146">
        <f>+IFERROR(INDEX(CARGAFACTURAS!B:S,MATCH(A9,CARGAFACTURAS!S:S,0),7),"")</f>
        <v>331.25</v>
      </c>
      <c r="J9" s="152" t="s">
        <v>49</v>
      </c>
      <c r="M9" t="str">
        <f t="shared" si="2"/>
        <v>ROTTA FRANCISCO(COMPUMAQ)JULIO 23</v>
      </c>
      <c r="N9" t="str">
        <f t="shared" si="3"/>
        <v>ROTTA FRANCISCO(COMPUMAQ)7</v>
      </c>
    </row>
    <row r="10" spans="1:15" x14ac:dyDescent="0.25">
      <c r="A10" s="157" t="str">
        <f>N10&amp;COUNTIF($N$2:N10,N10)</f>
        <v>ROTTA FRANCISCO(COMPUMAQ)72</v>
      </c>
      <c r="B10" t="str">
        <f>+IFERROR(INDEX(CARGAFACTURAS!B:S,MATCH(A10,CARGAFACTURAS!S:S,0),5),"")</f>
        <v>20-16216700-7</v>
      </c>
      <c r="C10" t="s">
        <v>188</v>
      </c>
      <c r="D10" t="str">
        <f>+IF(C10&lt;&gt;"",VLOOKUP(C10,'AUX23'!$D$1:$L$65,2,0),"")</f>
        <v>MONTEAGUDO BERNARDO 50</v>
      </c>
      <c r="E10" t="str">
        <f>+IFERROR(INDEX(CARGAFACTURAS!B:S,MATCH(A10,CARGAFACTURAS!S:S,0),3),"")</f>
        <v>0003-00002675</v>
      </c>
      <c r="F10" t="s">
        <v>692</v>
      </c>
      <c r="G10" s="177">
        <f>+IFERROR(INDEX(CARGAFACTURAS!B:S,MATCH(A10,CARGAFACTURAS!S:S,0),4),"")</f>
        <v>45120</v>
      </c>
      <c r="H10" s="146">
        <f>+IFERROR(INDEX(CARGAFACTURAS!B:S,MATCH(A10,CARGAFACTURAS!S:S,0),6),"")</f>
        <v>25500</v>
      </c>
      <c r="I10" s="146">
        <f>+IFERROR(INDEX(CARGAFACTURAS!B:S,MATCH(A10,CARGAFACTURAS!S:S,0),7),"")</f>
        <v>318.75</v>
      </c>
      <c r="J10" s="152" t="s">
        <v>49</v>
      </c>
      <c r="M10" t="str">
        <f t="shared" si="2"/>
        <v>ROTTA FRANCISCO(COMPUMAQ)JULIO 23</v>
      </c>
      <c r="N10" t="str">
        <f t="shared" si="3"/>
        <v>ROTTA FRANCISCO(COMPUMAQ)7</v>
      </c>
    </row>
    <row r="11" spans="1:15" x14ac:dyDescent="0.25">
      <c r="A11" s="157" t="str">
        <f>N11&amp;COUNTIF($N$2:N11,N11)</f>
        <v>DOLSA SA71</v>
      </c>
      <c r="B11" t="str">
        <f>+IFERROR(INDEX(CARGAFACTURAS!B:S,MATCH(A11,CARGAFACTURAS!S:S,0),5),"")</f>
        <v>30-71162078-4</v>
      </c>
      <c r="C11" t="s">
        <v>571</v>
      </c>
      <c r="D11" t="str">
        <f>+IF(C11&lt;&gt;"",VLOOKUP(C11,'AUX23'!$D$1:$L$65,2,0),"")</f>
        <v>AV ALEM 333</v>
      </c>
      <c r="E11" t="str">
        <f>+IFERROR(INDEX(CARGAFACTURAS!B:S,MATCH(A11,CARGAFACTURAS!S:S,0),3),"")</f>
        <v>0006-00006702</v>
      </c>
      <c r="F11" t="s">
        <v>694</v>
      </c>
      <c r="G11" s="177">
        <f>+IFERROR(INDEX(CARGAFACTURAS!B:S,MATCH(A11,CARGAFACTURAS!S:S,0),4),"")</f>
        <v>45120</v>
      </c>
      <c r="H11" s="146">
        <f>+IFERROR(INDEX(CARGAFACTURAS!B:S,MATCH(A11,CARGAFACTURAS!S:S,0),6),"")</f>
        <v>28450.01</v>
      </c>
      <c r="I11" s="146">
        <f>+IFERROR(INDEX(CARGAFACTURAS!B:S,MATCH(A11,CARGAFACTURAS!S:S,0),7),"")</f>
        <v>355.62512499999997</v>
      </c>
      <c r="J11" s="152" t="s">
        <v>49</v>
      </c>
      <c r="M11" t="str">
        <f t="shared" ref="M11:M16" si="4">+IF(C11&lt;&gt;"",C11&amp;$M$1,"")</f>
        <v>DOLSA SAJULIO 23</v>
      </c>
      <c r="N11" t="str">
        <f t="shared" ref="N11:N16" si="5">+IF(C11&lt;&gt;"",C11&amp;$O$1,"")</f>
        <v>DOLSA SA7</v>
      </c>
    </row>
    <row r="12" spans="1:15" x14ac:dyDescent="0.25">
      <c r="A12" s="157" t="str">
        <f>N12&amp;COUNTIF($N$2:N12,N12)</f>
        <v>RODRIGUEZ ZELADA ROMULO FACUNDO(JOSULO)71</v>
      </c>
      <c r="B12" t="str">
        <f>+IFERROR(INDEX(CARGAFACTURAS!B:S,MATCH(A12,CARGAFACTURAS!S:S,0),5),"")</f>
        <v>20-29532277-3</v>
      </c>
      <c r="C12" t="s">
        <v>720</v>
      </c>
      <c r="D12" t="str">
        <f>+IF(C12&lt;&gt;"",VLOOKUP(C12,'AUX23'!$D$1:$L$65,2,0),"")</f>
        <v>LAS PIEDRAS 375</v>
      </c>
      <c r="E12" t="str">
        <f>+IFERROR(INDEX(CARGAFACTURAS!B:S,MATCH(A12,CARGAFACTURAS!S:S,0),3),"")</f>
        <v>0003-00000190</v>
      </c>
      <c r="F12" t="s">
        <v>789</v>
      </c>
      <c r="G12" s="177">
        <f>+IFERROR(INDEX(CARGAFACTURAS!B:S,MATCH(A12,CARGAFACTURAS!S:S,0),4),"")</f>
        <v>45134</v>
      </c>
      <c r="H12" s="146">
        <f>+IFERROR(INDEX(CARGAFACTURAS!B:S,MATCH(A12,CARGAFACTURAS!S:S,0),6),"")</f>
        <v>36300</v>
      </c>
      <c r="I12" s="146">
        <f>+IFERROR(INDEX(CARGAFACTURAS!B:S,MATCH(A12,CARGAFACTURAS!S:S,0),7),"")</f>
        <v>453.75</v>
      </c>
      <c r="J12" s="152" t="s">
        <v>49</v>
      </c>
      <c r="M12" t="str">
        <f t="shared" si="4"/>
        <v>RODRIGUEZ ZELADA ROMULO FACUNDO(JOSULO)JULIO 23</v>
      </c>
      <c r="N12" t="str">
        <f t="shared" si="5"/>
        <v>RODRIGUEZ ZELADA ROMULO FACUNDO(JOSULO)7</v>
      </c>
    </row>
    <row r="13" spans="1:15" x14ac:dyDescent="0.25">
      <c r="A13" s="157" t="str">
        <f>N13&amp;COUNTIF($N$2:N13,N13)</f>
        <v>PANTHER DISTRIBUCIONES SRL71</v>
      </c>
      <c r="B13" t="str">
        <f>+IFERROR(INDEX(CARGAFACTURAS!B:S,MATCH(A13,CARGAFACTURAS!S:S,0),5),"")</f>
        <v>30-71639844-3</v>
      </c>
      <c r="C13" t="s">
        <v>805</v>
      </c>
      <c r="D13" t="str">
        <f>+IF(C13&lt;&gt;"",VLOOKUP(C13,'AUX23'!$D$1:$L$65,2,0),"")</f>
        <v>LAPRIDA 137</v>
      </c>
      <c r="E13" t="str">
        <f>+IFERROR(INDEX(CARGAFACTURAS!B:S,MATCH(A13,CARGAFACTURAS!S:S,0),3),"")</f>
        <v>0001-00009940</v>
      </c>
      <c r="F13" t="s">
        <v>796</v>
      </c>
      <c r="G13" s="177">
        <f>+IFERROR(INDEX(CARGAFACTURAS!B:S,MATCH(A13,CARGAFACTURAS!S:S,0),4),"")</f>
        <v>45132</v>
      </c>
      <c r="H13" s="146">
        <f>+IFERROR(INDEX(CARGAFACTURAS!B:S,MATCH(A13,CARGAFACTURAS!S:S,0),6),"")</f>
        <v>40023.879999999997</v>
      </c>
      <c r="I13" s="146">
        <f>+IFERROR(INDEX(CARGAFACTURAS!B:S,MATCH(A13,CARGAFACTURAS!S:S,0),7),"")</f>
        <v>1000.597</v>
      </c>
      <c r="J13" s="152" t="s">
        <v>49</v>
      </c>
      <c r="M13" t="str">
        <f t="shared" si="4"/>
        <v>PANTHER DISTRIBUCIONES SRLJULIO 23</v>
      </c>
      <c r="N13" t="str">
        <f t="shared" si="5"/>
        <v>PANTHER DISTRIBUCIONES SRL7</v>
      </c>
    </row>
    <row r="14" spans="1:15" x14ac:dyDescent="0.25">
      <c r="A14" s="157" t="str">
        <f>N14&amp;COUNTIF($N$2:N14,N14)</f>
        <v>BERNIS ERNESTO FEDERICO(ALL TECH)71</v>
      </c>
      <c r="B14" t="str">
        <f>+IFERROR(INDEX(CARGAFACTURAS!B:S,MATCH(A14,CARGAFACTURAS!S:S,0),5),"")</f>
        <v>20-26782059-8</v>
      </c>
      <c r="C14" t="s">
        <v>726</v>
      </c>
      <c r="D14" t="str">
        <f>+IF(C14&lt;&gt;"",VLOOKUP(C14,'AUX23'!$D$1:$L$65,2,0),"")</f>
        <v>AV JUAN B JUSTO 1039</v>
      </c>
      <c r="E14" t="str">
        <f>+IFERROR(INDEX(CARGAFACTURAS!B:S,MATCH(A14,CARGAFACTURAS!S:S,0),3),"")</f>
        <v>0004-00000378</v>
      </c>
      <c r="F14" t="s">
        <v>797</v>
      </c>
      <c r="G14" s="177">
        <f>+IFERROR(INDEX(CARGAFACTURAS!B:S,MATCH(A14,CARGAFACTURAS!S:S,0),4),"")</f>
        <v>45134</v>
      </c>
      <c r="H14" s="146">
        <f>+IFERROR(INDEX(CARGAFACTURAS!B:S,MATCH(A14,CARGAFACTURAS!S:S,0),6),"")</f>
        <v>36177</v>
      </c>
      <c r="I14" s="146">
        <f>+IFERROR(INDEX(CARGAFACTURAS!B:S,MATCH(A14,CARGAFACTURAS!S:S,0),7),"")</f>
        <v>904.42499999999995</v>
      </c>
      <c r="J14" s="152" t="s">
        <v>49</v>
      </c>
      <c r="M14" t="str">
        <f t="shared" si="4"/>
        <v>BERNIS ERNESTO FEDERICO(ALL TECH)JULIO 23</v>
      </c>
      <c r="N14" t="str">
        <f t="shared" si="5"/>
        <v>BERNIS ERNESTO FEDERICO(ALL TECH)7</v>
      </c>
    </row>
    <row r="15" spans="1:15" x14ac:dyDescent="0.25">
      <c r="A15" s="157" t="str">
        <f>N15&amp;COUNTIF($N$2:N15,N15)</f>
        <v>1</v>
      </c>
      <c r="B15" t="str">
        <f>+IFERROR(INDEX(CARGAFACTURAS!B:S,MATCH(A15,CARGAFACTURAS!S:S,0),5),"")</f>
        <v/>
      </c>
      <c r="D15" t="str">
        <f>+IF(C15&lt;&gt;"",VLOOKUP(C15,'AUX23'!$D$1:$L$65,2,0),"")</f>
        <v/>
      </c>
      <c r="E15" t="str">
        <f>+IFERROR(INDEX(CARGAFACTURAS!B:S,MATCH(A15,CARGAFACTURAS!S:S,0),3),"")</f>
        <v/>
      </c>
      <c r="G15" s="177" t="str">
        <f>+IFERROR(INDEX(CARGAFACTURAS!B:S,MATCH(A15,CARGAFACTURAS!S:S,0),4),"")</f>
        <v/>
      </c>
      <c r="H15" s="146" t="str">
        <f>+IFERROR(INDEX(CARGAFACTURAS!B:S,MATCH(A15,CARGAFACTURAS!S:S,0),6),"")</f>
        <v/>
      </c>
      <c r="I15" s="146" t="str">
        <f>+IFERROR(INDEX(CARGAFACTURAS!B:S,MATCH(A15,CARGAFACTURAS!S:S,0),7),"")</f>
        <v/>
      </c>
      <c r="J15" s="152" t="s">
        <v>49</v>
      </c>
      <c r="M15" t="str">
        <f t="shared" si="4"/>
        <v/>
      </c>
      <c r="N15" t="str">
        <f t="shared" si="5"/>
        <v/>
      </c>
    </row>
    <row r="16" spans="1:15" ht="15.75" thickBot="1" x14ac:dyDescent="0.3">
      <c r="A16" s="158"/>
      <c r="B16" s="153"/>
      <c r="C16" s="153"/>
      <c r="D16" s="153" t="str">
        <f>+IF(C16&lt;&gt;"",VLOOKUP(C16,'AUX23'!$D$1:$L$65,2,0),"")</f>
        <v/>
      </c>
      <c r="E16" s="153"/>
      <c r="F16" s="153"/>
      <c r="G16" s="181" t="str">
        <f>+IFERROR(INDEX(CARGAFACTURAS!B:S,MATCH(A16,CARGAFACTURAS!S:S,0),4),"")</f>
        <v/>
      </c>
      <c r="H16" s="149" t="str">
        <f>+IFERROR(INDEX(CARGAFACTURAS!B:S,MATCH(A16,CARGAFACTURAS!S:S,0),6),"")</f>
        <v/>
      </c>
      <c r="I16" s="149" t="str">
        <f>+IFERROR(INDEX(CARGAFACTURAS!B:S,MATCH(A16,CARGAFACTURAS!S:S,0),7),"")</f>
        <v/>
      </c>
      <c r="J16" s="155" t="s">
        <v>49</v>
      </c>
      <c r="M16" t="str">
        <f t="shared" si="4"/>
        <v/>
      </c>
      <c r="N16" t="str">
        <f t="shared" si="5"/>
        <v/>
      </c>
    </row>
    <row r="17" spans="7:9" x14ac:dyDescent="0.25">
      <c r="G17" s="177"/>
      <c r="H17" s="141"/>
      <c r="I17" s="141"/>
    </row>
    <row r="18" spans="7:9" x14ac:dyDescent="0.25">
      <c r="G18" s="177"/>
      <c r="H18" s="141"/>
      <c r="I18" s="141"/>
    </row>
    <row r="21" spans="7:9" ht="15.75" thickBot="1" x14ac:dyDescent="0.3"/>
    <row r="22" spans="7:9" ht="15.75" thickBot="1" x14ac:dyDescent="0.3">
      <c r="H22" s="127" t="s">
        <v>219</v>
      </c>
      <c r="I22" s="182">
        <f>+SUM(I2:I16)</f>
        <v>18608.303025000005</v>
      </c>
    </row>
  </sheetData>
  <phoneticPr fontId="18" type="noConversion"/>
  <dataValidations count="1">
    <dataValidation type="list" allowBlank="1" showInputMessage="1" showErrorMessage="1" sqref="O1" xr:uid="{813AD01B-ABE0-4E07-841D-C3D171D7DB3B}">
      <formula1>"1,2,3,4,5,6,7"</formula1>
    </dataValidation>
  </dataValidations>
  <pageMargins left="0.7" right="0.7" top="0.75" bottom="0.75" header="0.3" footer="0.3"/>
  <pageSetup scale="47" fitToHeight="0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9CDB27E-50BD-4511-946F-66E14EF09B58}">
          <x14:formula1>
            <xm:f>'AUX23'!$D$2:$D$131</xm:f>
          </x14:formula1>
          <xm:sqref>C2:C12 C14:C17</xm:sqref>
        </x14:dataValidation>
        <x14:dataValidation type="list" allowBlank="1" showInputMessage="1" showErrorMessage="1" xr:uid="{7560C96D-9543-4AA2-AD2E-28A366A6C2CA}">
          <x14:formula1>
            <xm:f>'AUX23'!$A$2:$A$9</xm:f>
          </x14:formula1>
          <xm:sqref>M1</xm:sqref>
        </x14:dataValidation>
        <x14:dataValidation type="list" allowBlank="1" showInputMessage="1" showErrorMessage="1" xr:uid="{9934D113-2A0D-43A5-ABEB-FECE85B6C3C0}">
          <x14:formula1>
            <xm:f>'AUX23'!$D$2:$D$70</xm:f>
          </x14:formula1>
          <xm:sqref>C13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44CF-31B6-4F58-AFD6-1411685E6368}">
  <dimension ref="A1:G25"/>
  <sheetViews>
    <sheetView view="pageBreakPreview" zoomScale="90" zoomScaleNormal="100" zoomScaleSheetLayoutView="90" workbookViewId="0">
      <selection activeCell="K11" sqref="K11"/>
    </sheetView>
  </sheetViews>
  <sheetFormatPr baseColWidth="10" defaultRowHeight="15" x14ac:dyDescent="0.25"/>
  <cols>
    <col min="1" max="1" width="14.42578125" customWidth="1"/>
    <col min="2" max="2" width="22.85546875" customWidth="1"/>
    <col min="3" max="3" width="15.42578125" customWidth="1"/>
    <col min="4" max="5" width="16.140625" customWidth="1"/>
    <col min="6" max="6" width="9.7109375" customWidth="1"/>
    <col min="7" max="7" width="14.42578125" customWidth="1"/>
  </cols>
  <sheetData>
    <row r="1" spans="1:7" x14ac:dyDescent="0.25">
      <c r="A1" s="17"/>
      <c r="B1" s="18"/>
      <c r="D1" s="33" t="s">
        <v>21</v>
      </c>
      <c r="E1" s="34" t="s">
        <v>22</v>
      </c>
      <c r="F1" s="33" t="s">
        <v>23</v>
      </c>
      <c r="G1" s="35"/>
    </row>
    <row r="2" spans="1:7" x14ac:dyDescent="0.25">
      <c r="A2" s="19"/>
      <c r="B2" s="20"/>
      <c r="C2" s="295" t="s">
        <v>24</v>
      </c>
      <c r="D2" s="294">
        <v>30691822849</v>
      </c>
      <c r="E2" s="296"/>
      <c r="F2" s="296"/>
      <c r="G2" s="296"/>
    </row>
    <row r="3" spans="1:7" x14ac:dyDescent="0.25">
      <c r="A3" s="19"/>
      <c r="B3" s="20"/>
      <c r="C3" s="295"/>
      <c r="D3" s="294"/>
      <c r="E3" s="296"/>
      <c r="F3" s="296"/>
      <c r="G3" s="296"/>
    </row>
    <row r="4" spans="1:7" x14ac:dyDescent="0.25">
      <c r="A4" s="19"/>
      <c r="B4" s="20"/>
      <c r="C4" s="295"/>
      <c r="D4" s="294"/>
      <c r="E4" s="296"/>
      <c r="F4" s="296"/>
      <c r="G4" s="296"/>
    </row>
    <row r="5" spans="1:7" x14ac:dyDescent="0.25">
      <c r="A5" s="19"/>
      <c r="B5" s="20"/>
      <c r="C5" s="295" t="s">
        <v>25</v>
      </c>
      <c r="D5" s="294">
        <v>1198</v>
      </c>
      <c r="E5" s="296"/>
      <c r="F5" s="296"/>
      <c r="G5" s="296"/>
    </row>
    <row r="6" spans="1:7" x14ac:dyDescent="0.25">
      <c r="A6" s="19"/>
      <c r="B6" s="20"/>
      <c r="C6" s="295"/>
      <c r="D6" s="294"/>
      <c r="E6" s="296"/>
      <c r="F6" s="296"/>
      <c r="G6" s="296"/>
    </row>
    <row r="7" spans="1:7" x14ac:dyDescent="0.25">
      <c r="A7" s="297" t="s">
        <v>26</v>
      </c>
      <c r="B7" s="298"/>
      <c r="C7" s="295"/>
      <c r="D7" s="294"/>
      <c r="E7" s="296"/>
      <c r="F7" s="296"/>
      <c r="G7" s="296"/>
    </row>
    <row r="8" spans="1:7" ht="15" customHeight="1" x14ac:dyDescent="0.25">
      <c r="A8" s="297" t="s">
        <v>27</v>
      </c>
      <c r="B8" s="298"/>
      <c r="C8" s="294" t="s">
        <v>28</v>
      </c>
      <c r="D8" s="294" t="s">
        <v>29</v>
      </c>
      <c r="E8" s="299" t="s">
        <v>62</v>
      </c>
      <c r="F8" s="300"/>
      <c r="G8" s="301"/>
    </row>
    <row r="9" spans="1:7" ht="15.75" x14ac:dyDescent="0.25">
      <c r="A9" s="21"/>
      <c r="B9" s="22"/>
      <c r="C9" s="294"/>
      <c r="D9" s="294"/>
      <c r="E9" s="302"/>
      <c r="F9" s="303"/>
      <c r="G9" s="304"/>
    </row>
    <row r="10" spans="1:7" x14ac:dyDescent="0.25">
      <c r="A10" s="308" t="s">
        <v>30</v>
      </c>
      <c r="B10" s="309"/>
      <c r="C10" s="294"/>
      <c r="D10" s="294"/>
      <c r="E10" s="305"/>
      <c r="F10" s="306"/>
      <c r="G10" s="307"/>
    </row>
    <row r="11" spans="1:7" ht="15" customHeight="1" x14ac:dyDescent="0.25">
      <c r="A11" s="23"/>
      <c r="B11" s="24"/>
      <c r="C11" s="310" t="s">
        <v>31</v>
      </c>
      <c r="D11" s="312" t="s">
        <v>32</v>
      </c>
      <c r="E11" s="313"/>
      <c r="F11" s="313"/>
      <c r="G11" s="314"/>
    </row>
    <row r="12" spans="1:7" x14ac:dyDescent="0.25">
      <c r="A12" s="308" t="s">
        <v>33</v>
      </c>
      <c r="B12" s="309"/>
      <c r="C12" s="311"/>
      <c r="D12" s="315"/>
      <c r="E12" s="316"/>
      <c r="F12" s="316"/>
      <c r="G12" s="317"/>
    </row>
    <row r="13" spans="1:7" ht="18" customHeight="1" x14ac:dyDescent="0.25">
      <c r="A13" s="318" t="s">
        <v>34</v>
      </c>
      <c r="B13" s="319"/>
      <c r="C13" s="320" t="s">
        <v>35</v>
      </c>
      <c r="D13" s="321"/>
      <c r="E13" s="295" t="s">
        <v>36</v>
      </c>
      <c r="F13" s="295"/>
      <c r="G13" s="322" t="str">
        <f>10&amp;"/"&amp;C14+1&amp;"/"&amp;2023</f>
        <v>10/8/2023</v>
      </c>
    </row>
    <row r="14" spans="1:7" ht="18" x14ac:dyDescent="0.25">
      <c r="A14" s="324">
        <v>11</v>
      </c>
      <c r="B14" s="325"/>
      <c r="C14" s="98">
        <f>MONTH('DDJJ TEM23'!G2)</f>
        <v>7</v>
      </c>
      <c r="D14" s="25" t="s">
        <v>798</v>
      </c>
      <c r="E14" s="295"/>
      <c r="F14" s="295"/>
      <c r="G14" s="323"/>
    </row>
    <row r="15" spans="1:7" ht="45" customHeight="1" x14ac:dyDescent="0.25">
      <c r="A15" s="28" t="s">
        <v>37</v>
      </c>
      <c r="B15" s="28" t="s">
        <v>38</v>
      </c>
      <c r="C15" s="29" t="s">
        <v>39</v>
      </c>
      <c r="D15" s="326"/>
      <c r="E15" s="327"/>
      <c r="F15" s="327"/>
      <c r="G15" s="328"/>
    </row>
    <row r="16" spans="1:7" ht="15.75" thickBot="1" x14ac:dyDescent="0.3">
      <c r="A16" s="99">
        <f>+COUNTA('DDJJ TEM23'!C2:C16)</f>
        <v>13</v>
      </c>
      <c r="B16" s="97">
        <f>+'DDJJ TEM23'!I22</f>
        <v>18608.303025000005</v>
      </c>
      <c r="C16" s="30">
        <v>0</v>
      </c>
      <c r="D16" s="326"/>
      <c r="E16" s="327"/>
      <c r="F16" s="327"/>
      <c r="G16" s="328"/>
    </row>
    <row r="17" spans="1:7" x14ac:dyDescent="0.25">
      <c r="A17" s="26"/>
      <c r="D17" s="326"/>
      <c r="E17" s="327"/>
      <c r="F17" s="327"/>
      <c r="G17" s="328"/>
    </row>
    <row r="18" spans="1:7" x14ac:dyDescent="0.25">
      <c r="A18" s="27"/>
      <c r="D18" s="329"/>
      <c r="E18" s="330"/>
      <c r="F18" s="330"/>
      <c r="G18" s="331"/>
    </row>
    <row r="19" spans="1:7" ht="15" customHeight="1" x14ac:dyDescent="0.25">
      <c r="A19" s="332" t="s">
        <v>40</v>
      </c>
      <c r="B19" s="335"/>
      <c r="C19" s="336"/>
      <c r="D19" s="337"/>
      <c r="E19" s="344" t="s">
        <v>63</v>
      </c>
      <c r="F19" s="345"/>
      <c r="G19" s="346"/>
    </row>
    <row r="20" spans="1:7" x14ac:dyDescent="0.25">
      <c r="A20" s="333"/>
      <c r="B20" s="338"/>
      <c r="C20" s="339"/>
      <c r="D20" s="340"/>
      <c r="E20" s="347"/>
      <c r="F20" s="348"/>
      <c r="G20" s="349"/>
    </row>
    <row r="21" spans="1:7" x14ac:dyDescent="0.25">
      <c r="A21" s="333"/>
      <c r="B21" s="338"/>
      <c r="C21" s="339"/>
      <c r="D21" s="340"/>
      <c r="E21" s="347"/>
      <c r="F21" s="348"/>
      <c r="G21" s="349"/>
    </row>
    <row r="22" spans="1:7" x14ac:dyDescent="0.25">
      <c r="A22" s="333"/>
      <c r="B22" s="338"/>
      <c r="C22" s="339"/>
      <c r="D22" s="340"/>
      <c r="E22" s="347"/>
      <c r="F22" s="348"/>
      <c r="G22" s="349"/>
    </row>
    <row r="23" spans="1:7" x14ac:dyDescent="0.25">
      <c r="A23" s="333"/>
      <c r="B23" s="338"/>
      <c r="C23" s="339"/>
      <c r="D23" s="340"/>
      <c r="E23" s="347"/>
      <c r="F23" s="348"/>
      <c r="G23" s="349"/>
    </row>
    <row r="24" spans="1:7" x14ac:dyDescent="0.25">
      <c r="A24" s="333"/>
      <c r="B24" s="338"/>
      <c r="C24" s="339"/>
      <c r="D24" s="340"/>
      <c r="E24" s="347"/>
      <c r="F24" s="348"/>
      <c r="G24" s="349"/>
    </row>
    <row r="25" spans="1:7" ht="15" customHeight="1" x14ac:dyDescent="0.25">
      <c r="A25" s="334"/>
      <c r="B25" s="341"/>
      <c r="C25" s="342"/>
      <c r="D25" s="343"/>
      <c r="E25" s="350" t="s">
        <v>64</v>
      </c>
      <c r="F25" s="351"/>
      <c r="G25" s="352"/>
    </row>
  </sheetData>
  <mergeCells count="25">
    <mergeCell ref="D15:G18"/>
    <mergeCell ref="A19:A25"/>
    <mergeCell ref="B19:D25"/>
    <mergeCell ref="E19:G24"/>
    <mergeCell ref="E25:G25"/>
    <mergeCell ref="C11:C12"/>
    <mergeCell ref="D11:G12"/>
    <mergeCell ref="A12:B12"/>
    <mergeCell ref="A13:B13"/>
    <mergeCell ref="C13:D13"/>
    <mergeCell ref="E13:F14"/>
    <mergeCell ref="G13:G14"/>
    <mergeCell ref="A14:B14"/>
    <mergeCell ref="A7:B7"/>
    <mergeCell ref="A8:B8"/>
    <mergeCell ref="C8:C10"/>
    <mergeCell ref="D8:D10"/>
    <mergeCell ref="E8:G10"/>
    <mergeCell ref="A10:B10"/>
    <mergeCell ref="C2:C4"/>
    <mergeCell ref="D2:D4"/>
    <mergeCell ref="E2:G4"/>
    <mergeCell ref="C5:C7"/>
    <mergeCell ref="D5:D7"/>
    <mergeCell ref="E5:G7"/>
  </mergeCells>
  <pageMargins left="0.7" right="0.7" top="0.75" bottom="0.75" header="0.3" footer="0.3"/>
  <pageSetup scale="82"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B838-8419-4E83-B5A1-85020489B986}">
  <sheetPr>
    <pageSetUpPr fitToPage="1"/>
  </sheetPr>
  <dimension ref="A1:J29"/>
  <sheetViews>
    <sheetView view="pageBreakPreview" zoomScale="80" zoomScaleNormal="100" zoomScaleSheetLayoutView="80" workbookViewId="0">
      <selection activeCell="J4" sqref="J4"/>
    </sheetView>
  </sheetViews>
  <sheetFormatPr baseColWidth="10" defaultRowHeight="15" x14ac:dyDescent="0.25"/>
  <cols>
    <col min="1" max="1" width="21.42578125" customWidth="1"/>
    <col min="2" max="2" width="31.140625" customWidth="1"/>
    <col min="3" max="3" width="10.85546875" customWidth="1"/>
    <col min="4" max="4" width="17.140625" customWidth="1"/>
    <col min="5" max="5" width="26.5703125" customWidth="1"/>
    <col min="6" max="6" width="23.5703125" customWidth="1"/>
    <col min="7" max="7" width="21.85546875" customWidth="1"/>
  </cols>
  <sheetData>
    <row r="1" spans="1:10" x14ac:dyDescent="0.25">
      <c r="A1" t="s">
        <v>231</v>
      </c>
      <c r="E1" s="183" t="s">
        <v>232</v>
      </c>
      <c r="F1" s="339" t="s">
        <v>233</v>
      </c>
      <c r="G1" s="339"/>
    </row>
    <row r="2" spans="1:10" ht="21" x14ac:dyDescent="0.35">
      <c r="A2" s="184" t="s">
        <v>234</v>
      </c>
      <c r="E2" s="183" t="s">
        <v>235</v>
      </c>
    </row>
    <row r="3" spans="1:10" x14ac:dyDescent="0.25">
      <c r="E3" s="183" t="s">
        <v>236</v>
      </c>
      <c r="F3" s="140" t="str">
        <f>+J4</f>
        <v>JUNIO 23</v>
      </c>
    </row>
    <row r="4" spans="1:10" ht="15.75" thickBot="1" x14ac:dyDescent="0.3">
      <c r="I4" t="s">
        <v>252</v>
      </c>
      <c r="J4" s="140" t="s">
        <v>147</v>
      </c>
    </row>
    <row r="5" spans="1:10" ht="45.75" customHeight="1" thickBot="1" x14ac:dyDescent="0.3">
      <c r="A5" s="185" t="s">
        <v>237</v>
      </c>
      <c r="B5" s="185" t="s">
        <v>41</v>
      </c>
      <c r="C5" s="186" t="s">
        <v>238</v>
      </c>
      <c r="D5" s="186" t="s">
        <v>239</v>
      </c>
      <c r="E5" s="186" t="s">
        <v>240</v>
      </c>
      <c r="F5" s="185" t="s">
        <v>241</v>
      </c>
      <c r="G5" s="185" t="s">
        <v>242</v>
      </c>
      <c r="I5" t="s">
        <v>218</v>
      </c>
    </row>
    <row r="6" spans="1:10" x14ac:dyDescent="0.25">
      <c r="A6" s="187" t="s">
        <v>54</v>
      </c>
      <c r="B6" s="187" t="s">
        <v>11</v>
      </c>
      <c r="C6" s="187" t="s">
        <v>243</v>
      </c>
      <c r="D6" s="187" t="str">
        <f>+VLOOKUP(I6&amp;COUNTIF($I$6:I6,I6),CARGAFACTURAS!$A:$M,4,0)</f>
        <v>0002-00005901</v>
      </c>
      <c r="E6" s="188">
        <f>+VLOOKUP(I6&amp;COUNTIF($I$6:I6,I6),CARGAFACTURAS!$A:$M,5,0)</f>
        <v>45078</v>
      </c>
      <c r="F6" s="189">
        <f>+VLOOKUP(I6&amp;COUNTIF($I$6:I6,I6),CARGAFACTURAS!$A:$M,7,0)</f>
        <v>530323.19999999995</v>
      </c>
      <c r="G6" s="189">
        <f>+VLOOKUP(I6&amp;COUNTIF($I$6:I6,I6),CARGAFACTURAS!$A:$M,10,0)</f>
        <v>46032.053759999995</v>
      </c>
      <c r="I6" t="str">
        <f>+B6&amp;$J$4</f>
        <v>LA PROVIDENCIA DEL NOA SRLJUNIO 23</v>
      </c>
    </row>
    <row r="7" spans="1:10" x14ac:dyDescent="0.25">
      <c r="A7" s="176" t="s">
        <v>54</v>
      </c>
      <c r="B7" s="176" t="s">
        <v>11</v>
      </c>
      <c r="C7" s="176" t="s">
        <v>243</v>
      </c>
      <c r="D7" s="187" t="str">
        <f>+VLOOKUP(I7&amp;COUNTIF($I$6:I7,I7),CARGAFACTURAS!$A:$M,4,0)</f>
        <v>0002-00005902</v>
      </c>
      <c r="E7" s="188">
        <f>+VLOOKUP(I7&amp;COUNTIF($I$6:I7,I7),CARGAFACTURAS!$A:$M,5,0)</f>
        <v>45078</v>
      </c>
      <c r="F7" s="189">
        <f>+VLOOKUP(I7&amp;COUNTIF($I$6:I7,I7),CARGAFACTURAS!$A:$M,7,0)</f>
        <v>212129.28</v>
      </c>
      <c r="G7" s="189">
        <f>+VLOOKUP(I7&amp;COUNTIF($I$6:I7,I7),CARGAFACTURAS!$A:$M,10,0)</f>
        <v>18412.821504</v>
      </c>
      <c r="I7" t="str">
        <f t="shared" ref="I7:I18" si="0">+B7&amp;$J$4</f>
        <v>LA PROVIDENCIA DEL NOA SRLJUNIO 23</v>
      </c>
    </row>
    <row r="8" spans="1:10" x14ac:dyDescent="0.25">
      <c r="A8" s="176"/>
      <c r="B8" s="176"/>
      <c r="C8" s="176"/>
      <c r="D8" s="176"/>
      <c r="E8" s="176"/>
      <c r="F8" s="113"/>
      <c r="G8" s="113"/>
      <c r="I8" t="str">
        <f t="shared" si="0"/>
        <v>JUNIO 23</v>
      </c>
    </row>
    <row r="9" spans="1:10" x14ac:dyDescent="0.25">
      <c r="A9" s="176"/>
      <c r="B9" s="176"/>
      <c r="C9" s="176"/>
      <c r="D9" s="176"/>
      <c r="E9" s="176"/>
      <c r="F9" s="113"/>
      <c r="G9" s="113"/>
      <c r="I9" t="str">
        <f t="shared" si="0"/>
        <v>JUNIO 23</v>
      </c>
    </row>
    <row r="10" spans="1:10" x14ac:dyDescent="0.25">
      <c r="A10" s="176"/>
      <c r="B10" s="176"/>
      <c r="C10" s="176"/>
      <c r="D10" s="176"/>
      <c r="E10" s="176"/>
      <c r="F10" s="113"/>
      <c r="G10" s="113"/>
      <c r="I10" t="str">
        <f t="shared" si="0"/>
        <v>JUNIO 23</v>
      </c>
    </row>
    <row r="11" spans="1:10" x14ac:dyDescent="0.25">
      <c r="A11" s="176"/>
      <c r="B11" s="176"/>
      <c r="C11" s="176"/>
      <c r="D11" s="176"/>
      <c r="E11" s="176"/>
      <c r="F11" s="113"/>
      <c r="G11" s="113"/>
      <c r="I11" t="str">
        <f t="shared" si="0"/>
        <v>JUNIO 23</v>
      </c>
    </row>
    <row r="12" spans="1:10" x14ac:dyDescent="0.25">
      <c r="A12" s="176"/>
      <c r="B12" s="176"/>
      <c r="C12" s="176"/>
      <c r="D12" s="176"/>
      <c r="E12" s="176"/>
      <c r="F12" s="113"/>
      <c r="G12" s="113"/>
      <c r="I12" t="str">
        <f t="shared" si="0"/>
        <v>JUNIO 23</v>
      </c>
    </row>
    <row r="13" spans="1:10" x14ac:dyDescent="0.25">
      <c r="A13" s="176"/>
      <c r="B13" s="176"/>
      <c r="C13" s="176"/>
      <c r="D13" s="176"/>
      <c r="E13" s="176"/>
      <c r="F13" s="113"/>
      <c r="G13" s="113"/>
      <c r="I13" t="str">
        <f t="shared" si="0"/>
        <v>JUNIO 23</v>
      </c>
    </row>
    <row r="14" spans="1:10" x14ac:dyDescent="0.25">
      <c r="A14" s="176"/>
      <c r="B14" s="176"/>
      <c r="C14" s="176"/>
      <c r="D14" s="176"/>
      <c r="E14" s="176"/>
      <c r="F14" s="113"/>
      <c r="G14" s="113"/>
      <c r="I14" t="str">
        <f t="shared" si="0"/>
        <v>JUNIO 23</v>
      </c>
    </row>
    <row r="15" spans="1:10" x14ac:dyDescent="0.25">
      <c r="A15" s="176"/>
      <c r="B15" s="176"/>
      <c r="C15" s="176"/>
      <c r="D15" s="176"/>
      <c r="E15" s="176"/>
      <c r="F15" s="113"/>
      <c r="G15" s="113"/>
      <c r="I15" t="str">
        <f t="shared" si="0"/>
        <v>JUNIO 23</v>
      </c>
    </row>
    <row r="16" spans="1:10" x14ac:dyDescent="0.25">
      <c r="A16" s="176"/>
      <c r="B16" s="176"/>
      <c r="C16" s="176"/>
      <c r="D16" s="176"/>
      <c r="E16" s="176"/>
      <c r="F16" s="113"/>
      <c r="G16" s="113"/>
      <c r="I16" t="str">
        <f t="shared" si="0"/>
        <v>JUNIO 23</v>
      </c>
    </row>
    <row r="17" spans="1:9" x14ac:dyDescent="0.25">
      <c r="A17" s="176"/>
      <c r="B17" s="176"/>
      <c r="C17" s="176"/>
      <c r="D17" s="176"/>
      <c r="E17" s="176"/>
      <c r="F17" s="113"/>
      <c r="G17" s="113"/>
      <c r="I17" t="str">
        <f t="shared" si="0"/>
        <v>JUNIO 23</v>
      </c>
    </row>
    <row r="18" spans="1:9" ht="15.75" thickBot="1" x14ac:dyDescent="0.3">
      <c r="A18" s="34"/>
      <c r="B18" s="34"/>
      <c r="C18" s="34"/>
      <c r="D18" s="34"/>
      <c r="E18" s="34"/>
      <c r="F18" s="128"/>
      <c r="G18" s="128"/>
      <c r="I18" t="str">
        <f t="shared" si="0"/>
        <v>JUNIO 23</v>
      </c>
    </row>
    <row r="19" spans="1:9" ht="15.75" thickBot="1" x14ac:dyDescent="0.3">
      <c r="A19" s="353"/>
      <c r="B19" s="354"/>
      <c r="C19" s="354"/>
      <c r="D19" s="354"/>
      <c r="E19" s="355"/>
      <c r="F19" s="190" t="s">
        <v>244</v>
      </c>
      <c r="G19" s="191">
        <f>SUM(G6:G18)</f>
        <v>64444.875263999995</v>
      </c>
    </row>
    <row r="25" spans="1:9" ht="60" customHeight="1" x14ac:dyDescent="0.25">
      <c r="E25" s="192" t="s">
        <v>245</v>
      </c>
      <c r="F25" s="183" t="s">
        <v>246</v>
      </c>
    </row>
    <row r="29" spans="1:9" x14ac:dyDescent="0.25">
      <c r="A29" t="s">
        <v>247</v>
      </c>
    </row>
  </sheetData>
  <mergeCells count="2">
    <mergeCell ref="F1:G1"/>
    <mergeCell ref="A19:E19"/>
  </mergeCells>
  <pageMargins left="0.25" right="0.25" top="0.75" bottom="0.75" header="0.3" footer="0.3"/>
  <pageSetup scale="87" fitToHeight="0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831257-C7A5-4445-B94F-AEE6B821F34E}">
          <x14:formula1>
            <xm:f>'AUX23'!$A$2:$A$14</xm:f>
          </x14:formula1>
          <xm:sqref>J4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2F4AC-1132-45E2-9D57-A1E0217B2829}">
  <sheetPr>
    <pageSetUpPr fitToPage="1"/>
  </sheetPr>
  <dimension ref="A1:J25"/>
  <sheetViews>
    <sheetView view="pageBreakPreview" zoomScale="80" zoomScaleNormal="100" zoomScaleSheetLayoutView="80" workbookViewId="0">
      <selection activeCell="A6" sqref="A6:B11"/>
    </sheetView>
  </sheetViews>
  <sheetFormatPr baseColWidth="10" defaultRowHeight="15" x14ac:dyDescent="0.25"/>
  <cols>
    <col min="1" max="1" width="21.42578125" customWidth="1"/>
    <col min="2" max="2" width="40.42578125" customWidth="1"/>
    <col min="3" max="3" width="10.85546875" customWidth="1"/>
    <col min="4" max="4" width="17.140625" customWidth="1"/>
    <col min="5" max="5" width="21.42578125" customWidth="1"/>
    <col min="6" max="6" width="23.5703125" customWidth="1"/>
    <col min="7" max="7" width="21.85546875" customWidth="1"/>
  </cols>
  <sheetData>
    <row r="1" spans="1:10" x14ac:dyDescent="0.25">
      <c r="A1" t="s">
        <v>231</v>
      </c>
      <c r="E1" s="183" t="s">
        <v>232</v>
      </c>
      <c r="F1" s="339" t="s">
        <v>233</v>
      </c>
      <c r="G1" s="339"/>
    </row>
    <row r="2" spans="1:10" ht="21" x14ac:dyDescent="0.35">
      <c r="A2" s="184" t="s">
        <v>248</v>
      </c>
      <c r="E2" s="183" t="s">
        <v>235</v>
      </c>
    </row>
    <row r="3" spans="1:10" x14ac:dyDescent="0.25">
      <c r="E3" s="183" t="s">
        <v>236</v>
      </c>
      <c r="F3" s="140" t="str">
        <f>+J4</f>
        <v>JUNIO 23</v>
      </c>
    </row>
    <row r="4" spans="1:10" ht="15.75" thickBot="1" x14ac:dyDescent="0.3">
      <c r="I4" t="s">
        <v>252</v>
      </c>
      <c r="J4" s="140" t="s">
        <v>147</v>
      </c>
    </row>
    <row r="5" spans="1:10" ht="45.75" customHeight="1" thickBot="1" x14ac:dyDescent="0.3">
      <c r="A5" s="185" t="s">
        <v>237</v>
      </c>
      <c r="B5" s="185" t="s">
        <v>41</v>
      </c>
      <c r="C5" s="186" t="s">
        <v>238</v>
      </c>
      <c r="D5" s="186" t="s">
        <v>239</v>
      </c>
      <c r="E5" s="186" t="s">
        <v>240</v>
      </c>
      <c r="F5" s="185" t="s">
        <v>241</v>
      </c>
      <c r="G5" s="185" t="s">
        <v>242</v>
      </c>
      <c r="I5" t="s">
        <v>218</v>
      </c>
    </row>
    <row r="6" spans="1:10" x14ac:dyDescent="0.25">
      <c r="A6" s="187" t="s">
        <v>54</v>
      </c>
      <c r="B6" s="187" t="s">
        <v>11</v>
      </c>
      <c r="C6" s="187" t="s">
        <v>243</v>
      </c>
      <c r="D6" s="187" t="str">
        <f>+VLOOKUP(J6,CARGAFACTURAS!$A:$M,4,0)</f>
        <v>0002-00005901</v>
      </c>
      <c r="E6" s="188">
        <f>+VLOOKUP(J6,CARGAFACTURAS!$A:$M,5,0)</f>
        <v>45078</v>
      </c>
      <c r="F6" s="189">
        <f>+VLOOKUP(J6,CARGAFACTURAS!$A:$M,7,0)</f>
        <v>530323.19999999995</v>
      </c>
      <c r="G6" s="189">
        <f>+VLOOKUP(J6,CARGAFACTURAS!$A:$M,11,0)</f>
        <v>9263.0639999999985</v>
      </c>
      <c r="I6" t="str">
        <f>+B6&amp;$J$4</f>
        <v>LA PROVIDENCIA DEL NOA SRLJUNIO 23</v>
      </c>
      <c r="J6" t="str">
        <f>+I6&amp;COUNTIF($I$6:I6,I6)</f>
        <v>LA PROVIDENCIA DEL NOA SRLJUNIO 231</v>
      </c>
    </row>
    <row r="7" spans="1:10" x14ac:dyDescent="0.25">
      <c r="A7" s="176" t="s">
        <v>54</v>
      </c>
      <c r="B7" s="176" t="s">
        <v>11</v>
      </c>
      <c r="C7" s="176" t="s">
        <v>243</v>
      </c>
      <c r="D7" s="187" t="str">
        <f>+VLOOKUP(J7,CARGAFACTURAS!$A:$M,4,0)</f>
        <v>0002-00005902</v>
      </c>
      <c r="E7" s="188">
        <f>+VLOOKUP(J7,CARGAFACTURAS!$A:$M,5,0)</f>
        <v>45078</v>
      </c>
      <c r="F7" s="189">
        <f>+VLOOKUP(J7,CARGAFACTURAS!$A:$M,7,0)</f>
        <v>212129.28</v>
      </c>
      <c r="G7" s="189">
        <f>+VLOOKUP(J7,CARGAFACTURAS!$A:$M,11,0)</f>
        <v>2899.1855999999998</v>
      </c>
      <c r="I7" t="str">
        <f t="shared" ref="I7:I18" si="0">+B7&amp;$J$4</f>
        <v>LA PROVIDENCIA DEL NOA SRLJUNIO 23</v>
      </c>
      <c r="J7" t="str">
        <f>+I7&amp;COUNTIF($I$6:I7,I7)</f>
        <v>LA PROVIDENCIA DEL NOA SRLJUNIO 232</v>
      </c>
    </row>
    <row r="8" spans="1:10" x14ac:dyDescent="0.25">
      <c r="A8" s="176" t="s">
        <v>99</v>
      </c>
      <c r="B8" s="176" t="s">
        <v>98</v>
      </c>
      <c r="C8" s="176" t="s">
        <v>243</v>
      </c>
      <c r="D8" s="187" t="str">
        <f>+VLOOKUP(J8,CARGAFACTURAS!$A:$M,4,0)</f>
        <v>0004-00000045</v>
      </c>
      <c r="E8" s="188">
        <f>+VLOOKUP(J8,CARGAFACTURAS!$A:$M,5,0)</f>
        <v>45082</v>
      </c>
      <c r="F8" s="189">
        <f>+VLOOKUP(J8,CARGAFACTURAS!$A:$M,7,0)</f>
        <v>82650</v>
      </c>
      <c r="G8" s="189">
        <f>+VLOOKUP(J8,CARGAFACTURAS!$A:$M,11,0)</f>
        <v>309.60000000000002</v>
      </c>
      <c r="I8" t="str">
        <f t="shared" si="0"/>
        <v>FULL TRACK S.R.L.JUNIO 23</v>
      </c>
      <c r="J8" t="str">
        <f>+I8&amp;COUNTIF($I$6:I8,I8)</f>
        <v>FULL TRACK S.R.L.JUNIO 231</v>
      </c>
    </row>
    <row r="9" spans="1:10" x14ac:dyDescent="0.25">
      <c r="A9" s="176" t="s">
        <v>99</v>
      </c>
      <c r="B9" s="176" t="s">
        <v>98</v>
      </c>
      <c r="C9" s="176" t="s">
        <v>243</v>
      </c>
      <c r="D9" s="187" t="str">
        <f>+VLOOKUP(J9,CARGAFACTURAS!$A:$M,4,0)</f>
        <v>0004-00000051</v>
      </c>
      <c r="E9" s="188">
        <f>+VLOOKUP(J9,CARGAFACTURAS!$A:$M,5,0)</f>
        <v>45092</v>
      </c>
      <c r="F9" s="189">
        <f>+VLOOKUP(J9,CARGAFACTURAS!$A:$M,7,0)</f>
        <v>739700</v>
      </c>
      <c r="G9" s="189">
        <f>+VLOOKUP(J9,CARGAFACTURAS!$A:$M,11,0)</f>
        <v>13450.6</v>
      </c>
      <c r="I9" t="str">
        <f t="shared" si="0"/>
        <v>FULL TRACK S.R.L.JUNIO 23</v>
      </c>
      <c r="J9" t="str">
        <f>+I9&amp;COUNTIF($I$6:I9,I9)</f>
        <v>FULL TRACK S.R.L.JUNIO 232</v>
      </c>
    </row>
    <row r="10" spans="1:10" x14ac:dyDescent="0.25">
      <c r="A10" s="176" t="s">
        <v>99</v>
      </c>
      <c r="B10" s="176" t="s">
        <v>98</v>
      </c>
      <c r="C10" s="176" t="s">
        <v>243</v>
      </c>
      <c r="D10" s="187" t="str">
        <f>+VLOOKUP(J10,CARGAFACTURAS!$A:$M,4,0)</f>
        <v>0004-00000052</v>
      </c>
      <c r="E10" s="188">
        <f>+VLOOKUP(J10,CARGAFACTURAS!$A:$M,5,0)</f>
        <v>45107</v>
      </c>
      <c r="F10" s="189">
        <f>+VLOOKUP(J10,CARGAFACTURAS!$A:$M,7,0)</f>
        <v>512200</v>
      </c>
      <c r="G10" s="189">
        <f>+VLOOKUP(J10,CARGAFACTURAS!$A:$M,11,0)</f>
        <v>8900.6</v>
      </c>
      <c r="I10" t="str">
        <f t="shared" si="0"/>
        <v>FULL TRACK S.R.L.JUNIO 23</v>
      </c>
      <c r="J10" t="str">
        <f>+I10&amp;COUNTIF($I$6:I10,I10)</f>
        <v>FULL TRACK S.R.L.JUNIO 233</v>
      </c>
    </row>
    <row r="11" spans="1:10" x14ac:dyDescent="0.25">
      <c r="A11" s="176" t="s">
        <v>208</v>
      </c>
      <c r="B11" s="176" t="s">
        <v>207</v>
      </c>
      <c r="C11" s="176" t="s">
        <v>243</v>
      </c>
      <c r="D11" s="187" t="str">
        <f>+VLOOKUP(J11,CARGAFACTURAS!$A:$M,4,0)</f>
        <v>0002-00000119</v>
      </c>
      <c r="E11" s="188">
        <f>+VLOOKUP(J11,CARGAFACTURAS!$A:$M,5,0)</f>
        <v>45093</v>
      </c>
      <c r="F11" s="189">
        <f>+VLOOKUP(J11,CARGAFACTURAS!$A:$M,7,0)</f>
        <v>148055.6</v>
      </c>
      <c r="G11" s="189">
        <f>+VLOOKUP(J11,CARGAFACTURAS!$A:$M,11,0)</f>
        <v>274.32</v>
      </c>
      <c r="I11" t="str">
        <f t="shared" si="0"/>
        <v>SG IMPRESIONESJUNIO 23</v>
      </c>
      <c r="J11" t="str">
        <f>+I11&amp;COUNTIF($I$6:I11,I11)</f>
        <v>SG IMPRESIONESJUNIO 231</v>
      </c>
    </row>
    <row r="12" spans="1:10" x14ac:dyDescent="0.25">
      <c r="A12" s="176"/>
      <c r="B12" s="176"/>
      <c r="C12" s="176"/>
      <c r="D12" s="187"/>
      <c r="E12" s="188"/>
      <c r="F12" s="189"/>
      <c r="G12" s="189"/>
      <c r="I12" t="str">
        <f t="shared" si="0"/>
        <v>JUNIO 23</v>
      </c>
      <c r="J12" t="str">
        <f>+I12&amp;COUNTIF($I$6:I12,I12)</f>
        <v>JUNIO 231</v>
      </c>
    </row>
    <row r="13" spans="1:10" x14ac:dyDescent="0.25">
      <c r="A13" s="176"/>
      <c r="B13" s="176"/>
      <c r="C13" s="176"/>
      <c r="D13" s="187"/>
      <c r="E13" s="188"/>
      <c r="F13" s="189"/>
      <c r="G13" s="189"/>
      <c r="I13" t="str">
        <f t="shared" si="0"/>
        <v>JUNIO 23</v>
      </c>
      <c r="J13" t="str">
        <f>+I13&amp;COUNTIF($I$6:I13,I13)</f>
        <v>JUNIO 232</v>
      </c>
    </row>
    <row r="14" spans="1:10" x14ac:dyDescent="0.25">
      <c r="A14" s="176"/>
      <c r="B14" s="176"/>
      <c r="C14" s="176"/>
      <c r="D14" s="187"/>
      <c r="E14" s="188"/>
      <c r="F14" s="189"/>
      <c r="G14" s="189"/>
      <c r="I14" t="str">
        <f t="shared" si="0"/>
        <v>JUNIO 23</v>
      </c>
      <c r="J14" t="str">
        <f>+I14&amp;COUNTIF($I$6:I14,I14)</f>
        <v>JUNIO 233</v>
      </c>
    </row>
    <row r="15" spans="1:10" x14ac:dyDescent="0.25">
      <c r="A15" s="176"/>
      <c r="B15" s="176"/>
      <c r="C15" s="176"/>
      <c r="D15" s="187"/>
      <c r="E15" s="188"/>
      <c r="F15" s="189"/>
      <c r="G15" s="189"/>
      <c r="I15" t="str">
        <f t="shared" si="0"/>
        <v>JUNIO 23</v>
      </c>
      <c r="J15" t="str">
        <f>+I15&amp;COUNTIF($I$6:I15,I15)</f>
        <v>JUNIO 234</v>
      </c>
    </row>
    <row r="16" spans="1:10" x14ac:dyDescent="0.25">
      <c r="A16" s="176"/>
      <c r="B16" s="176"/>
      <c r="C16" s="176"/>
      <c r="D16" s="176"/>
      <c r="E16" s="176"/>
      <c r="F16" s="113"/>
      <c r="G16" s="113"/>
      <c r="I16" t="str">
        <f t="shared" si="0"/>
        <v>JUNIO 23</v>
      </c>
      <c r="J16" t="str">
        <f>+I16&amp;COUNTIF($I$6:I16,I16)</f>
        <v>JUNIO 235</v>
      </c>
    </row>
    <row r="17" spans="1:10" x14ac:dyDescent="0.25">
      <c r="A17" s="176"/>
      <c r="B17" s="176"/>
      <c r="C17" s="176"/>
      <c r="D17" s="176"/>
      <c r="E17" s="176"/>
      <c r="F17" s="113"/>
      <c r="G17" s="113"/>
      <c r="I17" t="str">
        <f t="shared" si="0"/>
        <v>JUNIO 23</v>
      </c>
      <c r="J17" t="str">
        <f>+I17&amp;COUNTIF($I$6:I17,I17)</f>
        <v>JUNIO 236</v>
      </c>
    </row>
    <row r="18" spans="1:10" ht="15.75" thickBot="1" x14ac:dyDescent="0.3">
      <c r="A18" s="34"/>
      <c r="B18" s="34"/>
      <c r="C18" s="34"/>
      <c r="D18" s="34"/>
      <c r="E18" s="34"/>
      <c r="F18" s="128"/>
      <c r="G18" s="128"/>
      <c r="I18" t="str">
        <f t="shared" si="0"/>
        <v>JUNIO 23</v>
      </c>
      <c r="J18" t="str">
        <f>+I18&amp;COUNTIF($I$6:I18,I18)</f>
        <v>JUNIO 237</v>
      </c>
    </row>
    <row r="19" spans="1:10" ht="15.75" thickBot="1" x14ac:dyDescent="0.3">
      <c r="A19" s="353"/>
      <c r="B19" s="354"/>
      <c r="C19" s="354"/>
      <c r="D19" s="354"/>
      <c r="E19" s="355"/>
      <c r="F19" s="190" t="s">
        <v>244</v>
      </c>
      <c r="G19" s="191">
        <f>SUM(G6:G18)</f>
        <v>35097.369599999998</v>
      </c>
    </row>
    <row r="25" spans="1:10" ht="60" customHeight="1" x14ac:dyDescent="0.25">
      <c r="E25" s="192" t="s">
        <v>245</v>
      </c>
      <c r="F25" s="183" t="s">
        <v>246</v>
      </c>
    </row>
  </sheetData>
  <mergeCells count="2">
    <mergeCell ref="F1:G1"/>
    <mergeCell ref="A19:E19"/>
  </mergeCells>
  <pageMargins left="0.25" right="0.25" top="0.75" bottom="0.75" header="0.3" footer="0.3"/>
  <pageSetup scale="85" fitToHeight="0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D8E5C3-1363-469C-9068-AF26472D4D19}">
          <x14:formula1>
            <xm:f>'AUX23'!$A$2:$A$14</xm:f>
          </x14:formula1>
          <xm:sqref>J4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4</vt:i4>
      </vt:variant>
    </vt:vector>
  </HeadingPairs>
  <TitlesOfParts>
    <vt:vector size="18" baseType="lpstr">
      <vt:lpstr>CARGAFACTURAS</vt:lpstr>
      <vt:lpstr>L BANCO</vt:lpstr>
      <vt:lpstr>CC</vt:lpstr>
      <vt:lpstr>FONDOS</vt:lpstr>
      <vt:lpstr>AUX23</vt:lpstr>
      <vt:lpstr>DDJJ TEM23</vt:lpstr>
      <vt:lpstr>FAR 11</vt:lpstr>
      <vt:lpstr>IVA</vt:lpstr>
      <vt:lpstr>GANANCIA</vt:lpstr>
      <vt:lpstr>SUSS</vt:lpstr>
      <vt:lpstr>PLANILLARENDICION</vt:lpstr>
      <vt:lpstr>INFORME INDIVIDUAL</vt:lpstr>
      <vt:lpstr>DDJJ IIBB23</vt:lpstr>
      <vt:lpstr>I MENSUAL</vt:lpstr>
      <vt:lpstr>GANANCIA!Área_de_impresión</vt:lpstr>
      <vt:lpstr>IVA!Área_de_impresión</vt:lpstr>
      <vt:lpstr>PLANILLARENDICION!Área_de_impresión</vt:lpstr>
      <vt:lpstr>SUSS!Área_de_impresión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RECURSOS HUMANOS</dc:creator>
  <cp:lastModifiedBy>MATIAS MURO</cp:lastModifiedBy>
  <cp:lastPrinted>2023-08-15T11:38:42Z</cp:lastPrinted>
  <dcterms:created xsi:type="dcterms:W3CDTF">2015-05-04T13:57:09Z</dcterms:created>
  <dcterms:modified xsi:type="dcterms:W3CDTF">2023-08-16T20:12:39Z</dcterms:modified>
</cp:coreProperties>
</file>