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martinherold/Library/Mobile Documents/com~apple~CloudDocs/Documents/Golf/_Web&amp;App Dev/"/>
    </mc:Choice>
  </mc:AlternateContent>
  <xr:revisionPtr revIDLastSave="0" documentId="13_ncr:1_{CC826A4B-EC56-724D-9467-F3D6E236D77B}" xr6:coauthVersionLast="47" xr6:coauthVersionMax="47" xr10:uidLastSave="{00000000-0000-0000-0000-000000000000}"/>
  <bookViews>
    <workbookView xWindow="0" yWindow="780" windowWidth="34200" windowHeight="19820" activeTab="6" xr2:uid="{00000000-000D-0000-FFFF-FFFF00000000}"/>
  </bookViews>
  <sheets>
    <sheet name="Information" sheetId="1" r:id="rId1"/>
    <sheet name="Players" sheetId="2" r:id="rId2"/>
    <sheet name="Leaderboard" sheetId="3" r:id="rId3"/>
    <sheet name="Games" sheetId="4" r:id="rId4"/>
    <sheet name="Results" sheetId="5" r:id="rId5"/>
    <sheet name="Field holes" sheetId="6" r:id="rId6"/>
    <sheet name="Field difficulty" sheetId="7" r:id="rId7"/>
    <sheet name="This_year_field" sheetId="8" r:id="rId8"/>
    <sheet name="Scorecard_classic (2)" sheetId="12" r:id="rId9"/>
    <sheet name="HCP_calculator" sheetId="10" r:id="rId10"/>
    <sheet name="Dev_Notes" sheetId="11" r:id="rId11"/>
  </sheets>
  <definedNames>
    <definedName name="_xlnm._FilterDatabase" localSheetId="1" hidden="1">Players!$A$1:$Z$21</definedName>
    <definedName name="Games">Games!$A$1:$I$5</definedName>
    <definedName name="Players">Players!$B$2:$B$19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2" l="1" a="1"/>
  <c r="H27" i="12" s="1"/>
  <c r="G27" i="12" a="1"/>
  <c r="G27" i="12" s="1"/>
  <c r="E27" i="12" a="1"/>
  <c r="E27" i="12" s="1"/>
  <c r="C27" i="12" a="1"/>
  <c r="C27" i="12" s="1"/>
  <c r="H26" i="12" a="1"/>
  <c r="H26" i="12" s="1"/>
  <c r="G26" i="12" a="1"/>
  <c r="G26" i="12" s="1"/>
  <c r="E26" i="12" a="1"/>
  <c r="E26" i="12" s="1"/>
  <c r="C26" i="12" a="1"/>
  <c r="C26" i="12" s="1"/>
  <c r="H25" i="12" a="1"/>
  <c r="H25" i="12" s="1"/>
  <c r="G25" i="12" a="1"/>
  <c r="G25" i="12" s="1"/>
  <c r="E25" i="12" a="1"/>
  <c r="E25" i="12" s="1"/>
  <c r="C25" i="12" a="1"/>
  <c r="C25" i="12" s="1"/>
  <c r="H24" i="12" a="1"/>
  <c r="H24" i="12" s="1"/>
  <c r="G24" i="12" a="1"/>
  <c r="G24" i="12" s="1"/>
  <c r="E24" i="12" a="1"/>
  <c r="E24" i="12" s="1"/>
  <c r="C24" i="12" a="1"/>
  <c r="C24" i="12" s="1"/>
  <c r="H23" i="12" a="1"/>
  <c r="H23" i="12" s="1"/>
  <c r="G23" i="12" a="1"/>
  <c r="G23" i="12" s="1"/>
  <c r="E23" i="12" a="1"/>
  <c r="E23" i="12" s="1"/>
  <c r="C23" i="12" a="1"/>
  <c r="C23" i="12" s="1"/>
  <c r="H22" i="12" a="1"/>
  <c r="H22" i="12" s="1"/>
  <c r="G22" i="12" a="1"/>
  <c r="G22" i="12" s="1"/>
  <c r="E22" i="12" a="1"/>
  <c r="E22" i="12" s="1"/>
  <c r="C22" i="12" a="1"/>
  <c r="C22" i="12" s="1"/>
  <c r="H21" i="12" a="1"/>
  <c r="H21" i="12" s="1"/>
  <c r="G21" i="12" a="1"/>
  <c r="G21" i="12" s="1"/>
  <c r="E21" i="12" a="1"/>
  <c r="E21" i="12" s="1"/>
  <c r="C21" i="12" a="1"/>
  <c r="C21" i="12" s="1"/>
  <c r="H20" i="12" a="1"/>
  <c r="H20" i="12" s="1"/>
  <c r="G20" i="12" a="1"/>
  <c r="G20" i="12" s="1"/>
  <c r="E20" i="12" a="1"/>
  <c r="E20" i="12" s="1"/>
  <c r="C20" i="12" a="1"/>
  <c r="C20" i="12" s="1"/>
  <c r="H19" i="12" a="1"/>
  <c r="H19" i="12" s="1"/>
  <c r="G19" i="12" a="1"/>
  <c r="G19" i="12" s="1"/>
  <c r="E19" i="12" a="1"/>
  <c r="E19" i="12" s="1"/>
  <c r="C19" i="12" a="1"/>
  <c r="C19" i="12" s="1"/>
  <c r="H16" i="12" a="1"/>
  <c r="H16" i="12" s="1"/>
  <c r="G16" i="12" a="1"/>
  <c r="G16" i="12" s="1"/>
  <c r="E16" i="12" a="1"/>
  <c r="E16" i="12" s="1"/>
  <c r="C16" i="12" a="1"/>
  <c r="C16" i="12" s="1"/>
  <c r="H15" i="12" a="1"/>
  <c r="H15" i="12" s="1"/>
  <c r="G15" i="12" a="1"/>
  <c r="G15" i="12" s="1"/>
  <c r="E15" i="12" a="1"/>
  <c r="E15" i="12" s="1"/>
  <c r="C15" i="12" a="1"/>
  <c r="C15" i="12" s="1"/>
  <c r="H14" i="12" a="1"/>
  <c r="H14" i="12" s="1"/>
  <c r="G14" i="12" a="1"/>
  <c r="G14" i="12" s="1"/>
  <c r="E14" i="12" a="1"/>
  <c r="E14" i="12" s="1"/>
  <c r="C14" i="12" a="1"/>
  <c r="C14" i="12" s="1"/>
  <c r="H13" i="12" a="1"/>
  <c r="H13" i="12" s="1"/>
  <c r="G13" i="12" a="1"/>
  <c r="G13" i="12" s="1"/>
  <c r="E13" i="12" a="1"/>
  <c r="E13" i="12" s="1"/>
  <c r="C13" i="12" a="1"/>
  <c r="C13" i="12" s="1"/>
  <c r="H12" i="12" a="1"/>
  <c r="H12" i="12" s="1"/>
  <c r="G12" i="12" a="1"/>
  <c r="G12" i="12" s="1"/>
  <c r="E12" i="12" a="1"/>
  <c r="E12" i="12" s="1"/>
  <c r="C12" i="12" a="1"/>
  <c r="C12" i="12" s="1"/>
  <c r="H11" i="12" a="1"/>
  <c r="H11" i="12" s="1"/>
  <c r="G11" i="12" a="1"/>
  <c r="G11" i="12" s="1"/>
  <c r="E11" i="12" a="1"/>
  <c r="E11" i="12" s="1"/>
  <c r="C11" i="12" a="1"/>
  <c r="C11" i="12" s="1"/>
  <c r="H10" i="12" a="1"/>
  <c r="H10" i="12" s="1"/>
  <c r="G10" i="12" a="1"/>
  <c r="G10" i="12" s="1"/>
  <c r="E10" i="12" a="1"/>
  <c r="E10" i="12" s="1"/>
  <c r="C10" i="12" a="1"/>
  <c r="C10" i="12" s="1"/>
  <c r="H9" i="12" a="1"/>
  <c r="H9" i="12" s="1"/>
  <c r="G9" i="12" a="1"/>
  <c r="G9" i="12" s="1"/>
  <c r="E9" i="12" a="1"/>
  <c r="E9" i="12" s="1"/>
  <c r="C9" i="12" a="1"/>
  <c r="C9" i="12" s="1"/>
  <c r="H8" i="12" a="1"/>
  <c r="H8" i="12" s="1"/>
  <c r="G8" i="12" a="1"/>
  <c r="G8" i="12" s="1"/>
  <c r="E8" i="12" a="1"/>
  <c r="E8" i="12" s="1"/>
  <c r="C8" i="12" a="1"/>
  <c r="C8" i="12" s="1"/>
  <c r="R4" i="12"/>
  <c r="M3" i="12"/>
  <c r="K3" i="12"/>
  <c r="E3" i="12"/>
  <c r="P3" i="4"/>
  <c r="P4" i="4"/>
  <c r="P5" i="4"/>
  <c r="P6" i="4"/>
  <c r="P7" i="4"/>
  <c r="P8" i="4"/>
  <c r="P9" i="4"/>
  <c r="P10" i="4"/>
  <c r="P11" i="4"/>
  <c r="P12" i="4"/>
  <c r="P13" i="4"/>
  <c r="P2" i="4"/>
  <c r="O3" i="4"/>
  <c r="O4" i="4"/>
  <c r="O5" i="4"/>
  <c r="O6" i="4"/>
  <c r="O7" i="4"/>
  <c r="O8" i="4"/>
  <c r="O9" i="4"/>
  <c r="O10" i="4"/>
  <c r="O11" i="4"/>
  <c r="O12" i="4"/>
  <c r="O13" i="4"/>
  <c r="K4" i="12" s="1"/>
  <c r="O2" i="4"/>
  <c r="D19" i="10"/>
  <c r="E19" i="10" s="1"/>
  <c r="D18" i="10"/>
  <c r="E18" i="10" s="1"/>
  <c r="D17" i="10"/>
  <c r="E17" i="10" s="1"/>
  <c r="D16" i="10"/>
  <c r="E16" i="10" s="1"/>
  <c r="D15" i="10"/>
  <c r="E15" i="10" s="1"/>
  <c r="E14" i="10"/>
  <c r="D14" i="10"/>
  <c r="D13" i="10"/>
  <c r="E13" i="10" s="1"/>
  <c r="E12" i="10"/>
  <c r="D12" i="10"/>
  <c r="D11" i="10"/>
  <c r="E11" i="10" s="1"/>
  <c r="I10" i="10"/>
  <c r="D10" i="10"/>
  <c r="E10" i="10" s="1"/>
  <c r="I9" i="10"/>
  <c r="D9" i="10"/>
  <c r="I8" i="10"/>
  <c r="D8" i="10"/>
  <c r="E8" i="10" s="1"/>
  <c r="I7" i="10"/>
  <c r="D7" i="10"/>
  <c r="E7" i="10" s="1"/>
  <c r="I6" i="10"/>
  <c r="E9" i="10" s="1"/>
  <c r="D6" i="10"/>
  <c r="E6" i="10" s="1"/>
  <c r="I5" i="10"/>
  <c r="E5" i="10"/>
  <c r="D5" i="10"/>
  <c r="I4" i="10"/>
  <c r="D4" i="10"/>
  <c r="E4" i="10" s="1"/>
  <c r="I3" i="10"/>
  <c r="D3" i="10"/>
  <c r="E3" i="10" s="1"/>
  <c r="I2" i="10"/>
  <c r="D2" i="10"/>
  <c r="E2" i="10" s="1"/>
  <c r="C3" i="8"/>
  <c r="C2" i="8"/>
  <c r="L109" i="6"/>
  <c r="K109" i="6"/>
  <c r="B109" i="6"/>
  <c r="L108" i="6"/>
  <c r="K108" i="6"/>
  <c r="B108" i="6"/>
  <c r="L107" i="6"/>
  <c r="K107" i="6"/>
  <c r="B107" i="6"/>
  <c r="L106" i="6"/>
  <c r="K106" i="6"/>
  <c r="B106" i="6"/>
  <c r="L105" i="6"/>
  <c r="K105" i="6"/>
  <c r="B105" i="6"/>
  <c r="L104" i="6"/>
  <c r="K104" i="6"/>
  <c r="B104" i="6"/>
  <c r="L103" i="6"/>
  <c r="K103" i="6"/>
  <c r="B103" i="6"/>
  <c r="L102" i="6"/>
  <c r="K102" i="6"/>
  <c r="B102" i="6"/>
  <c r="L101" i="6"/>
  <c r="K101" i="6"/>
  <c r="B101" i="6"/>
  <c r="L100" i="6"/>
  <c r="K100" i="6"/>
  <c r="B100" i="6"/>
  <c r="L99" i="6"/>
  <c r="K99" i="6"/>
  <c r="B99" i="6"/>
  <c r="L98" i="6"/>
  <c r="K98" i="6"/>
  <c r="B98" i="6"/>
  <c r="L97" i="6"/>
  <c r="K97" i="6"/>
  <c r="B97" i="6"/>
  <c r="L96" i="6"/>
  <c r="K96" i="6"/>
  <c r="B96" i="6"/>
  <c r="L95" i="6"/>
  <c r="K95" i="6"/>
  <c r="B95" i="6"/>
  <c r="L94" i="6"/>
  <c r="K94" i="6"/>
  <c r="B94" i="6"/>
  <c r="L93" i="6"/>
  <c r="K93" i="6"/>
  <c r="B93" i="6"/>
  <c r="L92" i="6"/>
  <c r="K92" i="6"/>
  <c r="B92" i="6"/>
  <c r="L91" i="6"/>
  <c r="K91" i="6"/>
  <c r="B91" i="6"/>
  <c r="L90" i="6"/>
  <c r="K90" i="6"/>
  <c r="B90" i="6"/>
  <c r="L89" i="6"/>
  <c r="K89" i="6"/>
  <c r="B89" i="6"/>
  <c r="L88" i="6"/>
  <c r="K88" i="6"/>
  <c r="B88" i="6"/>
  <c r="L87" i="6"/>
  <c r="K87" i="6"/>
  <c r="B87" i="6"/>
  <c r="L86" i="6"/>
  <c r="K86" i="6"/>
  <c r="B86" i="6"/>
  <c r="L85" i="6"/>
  <c r="K85" i="6"/>
  <c r="B85" i="6"/>
  <c r="L84" i="6"/>
  <c r="K84" i="6"/>
  <c r="B84" i="6"/>
  <c r="L83" i="6"/>
  <c r="K83" i="6"/>
  <c r="B83" i="6"/>
  <c r="L82" i="6"/>
  <c r="K82" i="6"/>
  <c r="B82" i="6"/>
  <c r="L81" i="6"/>
  <c r="K81" i="6"/>
  <c r="B81" i="6"/>
  <c r="L80" i="6"/>
  <c r="K80" i="6"/>
  <c r="B80" i="6"/>
  <c r="L79" i="6"/>
  <c r="K79" i="6"/>
  <c r="B79" i="6"/>
  <c r="L78" i="6"/>
  <c r="K78" i="6"/>
  <c r="B78" i="6"/>
  <c r="L77" i="6"/>
  <c r="K77" i="6"/>
  <c r="B77" i="6"/>
  <c r="L76" i="6"/>
  <c r="K76" i="6"/>
  <c r="B76" i="6"/>
  <c r="L75" i="6"/>
  <c r="K75" i="6"/>
  <c r="B75" i="6"/>
  <c r="L74" i="6"/>
  <c r="K74" i="6"/>
  <c r="B74" i="6"/>
  <c r="L73" i="6"/>
  <c r="K73" i="6"/>
  <c r="B73" i="6"/>
  <c r="L72" i="6"/>
  <c r="K72" i="6"/>
  <c r="B72" i="6"/>
  <c r="L71" i="6"/>
  <c r="K71" i="6"/>
  <c r="B71" i="6"/>
  <c r="L70" i="6"/>
  <c r="K70" i="6"/>
  <c r="B70" i="6"/>
  <c r="L69" i="6"/>
  <c r="K69" i="6"/>
  <c r="B69" i="6"/>
  <c r="L68" i="6"/>
  <c r="K68" i="6"/>
  <c r="B68" i="6"/>
  <c r="L67" i="6"/>
  <c r="K67" i="6"/>
  <c r="B67" i="6"/>
  <c r="L66" i="6"/>
  <c r="K66" i="6"/>
  <c r="B66" i="6"/>
  <c r="L65" i="6"/>
  <c r="K65" i="6"/>
  <c r="B65" i="6"/>
  <c r="L64" i="6"/>
  <c r="K64" i="6"/>
  <c r="B64" i="6"/>
  <c r="L63" i="6"/>
  <c r="K63" i="6"/>
  <c r="B63" i="6"/>
  <c r="L62" i="6"/>
  <c r="K62" i="6"/>
  <c r="B62" i="6"/>
  <c r="L61" i="6"/>
  <c r="K61" i="6"/>
  <c r="B61" i="6"/>
  <c r="L60" i="6"/>
  <c r="K60" i="6"/>
  <c r="B60" i="6"/>
  <c r="L59" i="6"/>
  <c r="K59" i="6"/>
  <c r="B59" i="6"/>
  <c r="L58" i="6"/>
  <c r="K58" i="6"/>
  <c r="B58" i="6"/>
  <c r="L57" i="6"/>
  <c r="K57" i="6"/>
  <c r="B57" i="6"/>
  <c r="L56" i="6"/>
  <c r="K56" i="6"/>
  <c r="B56" i="6"/>
  <c r="L55" i="6"/>
  <c r="K55" i="6"/>
  <c r="B55" i="6"/>
  <c r="L54" i="6"/>
  <c r="K54" i="6"/>
  <c r="B54" i="6"/>
  <c r="L53" i="6"/>
  <c r="K53" i="6"/>
  <c r="B53" i="6"/>
  <c r="L52" i="6"/>
  <c r="K52" i="6"/>
  <c r="B52" i="6"/>
  <c r="L51" i="6"/>
  <c r="K51" i="6"/>
  <c r="B51" i="6"/>
  <c r="L50" i="6"/>
  <c r="K50" i="6"/>
  <c r="B50" i="6"/>
  <c r="L49" i="6"/>
  <c r="K49" i="6"/>
  <c r="B49" i="6"/>
  <c r="L48" i="6"/>
  <c r="K48" i="6"/>
  <c r="B48" i="6"/>
  <c r="L47" i="6"/>
  <c r="K47" i="6"/>
  <c r="B47" i="6"/>
  <c r="L46" i="6"/>
  <c r="K46" i="6"/>
  <c r="B46" i="6"/>
  <c r="L45" i="6"/>
  <c r="K45" i="6"/>
  <c r="B45" i="6"/>
  <c r="L44" i="6"/>
  <c r="K44" i="6"/>
  <c r="B44" i="6"/>
  <c r="L43" i="6"/>
  <c r="K43" i="6"/>
  <c r="B43" i="6"/>
  <c r="L42" i="6"/>
  <c r="K42" i="6"/>
  <c r="B42" i="6"/>
  <c r="L41" i="6"/>
  <c r="K41" i="6"/>
  <c r="B41" i="6"/>
  <c r="L40" i="6"/>
  <c r="K40" i="6"/>
  <c r="B40" i="6"/>
  <c r="L39" i="6"/>
  <c r="K39" i="6"/>
  <c r="B39" i="6"/>
  <c r="L38" i="6"/>
  <c r="K38" i="6"/>
  <c r="B38" i="6"/>
  <c r="L37" i="6"/>
  <c r="K37" i="6"/>
  <c r="B37" i="6"/>
  <c r="L36" i="6"/>
  <c r="K36" i="6"/>
  <c r="B36" i="6"/>
  <c r="L35" i="6"/>
  <c r="K35" i="6"/>
  <c r="B35" i="6"/>
  <c r="L34" i="6"/>
  <c r="K34" i="6"/>
  <c r="B34" i="6"/>
  <c r="L33" i="6"/>
  <c r="K33" i="6"/>
  <c r="B33" i="6"/>
  <c r="L32" i="6"/>
  <c r="K32" i="6"/>
  <c r="B32" i="6"/>
  <c r="L31" i="6"/>
  <c r="K31" i="6"/>
  <c r="B31" i="6"/>
  <c r="L30" i="6"/>
  <c r="K30" i="6"/>
  <c r="B30" i="6"/>
  <c r="L29" i="6"/>
  <c r="K29" i="6"/>
  <c r="B29" i="6"/>
  <c r="L28" i="6"/>
  <c r="K28" i="6"/>
  <c r="B28" i="6"/>
  <c r="L27" i="6"/>
  <c r="K27" i="6"/>
  <c r="B27" i="6"/>
  <c r="L26" i="6"/>
  <c r="K26" i="6"/>
  <c r="B26" i="6"/>
  <c r="L25" i="6"/>
  <c r="K25" i="6"/>
  <c r="B25" i="6"/>
  <c r="L24" i="6"/>
  <c r="K24" i="6"/>
  <c r="B24" i="6"/>
  <c r="L23" i="6"/>
  <c r="K23" i="6"/>
  <c r="B23" i="6"/>
  <c r="L22" i="6"/>
  <c r="K22" i="6"/>
  <c r="B22" i="6"/>
  <c r="L21" i="6"/>
  <c r="K21" i="6"/>
  <c r="B21" i="6"/>
  <c r="L20" i="6"/>
  <c r="K20" i="6"/>
  <c r="B20" i="6"/>
  <c r="L19" i="6"/>
  <c r="K19" i="6"/>
  <c r="B19" i="6"/>
  <c r="L18" i="6"/>
  <c r="K18" i="6"/>
  <c r="B18" i="6"/>
  <c r="L17" i="6"/>
  <c r="K17" i="6"/>
  <c r="B17" i="6"/>
  <c r="L16" i="6"/>
  <c r="K16" i="6"/>
  <c r="B16" i="6"/>
  <c r="L15" i="6"/>
  <c r="K15" i="6"/>
  <c r="B15" i="6"/>
  <c r="L14" i="6"/>
  <c r="K14" i="6"/>
  <c r="B14" i="6"/>
  <c r="L13" i="6"/>
  <c r="K13" i="6"/>
  <c r="B13" i="6"/>
  <c r="L12" i="6"/>
  <c r="K12" i="6"/>
  <c r="B12" i="6"/>
  <c r="L11" i="6"/>
  <c r="K11" i="6"/>
  <c r="B11" i="6"/>
  <c r="L10" i="6"/>
  <c r="K10" i="6"/>
  <c r="B10" i="6"/>
  <c r="L9" i="6"/>
  <c r="K9" i="6"/>
  <c r="B9" i="6"/>
  <c r="L8" i="6"/>
  <c r="K8" i="6"/>
  <c r="B8" i="6"/>
  <c r="L7" i="6"/>
  <c r="K7" i="6"/>
  <c r="B7" i="6"/>
  <c r="L6" i="6"/>
  <c r="K6" i="6"/>
  <c r="B6" i="6"/>
  <c r="L5" i="6"/>
  <c r="K5" i="6"/>
  <c r="B5" i="6"/>
  <c r="L4" i="6"/>
  <c r="K4" i="6"/>
  <c r="B4" i="6"/>
  <c r="L3" i="6"/>
  <c r="K3" i="6"/>
  <c r="B3" i="6"/>
  <c r="L2" i="6"/>
  <c r="K2" i="6"/>
  <c r="B2" i="6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D13" i="4"/>
  <c r="C13" i="4" s="1"/>
  <c r="K215" i="5" s="1"/>
  <c r="D12" i="4"/>
  <c r="C12" i="4" s="1"/>
  <c r="D11" i="4"/>
  <c r="C11" i="4" s="1"/>
  <c r="D10" i="4"/>
  <c r="C10" i="4" s="1"/>
  <c r="K148" i="5" s="1"/>
  <c r="D9" i="4"/>
  <c r="C9" i="4" s="1"/>
  <c r="D8" i="4"/>
  <c r="C8" i="4" s="1"/>
  <c r="K124" i="5" s="1"/>
  <c r="D7" i="4"/>
  <c r="C7" i="4" s="1"/>
  <c r="K107" i="5" s="1"/>
  <c r="D6" i="4"/>
  <c r="C6" i="4" s="1"/>
  <c r="D5" i="4"/>
  <c r="C5" i="4" s="1"/>
  <c r="D4" i="4"/>
  <c r="C4" i="4" s="1"/>
  <c r="D3" i="4"/>
  <c r="C3" i="4" s="1"/>
  <c r="D2" i="4"/>
  <c r="C2" i="4" s="1"/>
  <c r="K18" i="5" s="1"/>
  <c r="H21" i="2"/>
  <c r="F21" i="2"/>
  <c r="E21" i="2"/>
  <c r="F20" i="2"/>
  <c r="E20" i="2"/>
  <c r="F19" i="2"/>
  <c r="E19" i="2"/>
  <c r="H18" i="2"/>
  <c r="F18" i="2"/>
  <c r="E18" i="2"/>
  <c r="H17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J73" i="5" s="1"/>
  <c r="F8" i="2"/>
  <c r="E8" i="2"/>
  <c r="F7" i="2"/>
  <c r="E7" i="2"/>
  <c r="F6" i="2"/>
  <c r="E6" i="2"/>
  <c r="J15" i="5" s="1"/>
  <c r="F5" i="2"/>
  <c r="E5" i="2"/>
  <c r="F4" i="2"/>
  <c r="E4" i="2"/>
  <c r="J35" i="5" s="1"/>
  <c r="F3" i="2"/>
  <c r="I183" i="5" s="1"/>
  <c r="E3" i="2"/>
  <c r="F2" i="2"/>
  <c r="J189" i="5" s="1"/>
  <c r="E2" i="2"/>
  <c r="J53" i="5" l="1"/>
  <c r="J69" i="5"/>
  <c r="E4" i="12"/>
  <c r="C28" i="12"/>
  <c r="E28" i="12"/>
  <c r="E17" i="12"/>
  <c r="H28" i="12"/>
  <c r="G17" i="12"/>
  <c r="G29" i="12" s="1"/>
  <c r="C17" i="12"/>
  <c r="G28" i="12"/>
  <c r="H17" i="12"/>
  <c r="L7" i="4"/>
  <c r="N7" i="4" s="1"/>
  <c r="M7" i="4" s="1"/>
  <c r="L10" i="4"/>
  <c r="N10" i="4" s="1"/>
  <c r="M10" i="4" s="1"/>
  <c r="J13" i="4"/>
  <c r="J5" i="4"/>
  <c r="L12" i="4"/>
  <c r="N12" i="4" s="1"/>
  <c r="M12" i="4" s="1"/>
  <c r="K13" i="4"/>
  <c r="I8" i="5"/>
  <c r="L4" i="4"/>
  <c r="N4" i="4" s="1"/>
  <c r="M4" i="4" s="1"/>
  <c r="L9" i="4"/>
  <c r="N9" i="4" s="1"/>
  <c r="M9" i="4" s="1"/>
  <c r="J3" i="4"/>
  <c r="K7" i="4"/>
  <c r="K23" i="5"/>
  <c r="M23" i="5" s="1"/>
  <c r="K22" i="5"/>
  <c r="L22" i="5" s="1"/>
  <c r="K31" i="5"/>
  <c r="M31" i="5" s="1"/>
  <c r="K46" i="5"/>
  <c r="M46" i="5" s="1"/>
  <c r="K50" i="5"/>
  <c r="L50" i="5" s="1"/>
  <c r="J12" i="4"/>
  <c r="J3" i="5"/>
  <c r="K2" i="4"/>
  <c r="J126" i="5"/>
  <c r="K12" i="4"/>
  <c r="J112" i="5"/>
  <c r="J61" i="5"/>
  <c r="I143" i="5"/>
  <c r="J13" i="5"/>
  <c r="J57" i="5"/>
  <c r="J85" i="5"/>
  <c r="L8" i="4"/>
  <c r="N8" i="4" s="1"/>
  <c r="M8" i="4" s="1"/>
  <c r="J7" i="5"/>
  <c r="K3" i="4"/>
  <c r="J7" i="4"/>
  <c r="K101" i="5"/>
  <c r="M101" i="5" s="1"/>
  <c r="J9" i="4"/>
  <c r="K10" i="4"/>
  <c r="K4" i="4"/>
  <c r="J59" i="5"/>
  <c r="K6" i="4"/>
  <c r="L18" i="5"/>
  <c r="M18" i="5"/>
  <c r="M148" i="5"/>
  <c r="L148" i="5"/>
  <c r="L215" i="5"/>
  <c r="M215" i="5"/>
  <c r="L3" i="4"/>
  <c r="N3" i="4" s="1"/>
  <c r="M3" i="4" s="1"/>
  <c r="K139" i="5"/>
  <c r="K131" i="5"/>
  <c r="K141" i="5"/>
  <c r="K132" i="5"/>
  <c r="K144" i="5"/>
  <c r="K134" i="5"/>
  <c r="K145" i="5"/>
  <c r="K135" i="5"/>
  <c r="K129" i="5"/>
  <c r="K142" i="5"/>
  <c r="K138" i="5"/>
  <c r="K140" i="5"/>
  <c r="K137" i="5"/>
  <c r="K128" i="5"/>
  <c r="K130" i="5"/>
  <c r="K136" i="5"/>
  <c r="K133" i="5"/>
  <c r="K143" i="5"/>
  <c r="L23" i="5"/>
  <c r="K69" i="5"/>
  <c r="K61" i="5"/>
  <c r="K72" i="5"/>
  <c r="K73" i="5"/>
  <c r="K65" i="5"/>
  <c r="K59" i="5"/>
  <c r="K60" i="5"/>
  <c r="K70" i="5"/>
  <c r="K67" i="5"/>
  <c r="K56" i="5"/>
  <c r="K64" i="5"/>
  <c r="K71" i="5"/>
  <c r="K68" i="5"/>
  <c r="K63" i="5"/>
  <c r="K66" i="5"/>
  <c r="K58" i="5"/>
  <c r="K62" i="5"/>
  <c r="K57" i="5"/>
  <c r="M107" i="5"/>
  <c r="L107" i="5"/>
  <c r="K85" i="5"/>
  <c r="K77" i="5"/>
  <c r="K88" i="5"/>
  <c r="K80" i="5"/>
  <c r="K81" i="5"/>
  <c r="K79" i="5"/>
  <c r="K74" i="5"/>
  <c r="K87" i="5"/>
  <c r="K82" i="5"/>
  <c r="K75" i="5"/>
  <c r="K91" i="5"/>
  <c r="K90" i="5"/>
  <c r="K84" i="5"/>
  <c r="K76" i="5"/>
  <c r="K78" i="5"/>
  <c r="K89" i="5"/>
  <c r="K83" i="5"/>
  <c r="K86" i="5"/>
  <c r="M124" i="5"/>
  <c r="L124" i="5"/>
  <c r="K178" i="5"/>
  <c r="K170" i="5"/>
  <c r="K177" i="5"/>
  <c r="K168" i="5"/>
  <c r="K176" i="5"/>
  <c r="K169" i="5"/>
  <c r="K181" i="5"/>
  <c r="K174" i="5"/>
  <c r="K171" i="5"/>
  <c r="K164" i="5"/>
  <c r="K180" i="5"/>
  <c r="K175" i="5"/>
  <c r="K173" i="5"/>
  <c r="K167" i="5"/>
  <c r="K166" i="5"/>
  <c r="K179" i="5"/>
  <c r="K165" i="5"/>
  <c r="K172" i="5"/>
  <c r="K17" i="5"/>
  <c r="K9" i="5"/>
  <c r="K8" i="5"/>
  <c r="K7" i="5"/>
  <c r="K6" i="5"/>
  <c r="K5" i="5"/>
  <c r="K4" i="5"/>
  <c r="K3" i="5"/>
  <c r="K2" i="5"/>
  <c r="L2" i="5" s="1"/>
  <c r="K12" i="5"/>
  <c r="K13" i="5"/>
  <c r="K11" i="5"/>
  <c r="K16" i="5"/>
  <c r="K19" i="5"/>
  <c r="K14" i="5"/>
  <c r="K15" i="5"/>
  <c r="K10" i="5"/>
  <c r="I147" i="5"/>
  <c r="K156" i="5"/>
  <c r="L11" i="4"/>
  <c r="N11" i="4" s="1"/>
  <c r="M11" i="4" s="1"/>
  <c r="K11" i="4"/>
  <c r="J180" i="5"/>
  <c r="J16" i="5"/>
  <c r="J19" i="5"/>
  <c r="J11" i="5"/>
  <c r="J12" i="5"/>
  <c r="I2" i="5"/>
  <c r="J217" i="5"/>
  <c r="J209" i="5"/>
  <c r="J201" i="5"/>
  <c r="J193" i="5"/>
  <c r="J185" i="5"/>
  <c r="J177" i="5"/>
  <c r="J169" i="5"/>
  <c r="J213" i="5"/>
  <c r="J205" i="5"/>
  <c r="J197" i="5"/>
  <c r="J204" i="5"/>
  <c r="J190" i="5"/>
  <c r="J186" i="5"/>
  <c r="J181" i="5"/>
  <c r="J172" i="5"/>
  <c r="J162" i="5"/>
  <c r="J154" i="5"/>
  <c r="J146" i="5"/>
  <c r="J138" i="5"/>
  <c r="J130" i="5"/>
  <c r="J216" i="5"/>
  <c r="J211" i="5"/>
  <c r="J179" i="5"/>
  <c r="J165" i="5"/>
  <c r="J161" i="5"/>
  <c r="J215" i="5"/>
  <c r="J212" i="5"/>
  <c r="J207" i="5"/>
  <c r="J202" i="5"/>
  <c r="J194" i="5"/>
  <c r="J184" i="5"/>
  <c r="J167" i="5"/>
  <c r="J145" i="5"/>
  <c r="J136" i="5"/>
  <c r="J125" i="5"/>
  <c r="J117" i="5"/>
  <c r="J109" i="5"/>
  <c r="J101" i="5"/>
  <c r="J93" i="5"/>
  <c r="J199" i="5"/>
  <c r="J195" i="5"/>
  <c r="J166" i="5"/>
  <c r="J156" i="5"/>
  <c r="J153" i="5"/>
  <c r="J150" i="5"/>
  <c r="J147" i="5"/>
  <c r="J143" i="5"/>
  <c r="J140" i="5"/>
  <c r="J137" i="5"/>
  <c r="J127" i="5"/>
  <c r="J122" i="5"/>
  <c r="J118" i="5"/>
  <c r="J113" i="5"/>
  <c r="J104" i="5"/>
  <c r="J99" i="5"/>
  <c r="J95" i="5"/>
  <c r="J90" i="5"/>
  <c r="J84" i="5"/>
  <c r="J76" i="5"/>
  <c r="J157" i="5"/>
  <c r="J151" i="5"/>
  <c r="J148" i="5"/>
  <c r="J132" i="5"/>
  <c r="J124" i="5"/>
  <c r="J92" i="5"/>
  <c r="J87" i="5"/>
  <c r="J79" i="5"/>
  <c r="J183" i="5"/>
  <c r="J176" i="5"/>
  <c r="J160" i="5"/>
  <c r="J155" i="5"/>
  <c r="J135" i="5"/>
  <c r="J129" i="5"/>
  <c r="J120" i="5"/>
  <c r="J115" i="5"/>
  <c r="J111" i="5"/>
  <c r="J106" i="5"/>
  <c r="J102" i="5"/>
  <c r="J97" i="5"/>
  <c r="J88" i="5"/>
  <c r="J80" i="5"/>
  <c r="J191" i="5"/>
  <c r="J158" i="5"/>
  <c r="J200" i="5"/>
  <c r="J188" i="5"/>
  <c r="J171" i="5"/>
  <c r="J164" i="5"/>
  <c r="J144" i="5"/>
  <c r="J142" i="5"/>
  <c r="J116" i="5"/>
  <c r="J86" i="5"/>
  <c r="J208" i="5"/>
  <c r="J196" i="5"/>
  <c r="J133" i="5"/>
  <c r="J131" i="5"/>
  <c r="J108" i="5"/>
  <c r="J91" i="5"/>
  <c r="J89" i="5"/>
  <c r="J210" i="5"/>
  <c r="J168" i="5"/>
  <c r="J159" i="5"/>
  <c r="J152" i="5"/>
  <c r="J139" i="5"/>
  <c r="J82" i="5"/>
  <c r="J77" i="5"/>
  <c r="J214" i="5"/>
  <c r="J192" i="5"/>
  <c r="J187" i="5"/>
  <c r="J182" i="5"/>
  <c r="J175" i="5"/>
  <c r="J170" i="5"/>
  <c r="J163" i="5"/>
  <c r="J141" i="5"/>
  <c r="J123" i="5"/>
  <c r="J121" i="5"/>
  <c r="J119" i="5"/>
  <c r="J100" i="5"/>
  <c r="J98" i="5"/>
  <c r="J96" i="5"/>
  <c r="J94" i="5"/>
  <c r="J75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J2" i="4"/>
  <c r="J6" i="4"/>
  <c r="J11" i="4"/>
  <c r="K194" i="5"/>
  <c r="K186" i="5"/>
  <c r="K198" i="5"/>
  <c r="K195" i="5"/>
  <c r="K191" i="5"/>
  <c r="K193" i="5"/>
  <c r="K183" i="5"/>
  <c r="K197" i="5"/>
  <c r="K188" i="5"/>
  <c r="K184" i="5"/>
  <c r="K182" i="5"/>
  <c r="K185" i="5"/>
  <c r="K196" i="5"/>
  <c r="K192" i="5"/>
  <c r="K199" i="5"/>
  <c r="K187" i="5"/>
  <c r="K189" i="5"/>
  <c r="J2" i="5"/>
  <c r="J6" i="5"/>
  <c r="J17" i="5"/>
  <c r="J27" i="5"/>
  <c r="J34" i="5"/>
  <c r="J43" i="5"/>
  <c r="J48" i="5"/>
  <c r="J83" i="5"/>
  <c r="J107" i="5"/>
  <c r="I164" i="5"/>
  <c r="I177" i="5"/>
  <c r="J206" i="5"/>
  <c r="I5" i="5"/>
  <c r="I9" i="5"/>
  <c r="J25" i="5"/>
  <c r="K34" i="5"/>
  <c r="K41" i="5"/>
  <c r="K48" i="5"/>
  <c r="K55" i="5"/>
  <c r="J78" i="5"/>
  <c r="J110" i="5"/>
  <c r="K113" i="5"/>
  <c r="I130" i="5"/>
  <c r="I144" i="5"/>
  <c r="I181" i="5"/>
  <c r="K190" i="5"/>
  <c r="I195" i="5"/>
  <c r="L6" i="4"/>
  <c r="N6" i="4" s="1"/>
  <c r="M6" i="4" s="1"/>
  <c r="K163" i="5"/>
  <c r="K155" i="5"/>
  <c r="K147" i="5"/>
  <c r="K157" i="5"/>
  <c r="K159" i="5"/>
  <c r="K150" i="5"/>
  <c r="K160" i="5"/>
  <c r="K152" i="5"/>
  <c r="K162" i="5"/>
  <c r="K151" i="5"/>
  <c r="K146" i="5"/>
  <c r="K153" i="5"/>
  <c r="K161" i="5"/>
  <c r="K154" i="5"/>
  <c r="K210" i="5"/>
  <c r="K202" i="5"/>
  <c r="K214" i="5"/>
  <c r="K206" i="5"/>
  <c r="K217" i="5"/>
  <c r="K211" i="5"/>
  <c r="K201" i="5"/>
  <c r="K207" i="5"/>
  <c r="K200" i="5"/>
  <c r="K213" i="5"/>
  <c r="K203" i="5"/>
  <c r="K205" i="5"/>
  <c r="K212" i="5"/>
  <c r="K216" i="5"/>
  <c r="K209" i="5"/>
  <c r="K204" i="5"/>
  <c r="J5" i="5"/>
  <c r="J9" i="5"/>
  <c r="J14" i="5"/>
  <c r="K25" i="5"/>
  <c r="K32" i="5"/>
  <c r="J39" i="5"/>
  <c r="J65" i="5"/>
  <c r="J81" i="5"/>
  <c r="J105" i="5"/>
  <c r="I165" i="5"/>
  <c r="J173" i="5"/>
  <c r="J178" i="5"/>
  <c r="J10" i="5"/>
  <c r="L2" i="4"/>
  <c r="N2" i="4" s="1"/>
  <c r="K53" i="5"/>
  <c r="K45" i="5"/>
  <c r="K51" i="5"/>
  <c r="K47" i="5"/>
  <c r="K42" i="5"/>
  <c r="K38" i="5"/>
  <c r="K52" i="5"/>
  <c r="K43" i="5"/>
  <c r="K5" i="4"/>
  <c r="K102" i="5"/>
  <c r="K94" i="5"/>
  <c r="K109" i="5"/>
  <c r="K100" i="5"/>
  <c r="K106" i="5"/>
  <c r="K97" i="5"/>
  <c r="K93" i="5"/>
  <c r="K99" i="5"/>
  <c r="K95" i="5"/>
  <c r="K104" i="5"/>
  <c r="K98" i="5"/>
  <c r="K96" i="5"/>
  <c r="K92" i="5"/>
  <c r="J8" i="4"/>
  <c r="I4" i="5"/>
  <c r="J21" i="5"/>
  <c r="J30" i="5"/>
  <c r="K39" i="5"/>
  <c r="K44" i="5"/>
  <c r="K49" i="5"/>
  <c r="K105" i="5"/>
  <c r="J114" i="5"/>
  <c r="I134" i="5"/>
  <c r="J149" i="5"/>
  <c r="K158" i="5"/>
  <c r="J203" i="5"/>
  <c r="I19" i="5"/>
  <c r="I18" i="5"/>
  <c r="I17" i="5"/>
  <c r="I16" i="5"/>
  <c r="I15" i="5"/>
  <c r="I14" i="5"/>
  <c r="I13" i="5"/>
  <c r="I12" i="5"/>
  <c r="I11" i="5"/>
  <c r="I10" i="5"/>
  <c r="I6" i="5"/>
  <c r="J52" i="5"/>
  <c r="J44" i="5"/>
  <c r="J54" i="5"/>
  <c r="J49" i="5"/>
  <c r="J45" i="5"/>
  <c r="J40" i="5"/>
  <c r="J55" i="5"/>
  <c r="J50" i="5"/>
  <c r="J46" i="5"/>
  <c r="J41" i="5"/>
  <c r="J51" i="5"/>
  <c r="J47" i="5"/>
  <c r="J42" i="5"/>
  <c r="J38" i="5"/>
  <c r="K37" i="5"/>
  <c r="K29" i="5"/>
  <c r="K21" i="5"/>
  <c r="K36" i="5"/>
  <c r="K27" i="5"/>
  <c r="K28" i="5"/>
  <c r="K33" i="5"/>
  <c r="K24" i="5"/>
  <c r="K20" i="5"/>
  <c r="J4" i="4"/>
  <c r="L5" i="4"/>
  <c r="N5" i="4" s="1"/>
  <c r="M5" i="4" s="1"/>
  <c r="K8" i="4"/>
  <c r="J10" i="4"/>
  <c r="L13" i="4"/>
  <c r="N13" i="4" s="1"/>
  <c r="M13" i="4" s="1"/>
  <c r="J4" i="5"/>
  <c r="J8" i="5"/>
  <c r="K26" i="5"/>
  <c r="K30" i="5"/>
  <c r="J103" i="5"/>
  <c r="K108" i="5"/>
  <c r="J128" i="5"/>
  <c r="J134" i="5"/>
  <c r="I142" i="5"/>
  <c r="K149" i="5"/>
  <c r="J174" i="5"/>
  <c r="I179" i="5"/>
  <c r="K208" i="5"/>
  <c r="K126" i="5"/>
  <c r="K118" i="5"/>
  <c r="K110" i="5"/>
  <c r="K120" i="5"/>
  <c r="K115" i="5"/>
  <c r="K111" i="5"/>
  <c r="K125" i="5"/>
  <c r="K116" i="5"/>
  <c r="K122" i="5"/>
  <c r="K114" i="5"/>
  <c r="K112" i="5"/>
  <c r="K127" i="5"/>
  <c r="K123" i="5"/>
  <c r="K121" i="5"/>
  <c r="K119" i="5"/>
  <c r="K117" i="5"/>
  <c r="I216" i="5"/>
  <c r="I208" i="5"/>
  <c r="I200" i="5"/>
  <c r="I192" i="5"/>
  <c r="I184" i="5"/>
  <c r="I176" i="5"/>
  <c r="I168" i="5"/>
  <c r="I212" i="5"/>
  <c r="I204" i="5"/>
  <c r="I196" i="5"/>
  <c r="I210" i="5"/>
  <c r="I207" i="5"/>
  <c r="I194" i="5"/>
  <c r="I167" i="5"/>
  <c r="I161" i="5"/>
  <c r="I153" i="5"/>
  <c r="I145" i="5"/>
  <c r="I137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J5" i="12" s="1" a="1"/>
  <c r="J5" i="12" s="1"/>
  <c r="I203" i="5"/>
  <c r="I198" i="5"/>
  <c r="I189" i="5"/>
  <c r="I186" i="5"/>
  <c r="I182" i="5"/>
  <c r="I175" i="5"/>
  <c r="I172" i="5"/>
  <c r="I156" i="5"/>
  <c r="I191" i="5"/>
  <c r="I170" i="5"/>
  <c r="I163" i="5"/>
  <c r="I158" i="5"/>
  <c r="I154" i="5"/>
  <c r="I149" i="5"/>
  <c r="I140" i="5"/>
  <c r="I135" i="5"/>
  <c r="I131" i="5"/>
  <c r="I206" i="5"/>
  <c r="I217" i="5"/>
  <c r="I215" i="5"/>
  <c r="I213" i="5"/>
  <c r="I211" i="5"/>
  <c r="I209" i="5"/>
  <c r="I205" i="5"/>
  <c r="I187" i="5"/>
  <c r="I178" i="5"/>
  <c r="I171" i="5"/>
  <c r="I169" i="5"/>
  <c r="I162" i="5"/>
  <c r="I159" i="5"/>
  <c r="I141" i="5"/>
  <c r="I138" i="5"/>
  <c r="I185" i="5"/>
  <c r="I157" i="5"/>
  <c r="I151" i="5"/>
  <c r="I148" i="5"/>
  <c r="I132" i="5"/>
  <c r="I174" i="5"/>
  <c r="I160" i="5"/>
  <c r="I136" i="5"/>
  <c r="I197" i="5"/>
  <c r="I155" i="5"/>
  <c r="I146" i="5"/>
  <c r="I193" i="5"/>
  <c r="I190" i="5"/>
  <c r="I180" i="5"/>
  <c r="I173" i="5"/>
  <c r="I199" i="5"/>
  <c r="I166" i="5"/>
  <c r="I150" i="5"/>
  <c r="I133" i="5"/>
  <c r="I202" i="5"/>
  <c r="I152" i="5"/>
  <c r="I139" i="5"/>
  <c r="I201" i="5"/>
  <c r="J36" i="5"/>
  <c r="J28" i="5"/>
  <c r="J20" i="5"/>
  <c r="J31" i="5"/>
  <c r="J26" i="5"/>
  <c r="J22" i="5"/>
  <c r="J37" i="5"/>
  <c r="J32" i="5"/>
  <c r="J23" i="5"/>
  <c r="J33" i="5"/>
  <c r="J29" i="5"/>
  <c r="J24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J68" i="5"/>
  <c r="J60" i="5"/>
  <c r="J71" i="5"/>
  <c r="J72" i="5"/>
  <c r="J64" i="5"/>
  <c r="J62" i="5"/>
  <c r="J58" i="5"/>
  <c r="J66" i="5"/>
  <c r="J63" i="5"/>
  <c r="J70" i="5"/>
  <c r="J67" i="5"/>
  <c r="J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" i="5"/>
  <c r="I7" i="5"/>
  <c r="J18" i="5"/>
  <c r="K35" i="5"/>
  <c r="K40" i="5"/>
  <c r="K54" i="5"/>
  <c r="J74" i="5"/>
  <c r="K103" i="5"/>
  <c r="K9" i="4"/>
  <c r="I188" i="5"/>
  <c r="J198" i="5"/>
  <c r="I214" i="5"/>
  <c r="E21" i="10"/>
  <c r="M3" i="10" s="1"/>
  <c r="H29" i="12" l="1"/>
  <c r="C5" i="12" a="1"/>
  <c r="C5" i="12" s="1"/>
  <c r="E29" i="12"/>
  <c r="C29" i="12"/>
  <c r="R13" i="4"/>
  <c r="M50" i="5"/>
  <c r="G50" i="5" s="1"/>
  <c r="Q13" i="4"/>
  <c r="S13" i="4" s="1"/>
  <c r="L46" i="5"/>
  <c r="G46" i="5" s="1"/>
  <c r="M22" i="5"/>
  <c r="G22" i="5" s="1"/>
  <c r="Q5" i="4"/>
  <c r="S5" i="4" s="1"/>
  <c r="L31" i="5"/>
  <c r="G31" i="5" s="1"/>
  <c r="Q3" i="4"/>
  <c r="S3" i="4" s="1"/>
  <c r="Q9" i="4"/>
  <c r="S9" i="4" s="1"/>
  <c r="R7" i="4"/>
  <c r="Q7" i="4"/>
  <c r="S7" i="4" s="1"/>
  <c r="L101" i="5"/>
  <c r="G101" i="5" s="1"/>
  <c r="R3" i="4"/>
  <c r="Q12" i="4"/>
  <c r="S12" i="4" s="1"/>
  <c r="R12" i="4"/>
  <c r="L103" i="5"/>
  <c r="M103" i="5"/>
  <c r="L24" i="5"/>
  <c r="M24" i="5"/>
  <c r="M28" i="5"/>
  <c r="L28" i="5"/>
  <c r="M117" i="5"/>
  <c r="L117" i="5"/>
  <c r="L116" i="5"/>
  <c r="M116" i="5"/>
  <c r="L208" i="5"/>
  <c r="M208" i="5"/>
  <c r="M21" i="5"/>
  <c r="L21" i="5"/>
  <c r="Q8" i="4"/>
  <c r="S8" i="4" s="1"/>
  <c r="R8" i="4"/>
  <c r="L97" i="5"/>
  <c r="M97" i="5"/>
  <c r="M52" i="5"/>
  <c r="L52" i="5"/>
  <c r="L32" i="5"/>
  <c r="M32" i="5"/>
  <c r="L212" i="5"/>
  <c r="M212" i="5"/>
  <c r="L217" i="5"/>
  <c r="M217" i="5"/>
  <c r="M146" i="5"/>
  <c r="L146" i="5"/>
  <c r="M147" i="5"/>
  <c r="L147" i="5"/>
  <c r="L182" i="5"/>
  <c r="M182" i="5"/>
  <c r="L198" i="5"/>
  <c r="M198" i="5"/>
  <c r="M12" i="5"/>
  <c r="L12" i="5"/>
  <c r="M9" i="5"/>
  <c r="L9" i="5"/>
  <c r="L175" i="5"/>
  <c r="M175" i="5"/>
  <c r="L168" i="5"/>
  <c r="M168" i="5"/>
  <c r="L86" i="5"/>
  <c r="M86" i="5"/>
  <c r="M75" i="5"/>
  <c r="L75" i="5"/>
  <c r="L77" i="5"/>
  <c r="M77" i="5"/>
  <c r="L62" i="5"/>
  <c r="M62" i="5"/>
  <c r="M67" i="5"/>
  <c r="L67" i="5"/>
  <c r="L69" i="5"/>
  <c r="M69" i="5"/>
  <c r="M130" i="5"/>
  <c r="L130" i="5"/>
  <c r="M145" i="5"/>
  <c r="L145" i="5"/>
  <c r="L184" i="5"/>
  <c r="M184" i="5"/>
  <c r="L186" i="5"/>
  <c r="M186" i="5"/>
  <c r="L10" i="5"/>
  <c r="M10" i="5"/>
  <c r="M2" i="5"/>
  <c r="F2" i="5" s="1"/>
  <c r="M17" i="5"/>
  <c r="L17" i="5"/>
  <c r="L180" i="5"/>
  <c r="M180" i="5"/>
  <c r="L177" i="5"/>
  <c r="M177" i="5"/>
  <c r="M83" i="5"/>
  <c r="L83" i="5"/>
  <c r="M82" i="5"/>
  <c r="L82" i="5"/>
  <c r="M85" i="5"/>
  <c r="L85" i="5"/>
  <c r="M58" i="5"/>
  <c r="L58" i="5"/>
  <c r="L70" i="5"/>
  <c r="M70" i="5"/>
  <c r="G23" i="5"/>
  <c r="F23" i="5"/>
  <c r="M128" i="5"/>
  <c r="L128" i="5"/>
  <c r="M134" i="5"/>
  <c r="L134" i="5"/>
  <c r="F215" i="5"/>
  <c r="G215" i="5"/>
  <c r="L119" i="5"/>
  <c r="M119" i="5"/>
  <c r="L30" i="5"/>
  <c r="M30" i="5"/>
  <c r="M92" i="5"/>
  <c r="L92" i="5"/>
  <c r="M121" i="5"/>
  <c r="L121" i="5"/>
  <c r="L111" i="5"/>
  <c r="M111" i="5"/>
  <c r="L26" i="5"/>
  <c r="M26" i="5"/>
  <c r="L20" i="5"/>
  <c r="M20" i="5"/>
  <c r="M37" i="5"/>
  <c r="L37" i="5"/>
  <c r="M49" i="5"/>
  <c r="L49" i="5"/>
  <c r="M96" i="5"/>
  <c r="L96" i="5"/>
  <c r="M100" i="5"/>
  <c r="L100" i="5"/>
  <c r="L42" i="5"/>
  <c r="M42" i="5"/>
  <c r="L203" i="5"/>
  <c r="M203" i="5"/>
  <c r="L214" i="5"/>
  <c r="M214" i="5"/>
  <c r="M162" i="5"/>
  <c r="L162" i="5"/>
  <c r="M163" i="5"/>
  <c r="L163" i="5"/>
  <c r="L189" i="5"/>
  <c r="M189" i="5"/>
  <c r="L188" i="5"/>
  <c r="M188" i="5"/>
  <c r="L194" i="5"/>
  <c r="M194" i="5"/>
  <c r="M15" i="5"/>
  <c r="L15" i="5"/>
  <c r="L3" i="5"/>
  <c r="M3" i="5"/>
  <c r="L172" i="5"/>
  <c r="M172" i="5"/>
  <c r="L164" i="5"/>
  <c r="M164" i="5"/>
  <c r="L170" i="5"/>
  <c r="M170" i="5"/>
  <c r="M89" i="5"/>
  <c r="L89" i="5"/>
  <c r="M87" i="5"/>
  <c r="L87" i="5"/>
  <c r="R9" i="4"/>
  <c r="L66" i="5"/>
  <c r="M66" i="5"/>
  <c r="M60" i="5"/>
  <c r="L60" i="5"/>
  <c r="M137" i="5"/>
  <c r="L137" i="5"/>
  <c r="M144" i="5"/>
  <c r="L144" i="5"/>
  <c r="R4" i="4"/>
  <c r="Q4" i="4"/>
  <c r="S4" i="4" s="1"/>
  <c r="L106" i="5"/>
  <c r="M106" i="5"/>
  <c r="M44" i="5"/>
  <c r="L44" i="5"/>
  <c r="M98" i="5"/>
  <c r="L98" i="5"/>
  <c r="M109" i="5"/>
  <c r="L109" i="5"/>
  <c r="M47" i="5"/>
  <c r="L47" i="5"/>
  <c r="L213" i="5"/>
  <c r="M213" i="5"/>
  <c r="L202" i="5"/>
  <c r="M202" i="5"/>
  <c r="M152" i="5"/>
  <c r="L152" i="5"/>
  <c r="L187" i="5"/>
  <c r="M187" i="5"/>
  <c r="L197" i="5"/>
  <c r="M197" i="5"/>
  <c r="Q11" i="4"/>
  <c r="S11" i="4" s="1"/>
  <c r="R11" i="4"/>
  <c r="M14" i="5"/>
  <c r="L14" i="5"/>
  <c r="L4" i="5"/>
  <c r="M4" i="5"/>
  <c r="L165" i="5"/>
  <c r="M165" i="5"/>
  <c r="L171" i="5"/>
  <c r="M171" i="5"/>
  <c r="L178" i="5"/>
  <c r="M178" i="5"/>
  <c r="L78" i="5"/>
  <c r="M78" i="5"/>
  <c r="M74" i="5"/>
  <c r="L74" i="5"/>
  <c r="M63" i="5"/>
  <c r="L63" i="5"/>
  <c r="M59" i="5"/>
  <c r="L59" i="5"/>
  <c r="R5" i="4"/>
  <c r="M140" i="5"/>
  <c r="L140" i="5"/>
  <c r="M132" i="5"/>
  <c r="L132" i="5"/>
  <c r="L125" i="5"/>
  <c r="M125" i="5"/>
  <c r="M29" i="5"/>
  <c r="L29" i="5"/>
  <c r="M151" i="5"/>
  <c r="L151" i="5"/>
  <c r="L200" i="5"/>
  <c r="M200" i="5"/>
  <c r="L210" i="5"/>
  <c r="M210" i="5"/>
  <c r="M160" i="5"/>
  <c r="L160" i="5"/>
  <c r="M55" i="5"/>
  <c r="L55" i="5"/>
  <c r="L199" i="5"/>
  <c r="M199" i="5"/>
  <c r="L183" i="5"/>
  <c r="M183" i="5"/>
  <c r="Q6" i="4"/>
  <c r="S6" i="4" s="1"/>
  <c r="R6" i="4"/>
  <c r="M19" i="5"/>
  <c r="L19" i="5"/>
  <c r="M5" i="5"/>
  <c r="L5" i="5"/>
  <c r="L179" i="5"/>
  <c r="M179" i="5"/>
  <c r="L174" i="5"/>
  <c r="M174" i="5"/>
  <c r="G124" i="5"/>
  <c r="F124" i="5"/>
  <c r="M76" i="5"/>
  <c r="L76" i="5"/>
  <c r="M79" i="5"/>
  <c r="L79" i="5"/>
  <c r="M68" i="5"/>
  <c r="L68" i="5"/>
  <c r="M65" i="5"/>
  <c r="L65" i="5"/>
  <c r="M138" i="5"/>
  <c r="L138" i="5"/>
  <c r="M141" i="5"/>
  <c r="L141" i="5"/>
  <c r="G148" i="5"/>
  <c r="F148" i="5"/>
  <c r="L205" i="5"/>
  <c r="M205" i="5"/>
  <c r="L127" i="5"/>
  <c r="M127" i="5"/>
  <c r="M120" i="5"/>
  <c r="L120" i="5"/>
  <c r="M40" i="5"/>
  <c r="L40" i="5"/>
  <c r="L95" i="5"/>
  <c r="M95" i="5"/>
  <c r="M45" i="5"/>
  <c r="L45" i="5"/>
  <c r="M154" i="5"/>
  <c r="L154" i="5"/>
  <c r="L193" i="5"/>
  <c r="M193" i="5"/>
  <c r="M156" i="5"/>
  <c r="L156" i="5"/>
  <c r="L16" i="5"/>
  <c r="M16" i="5"/>
  <c r="M6" i="5"/>
  <c r="L6" i="5"/>
  <c r="L166" i="5"/>
  <c r="M166" i="5"/>
  <c r="L181" i="5"/>
  <c r="M181" i="5"/>
  <c r="L84" i="5"/>
  <c r="M84" i="5"/>
  <c r="L81" i="5"/>
  <c r="M81" i="5"/>
  <c r="G107" i="5"/>
  <c r="F107" i="5"/>
  <c r="M71" i="5"/>
  <c r="L71" i="5"/>
  <c r="L73" i="5"/>
  <c r="M73" i="5"/>
  <c r="M143" i="5"/>
  <c r="L143" i="5"/>
  <c r="M142" i="5"/>
  <c r="L142" i="5"/>
  <c r="M131" i="5"/>
  <c r="L131" i="5"/>
  <c r="M113" i="5"/>
  <c r="L113" i="5"/>
  <c r="L123" i="5"/>
  <c r="M123" i="5"/>
  <c r="M115" i="5"/>
  <c r="L115" i="5"/>
  <c r="M149" i="5"/>
  <c r="L149" i="5"/>
  <c r="L33" i="5"/>
  <c r="M33" i="5"/>
  <c r="M39" i="5"/>
  <c r="L39" i="5"/>
  <c r="M104" i="5"/>
  <c r="L104" i="5"/>
  <c r="M51" i="5"/>
  <c r="L51" i="5"/>
  <c r="M110" i="5"/>
  <c r="L110" i="5"/>
  <c r="M158" i="5"/>
  <c r="L158" i="5"/>
  <c r="L207" i="5"/>
  <c r="M207" i="5"/>
  <c r="M150" i="5"/>
  <c r="L150" i="5"/>
  <c r="M48" i="5"/>
  <c r="L48" i="5"/>
  <c r="L192" i="5"/>
  <c r="M192" i="5"/>
  <c r="M35" i="5"/>
  <c r="L35" i="5"/>
  <c r="L114" i="5"/>
  <c r="M114" i="5"/>
  <c r="L118" i="5"/>
  <c r="M118" i="5"/>
  <c r="R10" i="4"/>
  <c r="Q10" i="4"/>
  <c r="S10" i="4" s="1"/>
  <c r="M27" i="5"/>
  <c r="L27" i="5"/>
  <c r="M99" i="5"/>
  <c r="L99" i="5"/>
  <c r="M53" i="5"/>
  <c r="L53" i="5"/>
  <c r="L209" i="5"/>
  <c r="M209" i="5"/>
  <c r="L201" i="5"/>
  <c r="M201" i="5"/>
  <c r="M161" i="5"/>
  <c r="L161" i="5"/>
  <c r="M159" i="5"/>
  <c r="L159" i="5"/>
  <c r="L41" i="5"/>
  <c r="M41" i="5"/>
  <c r="L196" i="5"/>
  <c r="M196" i="5"/>
  <c r="L191" i="5"/>
  <c r="M191" i="5"/>
  <c r="M11" i="5"/>
  <c r="L11" i="5"/>
  <c r="M7" i="5"/>
  <c r="L7" i="5"/>
  <c r="L167" i="5"/>
  <c r="M167" i="5"/>
  <c r="L169" i="5"/>
  <c r="M169" i="5"/>
  <c r="M90" i="5"/>
  <c r="L90" i="5"/>
  <c r="M80" i="5"/>
  <c r="L80" i="5"/>
  <c r="M64" i="5"/>
  <c r="L64" i="5"/>
  <c r="M72" i="5"/>
  <c r="L72" i="5"/>
  <c r="M133" i="5"/>
  <c r="L133" i="5"/>
  <c r="M129" i="5"/>
  <c r="L129" i="5"/>
  <c r="M139" i="5"/>
  <c r="L139" i="5"/>
  <c r="L105" i="5"/>
  <c r="M105" i="5"/>
  <c r="L38" i="5"/>
  <c r="M38" i="5"/>
  <c r="M25" i="5"/>
  <c r="L25" i="5"/>
  <c r="L206" i="5"/>
  <c r="M206" i="5"/>
  <c r="M155" i="5"/>
  <c r="L155" i="5"/>
  <c r="L54" i="5"/>
  <c r="M54" i="5"/>
  <c r="M94" i="5"/>
  <c r="L94" i="5"/>
  <c r="M112" i="5"/>
  <c r="L112" i="5"/>
  <c r="L102" i="5"/>
  <c r="M102" i="5"/>
  <c r="L204" i="5"/>
  <c r="M204" i="5"/>
  <c r="L190" i="5"/>
  <c r="M190" i="5"/>
  <c r="Q2" i="4"/>
  <c r="R2" i="4"/>
  <c r="L122" i="5"/>
  <c r="M122" i="5"/>
  <c r="M126" i="5"/>
  <c r="L126" i="5"/>
  <c r="M108" i="5"/>
  <c r="L108" i="5"/>
  <c r="M36" i="5"/>
  <c r="L36" i="5"/>
  <c r="L93" i="5"/>
  <c r="M93" i="5"/>
  <c r="M43" i="5"/>
  <c r="L43" i="5"/>
  <c r="M2" i="4"/>
  <c r="L216" i="5"/>
  <c r="M216" i="5"/>
  <c r="L211" i="5"/>
  <c r="M211" i="5"/>
  <c r="M153" i="5"/>
  <c r="L153" i="5"/>
  <c r="M157" i="5"/>
  <c r="L157" i="5"/>
  <c r="M34" i="5"/>
  <c r="L34" i="5"/>
  <c r="L185" i="5"/>
  <c r="M185" i="5"/>
  <c r="L195" i="5"/>
  <c r="M195" i="5"/>
  <c r="L13" i="5"/>
  <c r="M13" i="5"/>
  <c r="L8" i="5"/>
  <c r="M8" i="5"/>
  <c r="L173" i="5"/>
  <c r="M173" i="5"/>
  <c r="L176" i="5"/>
  <c r="M176" i="5"/>
  <c r="L91" i="5"/>
  <c r="M91" i="5"/>
  <c r="M88" i="5"/>
  <c r="L88" i="5"/>
  <c r="M57" i="5"/>
  <c r="L57" i="5"/>
  <c r="L56" i="5"/>
  <c r="M56" i="5"/>
  <c r="M61" i="5"/>
  <c r="L61" i="5"/>
  <c r="M136" i="5"/>
  <c r="L136" i="5"/>
  <c r="M135" i="5"/>
  <c r="L135" i="5"/>
  <c r="G18" i="5"/>
  <c r="F18" i="5"/>
  <c r="F46" i="5" l="1"/>
  <c r="F50" i="5"/>
  <c r="F31" i="5"/>
  <c r="F101" i="5"/>
  <c r="F22" i="5"/>
  <c r="B3" i="3"/>
  <c r="B2" i="3"/>
  <c r="G192" i="5"/>
  <c r="F192" i="5"/>
  <c r="G56" i="5"/>
  <c r="F56" i="5"/>
  <c r="G126" i="5"/>
  <c r="F126" i="5"/>
  <c r="G135" i="5"/>
  <c r="F135" i="5"/>
  <c r="F211" i="5"/>
  <c r="G211" i="5"/>
  <c r="F88" i="5"/>
  <c r="G88" i="5"/>
  <c r="F93" i="5"/>
  <c r="G93" i="5"/>
  <c r="F61" i="5"/>
  <c r="G61" i="5"/>
  <c r="G157" i="5"/>
  <c r="F157" i="5"/>
  <c r="C3" i="3"/>
  <c r="C2" i="3"/>
  <c r="S2" i="4"/>
  <c r="G206" i="5"/>
  <c r="F206" i="5"/>
  <c r="G167" i="5"/>
  <c r="F167" i="5"/>
  <c r="G196" i="5"/>
  <c r="F196" i="5"/>
  <c r="F201" i="5"/>
  <c r="G201" i="5"/>
  <c r="G207" i="5"/>
  <c r="F207" i="5"/>
  <c r="G166" i="5"/>
  <c r="F166" i="5"/>
  <c r="F193" i="5"/>
  <c r="G193" i="5"/>
  <c r="G68" i="5"/>
  <c r="F68" i="5"/>
  <c r="F160" i="5"/>
  <c r="G160" i="5"/>
  <c r="G29" i="5"/>
  <c r="F29" i="5"/>
  <c r="G78" i="5"/>
  <c r="F78" i="5"/>
  <c r="G4" i="5"/>
  <c r="F4" i="5"/>
  <c r="F187" i="5"/>
  <c r="G187" i="5"/>
  <c r="F106" i="5"/>
  <c r="G106" i="5"/>
  <c r="G89" i="5"/>
  <c r="I25" i="12" s="1" a="1"/>
  <c r="I25" i="12" s="1"/>
  <c r="F89" i="5"/>
  <c r="J25" i="12" s="1" a="1"/>
  <c r="J25" i="12" s="1"/>
  <c r="F49" i="5"/>
  <c r="G49" i="5"/>
  <c r="G82" i="5"/>
  <c r="F82" i="5"/>
  <c r="G17" i="5"/>
  <c r="F17" i="5"/>
  <c r="F75" i="5"/>
  <c r="J9" i="12" s="1" a="1"/>
  <c r="J9" i="12" s="1"/>
  <c r="G75" i="5"/>
  <c r="I9" i="12" s="1" a="1"/>
  <c r="I9" i="12" s="1"/>
  <c r="G9" i="5"/>
  <c r="F9" i="5"/>
  <c r="G117" i="5"/>
  <c r="F117" i="5"/>
  <c r="F158" i="5"/>
  <c r="G158" i="5"/>
  <c r="G39" i="5"/>
  <c r="F39" i="5"/>
  <c r="G143" i="5"/>
  <c r="F143" i="5"/>
  <c r="G6" i="5"/>
  <c r="F6" i="5"/>
  <c r="G154" i="5"/>
  <c r="F154" i="5"/>
  <c r="G174" i="5"/>
  <c r="F174" i="5"/>
  <c r="G59" i="5"/>
  <c r="F59" i="5"/>
  <c r="G14" i="5"/>
  <c r="F14" i="5"/>
  <c r="F152" i="5"/>
  <c r="G152" i="5"/>
  <c r="F109" i="5"/>
  <c r="G109" i="5"/>
  <c r="G60" i="5"/>
  <c r="F60" i="5"/>
  <c r="G3" i="5"/>
  <c r="F3" i="5"/>
  <c r="F189" i="5"/>
  <c r="G189" i="5"/>
  <c r="G203" i="5"/>
  <c r="F203" i="5"/>
  <c r="G111" i="5"/>
  <c r="F111" i="5"/>
  <c r="G119" i="5"/>
  <c r="F119" i="5"/>
  <c r="G186" i="5"/>
  <c r="F186" i="5"/>
  <c r="F69" i="5"/>
  <c r="G69" i="5"/>
  <c r="G182" i="5"/>
  <c r="F182" i="5"/>
  <c r="F212" i="5"/>
  <c r="G212" i="5"/>
  <c r="G108" i="5"/>
  <c r="F108" i="5"/>
  <c r="G153" i="5"/>
  <c r="F153" i="5"/>
  <c r="G123" i="5"/>
  <c r="F123" i="5"/>
  <c r="F81" i="5"/>
  <c r="J15" i="12" s="1" a="1"/>
  <c r="J15" i="12" s="1"/>
  <c r="G81" i="5"/>
  <c r="I15" i="12" s="1" a="1"/>
  <c r="I15" i="12" s="1"/>
  <c r="F120" i="5"/>
  <c r="G120" i="5"/>
  <c r="F141" i="5"/>
  <c r="G141" i="5"/>
  <c r="G79" i="5"/>
  <c r="F79" i="5"/>
  <c r="G178" i="5"/>
  <c r="F178" i="5"/>
  <c r="G15" i="5"/>
  <c r="F15" i="5"/>
  <c r="G163" i="5"/>
  <c r="F163" i="5"/>
  <c r="G37" i="5"/>
  <c r="F37" i="5"/>
  <c r="G121" i="5"/>
  <c r="F121" i="5"/>
  <c r="G83" i="5"/>
  <c r="F83" i="5"/>
  <c r="G2" i="5"/>
  <c r="G67" i="5"/>
  <c r="F67" i="5"/>
  <c r="F12" i="5"/>
  <c r="G12" i="5"/>
  <c r="G147" i="5"/>
  <c r="F147" i="5"/>
  <c r="G21" i="5"/>
  <c r="F21" i="5"/>
  <c r="G28" i="5"/>
  <c r="F28" i="5"/>
  <c r="G94" i="5"/>
  <c r="F94" i="5"/>
  <c r="G133" i="5"/>
  <c r="F133" i="5"/>
  <c r="G110" i="5"/>
  <c r="F110" i="5"/>
  <c r="F113" i="5"/>
  <c r="G113" i="5"/>
  <c r="G45" i="5"/>
  <c r="F45" i="5"/>
  <c r="F179" i="5"/>
  <c r="G179" i="5"/>
  <c r="G183" i="5"/>
  <c r="F183" i="5"/>
  <c r="G210" i="5"/>
  <c r="F210" i="5"/>
  <c r="G125" i="5"/>
  <c r="F125" i="5"/>
  <c r="G63" i="5"/>
  <c r="F63" i="5"/>
  <c r="F98" i="5"/>
  <c r="G98" i="5"/>
  <c r="F170" i="5"/>
  <c r="G170" i="5"/>
  <c r="G42" i="5"/>
  <c r="F42" i="5"/>
  <c r="G70" i="5"/>
  <c r="F70" i="5"/>
  <c r="F184" i="5"/>
  <c r="G184" i="5"/>
  <c r="G86" i="5"/>
  <c r="I22" i="12" s="1" a="1"/>
  <c r="I22" i="12" s="1"/>
  <c r="F86" i="5"/>
  <c r="J22" i="12" s="1" a="1"/>
  <c r="J22" i="12" s="1"/>
  <c r="G32" i="5"/>
  <c r="F32" i="5"/>
  <c r="F25" i="5"/>
  <c r="G25" i="5"/>
  <c r="G190" i="5"/>
  <c r="F190" i="5"/>
  <c r="F176" i="5"/>
  <c r="G176" i="5"/>
  <c r="F138" i="5"/>
  <c r="G138" i="5"/>
  <c r="F76" i="5"/>
  <c r="J10" i="12" s="1" a="1"/>
  <c r="J10" i="12" s="1"/>
  <c r="G76" i="5"/>
  <c r="G5" i="5"/>
  <c r="F5" i="5"/>
  <c r="G132" i="5"/>
  <c r="F132" i="5"/>
  <c r="G171" i="5"/>
  <c r="F171" i="5"/>
  <c r="G202" i="5"/>
  <c r="F202" i="5"/>
  <c r="G66" i="5"/>
  <c r="F66" i="5"/>
  <c r="G162" i="5"/>
  <c r="F162" i="5"/>
  <c r="G100" i="5"/>
  <c r="F100" i="5"/>
  <c r="G92" i="5"/>
  <c r="F92" i="5"/>
  <c r="F134" i="5"/>
  <c r="G134" i="5"/>
  <c r="G58" i="5"/>
  <c r="F58" i="5"/>
  <c r="G145" i="5"/>
  <c r="F145" i="5"/>
  <c r="G146" i="5"/>
  <c r="F146" i="5"/>
  <c r="F52" i="5"/>
  <c r="G52" i="5"/>
  <c r="G91" i="5"/>
  <c r="F91" i="5"/>
  <c r="F13" i="5"/>
  <c r="G13" i="5"/>
  <c r="G129" i="5"/>
  <c r="F129" i="5"/>
  <c r="G7" i="5"/>
  <c r="F7" i="5"/>
  <c r="F41" i="5"/>
  <c r="G41" i="5"/>
  <c r="G195" i="5"/>
  <c r="F195" i="5"/>
  <c r="F43" i="5"/>
  <c r="G43" i="5"/>
  <c r="G54" i="5"/>
  <c r="F54" i="5"/>
  <c r="F118" i="5"/>
  <c r="G118" i="5"/>
  <c r="F33" i="5"/>
  <c r="G33" i="5"/>
  <c r="F73" i="5"/>
  <c r="G73" i="5"/>
  <c r="F16" i="5"/>
  <c r="G16" i="5"/>
  <c r="G185" i="5"/>
  <c r="F185" i="5"/>
  <c r="F155" i="5"/>
  <c r="G155" i="5"/>
  <c r="G72" i="5"/>
  <c r="F72" i="5"/>
  <c r="G161" i="5"/>
  <c r="F161" i="5"/>
  <c r="G99" i="5"/>
  <c r="F99" i="5"/>
  <c r="F150" i="5"/>
  <c r="G150" i="5"/>
  <c r="G51" i="5"/>
  <c r="F51" i="5"/>
  <c r="G149" i="5"/>
  <c r="F149" i="5"/>
  <c r="G131" i="5"/>
  <c r="F131" i="5"/>
  <c r="G71" i="5"/>
  <c r="F71" i="5"/>
  <c r="F156" i="5"/>
  <c r="G156" i="5"/>
  <c r="F127" i="5"/>
  <c r="G127" i="5"/>
  <c r="G199" i="5"/>
  <c r="F199" i="5"/>
  <c r="G200" i="5"/>
  <c r="F200" i="5"/>
  <c r="G74" i="5"/>
  <c r="I8" i="12" s="1" a="1"/>
  <c r="I8" i="12" s="1"/>
  <c r="F74" i="5"/>
  <c r="G44" i="5"/>
  <c r="F44" i="5"/>
  <c r="G144" i="5"/>
  <c r="F144" i="5"/>
  <c r="G164" i="5"/>
  <c r="F164" i="5"/>
  <c r="G194" i="5"/>
  <c r="F194" i="5"/>
  <c r="F20" i="5"/>
  <c r="G20" i="5"/>
  <c r="G177" i="5"/>
  <c r="F177" i="5"/>
  <c r="G10" i="5"/>
  <c r="F10" i="5"/>
  <c r="G62" i="5"/>
  <c r="F62" i="5"/>
  <c r="G168" i="5"/>
  <c r="F168" i="5"/>
  <c r="G208" i="5"/>
  <c r="F208" i="5"/>
  <c r="G24" i="5"/>
  <c r="F24" i="5"/>
  <c r="G159" i="5"/>
  <c r="F159" i="5"/>
  <c r="G136" i="5"/>
  <c r="F136" i="5"/>
  <c r="G34" i="5"/>
  <c r="F34" i="5"/>
  <c r="F122" i="5"/>
  <c r="G122" i="5"/>
  <c r="G105" i="5"/>
  <c r="F105" i="5"/>
  <c r="F169" i="5"/>
  <c r="G169" i="5"/>
  <c r="G191" i="5"/>
  <c r="F191" i="5"/>
  <c r="F114" i="5"/>
  <c r="G114" i="5"/>
  <c r="F181" i="5"/>
  <c r="G181" i="5"/>
  <c r="F95" i="5"/>
  <c r="G95" i="5"/>
  <c r="F65" i="5"/>
  <c r="G65" i="5"/>
  <c r="G19" i="5"/>
  <c r="F19" i="5"/>
  <c r="G55" i="5"/>
  <c r="F55" i="5"/>
  <c r="G151" i="5"/>
  <c r="F151" i="5"/>
  <c r="F140" i="5"/>
  <c r="G140" i="5"/>
  <c r="F165" i="5"/>
  <c r="G165" i="5"/>
  <c r="F197" i="5"/>
  <c r="G197" i="5"/>
  <c r="F213" i="5"/>
  <c r="G213" i="5"/>
  <c r="G87" i="5"/>
  <c r="I23" i="12" s="1" a="1"/>
  <c r="I23" i="12" s="1"/>
  <c r="F87" i="5"/>
  <c r="J23" i="12" s="1" a="1"/>
  <c r="J23" i="12" s="1"/>
  <c r="G96" i="5"/>
  <c r="F96" i="5"/>
  <c r="G128" i="5"/>
  <c r="F128" i="5"/>
  <c r="G85" i="5"/>
  <c r="F85" i="5"/>
  <c r="J21" i="12" s="1" a="1"/>
  <c r="J21" i="12" s="1"/>
  <c r="G130" i="5"/>
  <c r="F130" i="5"/>
  <c r="F80" i="5"/>
  <c r="J14" i="12" s="1" a="1"/>
  <c r="J14" i="12" s="1"/>
  <c r="G80" i="5"/>
  <c r="I14" i="12" s="1" a="1"/>
  <c r="I14" i="12" s="1"/>
  <c r="F209" i="5"/>
  <c r="G209" i="5"/>
  <c r="F90" i="5"/>
  <c r="G90" i="5"/>
  <c r="G11" i="5"/>
  <c r="F11" i="5"/>
  <c r="G53" i="5"/>
  <c r="F53" i="5"/>
  <c r="G48" i="5"/>
  <c r="F48" i="5"/>
  <c r="F57" i="5"/>
  <c r="G57" i="5"/>
  <c r="G204" i="5"/>
  <c r="F204" i="5"/>
  <c r="F38" i="5"/>
  <c r="G38" i="5"/>
  <c r="F84" i="5"/>
  <c r="J20" i="12" s="1" a="1"/>
  <c r="J20" i="12" s="1"/>
  <c r="G84" i="5"/>
  <c r="F173" i="5"/>
  <c r="G173" i="5"/>
  <c r="G102" i="5"/>
  <c r="F102" i="5"/>
  <c r="G8" i="5"/>
  <c r="F8" i="5"/>
  <c r="G216" i="5"/>
  <c r="F216" i="5"/>
  <c r="G36" i="5"/>
  <c r="F36" i="5"/>
  <c r="G112" i="5"/>
  <c r="F112" i="5"/>
  <c r="G139" i="5"/>
  <c r="F139" i="5"/>
  <c r="F64" i="5"/>
  <c r="G64" i="5"/>
  <c r="G27" i="5"/>
  <c r="F27" i="5"/>
  <c r="F35" i="5"/>
  <c r="G35" i="5"/>
  <c r="F104" i="5"/>
  <c r="G104" i="5"/>
  <c r="G115" i="5"/>
  <c r="F115" i="5"/>
  <c r="F142" i="5"/>
  <c r="G142" i="5"/>
  <c r="G40" i="5"/>
  <c r="F40" i="5"/>
  <c r="F205" i="5"/>
  <c r="G205" i="5"/>
  <c r="G47" i="5"/>
  <c r="F47" i="5"/>
  <c r="F137" i="5"/>
  <c r="G137" i="5"/>
  <c r="G172" i="5"/>
  <c r="F172" i="5"/>
  <c r="F188" i="5"/>
  <c r="G188" i="5"/>
  <c r="G214" i="5"/>
  <c r="F214" i="5"/>
  <c r="G26" i="5"/>
  <c r="F26" i="5"/>
  <c r="G30" i="5"/>
  <c r="F30" i="5"/>
  <c r="G180" i="5"/>
  <c r="F180" i="5"/>
  <c r="G77" i="5"/>
  <c r="I11" i="12" s="1" a="1"/>
  <c r="I11" i="12" s="1"/>
  <c r="F77" i="5"/>
  <c r="J11" i="12" s="1" a="1"/>
  <c r="J11" i="12" s="1"/>
  <c r="G175" i="5"/>
  <c r="F175" i="5"/>
  <c r="G198" i="5"/>
  <c r="F198" i="5"/>
  <c r="F217" i="5"/>
  <c r="G217" i="5"/>
  <c r="F97" i="5"/>
  <c r="G97" i="5"/>
  <c r="F116" i="5"/>
  <c r="G116" i="5"/>
  <c r="G103" i="5"/>
  <c r="F103" i="5"/>
  <c r="I20" i="12" l="1" a="1"/>
  <c r="I20" i="12" s="1"/>
  <c r="J8" i="12" a="1"/>
  <c r="J8" i="12" s="1"/>
  <c r="I27" i="12" a="1"/>
  <c r="I27" i="12" s="1"/>
  <c r="I21" i="12" a="1"/>
  <c r="I21" i="12" s="1"/>
  <c r="I12" i="12" a="1"/>
  <c r="I12" i="12" s="1"/>
  <c r="J19" i="12" a="1"/>
  <c r="J19" i="12" s="1"/>
  <c r="I10" i="12" a="1"/>
  <c r="I10" i="12" s="1"/>
  <c r="I19" i="12" a="1"/>
  <c r="I19" i="12" s="1"/>
  <c r="J16" i="12" a="1"/>
  <c r="J16" i="12" s="1"/>
  <c r="I16" i="12" a="1"/>
  <c r="I16" i="12" s="1"/>
  <c r="J13" i="12" a="1"/>
  <c r="J13" i="12" s="1"/>
  <c r="J27" i="12" a="1"/>
  <c r="J27" i="12" s="1"/>
  <c r="I13" i="12" a="1"/>
  <c r="I13" i="12" s="1"/>
  <c r="I24" i="12" a="1"/>
  <c r="I24" i="12" s="1"/>
  <c r="J12" i="12" a="1"/>
  <c r="J12" i="12" s="1"/>
  <c r="J24" i="12" a="1"/>
  <c r="J24" i="12" s="1"/>
  <c r="J26" i="12" a="1"/>
  <c r="J26" i="12" s="1"/>
  <c r="I26" i="12" a="1"/>
  <c r="I26" i="12" s="1"/>
  <c r="U4" i="4"/>
  <c r="T13" i="4"/>
  <c r="U3" i="4"/>
  <c r="T3" i="4"/>
  <c r="T9" i="4"/>
  <c r="T6" i="4"/>
  <c r="T10" i="4"/>
  <c r="T7" i="4"/>
  <c r="U9" i="4"/>
  <c r="U6" i="4"/>
  <c r="U10" i="4"/>
  <c r="U7" i="4"/>
  <c r="U13" i="4"/>
  <c r="T11" i="4"/>
  <c r="T4" i="4"/>
  <c r="T5" i="4"/>
  <c r="T8" i="4"/>
  <c r="T2" i="4"/>
  <c r="U5" i="4"/>
  <c r="U8" i="4"/>
  <c r="U2" i="4"/>
  <c r="U11" i="4"/>
  <c r="T12" i="4"/>
  <c r="U12" i="4"/>
  <c r="I28" i="12" l="1"/>
  <c r="J17" i="12"/>
  <c r="J29" i="12" s="1"/>
  <c r="I17" i="12"/>
  <c r="I29" i="12" s="1"/>
  <c r="H5" i="12" s="1"/>
  <c r="J28" i="12"/>
  <c r="M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<sst xmlns="http://schemas.openxmlformats.org/spreadsheetml/2006/main" count="818" uniqueCount="477">
  <si>
    <t>Event name</t>
  </si>
  <si>
    <t>Lokace</t>
  </si>
  <si>
    <t>Mapa</t>
  </si>
  <si>
    <t>Datum</t>
  </si>
  <si>
    <t>Odkaz na ubytování</t>
  </si>
  <si>
    <t>Hřiště Day 1</t>
  </si>
  <si>
    <t>Tee time Day 1</t>
  </si>
  <si>
    <t>Hřiště Day 2</t>
  </si>
  <si>
    <t>Tee time Day 2</t>
  </si>
  <si>
    <t>Rules</t>
  </si>
  <si>
    <t>Dacan Open 2025</t>
  </si>
  <si>
    <t>Hotel &amp; Restaurace Pod Kaštany</t>
  </si>
  <si>
    <t>Google maps</t>
  </si>
  <si>
    <t>Hotel a Restaurant Pod Kaštany</t>
  </si>
  <si>
    <t>Golf Resort Ústí nad Labem</t>
  </si>
  <si>
    <t>Golf Resort Barbora</t>
  </si>
  <si>
    <t xml:space="preserve">Obecné
- Do 8 HCP hrají hráči z bílých, zbytek žluté
Texas
- Max HCP jednotlivce pro výpočet je 36, poté 3/8 součtu dvojice
- Každý hráč musí zapsat alespoň 6 ran z Tee
- Na 5 PAR musí každý hráč zapsat alespoň 1 ránu
Singles
- pro výpočet hracího PAR se použíje Dacan HCP
Bodování
A&amp;S                     - ½ BODU PRO VÁŠ TÝM
1UP nebo 2UP.   - 1 BOD PRO VÁŠ TÝM
3UP nebo 4UP   - 2 BODY PRO TÝM
5UP nebo VÍCE  - 3 BODY PRO VÁŠ TÝM
</t>
  </si>
  <si>
    <t>Name</t>
  </si>
  <si>
    <t>HCP_Teetime</t>
  </si>
  <si>
    <t>HCP_Dacan</t>
  </si>
  <si>
    <t>Playing_HCP_Texas</t>
  </si>
  <si>
    <t>Playing_HCP_Singles</t>
  </si>
  <si>
    <t>Team</t>
  </si>
  <si>
    <t>Telephone</t>
  </si>
  <si>
    <t>Image</t>
  </si>
  <si>
    <t>First name</t>
  </si>
  <si>
    <t>Surname</t>
  </si>
  <si>
    <t>Show_this_year</t>
  </si>
  <si>
    <t>Shirt_size</t>
  </si>
  <si>
    <t>Blue Player</t>
  </si>
  <si>
    <t>Blue</t>
  </si>
  <si>
    <t>No</t>
  </si>
  <si>
    <t>Red Player</t>
  </si>
  <si>
    <t>Red</t>
  </si>
  <si>
    <t>Marek Klokočka</t>
  </si>
  <si>
    <t>Players_Images/10.Image.152031.jpg</t>
  </si>
  <si>
    <t>Marek</t>
  </si>
  <si>
    <t>Klokočka</t>
  </si>
  <si>
    <t>Yes</t>
  </si>
  <si>
    <t>M</t>
  </si>
  <si>
    <t>Martin Pospíšil</t>
  </si>
  <si>
    <t>Players_Images/15.Image.152048.jpg</t>
  </si>
  <si>
    <t>Martin</t>
  </si>
  <si>
    <t>Pospíšil</t>
  </si>
  <si>
    <t>Jan Klokočka</t>
  </si>
  <si>
    <t>Players_Images/9.Image.152323.jpg</t>
  </si>
  <si>
    <t>Jan</t>
  </si>
  <si>
    <t>L</t>
  </si>
  <si>
    <t>Ondřej Palička</t>
  </si>
  <si>
    <t>‭+420 735 729 386‬</t>
  </si>
  <si>
    <t>Players_Images/14.Image.152413.jpg</t>
  </si>
  <si>
    <t>Ondřej</t>
  </si>
  <si>
    <t>Palička</t>
  </si>
  <si>
    <t>Tomáš Prokop</t>
  </si>
  <si>
    <t>‭+420 730 191 906‬</t>
  </si>
  <si>
    <t>Players_Images/5.Image.152533.jpg</t>
  </si>
  <si>
    <t>Tomáš</t>
  </si>
  <si>
    <t>Prokop</t>
  </si>
  <si>
    <t>Pavel Žofák</t>
  </si>
  <si>
    <t>Players_Images/13.Image.152437.jpg</t>
  </si>
  <si>
    <t>Pavel</t>
  </si>
  <si>
    <t>Žofák</t>
  </si>
  <si>
    <t>Tomáš Krábek</t>
  </si>
  <si>
    <t>‭+420 775 308 114‬</t>
  </si>
  <si>
    <t>Players_Images/3.Image.152131.jpg</t>
  </si>
  <si>
    <t>Krábek</t>
  </si>
  <si>
    <t>Petr Pleticha</t>
  </si>
  <si>
    <t>‭+420 603 460 210‬</t>
  </si>
  <si>
    <t>Players_Images/4.Image.152514.jpg</t>
  </si>
  <si>
    <t>Petr</t>
  </si>
  <si>
    <t>Pleticha</t>
  </si>
  <si>
    <t>Jan Šíla</t>
  </si>
  <si>
    <t>‭+420 603 941 008‬</t>
  </si>
  <si>
    <t>Players_Images/6.Image.151241.jpg</t>
  </si>
  <si>
    <t>Šíla</t>
  </si>
  <si>
    <t>Kryštof Ledecký</t>
  </si>
  <si>
    <t>Players_Images/8.Image.151924.jpg</t>
  </si>
  <si>
    <t>Kryštof</t>
  </si>
  <si>
    <t>Ledecký</t>
  </si>
  <si>
    <t>Matyáš Bernat</t>
  </si>
  <si>
    <t>‭+420 723 876 090‬</t>
  </si>
  <si>
    <t>Players_Images/11.Image.152103.jpg</t>
  </si>
  <si>
    <t>Matyáš</t>
  </si>
  <si>
    <t>Bernat</t>
  </si>
  <si>
    <t>Jan Varhaník</t>
  </si>
  <si>
    <t>Players_Images/19.Image.123833.jpg</t>
  </si>
  <si>
    <t>Varhaník</t>
  </si>
  <si>
    <t>David Šutko</t>
  </si>
  <si>
    <t>Players_Images/16.Image.151909.jpg</t>
  </si>
  <si>
    <t>David</t>
  </si>
  <si>
    <t>Šutko</t>
  </si>
  <si>
    <t>Jiří Douša</t>
  </si>
  <si>
    <t>Players_Images/7.Image.152357.jpg</t>
  </si>
  <si>
    <t>Jiří</t>
  </si>
  <si>
    <t>Douša</t>
  </si>
  <si>
    <t>XXL</t>
  </si>
  <si>
    <t>Martin Herold</t>
  </si>
  <si>
    <t>Players_Images/1.Image.174014.jpg</t>
  </si>
  <si>
    <t>Herold</t>
  </si>
  <si>
    <t>Jakub Trnka</t>
  </si>
  <si>
    <t>Players_Images/12.Image.152229.jpg</t>
  </si>
  <si>
    <t>Jakub</t>
  </si>
  <si>
    <t>Trnka</t>
  </si>
  <si>
    <t>XL</t>
  </si>
  <si>
    <t>Tomáš Herold</t>
  </si>
  <si>
    <t>‭+420 724 367 139‬</t>
  </si>
  <si>
    <t>Players_Images/2.Image.151436.jpg</t>
  </si>
  <si>
    <t>Jiří Pour</t>
  </si>
  <si>
    <t>Players_Images/20.Image.124027.jpg</t>
  </si>
  <si>
    <t>Pour</t>
  </si>
  <si>
    <t>Points Won</t>
  </si>
  <si>
    <t>Projected Points</t>
  </si>
  <si>
    <t>Day</t>
  </si>
  <si>
    <t>Field</t>
  </si>
  <si>
    <t>Field_ID</t>
  </si>
  <si>
    <t>Game format</t>
  </si>
  <si>
    <t>Player 1 Red</t>
  </si>
  <si>
    <t>Player 2 Red</t>
  </si>
  <si>
    <t>Player 1 Blue</t>
  </si>
  <si>
    <t>Player 2 Blue</t>
  </si>
  <si>
    <t>Holes Scored Red</t>
  </si>
  <si>
    <t>Holes Scored Blue</t>
  </si>
  <si>
    <t>Holes Played</t>
  </si>
  <si>
    <t>Game Winner</t>
  </si>
  <si>
    <t>Short name Red</t>
  </si>
  <si>
    <t>Short name Blue</t>
  </si>
  <si>
    <t>Live Status</t>
  </si>
  <si>
    <t>Projected points</t>
  </si>
  <si>
    <t>Live score</t>
  </si>
  <si>
    <t>Red PAR Total</t>
  </si>
  <si>
    <t>Blue PAR Total</t>
  </si>
  <si>
    <t>Texas</t>
  </si>
  <si>
    <t>Singles</t>
  </si>
  <si>
    <t>ID_Results</t>
  </si>
  <si>
    <t>Hole</t>
  </si>
  <si>
    <t>Red Score</t>
  </si>
  <si>
    <t>Blue Score</t>
  </si>
  <si>
    <t>Red Par</t>
  </si>
  <si>
    <t>Blue Par</t>
  </si>
  <si>
    <t>Winner</t>
  </si>
  <si>
    <t>HCP Red</t>
  </si>
  <si>
    <t>HCP Blue</t>
  </si>
  <si>
    <t>Par</t>
  </si>
  <si>
    <t>Stroke Index</t>
  </si>
  <si>
    <t>Length_White</t>
  </si>
  <si>
    <t>Length_Yellow</t>
  </si>
  <si>
    <t>Length_white_scorecard</t>
  </si>
  <si>
    <t>Length_yellow_scorecard</t>
  </si>
  <si>
    <t>Greensgate Golf Resort Dýšina</t>
  </si>
  <si>
    <t>309 m</t>
  </si>
  <si>
    <t>287 m</t>
  </si>
  <si>
    <t>Fields holes_Images/Greensgate Golf Resort Dýšina1.Image.165839.jpg</t>
  </si>
  <si>
    <t>407 m</t>
  </si>
  <si>
    <t>Fields holes_Images/Greensgate Golf Resort Dýšina2.Image.165850.jpg</t>
  </si>
  <si>
    <t>515 m</t>
  </si>
  <si>
    <t>466 m</t>
  </si>
  <si>
    <t>Fields holes_Images/Greensgate Golf Resort Dýšina3.Image.165904.jpg</t>
  </si>
  <si>
    <t>168 m</t>
  </si>
  <si>
    <t>162 m</t>
  </si>
  <si>
    <t>Fields holes_Images/Greensgate Golf Resort Dýšina4.Image.165912.jpg</t>
  </si>
  <si>
    <t>417 m</t>
  </si>
  <si>
    <t>373 m</t>
  </si>
  <si>
    <t>Fields holes_Images/Greensgate Golf Resort Dýšina5.Image.165923.jpg</t>
  </si>
  <si>
    <t>279 m</t>
  </si>
  <si>
    <t>270 m</t>
  </si>
  <si>
    <t>Fields holes_Images/Greensgate Golf Resort Dýšina6.Image.165932.jpg</t>
  </si>
  <si>
    <t>192 m</t>
  </si>
  <si>
    <t>101 m</t>
  </si>
  <si>
    <t>Fields holes_Images/Greensgate Golf Resort Dýšina7.Image.165943.jpg</t>
  </si>
  <si>
    <t>366 m</t>
  </si>
  <si>
    <t>Fields holes_Images/Greensgate Golf Resort Dýšina8.Image.165951.jpg</t>
  </si>
  <si>
    <t>495 m</t>
  </si>
  <si>
    <t>439 m</t>
  </si>
  <si>
    <t>Fields holes_Images/Greensgate Golf Resort Dýšina9.Image.165959.jpg</t>
  </si>
  <si>
    <t>513 m</t>
  </si>
  <si>
    <t>482 m</t>
  </si>
  <si>
    <t>Fields holes_Images/Greensgate Golf Resort Dýšina10.Image.170008.jpg</t>
  </si>
  <si>
    <t>144 m</t>
  </si>
  <si>
    <t>123 m</t>
  </si>
  <si>
    <t>Fields holes_Images/Greensgate Golf Resort Dýšina11.Image.170016.jpg</t>
  </si>
  <si>
    <t>333 m</t>
  </si>
  <si>
    <t>307 m</t>
  </si>
  <si>
    <t>Fields holes_Images/Greensgate Golf Resort Dýšina12.Image.170056.jpg</t>
  </si>
  <si>
    <t>183 m</t>
  </si>
  <si>
    <t>148 m</t>
  </si>
  <si>
    <t>Fields holes_Images/Greensgate Golf Resort Dýšina13.Image.170108.jpg</t>
  </si>
  <si>
    <t>444 m</t>
  </si>
  <si>
    <t>Fields holes_Images/Greensgate Golf Resort Dýšina14.Image.170125.jpg</t>
  </si>
  <si>
    <t>357 m</t>
  </si>
  <si>
    <t>339 m</t>
  </si>
  <si>
    <t>Fields holes_Images/Greensgate Golf Resort Dýšina15.Image.170145.jpg</t>
  </si>
  <si>
    <t>348 m</t>
  </si>
  <si>
    <t>328 m</t>
  </si>
  <si>
    <t>Fields holes_Images/Greensgate Golf Resort Dýšina16.Image.170155.jpg</t>
  </si>
  <si>
    <t>383 m</t>
  </si>
  <si>
    <t>Fields holes_Images/Greensgate Golf Resort Dýšina17.Image.170204.jpg</t>
  </si>
  <si>
    <t>391 m</t>
  </si>
  <si>
    <t>342 m</t>
  </si>
  <si>
    <t>Fields holes_Images/Greensgate Golf Resort Dýšina18.Image.170212.jpg</t>
  </si>
  <si>
    <t>Golf &amp; Wellness resort Alfrédov</t>
  </si>
  <si>
    <t>493 m</t>
  </si>
  <si>
    <t>479 m</t>
  </si>
  <si>
    <t>Fields holes_Images/Golf &amp; Wellness resort Alfrédov1.Image.170942.jpg</t>
  </si>
  <si>
    <t>393 m</t>
  </si>
  <si>
    <t>Fields holes_Images/Golf &amp; Wellness resort Alfrédov2.Image.170949.jpg</t>
  </si>
  <si>
    <t>522 m</t>
  </si>
  <si>
    <t>512 m</t>
  </si>
  <si>
    <t>Fields holes_Images/Golf &amp; Wellness resort Alfrédov3.Image.170956.jpg</t>
  </si>
  <si>
    <t>147 m</t>
  </si>
  <si>
    <t>140 m</t>
  </si>
  <si>
    <t>Fields holes_Images/Golf &amp; Wellness resort Alfrédov4.Image.171007.jpg</t>
  </si>
  <si>
    <t>326 m</t>
  </si>
  <si>
    <t>319 m</t>
  </si>
  <si>
    <t>Fields holes_Images/Golf &amp; Wellness resort Alfrédov5.Image.171015.jpg</t>
  </si>
  <si>
    <t>388 m</t>
  </si>
  <si>
    <t>Fields holes_Images/Golf &amp; Wellness resort Alfrédov6.Image.171025.jpg</t>
  </si>
  <si>
    <t>154 m</t>
  </si>
  <si>
    <t>Fields holes_Images/Golf &amp; Wellness resort Alfrédov7.Image.171036.jpg</t>
  </si>
  <si>
    <t>418 m</t>
  </si>
  <si>
    <t>Fields holes_Images/Golf &amp; Wellness resort Alfrédov8.Image.171044.jpg</t>
  </si>
  <si>
    <t>360 m</t>
  </si>
  <si>
    <t>Fields holes_Images/Golf &amp; Wellness resort Alfrédov9.Image.171055.jpg</t>
  </si>
  <si>
    <t>191 m</t>
  </si>
  <si>
    <t>431 m</t>
  </si>
  <si>
    <t>Fields holes_Images/Golf &amp; Wellness resort Alfrédov10.Image.171105.jpg</t>
  </si>
  <si>
    <t>283 m</t>
  </si>
  <si>
    <t>268 m</t>
  </si>
  <si>
    <t>Fields holes_Images/Golf &amp; Wellness resort Alfrédov11.Image.171113.jpg</t>
  </si>
  <si>
    <t>253 m</t>
  </si>
  <si>
    <t>241 m</t>
  </si>
  <si>
    <t>Fields holes_Images/Golf &amp; Wellness resort Alfrédov12.Image.171120.jpg</t>
  </si>
  <si>
    <t>386 m</t>
  </si>
  <si>
    <t>377 m</t>
  </si>
  <si>
    <t>Fields holes_Images/Golf &amp; Wellness resort Alfrédov13.Image.171128.jpg</t>
  </si>
  <si>
    <t>249 m</t>
  </si>
  <si>
    <t>243 m</t>
  </si>
  <si>
    <t>Fields holes_Images/Golf &amp; Wellness resort Alfrédov14.Image.171138.jpg</t>
  </si>
  <si>
    <t>164 m</t>
  </si>
  <si>
    <t>131 m</t>
  </si>
  <si>
    <t>Fields holes_Images/Golf &amp; Wellness resort Alfrédov15.Image.171146.jpg</t>
  </si>
  <si>
    <t>454 m</t>
  </si>
  <si>
    <t>440 m</t>
  </si>
  <si>
    <t>Fields holes_Images/Golf &amp; Wellness resort Alfrédov16.Image.171153.jpg</t>
  </si>
  <si>
    <t>298 m</t>
  </si>
  <si>
    <t>259 m</t>
  </si>
  <si>
    <t>Fields holes_Images/Golf &amp; Wellness resort Alfrédov17.Image.171200.jpg</t>
  </si>
  <si>
    <t>135 m</t>
  </si>
  <si>
    <t>124 m</t>
  </si>
  <si>
    <t>Fields holes_Images/Golf &amp; Wellness resort Alfrédov18.Image.171207.jpg</t>
  </si>
  <si>
    <t>Kestřany Golf</t>
  </si>
  <si>
    <t>117 m</t>
  </si>
  <si>
    <t>113 m</t>
  </si>
  <si>
    <t>Fields holes_Images/Kestřany Golf1.Image.080644.jpg</t>
  </si>
  <si>
    <t>394 m</t>
  </si>
  <si>
    <t>Fields holes_Images/Kestřany Golf2.Image.080650.jpg</t>
  </si>
  <si>
    <t>252 m</t>
  </si>
  <si>
    <t>247 m</t>
  </si>
  <si>
    <t>Fields holes_Images/Kestřany Golf3.Image.081951.jpg</t>
  </si>
  <si>
    <t>261 m</t>
  </si>
  <si>
    <t>Fields holes_Images/Kestřany Golf4.Image.082011.jpg</t>
  </si>
  <si>
    <t>338 m</t>
  </si>
  <si>
    <t>329 m</t>
  </si>
  <si>
    <t>Fields holes_Images/Kestřany Golf5.Image.082041.jpg</t>
  </si>
  <si>
    <t>179 m</t>
  </si>
  <si>
    <t>175 m</t>
  </si>
  <si>
    <t>Fields holes_Images/Kestřany Golf6.Image.082104.jpg</t>
  </si>
  <si>
    <t>396 m</t>
  </si>
  <si>
    <t>Fields holes_Images/Kestřany Golf7.Image.082125.jpg</t>
  </si>
  <si>
    <t>152 m</t>
  </si>
  <si>
    <t>Fields holes_Images/Kestřany Golf8.Image.082147.jpg</t>
  </si>
  <si>
    <t>551 m</t>
  </si>
  <si>
    <t>480 m</t>
  </si>
  <si>
    <t>Fields holes_Images/Kestřany Golf9.Image.082218.jpg</t>
  </si>
  <si>
    <t>556 m</t>
  </si>
  <si>
    <t>Fields holes_Images/Kestřany Golf10.Image.082240.jpg</t>
  </si>
  <si>
    <t>350 m</t>
  </si>
  <si>
    <t>344 m</t>
  </si>
  <si>
    <t>Fields holes_Images/Kestřany Golf11.Image.082406.jpg</t>
  </si>
  <si>
    <t>Fields holes_Images/Kestřany Golf12.Image.082431.jpg</t>
  </si>
  <si>
    <t>274 m</t>
  </si>
  <si>
    <t>Fields holes_Images/Kestřany Golf13.Image.082451.jpg</t>
  </si>
  <si>
    <t>489 m</t>
  </si>
  <si>
    <t>427 m</t>
  </si>
  <si>
    <t>Fields holes_Images/Kestřany Golf14.Image.082513.jpg</t>
  </si>
  <si>
    <t>186 m</t>
  </si>
  <si>
    <t>115 m</t>
  </si>
  <si>
    <t>Fields holes_Images/Kestřany Golf15.Image.082541.jpg</t>
  </si>
  <si>
    <t>443 m</t>
  </si>
  <si>
    <t>436 m</t>
  </si>
  <si>
    <t>Fields holes_Images/Kestřany Golf16.Image.082634.jpg</t>
  </si>
  <si>
    <t>Fields holes_Images/Kestřany Golf17.Image.082801.jpg</t>
  </si>
  <si>
    <t>492 m</t>
  </si>
  <si>
    <t>424 m</t>
  </si>
  <si>
    <t>Fields holes_Images/Kestřany Golf18.Image.082821.jpg</t>
  </si>
  <si>
    <t>Golf Český Krumlov</t>
  </si>
  <si>
    <t>304 m</t>
  </si>
  <si>
    <t>Fields holes_Images/Golf Český Krumlov1.Image.093814.jpg</t>
  </si>
  <si>
    <t>99 m</t>
  </si>
  <si>
    <t>Fields holes_Images/Golf Český Krumlov2.Image.093836.jpg</t>
  </si>
  <si>
    <t>239 m</t>
  </si>
  <si>
    <t>Fields holes_Images/Golf Český Krumlov3.Image.093901.jpg</t>
  </si>
  <si>
    <t>404 m</t>
  </si>
  <si>
    <t>Fields holes_Images/Golf Český Krumlov4.Image.093921.jpg</t>
  </si>
  <si>
    <t>311 m</t>
  </si>
  <si>
    <t>Fields holes_Images/Golf Český Krumlov5.Image.094057.jpg</t>
  </si>
  <si>
    <t>111 m</t>
  </si>
  <si>
    <t>Fields holes_Images/Golf Český Krumlov6.Image.094120.jpg</t>
  </si>
  <si>
    <t>133 m</t>
  </si>
  <si>
    <t>Fields holes_Images/Golf Český Krumlov7.Image.094139.jpg</t>
  </si>
  <si>
    <t>322 m</t>
  </si>
  <si>
    <t>Fields holes_Images/Golf Český Krumlov8.Image.094157.jpg</t>
  </si>
  <si>
    <t>447 m</t>
  </si>
  <si>
    <t>Fields holes_Images/Golf Český Krumlov9.Image.094223.jpg</t>
  </si>
  <si>
    <t>315 m</t>
  </si>
  <si>
    <t>Fields holes_Images/Golf Český Krumlov10.Image.094240.jpg</t>
  </si>
  <si>
    <t>468 m</t>
  </si>
  <si>
    <t>Fields holes_Images/Golf Český Krumlov11.Image.094256.jpg</t>
  </si>
  <si>
    <t>Fields holes_Images/Golf Český Krumlov12.Image.094320.jpg</t>
  </si>
  <si>
    <t>Fields holes_Images/Golf Český Krumlov13.Image.094339.jpg</t>
  </si>
  <si>
    <t>Fields holes_Images/Golf Český Krumlov14.Image.094355.jpg</t>
  </si>
  <si>
    <t>325 m</t>
  </si>
  <si>
    <t>Fields holes_Images/Golf Český Krumlov15.Image.094412.jpg</t>
  </si>
  <si>
    <t>429 m</t>
  </si>
  <si>
    <t>Fields holes_Images/Golf Český Krumlov16.Image.094432.jpg</t>
  </si>
  <si>
    <t>211 m</t>
  </si>
  <si>
    <t>Fields holes_Images/Golf Český Krumlov17.Image.094452.jpg</t>
  </si>
  <si>
    <t>110 m</t>
  </si>
  <si>
    <t>Fields holes_Images/Golf Český Krumlov18.Image.094518.jpg</t>
  </si>
  <si>
    <t>Golfresort Terasy Ústí nad Labem</t>
  </si>
  <si>
    <t>301 m</t>
  </si>
  <si>
    <t>Fields holes_Images/Golfresort Terasy Ústí nad Labem1.Image.152507.jpg</t>
  </si>
  <si>
    <t>297 m</t>
  </si>
  <si>
    <t>Fields holes_Images/Golfresort Terasy Ústí nad Labem2.Image.152556.jpg</t>
  </si>
  <si>
    <t>379 m</t>
  </si>
  <si>
    <t>367 m</t>
  </si>
  <si>
    <t>Fields holes_Images/Golfresort Terasy Ústí nad Labem3.Image.152624.jpg</t>
  </si>
  <si>
    <t>197 m</t>
  </si>
  <si>
    <t>Fields holes_Images/Golfresort Terasy Ústí nad Labem4.Image.152658.jpg</t>
  </si>
  <si>
    <t>356 m</t>
  </si>
  <si>
    <t>Fields holes_Images/Golfresort Terasy Ústí nad Labem5.Image.151714.png</t>
  </si>
  <si>
    <t>146 m</t>
  </si>
  <si>
    <t>122 m</t>
  </si>
  <si>
    <t>Fields holes_Images/Golfresort Terasy Ústí nad Labem6.Image.151750.png</t>
  </si>
  <si>
    <t>293 m</t>
  </si>
  <si>
    <t>Fields holes_Images/Golfresort Terasy Ústí nad Labem7.Image.151918.jpg</t>
  </si>
  <si>
    <t>458 m</t>
  </si>
  <si>
    <t>452 m</t>
  </si>
  <si>
    <t>Fields holes_Images/Golfresort Terasy Ústí nad Labem8.Image.151938.jpg</t>
  </si>
  <si>
    <t>310 m</t>
  </si>
  <si>
    <t>Fields holes_Images/Golfresort Terasy Ústí nad Labem9.Image.152005.jpg</t>
  </si>
  <si>
    <t>300 m</t>
  </si>
  <si>
    <t>289 m</t>
  </si>
  <si>
    <t>Fields holes_Images/Golfresort Terasy Ústí nad Labem10.Image.152036.jpg</t>
  </si>
  <si>
    <t>365 m</t>
  </si>
  <si>
    <t>351 m</t>
  </si>
  <si>
    <t>Fields holes_Images/Golfresort Terasy Ústí nad Labem11.Image.152116.jpg</t>
  </si>
  <si>
    <t>539 m</t>
  </si>
  <si>
    <t>517 m</t>
  </si>
  <si>
    <t>Fields holes_Images/Golfresort Terasy Ústí nad Labem12.Image.152143.jpg</t>
  </si>
  <si>
    <t>257 m</t>
  </si>
  <si>
    <t>Fields holes_Images/Golfresort Terasy Ústí nad Labem13.Image.152213.jpg</t>
  </si>
  <si>
    <t>126 m</t>
  </si>
  <si>
    <t>Fields holes_Images/Golfresort Terasy Ústí nad Labem14.Image.152239.jpg</t>
  </si>
  <si>
    <t>364 m</t>
  </si>
  <si>
    <t>Fields holes_Images/Golfresort Terasy Ústí nad Labem15.Image.152305.jpg</t>
  </si>
  <si>
    <t>128 m</t>
  </si>
  <si>
    <t>118 m</t>
  </si>
  <si>
    <t>Fields holes_Images/Golfresort Terasy Ústí nad Labem16.Image.152323.jpg</t>
  </si>
  <si>
    <t>455 m</t>
  </si>
  <si>
    <t>Fields holes_Images/Golfresort Terasy Ústí nad Labem17.Image.152356.jpg</t>
  </si>
  <si>
    <t>336 m</t>
  </si>
  <si>
    <t>323 m</t>
  </si>
  <si>
    <t>Fields holes_Images/Golfresort Terasy Ústí nad Labem18.Image.152422.jpg</t>
  </si>
  <si>
    <t>282 m</t>
  </si>
  <si>
    <t>Fields holes_Images/Golf Resort Barbora1.Image.153528.jpg</t>
  </si>
  <si>
    <t>467 m</t>
  </si>
  <si>
    <t>Fields holes_Images/Golf Resort Barbora2.Image.153508.jpg</t>
  </si>
  <si>
    <t>151 m</t>
  </si>
  <si>
    <t>142 m</t>
  </si>
  <si>
    <t>Fields holes_Images/Golf Resort Barbora3.Image.153603.jpg</t>
  </si>
  <si>
    <t>369 m</t>
  </si>
  <si>
    <t>355 n</t>
  </si>
  <si>
    <t>Fields holes_Images/Golf Resort Barbora4.Image.153700.jpg</t>
  </si>
  <si>
    <t>316 m</t>
  </si>
  <si>
    <t>Fields holes_Images/Golf Resort Barbora5.Image.153721.jpg</t>
  </si>
  <si>
    <t>525 m</t>
  </si>
  <si>
    <t>464 m</t>
  </si>
  <si>
    <t>Fields holes_Images/Golf Resort Barbora6.Image.153746.jpg</t>
  </si>
  <si>
    <t>277 m</t>
  </si>
  <si>
    <t>Fields holes_Images/Golf Resort Barbora7.Image.153935.jpg</t>
  </si>
  <si>
    <t>380 m</t>
  </si>
  <si>
    <t>Fields holes_Images/Golf Resort Barbora8.Image.153957.jpg</t>
  </si>
  <si>
    <t>155 m</t>
  </si>
  <si>
    <t>141 m</t>
  </si>
  <si>
    <t>Fields holes_Images/Golf Resort Barbora9.Image.154103.jpg</t>
  </si>
  <si>
    <t>473 m</t>
  </si>
  <si>
    <t>461 m</t>
  </si>
  <si>
    <t>Fields holes_Images/Golf Resort Barbora10.Image.154130.jpg</t>
  </si>
  <si>
    <t>193 m</t>
  </si>
  <si>
    <t>Fields holes_Images/Golf Resort Barbora11.Image.154157.jpg</t>
  </si>
  <si>
    <t>372 m</t>
  </si>
  <si>
    <t>Fields holes_Images/Golf Resort Barbora12.Image.154619.jpg</t>
  </si>
  <si>
    <t>371 m</t>
  </si>
  <si>
    <t>343 m</t>
  </si>
  <si>
    <t>Fields holes_Images/Golf Resort Barbora13.Image.154638.jpg</t>
  </si>
  <si>
    <t>182 m</t>
  </si>
  <si>
    <t>Fields holes_Images/Golf Resort Barbora14.Image.154714.jpg</t>
  </si>
  <si>
    <t>435 m</t>
  </si>
  <si>
    <t>Fields holes_Images/Golf Resort Barbora15.Image.154733.jpg</t>
  </si>
  <si>
    <t>201 m</t>
  </si>
  <si>
    <t>180 m</t>
  </si>
  <si>
    <t>Fields holes_Images/Golf Resort Barbora16.Image.154752.jpg</t>
  </si>
  <si>
    <t>Fields holes_Images/Golf Resort Barbora17.Image.154831.jpg</t>
  </si>
  <si>
    <t>428 m</t>
  </si>
  <si>
    <t>413 m</t>
  </si>
  <si>
    <t>Fields holes_Images/Golf Resort Barbora18.Image.154849.jpg</t>
  </si>
  <si>
    <t>Game_type</t>
  </si>
  <si>
    <t>Slope_Rating</t>
  </si>
  <si>
    <t>Course_Rating</t>
  </si>
  <si>
    <t>Field_Par</t>
  </si>
  <si>
    <t>Long_name</t>
  </si>
  <si>
    <t>Texas Scramble</t>
  </si>
  <si>
    <t>Kestřany Golf &amp; Country Club</t>
  </si>
  <si>
    <t>Control the name from Field_difficulty</t>
  </si>
  <si>
    <t>Golf course:</t>
  </si>
  <si>
    <t>Course:</t>
  </si>
  <si>
    <t>Slope:</t>
  </si>
  <si>
    <t>Game ID</t>
  </si>
  <si>
    <t>Notes</t>
  </si>
  <si>
    <t>Blue Team</t>
  </si>
  <si>
    <t>Red Team</t>
  </si>
  <si>
    <t>"Upravuje se jenom Game ID</t>
  </si>
  <si>
    <t>HCP</t>
  </si>
  <si>
    <t>Pers. PAR</t>
  </si>
  <si>
    <t>Pro tisk je potřeba stáhnout v excelu a dořešit tam</t>
  </si>
  <si>
    <t>W</t>
  </si>
  <si>
    <t>Y</t>
  </si>
  <si>
    <t>PAR</t>
  </si>
  <si>
    <t>SI</t>
  </si>
  <si>
    <t>Team PAR</t>
  </si>
  <si>
    <t>Strokes</t>
  </si>
  <si>
    <t>Scoring</t>
  </si>
  <si>
    <t>- vycentrovat texty do středu pole</t>
  </si>
  <si>
    <t>- opravit vzorec v Players - odebrat zavináč</t>
  </si>
  <si>
    <t>m</t>
  </si>
  <si>
    <t>- ohraničení pro tisk - pdf a dáel do ai filu scorecards</t>
  </si>
  <si>
    <t>OUT</t>
  </si>
  <si>
    <t>IN</t>
  </si>
  <si>
    <t>Total</t>
  </si>
  <si>
    <t>Date:</t>
  </si>
  <si>
    <t>Signature Blue</t>
  </si>
  <si>
    <t>Signature Red</t>
  </si>
  <si>
    <t>Playing PAR Player</t>
  </si>
  <si>
    <t>Difference</t>
  </si>
  <si>
    <t>Stableford</t>
  </si>
  <si>
    <t>Points</t>
  </si>
  <si>
    <t>výpočet je rozdíl stablů děleno 3</t>
  </si>
  <si>
    <t>Player HCP</t>
  </si>
  <si>
    <t>NEW HCP</t>
  </si>
  <si>
    <t>Počet stablů</t>
  </si>
  <si>
    <t>Hrací HCP = Přesný HCP x (Slope Rating / 113) + (Course Rating - PAR)</t>
  </si>
  <si>
    <t>Poznámka</t>
  </si>
  <si>
    <t>První den je capován pro texas maximálně HCP 36, pro osobní HCP</t>
  </si>
  <si>
    <t>Druhý den pro singles není cap aplikován</t>
  </si>
  <si>
    <t>HCP jsou zaokrouhleny na 1 desetinné místo</t>
  </si>
  <si>
    <t>HCP pro texas je počítán jako součet hráčů x 3/8</t>
  </si>
  <si>
    <t>Počet hřišť v databázi je omezen na 50</t>
  </si>
  <si>
    <r>
      <t xml:space="preserve">Informace o parech, stroke indexu a paru beru zde: </t>
    </r>
    <r>
      <rPr>
        <u/>
        <sz val="10"/>
        <color rgb="FF1155CC"/>
        <rFont val="Arial"/>
        <family val="2"/>
      </rPr>
      <t>https://www.golfpass.com/travel-advisor/courses pokud není na webu přímo uvedeno</t>
    </r>
  </si>
  <si>
    <t>Proces pro přidání dalšího hřiště - dalšího ročníku</t>
  </si>
  <si>
    <t>Přidat hráče do listu players</t>
  </si>
  <si>
    <t>Přidat hřiště do listu Field_difficulty a Fields_holes</t>
  </si>
  <si>
    <t>Terasy Ústí n. Labem</t>
  </si>
  <si>
    <t>DACAN OPEN 2025</t>
  </si>
  <si>
    <t>FieldID</t>
  </si>
  <si>
    <t>HoleID</t>
  </si>
  <si>
    <t>IDGame</t>
  </si>
  <si>
    <t>IDPlayer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</si>
</sst>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6"/>
      <color rgb="FF000000"/>
      <name val="Arial"/>
      <family val="2"/>
      <scheme val="minor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20" fontId="1" fillId="0" borderId="0" xfId="0" applyNumberFormat="1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center"/>
    </xf>
    <xf numFmtId="0" fontId="5" fillId="3" borderId="0" xfId="0" applyFont="1" applyFill="1" applyAlignment="1">
      <alignment horizontal="right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5" fillId="5" borderId="0" xfId="0" applyFont="1" applyFill="1" applyAlignment="1">
      <alignment horizontal="right"/>
    </xf>
    <xf numFmtId="0" fontId="5" fillId="4" borderId="0" xfId="0" applyFont="1" applyFill="1" applyAlignment="1">
      <alignment horizontal="center"/>
    </xf>
    <xf numFmtId="0" fontId="5" fillId="2" borderId="0" xfId="0" applyFont="1" applyFill="1"/>
    <xf numFmtId="0" fontId="5" fillId="4" borderId="0" xfId="0" applyFont="1" applyFill="1" applyAlignment="1">
      <alignment horizontal="right"/>
    </xf>
    <xf numFmtId="0" fontId="5" fillId="4" borderId="0" xfId="0" applyFont="1" applyFill="1"/>
    <xf numFmtId="0" fontId="1" fillId="6" borderId="0" xfId="0" applyFont="1" applyFill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9" borderId="9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4" fillId="5" borderId="4" xfId="0" applyFont="1" applyFill="1" applyBorder="1" applyAlignment="1">
      <alignment horizontal="right" vertical="center"/>
    </xf>
    <xf numFmtId="0" fontId="4" fillId="5" borderId="6" xfId="0" applyFont="1" applyFill="1" applyBorder="1" applyAlignment="1">
      <alignment horizontal="left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4" fillId="11" borderId="25" xfId="0" applyFont="1" applyFill="1" applyBorder="1" applyAlignment="1">
      <alignment horizontal="center" vertical="center"/>
    </xf>
    <xf numFmtId="0" fontId="4" fillId="11" borderId="26" xfId="0" applyFont="1" applyFill="1" applyBorder="1" applyAlignment="1">
      <alignment horizontal="right" vertical="center"/>
    </xf>
    <xf numFmtId="0" fontId="4" fillId="11" borderId="27" xfId="0" applyFont="1" applyFill="1" applyBorder="1" applyAlignment="1">
      <alignment horizontal="left" vertical="center"/>
    </xf>
    <xf numFmtId="0" fontId="4" fillId="11" borderId="28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center" vertical="center"/>
    </xf>
    <xf numFmtId="0" fontId="1" fillId="9" borderId="28" xfId="0" applyFont="1" applyFill="1" applyBorder="1" applyAlignment="1">
      <alignment vertical="center"/>
    </xf>
    <xf numFmtId="0" fontId="1" fillId="10" borderId="28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4" fillId="11" borderId="30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vertical="center"/>
    </xf>
    <xf numFmtId="0" fontId="1" fillId="10" borderId="31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4" fillId="11" borderId="33" xfId="0" applyFont="1" applyFill="1" applyBorder="1" applyAlignment="1">
      <alignment horizontal="center" vertical="center"/>
    </xf>
    <xf numFmtId="0" fontId="4" fillId="11" borderId="34" xfId="0" applyFont="1" applyFill="1" applyBorder="1" applyAlignment="1">
      <alignment horizontal="right" vertical="center"/>
    </xf>
    <xf numFmtId="0" fontId="4" fillId="11" borderId="35" xfId="0" applyFont="1" applyFill="1" applyBorder="1" applyAlignment="1">
      <alignment horizontal="left" vertical="center"/>
    </xf>
    <xf numFmtId="0" fontId="4" fillId="11" borderId="36" xfId="0" applyFont="1" applyFill="1" applyBorder="1" applyAlignment="1">
      <alignment horizontal="center" vertical="center"/>
    </xf>
    <xf numFmtId="0" fontId="4" fillId="9" borderId="36" xfId="0" applyFont="1" applyFill="1" applyBorder="1" applyAlignment="1">
      <alignment horizontal="center" vertical="center"/>
    </xf>
    <xf numFmtId="0" fontId="4" fillId="10" borderId="36" xfId="0" applyFont="1" applyFill="1" applyBorder="1" applyAlignment="1">
      <alignment horizontal="center" vertical="center"/>
    </xf>
    <xf numFmtId="0" fontId="1" fillId="9" borderId="37" xfId="0" applyFont="1" applyFill="1" applyBorder="1" applyAlignment="1">
      <alignment vertical="center"/>
    </xf>
    <xf numFmtId="0" fontId="1" fillId="10" borderId="37" xfId="0" applyFont="1" applyFill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right" vertical="center"/>
    </xf>
    <xf numFmtId="0" fontId="4" fillId="11" borderId="7" xfId="0" applyFont="1" applyFill="1" applyBorder="1" applyAlignment="1">
      <alignment horizontal="left" vertical="center"/>
    </xf>
    <xf numFmtId="0" fontId="4" fillId="11" borderId="1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11" borderId="39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right" vertical="center"/>
    </xf>
    <xf numFmtId="0" fontId="4" fillId="11" borderId="17" xfId="0" applyFont="1" applyFill="1" applyBorder="1" applyAlignment="1">
      <alignment horizontal="left" vertical="center"/>
    </xf>
    <xf numFmtId="0" fontId="4" fillId="11" borderId="40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10" borderId="40" xfId="0" applyFont="1" applyFill="1" applyBorder="1" applyAlignment="1">
      <alignment horizontal="center" vertical="center"/>
    </xf>
    <xf numFmtId="0" fontId="1" fillId="9" borderId="40" xfId="0" applyFont="1" applyFill="1" applyBorder="1" applyAlignment="1">
      <alignment vertical="center"/>
    </xf>
    <xf numFmtId="0" fontId="1" fillId="10" borderId="40" xfId="0" applyFont="1" applyFill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4" fillId="11" borderId="31" xfId="0" applyFont="1" applyFill="1" applyBorder="1" applyAlignment="1">
      <alignment horizontal="center" vertical="center"/>
    </xf>
    <xf numFmtId="0" fontId="4" fillId="10" borderId="31" xfId="0" applyFont="1" applyFill="1" applyBorder="1" applyAlignment="1">
      <alignment horizontal="center" vertical="center"/>
    </xf>
    <xf numFmtId="0" fontId="4" fillId="11" borderId="37" xfId="0" applyFont="1" applyFill="1" applyBorder="1" applyAlignment="1">
      <alignment horizontal="center" vertical="center"/>
    </xf>
    <xf numFmtId="0" fontId="4" fillId="10" borderId="37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vertical="center"/>
    </xf>
    <xf numFmtId="0" fontId="1" fillId="10" borderId="10" xfId="0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3" fillId="3" borderId="18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center"/>
    </xf>
    <xf numFmtId="0" fontId="3" fillId="9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4" fillId="9" borderId="8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4" fillId="10" borderId="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3" fillId="3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4" fillId="5" borderId="4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lfterasy.cz/" TargetMode="External"/><Relationship Id="rId2" Type="http://schemas.openxmlformats.org/officeDocument/2006/relationships/hyperlink" Target="https://www.booking.com/hotel/cz/amp-restaurant-pod-kastany.en-gb.html?label=amp-restaurant-pod-kastany-M9apJbEWCTBLgc_ipSFLGQS442558023962%3Apl%3Ata%3Ap1%3Ap2%3Aac%3Aap%3Aneg%3Afi%3Atikwd-854120433817%3Alp9062909%3Ali%3Adec%3Adm%3Appccp%3DUmFuZG9tSVYkc2RlIyh9YXwxhKG0pUU-mcMVT-JwQpc&amp;sid=8fbbd6b0d8d6876e7da528fc2fc887a7&amp;gclid=CjwKCAjwqKzEBhANEiwAeQaPVbM4mfqgDT5Dc4CYS3oyB2SsrDQslf9JHeSSfeplfgEw5t5SJvicQRoCGTkQAvD_BwE&amp;aid=311984&amp;ucfs=1&amp;arphpl=1&amp;checkin=2026-01-02&amp;checkout=2026-01-03&amp;dest_id=-548239&amp;dest_type=city&amp;group_adults=2&amp;req_adults=2&amp;no_rooms=1&amp;group_children=0&amp;req_children=0&amp;hpos=1&amp;hapos=1&amp;sr_order=popularity&amp;srpvid=e35060fa9430066a&amp;srepoch=1753969659&amp;soh=1&amp;from=searchresults" TargetMode="External"/><Relationship Id="rId1" Type="http://schemas.openxmlformats.org/officeDocument/2006/relationships/hyperlink" Target="https://maps.app.goo.gl/Bw8sciRawgwRHU4z5" TargetMode="External"/><Relationship Id="rId4" Type="http://schemas.openxmlformats.org/officeDocument/2006/relationships/hyperlink" Target="https://golfbarbora.cz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fpass.com/travel-advisor/co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workbookViewId="0"/>
  </sheetViews>
  <sheetFormatPr baseColWidth="10" defaultColWidth="12.6640625" defaultRowHeight="15.75" customHeight="1" x14ac:dyDescent="0.15"/>
  <cols>
    <col min="1" max="1" width="14.5" customWidth="1"/>
    <col min="4" max="4" width="17.1640625" customWidth="1"/>
    <col min="5" max="5" width="15.83203125" customWidth="1"/>
    <col min="6" max="6" width="21.6640625" customWidth="1"/>
    <col min="8" max="8" width="15.6640625" customWidth="1"/>
    <col min="10" max="10" width="34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10</v>
      </c>
      <c r="B2" s="1" t="s">
        <v>11</v>
      </c>
      <c r="C2" s="2" t="s">
        <v>12</v>
      </c>
      <c r="D2" s="3">
        <v>45919</v>
      </c>
      <c r="E2" s="2" t="s">
        <v>13</v>
      </c>
      <c r="F2" s="2" t="s">
        <v>14</v>
      </c>
      <c r="G2" s="4">
        <v>0.4375</v>
      </c>
      <c r="H2" s="2" t="s">
        <v>15</v>
      </c>
      <c r="I2" s="4">
        <v>0.41666666666666669</v>
      </c>
      <c r="J2" s="1" t="s">
        <v>16</v>
      </c>
    </row>
  </sheetData>
  <hyperlinks>
    <hyperlink ref="C2" r:id="rId1" xr:uid="{00000000-0004-0000-0000-000000000000}"/>
    <hyperlink ref="E2" r:id="rId2" location="no_availability_msg" xr:uid="{00000000-0004-0000-0000-000001000000}"/>
    <hyperlink ref="F2" r:id="rId3" xr:uid="{00000000-0004-0000-0000-000002000000}"/>
    <hyperlink ref="H2" r:id="rId4" xr:uid="{00000000-0004-0000-0000-00000300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Q33"/>
  <sheetViews>
    <sheetView workbookViewId="0">
      <selection activeCell="A4" sqref="A4"/>
    </sheetView>
  </sheetViews>
  <sheetFormatPr baseColWidth="10" defaultColWidth="12.6640625" defaultRowHeight="15.75" customHeight="1" x14ac:dyDescent="0.15"/>
  <cols>
    <col min="2" max="2" width="14.6640625" customWidth="1"/>
    <col min="5" max="5" width="17.1640625" customWidth="1"/>
    <col min="6" max="6" width="18.1640625" customWidth="1"/>
    <col min="8" max="8" width="14.5" customWidth="1"/>
    <col min="9" max="9" width="28.1640625" customWidth="1"/>
    <col min="12" max="12" width="16.1640625" customWidth="1"/>
  </cols>
  <sheetData>
    <row r="1" spans="1:17" ht="13" x14ac:dyDescent="0.15">
      <c r="A1" s="5" t="s">
        <v>476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</row>
    <row r="2" spans="1:17" ht="13" hidden="1" x14ac:dyDescent="0.15">
      <c r="A2" s="8">
        <v>17</v>
      </c>
      <c r="B2" s="8" t="s">
        <v>29</v>
      </c>
      <c r="C2" s="1">
        <v>54</v>
      </c>
      <c r="D2" s="1">
        <v>54</v>
      </c>
      <c r="E2" s="9">
        <f>MAX(ROUND(MIN($D2,36)*(VLOOKUP(This_year_field!$B$2,'Field difficulty'!$A$1:$H66,5,FALSE)/113)+(VLOOKUP(This_year_field!$B$2,'Field difficulty'!$A$1:$H66,6,FALSE)-VLOOKUP(This_year_field!$B$2,'Field difficulty'!$A$1:$H66,7,FALSE)),1),0)</f>
        <v>42.1</v>
      </c>
      <c r="F2" s="9">
        <f>MAX(ROUND($D2*(VLOOKUP(This_year_field!$B$2,'Field difficulty'!$A$1:$H$50,5,FALSE)/113)+(VLOOKUP(This_year_field!$B$2,'Field difficulty'!$A$1:$H$50,6,FALSE)-VLOOKUP(This_year_field!$B$2,'Field difficulty'!$A$1:$H$50,7,FALSE)),0),0)</f>
        <v>64</v>
      </c>
      <c r="G2" s="1"/>
      <c r="I2" s="10"/>
      <c r="J2" s="11"/>
      <c r="K2" s="11" t="s">
        <v>30</v>
      </c>
      <c r="L2" s="1" t="s">
        <v>31</v>
      </c>
    </row>
    <row r="3" spans="1:17" ht="13" hidden="1" x14ac:dyDescent="0.15">
      <c r="A3" s="8">
        <v>18</v>
      </c>
      <c r="B3" s="8" t="s">
        <v>32</v>
      </c>
      <c r="C3" s="1">
        <v>54</v>
      </c>
      <c r="D3" s="1">
        <v>54</v>
      </c>
      <c r="E3" s="9">
        <f>MAX(ROUND(MIN($D3,36)*(VLOOKUP(This_year_field!$B$2,'Field difficulty'!$A$1:$H67,5,FALSE)/113)+(VLOOKUP(This_year_field!$B$2,'Field difficulty'!$A$1:$H67,6,FALSE)-VLOOKUP(This_year_field!$B$2,'Field difficulty'!$A$1:$H67,7,FALSE)),1),0)</f>
        <v>42.1</v>
      </c>
      <c r="F3" s="9">
        <f>MAX(ROUND($D3*(VLOOKUP(This_year_field!$B$2,'Field difficulty'!$A$1:$H$50,5,FALSE)/113)+(VLOOKUP(This_year_field!$B$2,'Field difficulty'!$A$1:$H$50,6,FALSE)-VLOOKUP(This_year_field!$B$2,'Field difficulty'!$A$1:$H$50,7,FALSE)),0),0)</f>
        <v>64</v>
      </c>
      <c r="G3" s="1"/>
      <c r="I3" s="10"/>
      <c r="J3" s="11"/>
      <c r="K3" s="11" t="s">
        <v>33</v>
      </c>
      <c r="L3" s="1" t="s">
        <v>31</v>
      </c>
    </row>
    <row r="4" spans="1:17" ht="13" x14ac:dyDescent="0.15">
      <c r="A4" s="11">
        <v>10</v>
      </c>
      <c r="B4" s="11" t="s">
        <v>34</v>
      </c>
      <c r="C4" s="12">
        <v>1.7</v>
      </c>
      <c r="D4" s="12">
        <v>1.4</v>
      </c>
      <c r="E4" s="9">
        <f>MAX(ROUND(MIN($D4,36)*(VLOOKUP(This_year_field!$B$2,'Field difficulty'!$A$1:$H59,5,FALSE)/113)+(VLOOKUP(This_year_field!$B$2,'Field difficulty'!$A$1:$H59,6,FALSE)-VLOOKUP(This_year_field!$B$2,'Field difficulty'!$A$1:$H59,7,FALSE)),1),0)</f>
        <v>0.2</v>
      </c>
      <c r="F4" s="9">
        <f>MAX(ROUND($D4*(VLOOKUP(This_year_field!$B$2,'Field difficulty'!$A$1:$H$50,5,FALSE)/113)+(VLOOKUP(This_year_field!$B$2,'Field difficulty'!$A$1:$H$50,6,FALSE)-VLOOKUP(This_year_field!$B$2,'Field difficulty'!$A$1:$H$50,7,FALSE)),0),0)</f>
        <v>0</v>
      </c>
      <c r="G4" s="13" t="s">
        <v>30</v>
      </c>
      <c r="I4" s="10" t="s">
        <v>35</v>
      </c>
      <c r="J4" s="11" t="s">
        <v>36</v>
      </c>
      <c r="K4" s="11" t="s">
        <v>37</v>
      </c>
      <c r="L4" s="1" t="s">
        <v>38</v>
      </c>
      <c r="M4" s="1" t="s">
        <v>39</v>
      </c>
    </row>
    <row r="5" spans="1:17" ht="13" hidden="1" x14ac:dyDescent="0.15">
      <c r="A5" s="11">
        <v>15</v>
      </c>
      <c r="B5" s="11" t="s">
        <v>40</v>
      </c>
      <c r="C5" s="12">
        <v>0.8</v>
      </c>
      <c r="D5" s="12">
        <v>0.8</v>
      </c>
      <c r="E5" s="9">
        <f>MAX(ROUND(MIN($D5,36)*(VLOOKUP(This_year_field!$B$2,'Field difficulty'!$A$1:$H64,5,FALSE)/113)+(VLOOKUP(This_year_field!$B$2,'Field difficulty'!$A$1:$H64,6,FALSE)-VLOOKUP(This_year_field!$B$2,'Field difficulty'!$A$1:$H64,7,FALSE)),1),0)</f>
        <v>0</v>
      </c>
      <c r="F5" s="9">
        <f>MAX(ROUND($D5*(VLOOKUP(This_year_field!$B$2,'Field difficulty'!$A$1:$H$50,5,FALSE)/113)+(VLOOKUP(This_year_field!$B$2,'Field difficulty'!$A$1:$H$50,6,FALSE)-VLOOKUP(This_year_field!$B$2,'Field difficulty'!$A$1:$H$50,7,FALSE)),0),0)</f>
        <v>0</v>
      </c>
      <c r="G5" s="1"/>
      <c r="I5" s="10" t="s">
        <v>41</v>
      </c>
      <c r="J5" s="11" t="s">
        <v>42</v>
      </c>
      <c r="K5" s="11" t="s">
        <v>43</v>
      </c>
      <c r="L5" s="1" t="s">
        <v>31</v>
      </c>
      <c r="M5" s="1" t="s">
        <v>39</v>
      </c>
    </row>
    <row r="6" spans="1:17" ht="13" x14ac:dyDescent="0.15">
      <c r="A6" s="11">
        <v>9</v>
      </c>
      <c r="B6" s="11" t="s">
        <v>44</v>
      </c>
      <c r="C6" s="12">
        <v>1.3</v>
      </c>
      <c r="D6" s="12">
        <v>2</v>
      </c>
      <c r="E6" s="9">
        <f>MAX(ROUND(MIN($D6,36)*(VLOOKUP(This_year_field!$B$2,'Field difficulty'!$A$1:$H58,5,FALSE)/113)+(VLOOKUP(This_year_field!$B$2,'Field difficulty'!$A$1:$H58,6,FALSE)-VLOOKUP(This_year_field!$B$2,'Field difficulty'!$A$1:$H58,7,FALSE)),1),0)</f>
        <v>0.9</v>
      </c>
      <c r="F6" s="9">
        <f>MAX(ROUND($D6*(VLOOKUP(This_year_field!$B$2,'Field difficulty'!$A$1:$H$50,5,FALSE)/113)+(VLOOKUP(This_year_field!$B$2,'Field difficulty'!$A$1:$H$50,6,FALSE)-VLOOKUP(This_year_field!$B$2,'Field difficulty'!$A$1:$H$50,7,FALSE)),0),0)</f>
        <v>1</v>
      </c>
      <c r="G6" s="13" t="s">
        <v>30</v>
      </c>
      <c r="I6" s="10" t="s">
        <v>45</v>
      </c>
      <c r="J6" s="11" t="s">
        <v>46</v>
      </c>
      <c r="K6" s="11" t="s">
        <v>37</v>
      </c>
      <c r="L6" s="1" t="s">
        <v>38</v>
      </c>
      <c r="M6" s="1" t="s">
        <v>47</v>
      </c>
    </row>
    <row r="7" spans="1:17" ht="13" x14ac:dyDescent="0.15">
      <c r="A7" s="11">
        <v>14</v>
      </c>
      <c r="B7" s="11" t="s">
        <v>48</v>
      </c>
      <c r="C7" s="12">
        <v>17.100000000000001</v>
      </c>
      <c r="D7" s="12">
        <v>14.8</v>
      </c>
      <c r="E7" s="9">
        <f>MAX(ROUND(MIN($D7,36)*(VLOOKUP(This_year_field!$B$2,'Field difficulty'!$A$1:$H63,5,FALSE)/113)+(VLOOKUP(This_year_field!$B$2,'Field difficulty'!$A$1:$H63,6,FALSE)-VLOOKUP(This_year_field!$B$2,'Field difficulty'!$A$1:$H63,7,FALSE)),1),0)</f>
        <v>16.399999999999999</v>
      </c>
      <c r="F7" s="9">
        <f>MAX(ROUND($D7*(VLOOKUP(This_year_field!$B$2,'Field difficulty'!$A$1:$H$50,5,FALSE)/113)+(VLOOKUP(This_year_field!$B$2,'Field difficulty'!$A$1:$H$50,6,FALSE)-VLOOKUP(This_year_field!$B$2,'Field difficulty'!$A$1:$H$50,7,FALSE)),0),0)</f>
        <v>16</v>
      </c>
      <c r="G7" s="13" t="s">
        <v>30</v>
      </c>
      <c r="H7" s="1" t="s">
        <v>49</v>
      </c>
      <c r="I7" s="10" t="s">
        <v>50</v>
      </c>
      <c r="J7" s="11" t="s">
        <v>51</v>
      </c>
      <c r="K7" s="11" t="s">
        <v>52</v>
      </c>
      <c r="L7" s="1" t="s">
        <v>38</v>
      </c>
      <c r="M7" s="1" t="s">
        <v>47</v>
      </c>
    </row>
    <row r="8" spans="1:17" ht="13" hidden="1" x14ac:dyDescent="0.15">
      <c r="A8" s="11">
        <v>5</v>
      </c>
      <c r="B8" s="11" t="s">
        <v>53</v>
      </c>
      <c r="C8" s="12">
        <v>5.9</v>
      </c>
      <c r="D8" s="12">
        <v>5.9</v>
      </c>
      <c r="E8" s="9">
        <f>MAX(ROUND(MIN($D8,36)*(VLOOKUP(This_year_field!$B$2,'Field difficulty'!$A$1:$H54,5,FALSE)/113)+(VLOOKUP(This_year_field!$B$2,'Field difficulty'!$A$1:$H54,6,FALSE)-VLOOKUP(This_year_field!$B$2,'Field difficulty'!$A$1:$H54,7,FALSE)),1),0)</f>
        <v>5.7</v>
      </c>
      <c r="F8" s="9">
        <f>MAX(ROUND($D8*(VLOOKUP(This_year_field!$B$2,'Field difficulty'!$A$1:$H$50,5,FALSE)/113)+(VLOOKUP(This_year_field!$B$2,'Field difficulty'!$A$1:$H$50,6,FALSE)-VLOOKUP(This_year_field!$B$2,'Field difficulty'!$A$1:$H$50,7,FALSE)),0),0)</f>
        <v>6</v>
      </c>
      <c r="G8" s="13"/>
      <c r="H8" s="1" t="s">
        <v>54</v>
      </c>
      <c r="I8" s="10" t="s">
        <v>55</v>
      </c>
      <c r="J8" s="11" t="s">
        <v>56</v>
      </c>
      <c r="K8" s="11" t="s">
        <v>57</v>
      </c>
      <c r="L8" s="1" t="s">
        <v>31</v>
      </c>
    </row>
    <row r="9" spans="1:17" ht="13" x14ac:dyDescent="0.15">
      <c r="A9" s="11">
        <v>13</v>
      </c>
      <c r="B9" s="11" t="s">
        <v>58</v>
      </c>
      <c r="C9" s="12">
        <v>12.9</v>
      </c>
      <c r="D9" s="12">
        <v>15</v>
      </c>
      <c r="E9" s="9">
        <f>MAX(ROUND(MIN($D9,36)*(VLOOKUP(This_year_field!$B$2,'Field difficulty'!$A$1:$H62,5,FALSE)/113)+(VLOOKUP(This_year_field!$B$2,'Field difficulty'!$A$1:$H62,6,FALSE)-VLOOKUP(This_year_field!$B$2,'Field difficulty'!$A$1:$H62,7,FALSE)),1),0)</f>
        <v>16.7</v>
      </c>
      <c r="F9" s="9">
        <f>MAX(ROUND($D9*(VLOOKUP(This_year_field!$B$2,'Field difficulty'!$A$1:$H$50,5,FALSE)/113)+(VLOOKUP(This_year_field!$B$2,'Field difficulty'!$A$1:$H$50,6,FALSE)-VLOOKUP(This_year_field!$B$2,'Field difficulty'!$A$1:$H$50,7,FALSE)),0),0)</f>
        <v>17</v>
      </c>
      <c r="G9" s="13" t="s">
        <v>30</v>
      </c>
      <c r="H9" s="1">
        <v>420734619973</v>
      </c>
      <c r="I9" s="10" t="s">
        <v>59</v>
      </c>
      <c r="J9" s="11" t="s">
        <v>60</v>
      </c>
      <c r="K9" s="11" t="s">
        <v>61</v>
      </c>
      <c r="L9" s="1" t="s">
        <v>38</v>
      </c>
      <c r="M9" s="1" t="s">
        <v>39</v>
      </c>
    </row>
    <row r="10" spans="1:17" ht="13" x14ac:dyDescent="0.15">
      <c r="A10" s="11">
        <v>3</v>
      </c>
      <c r="B10" s="11" t="s">
        <v>62</v>
      </c>
      <c r="C10" s="12">
        <v>17.899999999999999</v>
      </c>
      <c r="D10" s="12">
        <v>20.8</v>
      </c>
      <c r="E10" s="9">
        <f>MAX(ROUND(MIN($D10,36)*(VLOOKUP(This_year_field!$B$2,'Field difficulty'!$A$1:$H52,5,FALSE)/113)+(VLOOKUP(This_year_field!$B$2,'Field difficulty'!$A$1:$H52,6,FALSE)-VLOOKUP(This_year_field!$B$2,'Field difficulty'!$A$1:$H52,7,FALSE)),1),0)</f>
        <v>23.7</v>
      </c>
      <c r="F10" s="9">
        <f>MAX(ROUND($D10*(VLOOKUP(This_year_field!$B$2,'Field difficulty'!$A$1:$H$50,5,FALSE)/113)+(VLOOKUP(This_year_field!$B$2,'Field difficulty'!$A$1:$H$50,6,FALSE)-VLOOKUP(This_year_field!$B$2,'Field difficulty'!$A$1:$H$50,7,FALSE)),0),0)</f>
        <v>24</v>
      </c>
      <c r="G10" s="13" t="s">
        <v>30</v>
      </c>
      <c r="H10" s="1" t="s">
        <v>63</v>
      </c>
      <c r="I10" s="10" t="s">
        <v>64</v>
      </c>
      <c r="J10" s="11" t="s">
        <v>56</v>
      </c>
      <c r="K10" s="11" t="s">
        <v>65</v>
      </c>
      <c r="L10" s="1" t="s">
        <v>38</v>
      </c>
      <c r="M10" s="1" t="s">
        <v>39</v>
      </c>
    </row>
    <row r="11" spans="1:17" ht="13" x14ac:dyDescent="0.15">
      <c r="A11" s="11">
        <v>4</v>
      </c>
      <c r="B11" s="11" t="s">
        <v>66</v>
      </c>
      <c r="C11" s="12">
        <v>28.6</v>
      </c>
      <c r="D11" s="12">
        <v>22.7</v>
      </c>
      <c r="E11" s="9">
        <f>MAX(ROUND(MIN($D11,36)*(VLOOKUP(This_year_field!$B$2,'Field difficulty'!$A$1:$H53,5,FALSE)/113)+(VLOOKUP(This_year_field!$B$2,'Field difficulty'!$A$1:$H53,6,FALSE)-VLOOKUP(This_year_field!$B$2,'Field difficulty'!$A$1:$H53,7,FALSE)),1),0)</f>
        <v>26</v>
      </c>
      <c r="F11" s="9">
        <f>MAX(ROUND($D11*(VLOOKUP(This_year_field!$B$2,'Field difficulty'!$A$1:$H$50,5,FALSE)/113)+(VLOOKUP(This_year_field!$B$2,'Field difficulty'!$A$1:$H$50,6,FALSE)-VLOOKUP(This_year_field!$B$2,'Field difficulty'!$A$1:$H$50,7,FALSE)),0),0)</f>
        <v>26</v>
      </c>
      <c r="G11" s="13" t="s">
        <v>30</v>
      </c>
      <c r="H11" s="1" t="s">
        <v>67</v>
      </c>
      <c r="I11" s="10" t="s">
        <v>68</v>
      </c>
      <c r="J11" s="11" t="s">
        <v>69</v>
      </c>
      <c r="K11" s="11" t="s">
        <v>70</v>
      </c>
      <c r="L11" s="1" t="s">
        <v>38</v>
      </c>
      <c r="M11" s="1" t="s">
        <v>47</v>
      </c>
    </row>
    <row r="12" spans="1:17" ht="13" x14ac:dyDescent="0.15">
      <c r="A12" s="11">
        <v>6</v>
      </c>
      <c r="B12" s="11" t="s">
        <v>71</v>
      </c>
      <c r="C12" s="12">
        <v>49.2</v>
      </c>
      <c r="D12" s="12">
        <v>32.6</v>
      </c>
      <c r="E12" s="9">
        <f>MAX(ROUND(MIN($D12,36)*(VLOOKUP(This_year_field!$B$2,'Field difficulty'!$A$1:$H55,5,FALSE)/113)+(VLOOKUP(This_year_field!$B$2,'Field difficulty'!$A$1:$H55,6,FALSE)-VLOOKUP(This_year_field!$B$2,'Field difficulty'!$A$1:$H55,7,FALSE)),1),0)</f>
        <v>38</v>
      </c>
      <c r="F12" s="9">
        <f>MAX(ROUND($D12*(VLOOKUP(This_year_field!$B$2,'Field difficulty'!$A$1:$H$50,5,FALSE)/113)+(VLOOKUP(This_year_field!$B$2,'Field difficulty'!$A$1:$H$50,6,FALSE)-VLOOKUP(This_year_field!$B$2,'Field difficulty'!$A$1:$H$50,7,FALSE)),0),0)</f>
        <v>38</v>
      </c>
      <c r="G12" s="13" t="s">
        <v>30</v>
      </c>
      <c r="H12" s="1" t="s">
        <v>72</v>
      </c>
      <c r="I12" s="10" t="s">
        <v>73</v>
      </c>
      <c r="J12" s="11" t="s">
        <v>46</v>
      </c>
      <c r="K12" s="11" t="s">
        <v>74</v>
      </c>
      <c r="L12" s="1" t="s">
        <v>38</v>
      </c>
      <c r="M12" s="1" t="s">
        <v>47</v>
      </c>
    </row>
    <row r="13" spans="1:17" ht="13" x14ac:dyDescent="0.15">
      <c r="A13" s="11">
        <v>8</v>
      </c>
      <c r="B13" s="11" t="s">
        <v>75</v>
      </c>
      <c r="C13" s="12">
        <v>35</v>
      </c>
      <c r="D13" s="12">
        <v>30.4</v>
      </c>
      <c r="E13" s="9">
        <f>MAX(ROUND(MIN($D13,36)*(VLOOKUP(This_year_field!$B$2,'Field difficulty'!$A$1:$H57,5,FALSE)/113)+(VLOOKUP(This_year_field!$B$2,'Field difficulty'!$A$1:$H57,6,FALSE)-VLOOKUP(This_year_field!$B$2,'Field difficulty'!$A$1:$H57,7,FALSE)),1),0)</f>
        <v>35.4</v>
      </c>
      <c r="F13" s="9">
        <f>MAX(ROUND($D13*(VLOOKUP(This_year_field!$B$2,'Field difficulty'!$A$1:$H$50,5,FALSE)/113)+(VLOOKUP(This_year_field!$B$2,'Field difficulty'!$A$1:$H$50,6,FALSE)-VLOOKUP(This_year_field!$B$2,'Field difficulty'!$A$1:$H$50,7,FALSE)),0),0)</f>
        <v>35</v>
      </c>
      <c r="G13" s="13" t="s">
        <v>30</v>
      </c>
      <c r="H13" s="1">
        <v>4206060101906</v>
      </c>
      <c r="I13" s="10" t="s">
        <v>76</v>
      </c>
      <c r="J13" s="11" t="s">
        <v>77</v>
      </c>
      <c r="K13" s="11" t="s">
        <v>78</v>
      </c>
      <c r="L13" s="1" t="s">
        <v>38</v>
      </c>
      <c r="M13" s="1" t="s">
        <v>39</v>
      </c>
    </row>
    <row r="14" spans="1:17" ht="13" x14ac:dyDescent="0.15">
      <c r="A14" s="11">
        <v>11</v>
      </c>
      <c r="B14" s="11" t="s">
        <v>79</v>
      </c>
      <c r="C14" s="12">
        <v>0.1</v>
      </c>
      <c r="D14" s="12">
        <v>0.4</v>
      </c>
      <c r="E14" s="9">
        <f>MAX(ROUND(MIN($D14,36)*(VLOOKUP(This_year_field!$B$2,'Field difficulty'!$A$1:$H60,5,FALSE)/113)+(VLOOKUP(This_year_field!$B$2,'Field difficulty'!$A$1:$H60,6,FALSE)-VLOOKUP(This_year_field!$B$2,'Field difficulty'!$A$1:$H60,7,FALSE)),1),0)</f>
        <v>0</v>
      </c>
      <c r="F14" s="9">
        <f>MAX(ROUND($D14*(VLOOKUP(This_year_field!$B$2,'Field difficulty'!$A$1:$H$50,5,FALSE)/113)+(VLOOKUP(This_year_field!$B$2,'Field difficulty'!$A$1:$H$50,6,FALSE)-VLOOKUP(This_year_field!$B$2,'Field difficulty'!$A$1:$H$50,7,FALSE)),0),0)</f>
        <v>0</v>
      </c>
      <c r="G14" s="13" t="s">
        <v>33</v>
      </c>
      <c r="H14" s="1" t="s">
        <v>80</v>
      </c>
      <c r="I14" s="10" t="s">
        <v>81</v>
      </c>
      <c r="J14" s="11" t="s">
        <v>82</v>
      </c>
      <c r="K14" s="11" t="s">
        <v>83</v>
      </c>
      <c r="L14" s="1" t="s">
        <v>38</v>
      </c>
      <c r="M14" s="1" t="s">
        <v>39</v>
      </c>
      <c r="O14" s="12"/>
      <c r="P14" s="12"/>
      <c r="Q14" s="12"/>
    </row>
    <row r="15" spans="1:17" ht="13" x14ac:dyDescent="0.15">
      <c r="A15" s="8">
        <v>19</v>
      </c>
      <c r="B15" s="8" t="s">
        <v>84</v>
      </c>
      <c r="C15" s="1">
        <v>15</v>
      </c>
      <c r="D15" s="1">
        <v>14.6</v>
      </c>
      <c r="E15" s="9">
        <f>MAX(ROUND(MIN($D15,36)*(VLOOKUP(This_year_field!$B$2,'Field difficulty'!$A$1:$H68,5,FALSE)/113)+(VLOOKUP(This_year_field!$B$2,'Field difficulty'!$A$1:$H68,6,FALSE)-VLOOKUP(This_year_field!$B$2,'Field difficulty'!$A$1:$H68,7,FALSE)),1),0)</f>
        <v>16.2</v>
      </c>
      <c r="F15" s="9">
        <f>MAX(ROUND($D15*(VLOOKUP(This_year_field!$B$2,'Field difficulty'!$A$1:$H$50,5,FALSE)/113)+(VLOOKUP(This_year_field!$B$2,'Field difficulty'!$A$1:$H$50,6,FALSE)-VLOOKUP(This_year_field!$B$2,'Field difficulty'!$A$1:$H$50,7,FALSE)),0),0)</f>
        <v>16</v>
      </c>
      <c r="G15" s="1" t="s">
        <v>33</v>
      </c>
      <c r="I15" s="10" t="s">
        <v>85</v>
      </c>
      <c r="J15" s="11" t="s">
        <v>46</v>
      </c>
      <c r="K15" s="11" t="s">
        <v>86</v>
      </c>
      <c r="L15" s="1" t="s">
        <v>38</v>
      </c>
      <c r="M15" s="1" t="s">
        <v>47</v>
      </c>
    </row>
    <row r="16" spans="1:17" ht="13" x14ac:dyDescent="0.15">
      <c r="A16" s="11">
        <v>16</v>
      </c>
      <c r="B16" s="11" t="s">
        <v>87</v>
      </c>
      <c r="C16" s="12">
        <v>21</v>
      </c>
      <c r="D16" s="12">
        <v>18</v>
      </c>
      <c r="E16" s="9">
        <f>MAX(ROUND(MIN($D16,36)*(VLOOKUP(This_year_field!$B$2,'Field difficulty'!$A$1:$H65,5,FALSE)/113)+(VLOOKUP(This_year_field!$B$2,'Field difficulty'!$A$1:$H65,6,FALSE)-VLOOKUP(This_year_field!$B$2,'Field difficulty'!$A$1:$H65,7,FALSE)),1),0)</f>
        <v>20.3</v>
      </c>
      <c r="F16" s="9">
        <f>MAX(ROUND($D16*(VLOOKUP(This_year_field!$B$2,'Field difficulty'!$A$1:$H$50,5,FALSE)/113)+(VLOOKUP(This_year_field!$B$2,'Field difficulty'!$A$1:$H$50,6,FALSE)-VLOOKUP(This_year_field!$B$2,'Field difficulty'!$A$1:$H$50,7,FALSE)),0),0)</f>
        <v>20</v>
      </c>
      <c r="G16" s="13" t="s">
        <v>33</v>
      </c>
      <c r="H16" s="1">
        <v>420721512522</v>
      </c>
      <c r="I16" s="10" t="s">
        <v>88</v>
      </c>
      <c r="J16" s="11" t="s">
        <v>89</v>
      </c>
      <c r="K16" s="11" t="s">
        <v>90</v>
      </c>
      <c r="L16" s="1" t="s">
        <v>38</v>
      </c>
      <c r="M16" s="1" t="s">
        <v>47</v>
      </c>
    </row>
    <row r="17" spans="1:17" ht="13" x14ac:dyDescent="0.15">
      <c r="A17" s="11">
        <v>7</v>
      </c>
      <c r="B17" s="11" t="s">
        <v>91</v>
      </c>
      <c r="C17" s="12">
        <v>27.2</v>
      </c>
      <c r="D17" s="12">
        <v>21</v>
      </c>
      <c r="E17" s="9">
        <f>MAX(ROUND(MIN($D17,36)*(VLOOKUP(This_year_field!$B$2,'Field difficulty'!$A$1:$H56,5,FALSE)/113)+(VLOOKUP(This_year_field!$B$2,'Field difficulty'!$A$1:$H56,6,FALSE)-VLOOKUP(This_year_field!$B$2,'Field difficulty'!$A$1:$H56,7,FALSE)),1),0)</f>
        <v>24</v>
      </c>
      <c r="F17" s="9">
        <f>MAX(ROUND($D17*(VLOOKUP(This_year_field!$B$2,'Field difficulty'!$A$1:$H$50,5,FALSE)/113)+(VLOOKUP(This_year_field!$B$2,'Field difficulty'!$A$1:$H$50,6,FALSE)-VLOOKUP(This_year_field!$B$2,'Field difficulty'!$A$1:$H$50,7,FALSE)),0),0)</f>
        <v>24</v>
      </c>
      <c r="G17" s="13" t="s">
        <v>33</v>
      </c>
      <c r="H17" s="1">
        <f>420725433049</f>
        <v>420725433049</v>
      </c>
      <c r="I17" s="10" t="s">
        <v>92</v>
      </c>
      <c r="J17" s="11" t="s">
        <v>93</v>
      </c>
      <c r="K17" s="11" t="s">
        <v>94</v>
      </c>
      <c r="L17" s="1" t="s">
        <v>38</v>
      </c>
      <c r="M17" s="1" t="s">
        <v>95</v>
      </c>
      <c r="O17" s="13"/>
      <c r="P17" s="13"/>
      <c r="Q17" s="13"/>
    </row>
    <row r="18" spans="1:17" ht="13" x14ac:dyDescent="0.15">
      <c r="A18" s="11">
        <v>1</v>
      </c>
      <c r="B18" s="11" t="s">
        <v>96</v>
      </c>
      <c r="C18" s="12">
        <v>38.799999999999997</v>
      </c>
      <c r="D18" s="12">
        <v>21.4</v>
      </c>
      <c r="E18" s="9">
        <f>MAX(ROUND(MIN($D18,36)*(VLOOKUP(This_year_field!$B$2,'Field difficulty'!$A$1:$H50,5,FALSE)/113)+(VLOOKUP(This_year_field!$B$2,'Field difficulty'!$A$1:$H50,6,FALSE)-VLOOKUP(This_year_field!$B$2,'Field difficulty'!$A$1:$H50,7,FALSE)),1),0)</f>
        <v>24.4</v>
      </c>
      <c r="F18" s="9">
        <f>MAX(ROUND($D18*(VLOOKUP(This_year_field!$B$2,'Field difficulty'!$A$1:$H$50,5,FALSE)/113)+(VLOOKUP(This_year_field!$B$2,'Field difficulty'!$A$1:$H$50,6,FALSE)-VLOOKUP(This_year_field!$B$2,'Field difficulty'!$A$1:$H$50,7,FALSE)),0),0)</f>
        <v>24</v>
      </c>
      <c r="G18" s="13" t="s">
        <v>33</v>
      </c>
      <c r="H18" s="1">
        <f>420602218482</f>
        <v>420602218482</v>
      </c>
      <c r="I18" s="10" t="s">
        <v>97</v>
      </c>
      <c r="J18" s="11" t="s">
        <v>42</v>
      </c>
      <c r="K18" s="11" t="s">
        <v>98</v>
      </c>
      <c r="L18" s="1" t="s">
        <v>38</v>
      </c>
      <c r="M18" s="1" t="s">
        <v>47</v>
      </c>
    </row>
    <row r="19" spans="1:17" ht="13" x14ac:dyDescent="0.15">
      <c r="A19" s="11">
        <v>12</v>
      </c>
      <c r="B19" s="11" t="s">
        <v>99</v>
      </c>
      <c r="C19" s="12">
        <v>6</v>
      </c>
      <c r="D19" s="12">
        <v>16</v>
      </c>
      <c r="E19" s="9">
        <f>MAX(ROUND(MIN($D19,36)*(VLOOKUP(This_year_field!$B$2,'Field difficulty'!$A$1:$H61,5,FALSE)/113)+(VLOOKUP(This_year_field!$B$2,'Field difficulty'!$A$1:$H61,6,FALSE)-VLOOKUP(This_year_field!$B$2,'Field difficulty'!$A$1:$H61,7,FALSE)),1),0)</f>
        <v>17.899999999999999</v>
      </c>
      <c r="F19" s="9">
        <f>MAX(ROUND($D19*(VLOOKUP(This_year_field!$B$2,'Field difficulty'!$A$1:$H$50,5,FALSE)/113)+(VLOOKUP(This_year_field!$B$2,'Field difficulty'!$A$1:$H$50,6,FALSE)-VLOOKUP(This_year_field!$B$2,'Field difficulty'!$A$1:$H$50,7,FALSE)),0),0)</f>
        <v>18</v>
      </c>
      <c r="G19" s="13" t="s">
        <v>33</v>
      </c>
      <c r="I19" s="10" t="s">
        <v>100</v>
      </c>
      <c r="J19" s="11" t="s">
        <v>101</v>
      </c>
      <c r="K19" s="11" t="s">
        <v>102</v>
      </c>
      <c r="L19" s="1" t="s">
        <v>38</v>
      </c>
      <c r="M19" s="1" t="s">
        <v>103</v>
      </c>
    </row>
    <row r="20" spans="1:17" ht="13" x14ac:dyDescent="0.15">
      <c r="A20" s="11">
        <v>2</v>
      </c>
      <c r="B20" s="11" t="s">
        <v>104</v>
      </c>
      <c r="C20" s="12">
        <v>27.4</v>
      </c>
      <c r="D20" s="12">
        <v>34.9</v>
      </c>
      <c r="E20" s="9">
        <f>MAX(ROUND(MIN($D20,36)*(VLOOKUP(This_year_field!$B$2,'Field difficulty'!$A$1:$H51,5,FALSE)/113)+(VLOOKUP(This_year_field!$B$2,'Field difficulty'!$A$1:$H51,6,FALSE)-VLOOKUP(This_year_field!$B$2,'Field difficulty'!$A$1:$H51,7,FALSE)),1),0)</f>
        <v>40.799999999999997</v>
      </c>
      <c r="F20" s="9">
        <f>MAX(ROUND($D20*(VLOOKUP(This_year_field!$B$2,'Field difficulty'!$A$1:$H$50,5,FALSE)/113)+(VLOOKUP(This_year_field!$B$2,'Field difficulty'!$A$1:$H$50,6,FALSE)-VLOOKUP(This_year_field!$B$2,'Field difficulty'!$A$1:$H$50,7,FALSE)),0),0)</f>
        <v>41</v>
      </c>
      <c r="G20" s="13" t="s">
        <v>33</v>
      </c>
      <c r="H20" s="1" t="s">
        <v>105</v>
      </c>
      <c r="I20" s="10" t="s">
        <v>106</v>
      </c>
      <c r="J20" s="11" t="s">
        <v>56</v>
      </c>
      <c r="K20" s="11" t="s">
        <v>98</v>
      </c>
      <c r="L20" s="1" t="s">
        <v>38</v>
      </c>
      <c r="M20" s="1" t="s">
        <v>47</v>
      </c>
    </row>
    <row r="21" spans="1:17" ht="13" x14ac:dyDescent="0.15">
      <c r="A21" s="8">
        <v>20</v>
      </c>
      <c r="B21" s="8" t="s">
        <v>107</v>
      </c>
      <c r="C21" s="1">
        <v>54</v>
      </c>
      <c r="D21" s="1">
        <v>44</v>
      </c>
      <c r="E21" s="9">
        <f>MAX(ROUND(MIN($D21,36)*(VLOOKUP(This_year_field!$B$2,'Field difficulty'!$A$1:$H69,5,FALSE)/113)+(VLOOKUP(This_year_field!$B$2,'Field difficulty'!$A$1:$H69,6,FALSE)-VLOOKUP(This_year_field!$B$2,'Field difficulty'!$A$1:$H69,7,FALSE)),1),0)</f>
        <v>42.1</v>
      </c>
      <c r="F21" s="9">
        <f>MAX(ROUND($D21*(VLOOKUP(This_year_field!$B$2,'Field difficulty'!$A$1:$H$50,5,FALSE)/113)+(VLOOKUP(This_year_field!$B$2,'Field difficulty'!$A$1:$H$50,6,FALSE)-VLOOKUP(This_year_field!$B$2,'Field difficulty'!$A$1:$H$50,7,FALSE)),0),0)</f>
        <v>52</v>
      </c>
      <c r="G21" s="1" t="s">
        <v>33</v>
      </c>
      <c r="H21" s="1">
        <f>420721509619</f>
        <v>420721509619</v>
      </c>
      <c r="I21" s="10" t="s">
        <v>108</v>
      </c>
      <c r="J21" s="11" t="s">
        <v>93</v>
      </c>
      <c r="K21" s="11" t="s">
        <v>109</v>
      </c>
      <c r="L21" s="1" t="s">
        <v>38</v>
      </c>
      <c r="M21" s="1" t="s">
        <v>103</v>
      </c>
    </row>
    <row r="22" spans="1:17" ht="13" x14ac:dyDescent="0.15">
      <c r="A22" s="8"/>
      <c r="B22" s="8"/>
      <c r="C22" s="1"/>
      <c r="D22" s="1"/>
      <c r="E22" s="12"/>
      <c r="F22" s="12"/>
      <c r="K22" s="1"/>
      <c r="L22" s="1"/>
    </row>
    <row r="23" spans="1:17" ht="13" x14ac:dyDescent="0.15">
      <c r="A23" s="8"/>
      <c r="B23" s="8"/>
      <c r="C23" s="1"/>
      <c r="D23" s="1"/>
      <c r="E23" s="12"/>
      <c r="F23" s="12"/>
      <c r="K23" s="1"/>
      <c r="L23" s="1"/>
    </row>
    <row r="24" spans="1:17" ht="13" x14ac:dyDescent="0.15">
      <c r="A24" s="8"/>
      <c r="B24" s="8"/>
      <c r="C24" s="1"/>
      <c r="D24" s="1"/>
      <c r="E24" s="12"/>
      <c r="F24" s="12"/>
      <c r="K24" s="1"/>
      <c r="L24" s="1"/>
    </row>
    <row r="25" spans="1:17" ht="13" x14ac:dyDescent="0.15">
      <c r="A25" s="8"/>
      <c r="B25" s="8"/>
      <c r="C25" s="1"/>
      <c r="D25" s="1"/>
      <c r="E25" s="12"/>
      <c r="F25" s="12"/>
      <c r="G25" s="1"/>
      <c r="K25" s="1"/>
      <c r="L25" s="1"/>
    </row>
    <row r="26" spans="1:17" ht="13" x14ac:dyDescent="0.15">
      <c r="A26" s="8"/>
      <c r="B26" s="8"/>
      <c r="C26" s="1"/>
      <c r="D26" s="1"/>
      <c r="E26" s="12"/>
      <c r="F26" s="12"/>
      <c r="G26" s="1"/>
      <c r="K26" s="1"/>
      <c r="L26" s="1"/>
    </row>
    <row r="27" spans="1:17" ht="13" x14ac:dyDescent="0.15">
      <c r="A27" s="8"/>
      <c r="B27" s="8"/>
      <c r="C27" s="1"/>
      <c r="D27" s="1"/>
      <c r="E27" s="12"/>
      <c r="F27" s="12"/>
      <c r="G27" s="1"/>
      <c r="K27" s="1"/>
      <c r="L27" s="1"/>
    </row>
    <row r="28" spans="1:17" ht="13" x14ac:dyDescent="0.15">
      <c r="A28" s="8"/>
      <c r="B28" s="8"/>
      <c r="C28" s="1"/>
      <c r="D28" s="1"/>
      <c r="E28" s="12"/>
      <c r="F28" s="12"/>
      <c r="G28" s="1"/>
      <c r="K28" s="1"/>
      <c r="L28" s="1"/>
    </row>
    <row r="29" spans="1:17" ht="13" x14ac:dyDescent="0.15">
      <c r="A29" s="8"/>
      <c r="B29" s="8"/>
      <c r="C29" s="1"/>
      <c r="D29" s="1"/>
      <c r="E29" s="12"/>
      <c r="F29" s="12"/>
      <c r="G29" s="1"/>
      <c r="K29" s="1"/>
      <c r="L29" s="1"/>
    </row>
    <row r="30" spans="1:17" ht="13" x14ac:dyDescent="0.15">
      <c r="A30" s="8"/>
      <c r="B30" s="8"/>
      <c r="C30" s="1"/>
      <c r="D30" s="1"/>
      <c r="E30" s="12"/>
      <c r="F30" s="12"/>
      <c r="G30" s="1"/>
      <c r="K30" s="1"/>
      <c r="L30" s="1"/>
    </row>
    <row r="31" spans="1:17" ht="13" x14ac:dyDescent="0.15">
      <c r="A31" s="8"/>
      <c r="B31" s="8"/>
      <c r="C31" s="1"/>
      <c r="D31" s="1"/>
      <c r="E31" s="12"/>
      <c r="F31" s="12"/>
      <c r="G31" s="1"/>
      <c r="K31" s="1"/>
      <c r="L31" s="1"/>
    </row>
    <row r="32" spans="1:17" ht="13" x14ac:dyDescent="0.15">
      <c r="A32" s="8"/>
      <c r="B32" s="8"/>
      <c r="C32" s="1"/>
      <c r="D32" s="1"/>
      <c r="E32" s="12"/>
      <c r="F32" s="12"/>
      <c r="G32" s="1"/>
      <c r="K32" s="1"/>
      <c r="L32" s="1"/>
    </row>
    <row r="33" spans="1:12" ht="13" x14ac:dyDescent="0.15">
      <c r="A33" s="8"/>
      <c r="B33" s="8"/>
      <c r="C33" s="1"/>
      <c r="D33" s="1"/>
      <c r="E33" s="12"/>
      <c r="F33" s="12"/>
      <c r="G33" s="1"/>
      <c r="K33" s="1"/>
      <c r="L33" s="1"/>
    </row>
  </sheetData>
  <autoFilter ref="A1:Z21" xr:uid="{00000000-0009-0000-0000-000001000000}">
    <filterColumn colId="11">
      <filters>
        <filter val="Yes"/>
      </filters>
    </filterColumn>
  </autoFilter>
  <dataValidations count="2">
    <dataValidation type="list" allowBlank="1" showErrorMessage="1" sqref="L2:L21" xr:uid="{00000000-0002-0000-0100-000000000000}">
      <formula1>"Yes,No"</formula1>
    </dataValidation>
    <dataValidation type="list" allowBlank="1" showErrorMessage="1" sqref="G2:G21" xr:uid="{00000000-0002-0000-0100-000001000000}">
      <formula1>"Red,Blue"</formula1>
    </dataValidation>
  </dataValidation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14" t="s">
        <v>22</v>
      </c>
      <c r="B1" s="14" t="s">
        <v>110</v>
      </c>
      <c r="C1" s="14" t="s">
        <v>111</v>
      </c>
    </row>
    <row r="2" spans="1:3" ht="15.75" customHeight="1" x14ac:dyDescent="0.15">
      <c r="A2" s="10" t="s">
        <v>33</v>
      </c>
      <c r="B2" s="10">
        <f>SUMIFS(Games!$M$2:$M$13,Games!$N$2:$N$13,"Red")+SUMIFS(Games!$R$2:$R$13,Games!$Q$2:$Q$13,"AS")</f>
        <v>6</v>
      </c>
      <c r="C2" s="10">
        <f>SUMIFS(Games!$R$2:$R$13,Games!$Q$2:$Q$13,"Red")+SUMIFS(Games!$R$2:$R$13,Games!$Q$2:$Q$13,"AS")</f>
        <v>6</v>
      </c>
    </row>
    <row r="3" spans="1:3" ht="15.75" customHeight="1" x14ac:dyDescent="0.15">
      <c r="A3" s="10" t="s">
        <v>30</v>
      </c>
      <c r="B3" s="10">
        <f>SUMIFS(Games!$M$2:$M$13,Games!$N$2:$N$13,"Blue")+SUMIFS(Games!$R$2:$R$13,Games!$Q$2:$Q$13,"AS")</f>
        <v>6</v>
      </c>
      <c r="C3" s="10">
        <f>SUMIFS(Games!$R$2:$R$13,Games!$Q$2:$Q$13,"Blue")+SUMIFS(Games!$R$2:$R$13,Games!$Q$2:$Q$13,"AS")</f>
        <v>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32"/>
  <sheetViews>
    <sheetView topLeftCell="I1" workbookViewId="0">
      <selection activeCell="A2" sqref="A2"/>
    </sheetView>
  </sheetViews>
  <sheetFormatPr baseColWidth="10" defaultColWidth="12.6640625" defaultRowHeight="15.75" customHeight="1" x14ac:dyDescent="0.15"/>
  <cols>
    <col min="3" max="3" width="24.1640625" customWidth="1"/>
    <col min="6" max="6" width="16.5" customWidth="1"/>
    <col min="7" max="7" width="16.1640625" customWidth="1"/>
    <col min="8" max="9" width="18.5" customWidth="1"/>
    <col min="10" max="11" width="14.6640625" customWidth="1"/>
    <col min="13" max="13" width="14.83203125" customWidth="1"/>
    <col min="15" max="15" width="15.1640625" customWidth="1"/>
    <col min="16" max="16" width="14" customWidth="1"/>
  </cols>
  <sheetData>
    <row r="1" spans="1:21" ht="15.75" customHeight="1" x14ac:dyDescent="0.15">
      <c r="A1" s="1" t="s">
        <v>475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110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  <row r="2" spans="1:21" ht="15.75" customHeight="1" x14ac:dyDescent="0.15">
      <c r="A2" s="14">
        <v>1</v>
      </c>
      <c r="B2" s="14">
        <v>1</v>
      </c>
      <c r="C2" s="10" t="str">
        <f>VLOOKUP(D2,'Field difficulty'!$A$1:$H$50,4,FALSE)</f>
        <v>Terasy Ústí n. Labem</v>
      </c>
      <c r="D2" s="15">
        <f>VLOOKUP(B2,This_year_field!$A$1:$C$3,2,FALSE)</f>
        <v>5</v>
      </c>
      <c r="E2" s="1" t="s">
        <v>131</v>
      </c>
      <c r="F2" s="1" t="s">
        <v>107</v>
      </c>
      <c r="G2" s="1" t="s">
        <v>104</v>
      </c>
      <c r="H2" s="1" t="s">
        <v>44</v>
      </c>
      <c r="I2" s="1" t="s">
        <v>62</v>
      </c>
      <c r="J2" s="16">
        <f>COUNTIFS(Results!$B$2:$B$220,$A2,Results!$H$2:$H$220,"Red")</f>
        <v>0</v>
      </c>
      <c r="K2" s="16">
        <f>COUNTIFS(Results!$B$2:$B$220,$A2,Results!$H$2:$H$220,"Blue")</f>
        <v>0</v>
      </c>
      <c r="L2" s="16">
        <f>IF(COUNTIFS(Results!$B$2:$B$220,$A2,Results!$H$2:$H$220,"&gt;0"&amp;"*")=18,"Final",COUNTIFS(Results!$B$2:$B$220,$A2,Results!$H$2:$H$220,"&gt;0"&amp;"*"))</f>
        <v>0</v>
      </c>
      <c r="M2" s="16">
        <f t="shared" ref="M2:M13" si="0">IF(N2="Red",IF((J2-K2)&lt;3,1,IF((J2-K2)&gt;=5,3,2)),IF(N2="Blue",IF((K2-J2)&lt;3,1,IF((K2-J2)&gt;=5,3,2)),))</f>
        <v>0</v>
      </c>
      <c r="N2" s="16" t="str">
        <f t="shared" ref="N2:N13" si="1">IF($L2="Final",IF($J2-$K2&gt;0,"Red",IF($K2-$J2&gt;0,"Blue","AS")),"Not finished")</f>
        <v>Not finished</v>
      </c>
      <c r="O2" s="16" t="str">
        <f>_xlfn.IFNA(CONCATENATE(VLOOKUP($F2,Players!$B$1:$K$40,10,FALSE)," &amp; ",VLOOKUP($G2,Players!$B$1:$K$40,10,FALSE)),VLOOKUP($F2,Players!$B$1:$K$40,10,FALSE))</f>
        <v>Pour &amp; Herold</v>
      </c>
      <c r="P2" s="16" t="str">
        <f>_xlfn.IFNA(CONCATENATE(VLOOKUP($H2,Players!$B$1:$K$40,10,FALSE)," &amp; ",VLOOKUP($I2,Players!$B$1:$K$40,10,FALSE)),VLOOKUP($H2,Players!$B$1:$K$40,10,FALSE))</f>
        <v>Klokočka &amp; Krábek</v>
      </c>
      <c r="Q2" s="16" t="str">
        <f t="shared" ref="Q2:Q13" si="2">IF($J2-$K2&gt;0,"Red",IF($K2-$J2&gt;0,"Blue","AS"))</f>
        <v>AS</v>
      </c>
      <c r="R2" s="16">
        <f t="shared" ref="R2:R13" si="3">IF(ABS($J2-$K2)=0,0.5,IF(ABS($J2-$K2)&lt;3,1,IF(ABS($J2-$K2)&gt;4,3,2)))</f>
        <v>0.5</v>
      </c>
      <c r="S2" s="16" t="str">
        <f t="shared" ref="S2:S13" si="4">IF($Q2="AS","AS",IF($Q2="Red",(J2-K2)&amp;" UP",($K2-$J2)&amp;" UP"))</f>
        <v>AS</v>
      </c>
      <c r="T2" s="10">
        <f>SUMIF(Results!$B$2:$B$217,$A2,Results!$F$2:$F$217)</f>
        <v>102</v>
      </c>
      <c r="U2" s="10">
        <f>SUMIF(Results!$B$2:$B$217,$A2,Results!$G$2:$G$217)</f>
        <v>80</v>
      </c>
    </row>
    <row r="3" spans="1:21" ht="15.75" customHeight="1" x14ac:dyDescent="0.15">
      <c r="A3" s="14">
        <v>2</v>
      </c>
      <c r="B3" s="14">
        <v>1</v>
      </c>
      <c r="C3" s="10" t="str">
        <f>VLOOKUP(D3,'Field difficulty'!$A$1:$H$50,4,FALSE)</f>
        <v>Terasy Ústí n. Labem</v>
      </c>
      <c r="D3" s="15">
        <f>VLOOKUP(B3,This_year_field!$A$1:$C$3,2,FALSE)</f>
        <v>5</v>
      </c>
      <c r="E3" s="1" t="s">
        <v>131</v>
      </c>
      <c r="F3" s="1" t="s">
        <v>87</v>
      </c>
      <c r="G3" s="1" t="s">
        <v>99</v>
      </c>
      <c r="H3" s="1" t="s">
        <v>34</v>
      </c>
      <c r="I3" s="1" t="s">
        <v>66</v>
      </c>
      <c r="J3" s="16">
        <f>COUNTIFS(Results!$B$2:$B$220,$A3,Results!$H$2:$H$220,"Red")</f>
        <v>0</v>
      </c>
      <c r="K3" s="16">
        <f>COUNTIFS(Results!$B$2:$B$220,$A3,Results!$H$2:$H$220,"Blue")</f>
        <v>0</v>
      </c>
      <c r="L3" s="16">
        <f>IF(COUNTIFS(Results!$B$2:$B$220,$A3,Results!$H$2:$H$220,"&gt;0"&amp;"*")=18,"Final",COUNTIFS(Results!$B$2:$B$220,$A3,Results!$H$2:$H$220,"&gt;0"&amp;"*"))</f>
        <v>0</v>
      </c>
      <c r="M3" s="16">
        <f t="shared" si="0"/>
        <v>0</v>
      </c>
      <c r="N3" s="16" t="str">
        <f t="shared" si="1"/>
        <v>Not finished</v>
      </c>
      <c r="O3" s="16" t="str">
        <f>_xlfn.IFNA(CONCATENATE(VLOOKUP($F3,Players!$B$1:$K$40,10,FALSE)," &amp; ",VLOOKUP($G3,Players!$B$1:$K$40,10,FALSE)),VLOOKUP($F3,Players!$B$1:$K$40,10,FALSE))</f>
        <v>Šutko &amp; Trnka</v>
      </c>
      <c r="P3" s="16" t="str">
        <f>_xlfn.IFNA(CONCATENATE(VLOOKUP($H3,Players!$B$1:$K$40,10,FALSE)," &amp; ",VLOOKUP($I3,Players!$B$1:$K$40,10,FALSE)),VLOOKUP($H3,Players!$B$1:$K$40,10,FALSE))</f>
        <v>Klokočka &amp; Pleticha</v>
      </c>
      <c r="Q3" s="16" t="str">
        <f t="shared" si="2"/>
        <v>AS</v>
      </c>
      <c r="R3" s="16">
        <f t="shared" si="3"/>
        <v>0.5</v>
      </c>
      <c r="S3" s="16" t="str">
        <f t="shared" si="4"/>
        <v>AS</v>
      </c>
      <c r="T3" s="10">
        <f>SUMIF(Results!$B$2:$B$217,$A3,Results!$F$2:$F$217)</f>
        <v>85</v>
      </c>
      <c r="U3" s="10">
        <f>SUMIF(Results!$B$2:$B$217,$A3,Results!$G$2:$G$217)</f>
        <v>80</v>
      </c>
    </row>
    <row r="4" spans="1:21" ht="15.75" customHeight="1" x14ac:dyDescent="0.15">
      <c r="A4" s="14">
        <v>3</v>
      </c>
      <c r="B4" s="14">
        <v>1</v>
      </c>
      <c r="C4" s="10" t="str">
        <f>VLOOKUP(D4,'Field difficulty'!$A$1:$H$50,4,FALSE)</f>
        <v>Terasy Ústí n. Labem</v>
      </c>
      <c r="D4" s="15">
        <f>VLOOKUP(B4,This_year_field!$A$1:$C$3,2,FALSE)</f>
        <v>5</v>
      </c>
      <c r="E4" s="1" t="s">
        <v>131</v>
      </c>
      <c r="F4" s="1" t="s">
        <v>91</v>
      </c>
      <c r="G4" s="1" t="s">
        <v>79</v>
      </c>
      <c r="H4" s="1" t="s">
        <v>71</v>
      </c>
      <c r="I4" s="1" t="s">
        <v>48</v>
      </c>
      <c r="J4" s="16">
        <f>COUNTIFS(Results!$B$2:$B$220,$A4,Results!$H$2:$H$220,"Red")</f>
        <v>0</v>
      </c>
      <c r="K4" s="16">
        <f>COUNTIFS(Results!$B$2:$B$220,$A4,Results!$H$2:$H$220,"Blue")</f>
        <v>0</v>
      </c>
      <c r="L4" s="16">
        <f>IF(COUNTIFS(Results!$B$2:$B$220,$A4,Results!$H$2:$H$220,"&gt;0"&amp;"*")=18,"Final",COUNTIFS(Results!$B$2:$B$220,$A4,Results!$H$2:$H$220,"&gt;0"&amp;"*"))</f>
        <v>0</v>
      </c>
      <c r="M4" s="16">
        <f t="shared" si="0"/>
        <v>0</v>
      </c>
      <c r="N4" s="16" t="str">
        <f t="shared" si="1"/>
        <v>Not finished</v>
      </c>
      <c r="O4" s="16" t="str">
        <f>_xlfn.IFNA(CONCATENATE(VLOOKUP($F4,Players!$B$1:$K$40,10,FALSE)," &amp; ",VLOOKUP($G4,Players!$B$1:$K$40,10,FALSE)),VLOOKUP($F4,Players!$B$1:$K$40,10,FALSE))</f>
        <v>Douša &amp; Bernat</v>
      </c>
      <c r="P4" s="16" t="str">
        <f>_xlfn.IFNA(CONCATENATE(VLOOKUP($H4,Players!$B$1:$K$40,10,FALSE)," &amp; ",VLOOKUP($I4,Players!$B$1:$K$40,10,FALSE)),VLOOKUP($H4,Players!$B$1:$K$40,10,FALSE))</f>
        <v>Šíla &amp; Palička</v>
      </c>
      <c r="Q4" s="16" t="str">
        <f t="shared" si="2"/>
        <v>AS</v>
      </c>
      <c r="R4" s="16">
        <f t="shared" si="3"/>
        <v>0.5</v>
      </c>
      <c r="S4" s="16" t="str">
        <f t="shared" si="4"/>
        <v>AS</v>
      </c>
      <c r="T4" s="10">
        <f>SUMIF(Results!$B$2:$B$217,$A4,Results!$F$2:$F$217)</f>
        <v>80</v>
      </c>
      <c r="U4" s="10">
        <f>SUMIF(Results!$B$2:$B$217,$A4,Results!$G$2:$G$217)</f>
        <v>91</v>
      </c>
    </row>
    <row r="5" spans="1:21" ht="15.75" customHeight="1" x14ac:dyDescent="0.15">
      <c r="A5" s="14">
        <v>4</v>
      </c>
      <c r="B5" s="14">
        <v>1</v>
      </c>
      <c r="C5" s="10" t="str">
        <f>VLOOKUP(D5,'Field difficulty'!$A$1:$H$50,4,FALSE)</f>
        <v>Terasy Ústí n. Labem</v>
      </c>
      <c r="D5" s="15">
        <f>VLOOKUP(B5,This_year_field!$A$1:$C$3,2,FALSE)</f>
        <v>5</v>
      </c>
      <c r="E5" s="1" t="s">
        <v>131</v>
      </c>
      <c r="F5" s="1" t="s">
        <v>96</v>
      </c>
      <c r="G5" s="1" t="s">
        <v>84</v>
      </c>
      <c r="H5" s="1" t="s">
        <v>58</v>
      </c>
      <c r="I5" s="1" t="s">
        <v>75</v>
      </c>
      <c r="J5" s="16">
        <f>COUNTIFS(Results!$B$2:$B$220,$A5,Results!$H$2:$H$220,"Red")</f>
        <v>0</v>
      </c>
      <c r="K5" s="16">
        <f>COUNTIFS(Results!$B$2:$B$220,$A5,Results!$H$2:$H$220,"Blue")</f>
        <v>0</v>
      </c>
      <c r="L5" s="16">
        <f>IF(COUNTIFS(Results!$B$2:$B$220,$A5,Results!$H$2:$H$220,"&gt;0"&amp;"*")=18,"Final",COUNTIFS(Results!$B$2:$B$220,$A5,Results!$H$2:$H$220,"&gt;0"&amp;"*"))</f>
        <v>0</v>
      </c>
      <c r="M5" s="16">
        <f t="shared" si="0"/>
        <v>0</v>
      </c>
      <c r="N5" s="16" t="str">
        <f t="shared" si="1"/>
        <v>Not finished</v>
      </c>
      <c r="O5" s="16" t="str">
        <f>_xlfn.IFNA(CONCATENATE(VLOOKUP($F5,Players!$B$1:$K$40,10,FALSE)," &amp; ",VLOOKUP($G5,Players!$B$1:$K$40,10,FALSE)),VLOOKUP($F5,Players!$B$1:$K$40,10,FALSE))</f>
        <v>Herold &amp; Varhaník</v>
      </c>
      <c r="P5" s="16" t="str">
        <f>_xlfn.IFNA(CONCATENATE(VLOOKUP($H5,Players!$B$1:$K$40,10,FALSE)," &amp; ",VLOOKUP($I5,Players!$B$1:$K$40,10,FALSE)),VLOOKUP($H5,Players!$B$1:$K$40,10,FALSE))</f>
        <v>Žofák &amp; Ledecký</v>
      </c>
      <c r="Q5" s="16" t="str">
        <f t="shared" si="2"/>
        <v>AS</v>
      </c>
      <c r="R5" s="16">
        <f t="shared" si="3"/>
        <v>0.5</v>
      </c>
      <c r="S5" s="16" t="str">
        <f t="shared" si="4"/>
        <v>AS</v>
      </c>
      <c r="T5" s="10">
        <f>SUMIF(Results!$B$2:$B$217,$A5,Results!$F$2:$F$217)</f>
        <v>86</v>
      </c>
      <c r="U5" s="10">
        <f>SUMIF(Results!$B$2:$B$217,$A5,Results!$G$2:$G$217)</f>
        <v>90</v>
      </c>
    </row>
    <row r="6" spans="1:21" ht="15.75" customHeight="1" x14ac:dyDescent="0.15">
      <c r="A6" s="14">
        <v>5</v>
      </c>
      <c r="B6" s="14">
        <v>2</v>
      </c>
      <c r="C6" s="10" t="str">
        <f>VLOOKUP(D6,'Field difficulty'!$A$1:$H$50,4,FALSE)</f>
        <v>Golf Resort Barbora</v>
      </c>
      <c r="D6" s="15">
        <f>VLOOKUP(B6,This_year_field!$A$1:$C$3,2,FALSE)</f>
        <v>6</v>
      </c>
      <c r="E6" s="1" t="s">
        <v>132</v>
      </c>
      <c r="F6" s="1"/>
      <c r="G6" s="1"/>
      <c r="H6" s="1" t="s">
        <v>44</v>
      </c>
      <c r="I6" s="1"/>
      <c r="J6" s="16">
        <f>COUNTIFS(Results!$B$2:$B$220,$A6,Results!$H$2:$H$220,"Red")</f>
        <v>0</v>
      </c>
      <c r="K6" s="16">
        <f>COUNTIFS(Results!$B$2:$B$220,$A6,Results!$H$2:$H$220,"Blue")</f>
        <v>0</v>
      </c>
      <c r="L6" s="16">
        <f>IF(COUNTIFS(Results!$B$2:$B$220,$A6,Results!$H$2:$H$220,"&gt;0"&amp;"*")=18,"Final",COUNTIFS(Results!$B$2:$B$220,$A6,Results!$H$2:$H$220,"&gt;0"&amp;"*"))</f>
        <v>0</v>
      </c>
      <c r="M6" s="16">
        <f t="shared" si="0"/>
        <v>0</v>
      </c>
      <c r="N6" s="16" t="str">
        <f t="shared" si="1"/>
        <v>Not finished</v>
      </c>
      <c r="O6" s="16" t="e">
        <f>_xlfn.IFNA(CONCATENATE(VLOOKUP($F6,Players!$B$1:$K$40,10,FALSE)," &amp; ",VLOOKUP($G6,Players!$B$1:$K$40,10,FALSE)),VLOOKUP($F6,Players!$B$1:$K$40,10,FALSE))</f>
        <v>#N/A</v>
      </c>
      <c r="P6" s="16" t="str">
        <f>_xlfn.IFNA(CONCATENATE(VLOOKUP($H6,Players!$B$1:$K$40,10,FALSE)," &amp; ",VLOOKUP($I6,Players!$B$1:$K$40,10,FALSE)),VLOOKUP($H6,Players!$B$1:$K$40,10,FALSE))</f>
        <v>Klokočka</v>
      </c>
      <c r="Q6" s="16" t="str">
        <f t="shared" si="2"/>
        <v>AS</v>
      </c>
      <c r="R6" s="16">
        <f t="shared" si="3"/>
        <v>0.5</v>
      </c>
      <c r="S6" s="16" t="str">
        <f t="shared" si="4"/>
        <v>AS</v>
      </c>
      <c r="T6" s="10" t="e">
        <f>SUMIF(Results!$B$2:$B$217,$A6,Results!$F$2:$F$217)</f>
        <v>#N/A</v>
      </c>
      <c r="U6" s="10">
        <f>SUMIF(Results!$B$2:$B$217,$A6,Results!$G$2:$G$217)</f>
        <v>73</v>
      </c>
    </row>
    <row r="7" spans="1:21" ht="15.75" customHeight="1" x14ac:dyDescent="0.15">
      <c r="A7" s="14">
        <v>6</v>
      </c>
      <c r="B7" s="14">
        <v>2</v>
      </c>
      <c r="C7" s="10" t="str">
        <f>VLOOKUP(D7,'Field difficulty'!$A$1:$H$50,4,FALSE)</f>
        <v>Golf Resort Barbora</v>
      </c>
      <c r="D7" s="15">
        <f>VLOOKUP(B7,This_year_field!$A$1:$C$3,2,FALSE)</f>
        <v>6</v>
      </c>
      <c r="E7" s="1" t="s">
        <v>132</v>
      </c>
      <c r="F7" s="1"/>
      <c r="G7" s="1"/>
      <c r="H7" s="1" t="s">
        <v>34</v>
      </c>
      <c r="I7" s="1"/>
      <c r="J7" s="16">
        <f>COUNTIFS(Results!$B$2:$B$220,$A7,Results!$H$2:$H$220,"Red")</f>
        <v>0</v>
      </c>
      <c r="K7" s="16">
        <f>COUNTIFS(Results!$B$2:$B$220,$A7,Results!$H$2:$H$220,"Blue")</f>
        <v>0</v>
      </c>
      <c r="L7" s="16">
        <f>IF(COUNTIFS(Results!$B$2:$B$220,$A7,Results!$H$2:$H$220,"&gt;0"&amp;"*")=18,"Final",COUNTIFS(Results!$B$2:$B$220,$A7,Results!$H$2:$H$220,"&gt;0"&amp;"*"))</f>
        <v>0</v>
      </c>
      <c r="M7" s="16">
        <f t="shared" si="0"/>
        <v>0</v>
      </c>
      <c r="N7" s="16" t="str">
        <f t="shared" si="1"/>
        <v>Not finished</v>
      </c>
      <c r="O7" s="16" t="e">
        <f>_xlfn.IFNA(CONCATENATE(VLOOKUP($F7,Players!$B$1:$K$40,10,FALSE)," &amp; ",VLOOKUP($G7,Players!$B$1:$K$40,10,FALSE)),VLOOKUP($F7,Players!$B$1:$K$40,10,FALSE))</f>
        <v>#N/A</v>
      </c>
      <c r="P7" s="16" t="str">
        <f>_xlfn.IFNA(CONCATENATE(VLOOKUP($H7,Players!$B$1:$K$40,10,FALSE)," &amp; ",VLOOKUP($I7,Players!$B$1:$K$40,10,FALSE)),VLOOKUP($H7,Players!$B$1:$K$40,10,FALSE))</f>
        <v>Klokočka</v>
      </c>
      <c r="Q7" s="16" t="str">
        <f t="shared" si="2"/>
        <v>AS</v>
      </c>
      <c r="R7" s="16">
        <f t="shared" si="3"/>
        <v>0.5</v>
      </c>
      <c r="S7" s="16" t="str">
        <f t="shared" si="4"/>
        <v>AS</v>
      </c>
      <c r="T7" s="10" t="e">
        <f>SUMIF(Results!$B$2:$B$217,$A7,Results!$F$2:$F$217)</f>
        <v>#N/A</v>
      </c>
      <c r="U7" s="10">
        <f>SUMIF(Results!$B$2:$B$217,$A7,Results!$G$2:$G$217)</f>
        <v>72</v>
      </c>
    </row>
    <row r="8" spans="1:21" ht="15.75" customHeight="1" x14ac:dyDescent="0.15">
      <c r="A8" s="14">
        <v>7</v>
      </c>
      <c r="B8" s="14">
        <v>2</v>
      </c>
      <c r="C8" s="10" t="str">
        <f>VLOOKUP(D8,'Field difficulty'!$A$1:$H$50,4,FALSE)</f>
        <v>Golf Resort Barbora</v>
      </c>
      <c r="D8" s="15">
        <f>VLOOKUP(B8,This_year_field!$A$1:$C$3,2,FALSE)</f>
        <v>6</v>
      </c>
      <c r="E8" s="1" t="s">
        <v>132</v>
      </c>
      <c r="F8" s="1"/>
      <c r="G8" s="1"/>
      <c r="H8" s="1" t="s">
        <v>71</v>
      </c>
      <c r="I8" s="1"/>
      <c r="J8" s="16">
        <f>COUNTIFS(Results!$B$2:$B$220,$A8,Results!$H$2:$H$220,"Red")</f>
        <v>0</v>
      </c>
      <c r="K8" s="16">
        <f>COUNTIFS(Results!$B$2:$B$220,$A8,Results!$H$2:$H$220,"Blue")</f>
        <v>0</v>
      </c>
      <c r="L8" s="16">
        <f>IF(COUNTIFS(Results!$B$2:$B$220,$A8,Results!$H$2:$H$220,"&gt;0"&amp;"*")=18,"Final",COUNTIFS(Results!$B$2:$B$220,$A8,Results!$H$2:$H$220,"&gt;0"&amp;"*"))</f>
        <v>0</v>
      </c>
      <c r="M8" s="16">
        <f t="shared" si="0"/>
        <v>0</v>
      </c>
      <c r="N8" s="16" t="str">
        <f t="shared" si="1"/>
        <v>Not finished</v>
      </c>
      <c r="O8" s="16" t="e">
        <f>_xlfn.IFNA(CONCATENATE(VLOOKUP($F8,Players!$B$1:$K$40,10,FALSE)," &amp; ",VLOOKUP($G8,Players!$B$1:$K$40,10,FALSE)),VLOOKUP($F8,Players!$B$1:$K$40,10,FALSE))</f>
        <v>#N/A</v>
      </c>
      <c r="P8" s="16" t="str">
        <f>_xlfn.IFNA(CONCATENATE(VLOOKUP($H8,Players!$B$1:$K$40,10,FALSE)," &amp; ",VLOOKUP($I8,Players!$B$1:$K$40,10,FALSE)),VLOOKUP($H8,Players!$B$1:$K$40,10,FALSE))</f>
        <v>Šíla</v>
      </c>
      <c r="Q8" s="16" t="str">
        <f t="shared" si="2"/>
        <v>AS</v>
      </c>
      <c r="R8" s="16">
        <f t="shared" si="3"/>
        <v>0.5</v>
      </c>
      <c r="S8" s="16" t="str">
        <f t="shared" si="4"/>
        <v>AS</v>
      </c>
      <c r="T8" s="10" t="e">
        <f>SUMIF(Results!$B$2:$B$217,$A8,Results!$F$2:$F$217)</f>
        <v>#N/A</v>
      </c>
      <c r="U8" s="10">
        <f>SUMIF(Results!$B$2:$B$217,$A8,Results!$G$2:$G$217)</f>
        <v>110</v>
      </c>
    </row>
    <row r="9" spans="1:21" ht="15.75" customHeight="1" x14ac:dyDescent="0.15">
      <c r="A9" s="14">
        <v>8</v>
      </c>
      <c r="B9" s="14">
        <v>2</v>
      </c>
      <c r="C9" s="10" t="str">
        <f>VLOOKUP(D9,'Field difficulty'!$A$1:$H$50,4,FALSE)</f>
        <v>Golf Resort Barbora</v>
      </c>
      <c r="D9" s="15">
        <f>VLOOKUP(B9,This_year_field!$A$1:$C$3,2,FALSE)</f>
        <v>6</v>
      </c>
      <c r="E9" s="1" t="s">
        <v>132</v>
      </c>
      <c r="F9" s="1"/>
      <c r="G9" s="1"/>
      <c r="H9" s="1" t="s">
        <v>58</v>
      </c>
      <c r="I9" s="1"/>
      <c r="J9" s="16">
        <f>COUNTIFS(Results!$B$2:$B$220,$A9,Results!$H$2:$H$220,"Red")</f>
        <v>0</v>
      </c>
      <c r="K9" s="16">
        <f>COUNTIFS(Results!$B$2:$B$220,$A9,Results!$H$2:$H$220,"Blue")</f>
        <v>0</v>
      </c>
      <c r="L9" s="16">
        <f>IF(COUNTIFS(Results!$B$2:$B$220,$A9,Results!$H$2:$H$220,"&gt;0"&amp;"*")=18,"Final",COUNTIFS(Results!$B$2:$B$220,$A9,Results!$H$2:$H$220,"&gt;0"&amp;"*"))</f>
        <v>0</v>
      </c>
      <c r="M9" s="16">
        <f t="shared" si="0"/>
        <v>0</v>
      </c>
      <c r="N9" s="16" t="str">
        <f t="shared" si="1"/>
        <v>Not finished</v>
      </c>
      <c r="O9" s="16" t="e">
        <f>_xlfn.IFNA(CONCATENATE(VLOOKUP($F9,Players!$B$1:$K$40,10,FALSE)," &amp; ",VLOOKUP($G9,Players!$B$1:$K$40,10,FALSE)),VLOOKUP($F9,Players!$B$1:$K$40,10,FALSE))</f>
        <v>#N/A</v>
      </c>
      <c r="P9" s="16" t="str">
        <f>_xlfn.IFNA(CONCATENATE(VLOOKUP($H9,Players!$B$1:$K$40,10,FALSE)," &amp; ",VLOOKUP($I9,Players!$B$1:$K$40,10,FALSE)),VLOOKUP($H9,Players!$B$1:$K$40,10,FALSE))</f>
        <v>Žofák</v>
      </c>
      <c r="Q9" s="16" t="str">
        <f t="shared" si="2"/>
        <v>AS</v>
      </c>
      <c r="R9" s="16">
        <f t="shared" si="3"/>
        <v>0.5</v>
      </c>
      <c r="S9" s="16" t="str">
        <f t="shared" si="4"/>
        <v>AS</v>
      </c>
      <c r="T9" s="10" t="e">
        <f>SUMIF(Results!$B$2:$B$217,$A9,Results!$F$2:$F$217)</f>
        <v>#N/A</v>
      </c>
      <c r="U9" s="10">
        <f>SUMIF(Results!$B$2:$B$217,$A9,Results!$G$2:$G$217)</f>
        <v>89</v>
      </c>
    </row>
    <row r="10" spans="1:21" ht="15.75" customHeight="1" x14ac:dyDescent="0.15">
      <c r="A10" s="14">
        <v>9</v>
      </c>
      <c r="B10" s="14">
        <v>2</v>
      </c>
      <c r="C10" s="10" t="str">
        <f>VLOOKUP(D10,'Field difficulty'!$A$1:$H$50,4,FALSE)</f>
        <v>Golf Resort Barbora</v>
      </c>
      <c r="D10" s="15">
        <f>VLOOKUP(B10,This_year_field!$A$1:$C$3,2,FALSE)</f>
        <v>6</v>
      </c>
      <c r="E10" s="1" t="s">
        <v>132</v>
      </c>
      <c r="F10" s="1"/>
      <c r="G10" s="1"/>
      <c r="H10" s="1" t="s">
        <v>62</v>
      </c>
      <c r="I10" s="1"/>
      <c r="J10" s="16">
        <f>COUNTIFS(Results!$B$2:$B$220,$A10,Results!$H$2:$H$220,"Red")</f>
        <v>0</v>
      </c>
      <c r="K10" s="16">
        <f>COUNTIFS(Results!$B$2:$B$220,$A10,Results!$H$2:$H$220,"Blue")</f>
        <v>0</v>
      </c>
      <c r="L10" s="16">
        <f>IF(COUNTIFS(Results!$B$2:$B$220,$A10,Results!$H$2:$H$220,"&gt;0"&amp;"*")=18,"Final",COUNTIFS(Results!$B$2:$B$220,$A10,Results!$H$2:$H$220,"&gt;0"&amp;"*"))</f>
        <v>0</v>
      </c>
      <c r="M10" s="16">
        <f t="shared" si="0"/>
        <v>0</v>
      </c>
      <c r="N10" s="16" t="str">
        <f t="shared" si="1"/>
        <v>Not finished</v>
      </c>
      <c r="O10" s="16" t="e">
        <f>_xlfn.IFNA(CONCATENATE(VLOOKUP($F10,Players!$B$1:$K$40,10,FALSE)," &amp; ",VLOOKUP($G10,Players!$B$1:$K$40,10,FALSE)),VLOOKUP($F10,Players!$B$1:$K$40,10,FALSE))</f>
        <v>#N/A</v>
      </c>
      <c r="P10" s="16" t="str">
        <f>_xlfn.IFNA(CONCATENATE(VLOOKUP($H10,Players!$B$1:$K$40,10,FALSE)," &amp; ",VLOOKUP($I10,Players!$B$1:$K$40,10,FALSE)),VLOOKUP($H10,Players!$B$1:$K$40,10,FALSE))</f>
        <v>Krábek</v>
      </c>
      <c r="Q10" s="16" t="str">
        <f t="shared" si="2"/>
        <v>AS</v>
      </c>
      <c r="R10" s="16">
        <f t="shared" si="3"/>
        <v>0.5</v>
      </c>
      <c r="S10" s="16" t="str">
        <f t="shared" si="4"/>
        <v>AS</v>
      </c>
      <c r="T10" s="10" t="e">
        <f>SUMIF(Results!$B$2:$B$217,$A10,Results!$F$2:$F$217)</f>
        <v>#N/A</v>
      </c>
      <c r="U10" s="10">
        <f>SUMIF(Results!$B$2:$B$217,$A10,Results!$G$2:$G$217)</f>
        <v>96</v>
      </c>
    </row>
    <row r="11" spans="1:21" ht="15.75" customHeight="1" x14ac:dyDescent="0.15">
      <c r="A11" s="14">
        <v>10</v>
      </c>
      <c r="B11" s="14">
        <v>2</v>
      </c>
      <c r="C11" s="10" t="str">
        <f>VLOOKUP(D11,'Field difficulty'!$A$1:$H$50,4,FALSE)</f>
        <v>Golf Resort Barbora</v>
      </c>
      <c r="D11" s="15">
        <f>VLOOKUP(B11,This_year_field!$A$1:$C$3,2,FALSE)</f>
        <v>6</v>
      </c>
      <c r="E11" s="1" t="s">
        <v>132</v>
      </c>
      <c r="F11" s="1"/>
      <c r="G11" s="1"/>
      <c r="H11" s="1" t="s">
        <v>66</v>
      </c>
      <c r="I11" s="1"/>
      <c r="J11" s="16">
        <f>COUNTIFS(Results!$B$2:$B$220,$A11,Results!$H$2:$H$220,"Red")</f>
        <v>0</v>
      </c>
      <c r="K11" s="16">
        <f>COUNTIFS(Results!$B$2:$B$220,$A11,Results!$H$2:$H$220,"Blue")</f>
        <v>0</v>
      </c>
      <c r="L11" s="16">
        <f>IF(COUNTIFS(Results!$B$2:$B$220,$A11,Results!$H$2:$H$220,"&gt;0"&amp;"*")=18,"Final",COUNTIFS(Results!$B$2:$B$220,$A11,Results!$H$2:$H$220,"&gt;0"&amp;"*"))</f>
        <v>0</v>
      </c>
      <c r="M11" s="16">
        <f t="shared" si="0"/>
        <v>0</v>
      </c>
      <c r="N11" s="16" t="str">
        <f t="shared" si="1"/>
        <v>Not finished</v>
      </c>
      <c r="O11" s="16" t="e">
        <f>_xlfn.IFNA(CONCATENATE(VLOOKUP($F11,Players!$B$1:$K$40,10,FALSE)," &amp; ",VLOOKUP($G11,Players!$B$1:$K$40,10,FALSE)),VLOOKUP($F11,Players!$B$1:$K$40,10,FALSE))</f>
        <v>#N/A</v>
      </c>
      <c r="P11" s="16" t="str">
        <f>_xlfn.IFNA(CONCATENATE(VLOOKUP($H11,Players!$B$1:$K$40,10,FALSE)," &amp; ",VLOOKUP($I11,Players!$B$1:$K$40,10,FALSE)),VLOOKUP($H11,Players!$B$1:$K$40,10,FALSE))</f>
        <v>Pleticha</v>
      </c>
      <c r="Q11" s="16" t="str">
        <f t="shared" si="2"/>
        <v>AS</v>
      </c>
      <c r="R11" s="16">
        <f t="shared" si="3"/>
        <v>0.5</v>
      </c>
      <c r="S11" s="16" t="str">
        <f t="shared" si="4"/>
        <v>AS</v>
      </c>
      <c r="T11" s="10" t="e">
        <f>SUMIF(Results!$B$2:$B$217,$A11,Results!$F$2:$F$217)</f>
        <v>#N/A</v>
      </c>
      <c r="U11" s="10">
        <f>SUMIF(Results!$B$2:$B$217,$A11,Results!$G$2:$G$217)</f>
        <v>98</v>
      </c>
    </row>
    <row r="12" spans="1:21" ht="15.75" customHeight="1" x14ac:dyDescent="0.15">
      <c r="A12" s="14">
        <v>11</v>
      </c>
      <c r="B12" s="14">
        <v>2</v>
      </c>
      <c r="C12" s="10" t="str">
        <f>VLOOKUP(D12,'Field difficulty'!$A$1:$H$50,4,FALSE)</f>
        <v>Golf Resort Barbora</v>
      </c>
      <c r="D12" s="15">
        <f>VLOOKUP(B12,This_year_field!$A$1:$C$3,2,FALSE)</f>
        <v>6</v>
      </c>
      <c r="E12" s="1" t="s">
        <v>132</v>
      </c>
      <c r="F12" s="1"/>
      <c r="G12" s="1"/>
      <c r="H12" s="1" t="s">
        <v>48</v>
      </c>
      <c r="I12" s="1"/>
      <c r="J12" s="16">
        <f>COUNTIFS(Results!$B$2:$B$220,$A12,Results!$H$2:$H$220,"Red")</f>
        <v>0</v>
      </c>
      <c r="K12" s="16">
        <f>COUNTIFS(Results!$B$2:$B$220,$A12,Results!$H$2:$H$220,"Blue")</f>
        <v>0</v>
      </c>
      <c r="L12" s="16">
        <f>IF(COUNTIFS(Results!$B$2:$B$220,$A12,Results!$H$2:$H$220,"&gt;0"&amp;"*")=18,"Final",COUNTIFS(Results!$B$2:$B$220,$A12,Results!$H$2:$H$220,"&gt;0"&amp;"*"))</f>
        <v>0</v>
      </c>
      <c r="M12" s="16">
        <f t="shared" si="0"/>
        <v>0</v>
      </c>
      <c r="N12" s="16" t="str">
        <f t="shared" si="1"/>
        <v>Not finished</v>
      </c>
      <c r="O12" s="16" t="e">
        <f>_xlfn.IFNA(CONCATENATE(VLOOKUP($F12,Players!$B$1:$K$40,10,FALSE)," &amp; ",VLOOKUP($G12,Players!$B$1:$K$40,10,FALSE)),VLOOKUP($F12,Players!$B$1:$K$40,10,FALSE))</f>
        <v>#N/A</v>
      </c>
      <c r="P12" s="16" t="str">
        <f>_xlfn.IFNA(CONCATENATE(VLOOKUP($H12,Players!$B$1:$K$40,10,FALSE)," &amp; ",VLOOKUP($I12,Players!$B$1:$K$40,10,FALSE)),VLOOKUP($H12,Players!$B$1:$K$40,10,FALSE))</f>
        <v>Palička</v>
      </c>
      <c r="Q12" s="16" t="str">
        <f t="shared" si="2"/>
        <v>AS</v>
      </c>
      <c r="R12" s="16">
        <f t="shared" si="3"/>
        <v>0.5</v>
      </c>
      <c r="S12" s="16" t="str">
        <f t="shared" si="4"/>
        <v>AS</v>
      </c>
      <c r="T12" s="10" t="e">
        <f>SUMIF(Results!$B$2:$B$217,$A12,Results!$F$2:$F$217)</f>
        <v>#N/A</v>
      </c>
      <c r="U12" s="10">
        <f>SUMIF(Results!$B$2:$B$217,$A12,Results!$G$2:$G$217)</f>
        <v>88</v>
      </c>
    </row>
    <row r="13" spans="1:21" ht="15.75" customHeight="1" x14ac:dyDescent="0.15">
      <c r="A13" s="14">
        <v>12</v>
      </c>
      <c r="B13" s="14">
        <v>2</v>
      </c>
      <c r="C13" s="10" t="str">
        <f>VLOOKUP(D13,'Field difficulty'!$A$1:$H$50,4,FALSE)</f>
        <v>Golf Resort Barbora</v>
      </c>
      <c r="D13" s="15">
        <f>VLOOKUP(B13,This_year_field!$A$1:$C$3,2,FALSE)</f>
        <v>6</v>
      </c>
      <c r="E13" s="1" t="s">
        <v>132</v>
      </c>
      <c r="F13" s="1"/>
      <c r="G13" s="1"/>
      <c r="H13" s="1" t="s">
        <v>75</v>
      </c>
      <c r="I13" s="1"/>
      <c r="J13" s="16">
        <f>COUNTIFS(Results!$B$2:$B$220,$A13,Results!$H$2:$H$220,"Red")</f>
        <v>0</v>
      </c>
      <c r="K13" s="16">
        <f>COUNTIFS(Results!$B$2:$B$220,$A13,Results!$H$2:$H$220,"Blue")</f>
        <v>0</v>
      </c>
      <c r="L13" s="16">
        <f>IF(COUNTIFS(Results!$B$2:$B$220,$A13,Results!$H$2:$H$220,"&gt;0"&amp;"*")=18,"Final",COUNTIFS(Results!$B$2:$B$220,$A13,Results!$H$2:$H$220,"&gt;0"&amp;"*"))</f>
        <v>0</v>
      </c>
      <c r="M13" s="16">
        <f t="shared" si="0"/>
        <v>0</v>
      </c>
      <c r="N13" s="16" t="str">
        <f t="shared" si="1"/>
        <v>Not finished</v>
      </c>
      <c r="O13" s="16" t="e">
        <f>_xlfn.IFNA(CONCATENATE(VLOOKUP($F13,Players!$B$1:$K$40,10,FALSE)," &amp; ",VLOOKUP($G13,Players!$B$1:$K$40,10,FALSE)),VLOOKUP($F13,Players!$B$1:$K$40,10,FALSE))</f>
        <v>#N/A</v>
      </c>
      <c r="P13" s="16" t="str">
        <f>_xlfn.IFNA(CONCATENATE(VLOOKUP($H13,Players!$B$1:$K$40,10,FALSE)," &amp; ",VLOOKUP($I13,Players!$B$1:$K$40,10,FALSE)),VLOOKUP($H13,Players!$B$1:$K$40,10,FALSE))</f>
        <v>Ledecký</v>
      </c>
      <c r="Q13" s="16" t="str">
        <f t="shared" si="2"/>
        <v>AS</v>
      </c>
      <c r="R13" s="16">
        <f t="shared" si="3"/>
        <v>0.5</v>
      </c>
      <c r="S13" s="16" t="str">
        <f t="shared" si="4"/>
        <v>AS</v>
      </c>
      <c r="T13" s="10" t="e">
        <f>SUMIF(Results!$B$2:$B$217,$A13,Results!$F$2:$F$217)</f>
        <v>#N/A</v>
      </c>
      <c r="U13" s="10">
        <f>SUMIF(Results!$B$2:$B$217,$A13,Results!$G$2:$G$217)</f>
        <v>107</v>
      </c>
    </row>
    <row r="28" spans="7:8" ht="15.75" customHeight="1" x14ac:dyDescent="0.15">
      <c r="G28" s="1"/>
      <c r="H28" s="1"/>
    </row>
    <row r="29" spans="7:8" ht="15.75" customHeight="1" x14ac:dyDescent="0.15">
      <c r="G29" s="1"/>
      <c r="H29" s="1"/>
    </row>
    <row r="30" spans="7:8" ht="15.75" customHeight="1" x14ac:dyDescent="0.15">
      <c r="G30" s="1"/>
      <c r="H30" s="1"/>
    </row>
    <row r="31" spans="7:8" ht="15.75" customHeight="1" x14ac:dyDescent="0.15">
      <c r="G31" s="1"/>
      <c r="H31" s="1"/>
    </row>
    <row r="32" spans="7:8" ht="15.75" customHeight="1" x14ac:dyDescent="0.15">
      <c r="H32" s="1"/>
    </row>
  </sheetData>
  <dataValidations count="1">
    <dataValidation type="list" allowBlank="1" showErrorMessage="1" sqref="E2:E13" xr:uid="{00000000-0002-0000-0300-000000000000}">
      <formula1>"Texas,Singles"</formula1>
    </dataValidation>
  </dataValidations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1000000}">
          <x14:formula1>
            <xm:f>Players!$B$2:$B$30</xm:f>
          </x14:formula1>
          <xm:sqref>F2:I13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235"/>
  <sheetViews>
    <sheetView workbookViewId="0">
      <selection activeCell="B2" sqref="B2"/>
    </sheetView>
  </sheetViews>
  <sheetFormatPr baseColWidth="10" defaultColWidth="12.6640625" defaultRowHeight="15.75" customHeight="1" x14ac:dyDescent="0.15"/>
  <cols>
    <col min="6" max="6" width="17.5" bestFit="1" customWidth="1"/>
    <col min="11" max="11" width="24.1640625" customWidth="1"/>
    <col min="12" max="12" width="17.5" bestFit="1" customWidth="1"/>
  </cols>
  <sheetData>
    <row r="1" spans="1:13" ht="15.75" customHeight="1" x14ac:dyDescent="0.15">
      <c r="A1" s="14" t="s">
        <v>133</v>
      </c>
      <c r="B1" s="14" t="s">
        <v>475</v>
      </c>
      <c r="C1" s="14" t="s">
        <v>134</v>
      </c>
      <c r="D1" s="14" t="s">
        <v>135</v>
      </c>
      <c r="E1" s="14" t="s">
        <v>136</v>
      </c>
      <c r="F1" s="14" t="s">
        <v>137</v>
      </c>
      <c r="G1" s="14" t="s">
        <v>138</v>
      </c>
      <c r="H1" s="14" t="s">
        <v>139</v>
      </c>
      <c r="I1" s="14" t="s">
        <v>140</v>
      </c>
      <c r="J1" s="14" t="s">
        <v>141</v>
      </c>
      <c r="K1" s="14" t="s">
        <v>113</v>
      </c>
      <c r="L1" s="14" t="s">
        <v>142</v>
      </c>
      <c r="M1" s="14" t="s">
        <v>143</v>
      </c>
    </row>
    <row r="2" spans="1:13" ht="15.75" customHeight="1" x14ac:dyDescent="0.15">
      <c r="A2" s="16">
        <v>1</v>
      </c>
      <c r="B2" s="16">
        <v>1</v>
      </c>
      <c r="C2" s="16">
        <v>1</v>
      </c>
      <c r="F2" s="10">
        <f>$L2+ROUNDDOWN($I2/18,0)+IF(MOD($I2,18)&gt;=$M2,1,0)</f>
        <v>6</v>
      </c>
      <c r="G2" s="10">
        <f t="shared" ref="G2:G217" si="0">$L2+ROUNDDOWN($J2/18,0)+IF(MOD($J2,18)&gt;=$M2,1,0)</f>
        <v>4</v>
      </c>
      <c r="H2" s="10" t="str">
        <f t="shared" ref="H2:H217" si="1">IF(ISBLANK(D2)=TRUE,"",IF(ISBLANK(E2)=TRUE,"",IF(F2-D2&lt;G2-E2,"BLUE",IF(F2-D2&gt;G2-E2,"RED","AS"))))</f>
        <v/>
      </c>
      <c r="I2" s="10">
        <f>IF(VLOOKUP($B2,Games!$A$1:$I$20,5,FALSE)="Texas",ROUND(((VLOOKUP(VLOOKUP($B2,Games!$A$1:$I$20,6,FALSE),Players!$B$1:$F$40,4,FALSE)+VLOOKUP(VLOOKUP($B2,Games!$A$1:$I$20,7,FALSE),Players!$B$1:$F$40,4,FALSE)))*(3/8),1),ROUND(VLOOKUP(VLOOKUP($B2,Games!$A$1:$I$20,6,FALSE),Players!$B$1:$F$40,5,FALSE),1))</f>
        <v>31.1</v>
      </c>
      <c r="J2" s="10">
        <f>IF(VLOOKUP($B2,Games!$A$1:$I$20,5,FALSE)="Texas",ROUND((VLOOKUP(VLOOKUP($B2,Games!$A$1:$I$20,8,FALSE),Players!$B$1:$F$40,4,FALSE)+VLOOKUP(VLOOKUP($B2,Games!$A$1:$I$20,9,FALSE),Players!$B$1:$F$40,4,FALSE))*(3/8),1),ROUND(VLOOKUP(VLOOKUP($B2,Games!$A$1:$I$20,8,FALSE),Players!$B$1:$F$40,5,FALSE),1))</f>
        <v>9.1999999999999993</v>
      </c>
      <c r="K2" s="10" t="str">
        <f>VLOOKUP(B2,Games!$A$1:$I$20,3,FALSE)</f>
        <v>Terasy Ústí n. Labem</v>
      </c>
      <c r="L2" s="10">
        <f>VLOOKUP(CONCATENATE($K2,$C2),'Field holes'!$B$1:$I$900,6,FALSE)</f>
        <v>4</v>
      </c>
      <c r="M2" s="10">
        <f>VLOOKUP(CONCATENATE($K2,$C2),'Field holes'!$B$1:$I$900,7,FALSE)</f>
        <v>12</v>
      </c>
    </row>
    <row r="3" spans="1:13" ht="15.75" customHeight="1" x14ac:dyDescent="0.15">
      <c r="A3" s="16">
        <v>2</v>
      </c>
      <c r="B3" s="16">
        <v>1</v>
      </c>
      <c r="C3" s="16">
        <v>2</v>
      </c>
      <c r="F3" s="10">
        <f t="shared" ref="F3:F217" si="2">$L3+ROUNDDOWN($I3/18,0)+IF(MOD($I3,18)&gt;=$M3,1,0)</f>
        <v>6</v>
      </c>
      <c r="G3" s="10">
        <f t="shared" si="0"/>
        <v>5</v>
      </c>
      <c r="H3" s="10" t="str">
        <f t="shared" si="1"/>
        <v/>
      </c>
      <c r="I3" s="10">
        <f>IF(VLOOKUP($B3,Games!$A$1:$I$20,5,FALSE)="Texas",ROUND(((VLOOKUP(VLOOKUP($B3,Games!$A$1:$I$20,6,FALSE),Players!$B$1:$F$40,4,FALSE)+VLOOKUP(VLOOKUP($B3,Games!$A$1:$I$20,7,FALSE),Players!$B$1:$F$40,4,FALSE)))*(3/8),1),ROUND(VLOOKUP(VLOOKUP($B3,Games!$A$1:$I$20,6,FALSE),Players!$B$1:$F$40,5,FALSE),1))</f>
        <v>31.1</v>
      </c>
      <c r="J3" s="10">
        <f>IF(VLOOKUP($B3,Games!$A$1:$I$20,5,FALSE)="Texas",ROUND((VLOOKUP(VLOOKUP($B3,Games!$A$1:$I$20,8,FALSE),Players!$B$1:$F$40,4,FALSE)+VLOOKUP(VLOOKUP($B3,Games!$A$1:$I$20,9,FALSE),Players!$B$1:$F$40,4,FALSE))*(3/8),1),ROUND(VLOOKUP(VLOOKUP($B3,Games!$A$1:$I$20,8,FALSE),Players!$B$1:$F$40,5,FALSE),1))</f>
        <v>9.1999999999999993</v>
      </c>
      <c r="K3" s="10" t="str">
        <f>VLOOKUP(B3,Games!$A$1:$I$20,3,FALSE)</f>
        <v>Terasy Ústí n. Labem</v>
      </c>
      <c r="L3" s="10">
        <f>VLOOKUP(CONCATENATE($K3,$C3),'Field holes'!$B$1:$I$900,6,FALSE)</f>
        <v>4</v>
      </c>
      <c r="M3" s="10">
        <f>VLOOKUP(CONCATENATE($K3,$C3),'Field holes'!$B$1:$I$900,7,FALSE)</f>
        <v>6</v>
      </c>
    </row>
    <row r="4" spans="1:13" ht="15.75" customHeight="1" x14ac:dyDescent="0.15">
      <c r="A4" s="16">
        <v>3</v>
      </c>
      <c r="B4" s="16">
        <v>1</v>
      </c>
      <c r="C4" s="16">
        <v>3</v>
      </c>
      <c r="F4" s="10">
        <f t="shared" si="2"/>
        <v>5</v>
      </c>
      <c r="G4" s="10">
        <f t="shared" si="0"/>
        <v>4</v>
      </c>
      <c r="H4" s="10" t="str">
        <f t="shared" si="1"/>
        <v/>
      </c>
      <c r="I4" s="10">
        <f>IF(VLOOKUP($B4,Games!$A$1:$I$20,5,FALSE)="Texas",ROUND(((VLOOKUP(VLOOKUP($B4,Games!$A$1:$I$20,6,FALSE),Players!$B$1:$F$40,4,FALSE)+VLOOKUP(VLOOKUP($B4,Games!$A$1:$I$20,7,FALSE),Players!$B$1:$F$40,4,FALSE)))*(3/8),1),ROUND(VLOOKUP(VLOOKUP($B4,Games!$A$1:$I$20,6,FALSE),Players!$B$1:$F$40,5,FALSE),1))</f>
        <v>31.1</v>
      </c>
      <c r="J4" s="10">
        <f>IF(VLOOKUP($B4,Games!$A$1:$I$20,5,FALSE)="Texas",ROUND((VLOOKUP(VLOOKUP($B4,Games!$A$1:$I$20,8,FALSE),Players!$B$1:$F$40,4,FALSE)+VLOOKUP(VLOOKUP($B4,Games!$A$1:$I$20,9,FALSE),Players!$B$1:$F$40,4,FALSE))*(3/8),1),ROUND(VLOOKUP(VLOOKUP($B4,Games!$A$1:$I$20,8,FALSE),Players!$B$1:$F$40,5,FALSE),1))</f>
        <v>9.1999999999999993</v>
      </c>
      <c r="K4" s="10" t="str">
        <f>VLOOKUP(B4,Games!$A$1:$I$20,3,FALSE)</f>
        <v>Terasy Ústí n. Labem</v>
      </c>
      <c r="L4" s="10">
        <f>VLOOKUP(CONCATENATE($K4,$C4),'Field holes'!$B$1:$I$900,6,FALSE)</f>
        <v>4</v>
      </c>
      <c r="M4" s="10">
        <f>VLOOKUP(CONCATENATE($K4,$C4),'Field holes'!$B$1:$I$900,7,FALSE)</f>
        <v>16</v>
      </c>
    </row>
    <row r="5" spans="1:13" ht="15.75" customHeight="1" x14ac:dyDescent="0.15">
      <c r="A5" s="16">
        <v>4</v>
      </c>
      <c r="B5" s="16">
        <v>1</v>
      </c>
      <c r="C5" s="16">
        <v>4</v>
      </c>
      <c r="F5" s="10">
        <f t="shared" si="2"/>
        <v>5</v>
      </c>
      <c r="G5" s="10">
        <f t="shared" si="0"/>
        <v>4</v>
      </c>
      <c r="H5" s="10" t="str">
        <f t="shared" si="1"/>
        <v/>
      </c>
      <c r="I5" s="10">
        <f>IF(VLOOKUP($B5,Games!$A$1:$I$20,5,FALSE)="Texas",ROUND(((VLOOKUP(VLOOKUP($B5,Games!$A$1:$I$20,6,FALSE),Players!$B$1:$F$40,4,FALSE)+VLOOKUP(VLOOKUP($B5,Games!$A$1:$I$20,7,FALSE),Players!$B$1:$F$40,4,FALSE)))*(3/8),1),ROUND(VLOOKUP(VLOOKUP($B5,Games!$A$1:$I$20,6,FALSE),Players!$B$1:$F$40,5,FALSE),1))</f>
        <v>31.1</v>
      </c>
      <c r="J5" s="10">
        <f>IF(VLOOKUP($B5,Games!$A$1:$I$20,5,FALSE)="Texas",ROUND((VLOOKUP(VLOOKUP($B5,Games!$A$1:$I$20,8,FALSE),Players!$B$1:$F$40,4,FALSE)+VLOOKUP(VLOOKUP($B5,Games!$A$1:$I$20,9,FALSE),Players!$B$1:$F$40,4,FALSE))*(3/8),1),ROUND(VLOOKUP(VLOOKUP($B5,Games!$A$1:$I$20,8,FALSE),Players!$B$1:$F$40,5,FALSE),1))</f>
        <v>9.1999999999999993</v>
      </c>
      <c r="K5" s="10" t="str">
        <f>VLOOKUP(B5,Games!$A$1:$I$20,3,FALSE)</f>
        <v>Terasy Ústí n. Labem</v>
      </c>
      <c r="L5" s="10">
        <f>VLOOKUP(CONCATENATE($K5,$C5),'Field holes'!$B$1:$I$900,6,FALSE)</f>
        <v>3</v>
      </c>
      <c r="M5" s="10">
        <f>VLOOKUP(CONCATENATE($K5,$C5),'Field holes'!$B$1:$I$900,7,FALSE)</f>
        <v>2</v>
      </c>
    </row>
    <row r="6" spans="1:13" ht="15.75" customHeight="1" x14ac:dyDescent="0.15">
      <c r="A6" s="16">
        <v>5</v>
      </c>
      <c r="B6" s="16">
        <v>1</v>
      </c>
      <c r="C6" s="16">
        <v>5</v>
      </c>
      <c r="F6" s="10">
        <f t="shared" si="2"/>
        <v>6</v>
      </c>
      <c r="G6" s="10">
        <f t="shared" si="0"/>
        <v>5</v>
      </c>
      <c r="H6" s="10" t="str">
        <f t="shared" si="1"/>
        <v/>
      </c>
      <c r="I6" s="10">
        <f>IF(VLOOKUP($B6,Games!$A$1:$I$20,5,FALSE)="Texas",ROUND(((VLOOKUP(VLOOKUP($B6,Games!$A$1:$I$20,6,FALSE),Players!$B$1:$F$40,4,FALSE)+VLOOKUP(VLOOKUP($B6,Games!$A$1:$I$20,7,FALSE),Players!$B$1:$F$40,4,FALSE)))*(3/8),1),ROUND(VLOOKUP(VLOOKUP($B6,Games!$A$1:$I$20,6,FALSE),Players!$B$1:$F$40,5,FALSE),1))</f>
        <v>31.1</v>
      </c>
      <c r="J6" s="10">
        <f>IF(VLOOKUP($B6,Games!$A$1:$I$20,5,FALSE)="Texas",ROUND((VLOOKUP(VLOOKUP($B6,Games!$A$1:$I$20,8,FALSE),Players!$B$1:$F$40,4,FALSE)+VLOOKUP(VLOOKUP($B6,Games!$A$1:$I$20,9,FALSE),Players!$B$1:$F$40,4,FALSE))*(3/8),1),ROUND(VLOOKUP(VLOOKUP($B6,Games!$A$1:$I$20,8,FALSE),Players!$B$1:$F$40,5,FALSE),1))</f>
        <v>9.1999999999999993</v>
      </c>
      <c r="K6" s="10" t="str">
        <f>VLOOKUP(B6,Games!$A$1:$I$20,3,FALSE)</f>
        <v>Terasy Ústí n. Labem</v>
      </c>
      <c r="L6" s="10">
        <f>VLOOKUP(CONCATENATE($K6,$C6),'Field holes'!$B$1:$I$900,6,FALSE)</f>
        <v>4</v>
      </c>
      <c r="M6" s="10">
        <f>VLOOKUP(CONCATENATE($K6,$C6),'Field holes'!$B$1:$I$900,7,FALSE)</f>
        <v>8</v>
      </c>
    </row>
    <row r="7" spans="1:13" ht="15.75" customHeight="1" x14ac:dyDescent="0.15">
      <c r="A7" s="16">
        <v>6</v>
      </c>
      <c r="B7" s="16">
        <v>1</v>
      </c>
      <c r="C7" s="16">
        <v>6</v>
      </c>
      <c r="F7" s="10">
        <f t="shared" si="2"/>
        <v>4</v>
      </c>
      <c r="G7" s="10">
        <f t="shared" si="0"/>
        <v>3</v>
      </c>
      <c r="H7" s="10" t="str">
        <f t="shared" si="1"/>
        <v/>
      </c>
      <c r="I7" s="10">
        <f>IF(VLOOKUP($B7,Games!$A$1:$I$20,5,FALSE)="Texas",ROUND(((VLOOKUP(VLOOKUP($B7,Games!$A$1:$I$20,6,FALSE),Players!$B$1:$F$40,4,FALSE)+VLOOKUP(VLOOKUP($B7,Games!$A$1:$I$20,7,FALSE),Players!$B$1:$F$40,4,FALSE)))*(3/8),1),ROUND(VLOOKUP(VLOOKUP($B7,Games!$A$1:$I$20,6,FALSE),Players!$B$1:$F$40,5,FALSE),1))</f>
        <v>31.1</v>
      </c>
      <c r="J7" s="10">
        <f>IF(VLOOKUP($B7,Games!$A$1:$I$20,5,FALSE)="Texas",ROUND((VLOOKUP(VLOOKUP($B7,Games!$A$1:$I$20,8,FALSE),Players!$B$1:$F$40,4,FALSE)+VLOOKUP(VLOOKUP($B7,Games!$A$1:$I$20,9,FALSE),Players!$B$1:$F$40,4,FALSE))*(3/8),1),ROUND(VLOOKUP(VLOOKUP($B7,Games!$A$1:$I$20,8,FALSE),Players!$B$1:$F$40,5,FALSE),1))</f>
        <v>9.1999999999999993</v>
      </c>
      <c r="K7" s="10" t="str">
        <f>VLOOKUP(B7,Games!$A$1:$I$20,3,FALSE)</f>
        <v>Terasy Ústí n. Labem</v>
      </c>
      <c r="L7" s="10">
        <f>VLOOKUP(CONCATENATE($K7,$C7),'Field holes'!$B$1:$I$900,6,FALSE)</f>
        <v>3</v>
      </c>
      <c r="M7" s="10">
        <f>VLOOKUP(CONCATENATE($K7,$C7),'Field holes'!$B$1:$I$900,7,FALSE)</f>
        <v>14</v>
      </c>
    </row>
    <row r="8" spans="1:13" ht="15.75" customHeight="1" x14ac:dyDescent="0.15">
      <c r="A8" s="16">
        <v>7</v>
      </c>
      <c r="B8" s="16">
        <v>1</v>
      </c>
      <c r="C8" s="16">
        <v>7</v>
      </c>
      <c r="F8" s="10">
        <f t="shared" si="2"/>
        <v>5</v>
      </c>
      <c r="G8" s="10">
        <f t="shared" si="0"/>
        <v>4</v>
      </c>
      <c r="H8" s="10" t="str">
        <f t="shared" si="1"/>
        <v/>
      </c>
      <c r="I8" s="10">
        <f>IF(VLOOKUP($B8,Games!$A$1:$I$20,5,FALSE)="Texas",ROUND(((VLOOKUP(VLOOKUP($B8,Games!$A$1:$I$20,6,FALSE),Players!$B$1:$F$40,4,FALSE)+VLOOKUP(VLOOKUP($B8,Games!$A$1:$I$20,7,FALSE),Players!$B$1:$F$40,4,FALSE)))*(3/8),1),ROUND(VLOOKUP(VLOOKUP($B8,Games!$A$1:$I$20,6,FALSE),Players!$B$1:$F$40,5,FALSE),1))</f>
        <v>31.1</v>
      </c>
      <c r="J8" s="10">
        <f>IF(VLOOKUP($B8,Games!$A$1:$I$20,5,FALSE)="Texas",ROUND((VLOOKUP(VLOOKUP($B8,Games!$A$1:$I$20,8,FALSE),Players!$B$1:$F$40,4,FALSE)+VLOOKUP(VLOOKUP($B8,Games!$A$1:$I$20,9,FALSE),Players!$B$1:$F$40,4,FALSE))*(3/8),1),ROUND(VLOOKUP(VLOOKUP($B8,Games!$A$1:$I$20,8,FALSE),Players!$B$1:$F$40,5,FALSE),1))</f>
        <v>9.1999999999999993</v>
      </c>
      <c r="K8" s="10" t="str">
        <f>VLOOKUP(B8,Games!$A$1:$I$20,3,FALSE)</f>
        <v>Terasy Ústí n. Labem</v>
      </c>
      <c r="L8" s="10">
        <f>VLOOKUP(CONCATENATE($K8,$C8),'Field holes'!$B$1:$I$900,6,FALSE)</f>
        <v>4</v>
      </c>
      <c r="M8" s="10">
        <f>VLOOKUP(CONCATENATE($K8,$C8),'Field holes'!$B$1:$I$900,7,FALSE)</f>
        <v>18</v>
      </c>
    </row>
    <row r="9" spans="1:13" ht="15.75" customHeight="1" x14ac:dyDescent="0.15">
      <c r="A9" s="16">
        <v>8</v>
      </c>
      <c r="B9" s="16">
        <v>1</v>
      </c>
      <c r="C9" s="16">
        <v>8</v>
      </c>
      <c r="F9" s="10">
        <f t="shared" si="2"/>
        <v>7</v>
      </c>
      <c r="G9" s="10">
        <f t="shared" si="0"/>
        <v>6</v>
      </c>
      <c r="H9" s="10" t="str">
        <f t="shared" si="1"/>
        <v/>
      </c>
      <c r="I9" s="10">
        <f>IF(VLOOKUP($B9,Games!$A$1:$I$20,5,FALSE)="Texas",ROUND(((VLOOKUP(VLOOKUP($B9,Games!$A$1:$I$20,6,FALSE),Players!$B$1:$F$40,4,FALSE)+VLOOKUP(VLOOKUP($B9,Games!$A$1:$I$20,7,FALSE),Players!$B$1:$F$40,4,FALSE)))*(3/8),1),ROUND(VLOOKUP(VLOOKUP($B9,Games!$A$1:$I$20,6,FALSE),Players!$B$1:$F$40,5,FALSE),1))</f>
        <v>31.1</v>
      </c>
      <c r="J9" s="10">
        <f>IF(VLOOKUP($B9,Games!$A$1:$I$20,5,FALSE)="Texas",ROUND((VLOOKUP(VLOOKUP($B9,Games!$A$1:$I$20,8,FALSE),Players!$B$1:$F$40,4,FALSE)+VLOOKUP(VLOOKUP($B9,Games!$A$1:$I$20,9,FALSE),Players!$B$1:$F$40,4,FALSE))*(3/8),1),ROUND(VLOOKUP(VLOOKUP($B9,Games!$A$1:$I$20,8,FALSE),Players!$B$1:$F$40,5,FALSE),1))</f>
        <v>9.1999999999999993</v>
      </c>
      <c r="K9" s="10" t="str">
        <f>VLOOKUP(B9,Games!$A$1:$I$20,3,FALSE)</f>
        <v>Terasy Ústí n. Labem</v>
      </c>
      <c r="L9" s="10">
        <f>VLOOKUP(CONCATENATE($K9,$C9),'Field holes'!$B$1:$I$900,6,FALSE)</f>
        <v>5</v>
      </c>
      <c r="M9" s="10">
        <f>VLOOKUP(CONCATENATE($K9,$C9),'Field holes'!$B$1:$I$900,7,FALSE)</f>
        <v>4</v>
      </c>
    </row>
    <row r="10" spans="1:13" ht="15.75" customHeight="1" x14ac:dyDescent="0.15">
      <c r="A10" s="16">
        <v>9</v>
      </c>
      <c r="B10" s="16">
        <v>1</v>
      </c>
      <c r="C10" s="16">
        <v>9</v>
      </c>
      <c r="F10" s="10">
        <f t="shared" si="2"/>
        <v>6</v>
      </c>
      <c r="G10" s="10">
        <f t="shared" si="0"/>
        <v>4</v>
      </c>
      <c r="H10" s="10" t="str">
        <f t="shared" si="1"/>
        <v/>
      </c>
      <c r="I10" s="10">
        <f>IF(VLOOKUP($B10,Games!$A$1:$I$20,5,FALSE)="Texas",ROUND(((VLOOKUP(VLOOKUP($B10,Games!$A$1:$I$20,6,FALSE),Players!$B$1:$F$40,4,FALSE)+VLOOKUP(VLOOKUP($B10,Games!$A$1:$I$20,7,FALSE),Players!$B$1:$F$40,4,FALSE)))*(3/8),1),ROUND(VLOOKUP(VLOOKUP($B10,Games!$A$1:$I$20,6,FALSE),Players!$B$1:$F$40,5,FALSE),1))</f>
        <v>31.1</v>
      </c>
      <c r="J10" s="10">
        <f>IF(VLOOKUP($B10,Games!$A$1:$I$20,5,FALSE)="Texas",ROUND((VLOOKUP(VLOOKUP($B10,Games!$A$1:$I$20,8,FALSE),Players!$B$1:$F$40,4,FALSE)+VLOOKUP(VLOOKUP($B10,Games!$A$1:$I$20,9,FALSE),Players!$B$1:$F$40,4,FALSE))*(3/8),1),ROUND(VLOOKUP(VLOOKUP($B10,Games!$A$1:$I$20,8,FALSE),Players!$B$1:$F$40,5,FALSE),1))</f>
        <v>9.1999999999999993</v>
      </c>
      <c r="K10" s="10" t="str">
        <f>VLOOKUP(B10,Games!$A$1:$I$20,3,FALSE)</f>
        <v>Terasy Ústí n. Labem</v>
      </c>
      <c r="L10" s="10">
        <f>VLOOKUP(CONCATENATE($K10,$C10),'Field holes'!$B$1:$I$900,6,FALSE)</f>
        <v>4</v>
      </c>
      <c r="M10" s="10">
        <f>VLOOKUP(CONCATENATE($K10,$C10),'Field holes'!$B$1:$I$900,7,FALSE)</f>
        <v>10</v>
      </c>
    </row>
    <row r="11" spans="1:13" ht="15.75" customHeight="1" x14ac:dyDescent="0.15">
      <c r="A11" s="16">
        <v>10</v>
      </c>
      <c r="B11" s="16">
        <v>1</v>
      </c>
      <c r="C11" s="16">
        <v>10</v>
      </c>
      <c r="F11" s="10">
        <f t="shared" si="2"/>
        <v>6</v>
      </c>
      <c r="G11" s="10">
        <f t="shared" si="0"/>
        <v>4</v>
      </c>
      <c r="H11" s="10" t="str">
        <f t="shared" si="1"/>
        <v/>
      </c>
      <c r="I11" s="10">
        <f>IF(VLOOKUP($B11,Games!$A$1:$I$20,5,FALSE)="Texas",ROUND(((VLOOKUP(VLOOKUP($B11,Games!$A$1:$I$20,6,FALSE),Players!$B$1:$F$40,4,FALSE)+VLOOKUP(VLOOKUP($B11,Games!$A$1:$I$20,7,FALSE),Players!$B$1:$F$40,4,FALSE)))*(3/8),1),ROUND(VLOOKUP(VLOOKUP($B11,Games!$A$1:$I$20,6,FALSE),Players!$B$1:$F$40,5,FALSE),1))</f>
        <v>31.1</v>
      </c>
      <c r="J11" s="10">
        <f>IF(VLOOKUP($B11,Games!$A$1:$I$20,5,FALSE)="Texas",ROUND((VLOOKUP(VLOOKUP($B11,Games!$A$1:$I$20,8,FALSE),Players!$B$1:$F$40,4,FALSE)+VLOOKUP(VLOOKUP($B11,Games!$A$1:$I$20,9,FALSE),Players!$B$1:$F$40,4,FALSE))*(3/8),1),ROUND(VLOOKUP(VLOOKUP($B11,Games!$A$1:$I$20,8,FALSE),Players!$B$1:$F$40,5,FALSE),1))</f>
        <v>9.1999999999999993</v>
      </c>
      <c r="K11" s="10" t="str">
        <f>VLOOKUP(B11,Games!$A$1:$I$20,3,FALSE)</f>
        <v>Terasy Ústí n. Labem</v>
      </c>
      <c r="L11" s="10">
        <f>VLOOKUP(CONCATENATE($K11,$C11),'Field holes'!$B$1:$I$900,6,FALSE)</f>
        <v>4</v>
      </c>
      <c r="M11" s="10">
        <f>VLOOKUP(CONCATENATE($K11,$C11),'Field holes'!$B$1:$I$900,7,FALSE)</f>
        <v>11</v>
      </c>
    </row>
    <row r="12" spans="1:13" ht="15.75" customHeight="1" x14ac:dyDescent="0.15">
      <c r="A12" s="16">
        <v>11</v>
      </c>
      <c r="B12" s="16">
        <v>1</v>
      </c>
      <c r="C12" s="16">
        <v>11</v>
      </c>
      <c r="F12" s="10">
        <f t="shared" si="2"/>
        <v>6</v>
      </c>
      <c r="G12" s="10">
        <f t="shared" si="0"/>
        <v>5</v>
      </c>
      <c r="H12" s="10" t="str">
        <f t="shared" si="1"/>
        <v/>
      </c>
      <c r="I12" s="10">
        <f>IF(VLOOKUP($B12,Games!$A$1:$I$20,5,FALSE)="Texas",ROUND(((VLOOKUP(VLOOKUP($B12,Games!$A$1:$I$20,6,FALSE),Players!$B$1:$F$40,4,FALSE)+VLOOKUP(VLOOKUP($B12,Games!$A$1:$I$20,7,FALSE),Players!$B$1:$F$40,4,FALSE)))*(3/8),1),ROUND(VLOOKUP(VLOOKUP($B12,Games!$A$1:$I$20,6,FALSE),Players!$B$1:$F$40,5,FALSE),1))</f>
        <v>31.1</v>
      </c>
      <c r="J12" s="10">
        <f>IF(VLOOKUP($B12,Games!$A$1:$I$20,5,FALSE)="Texas",ROUND((VLOOKUP(VLOOKUP($B12,Games!$A$1:$I$20,8,FALSE),Players!$B$1:$F$40,4,FALSE)+VLOOKUP(VLOOKUP($B12,Games!$A$1:$I$20,9,FALSE),Players!$B$1:$F$40,4,FALSE))*(3/8),1),ROUND(VLOOKUP(VLOOKUP($B12,Games!$A$1:$I$20,8,FALSE),Players!$B$1:$F$40,5,FALSE),1))</f>
        <v>9.1999999999999993</v>
      </c>
      <c r="K12" s="10" t="str">
        <f>VLOOKUP(B12,Games!$A$1:$I$20,3,FALSE)</f>
        <v>Terasy Ústí n. Labem</v>
      </c>
      <c r="L12" s="10">
        <f>VLOOKUP(CONCATENATE($K12,$C12),'Field holes'!$B$1:$I$900,6,FALSE)</f>
        <v>4</v>
      </c>
      <c r="M12" s="10">
        <f>VLOOKUP(CONCATENATE($K12,$C12),'Field holes'!$B$1:$I$900,7,FALSE)</f>
        <v>5</v>
      </c>
    </row>
    <row r="13" spans="1:13" ht="15.75" customHeight="1" x14ac:dyDescent="0.15">
      <c r="A13" s="16">
        <v>12</v>
      </c>
      <c r="B13" s="16">
        <v>1</v>
      </c>
      <c r="C13" s="16">
        <v>12</v>
      </c>
      <c r="F13" s="10">
        <f t="shared" si="2"/>
        <v>7</v>
      </c>
      <c r="G13" s="10">
        <f t="shared" si="0"/>
        <v>6</v>
      </c>
      <c r="H13" s="10" t="str">
        <f t="shared" si="1"/>
        <v/>
      </c>
      <c r="I13" s="10">
        <f>IF(VLOOKUP($B13,Games!$A$1:$I$20,5,FALSE)="Texas",ROUND(((VLOOKUP(VLOOKUP($B13,Games!$A$1:$I$20,6,FALSE),Players!$B$1:$F$40,4,FALSE)+VLOOKUP(VLOOKUP($B13,Games!$A$1:$I$20,7,FALSE),Players!$B$1:$F$40,4,FALSE)))*(3/8),1),ROUND(VLOOKUP(VLOOKUP($B13,Games!$A$1:$I$20,6,FALSE),Players!$B$1:$F$40,5,FALSE),1))</f>
        <v>31.1</v>
      </c>
      <c r="J13" s="10">
        <f>IF(VLOOKUP($B13,Games!$A$1:$I$20,5,FALSE)="Texas",ROUND((VLOOKUP(VLOOKUP($B13,Games!$A$1:$I$20,8,FALSE),Players!$B$1:$F$40,4,FALSE)+VLOOKUP(VLOOKUP($B13,Games!$A$1:$I$20,9,FALSE),Players!$B$1:$F$40,4,FALSE))*(3/8),1),ROUND(VLOOKUP(VLOOKUP($B13,Games!$A$1:$I$20,8,FALSE),Players!$B$1:$F$40,5,FALSE),1))</f>
        <v>9.1999999999999993</v>
      </c>
      <c r="K13" s="10" t="str">
        <f>VLOOKUP(B13,Games!$A$1:$I$20,3,FALSE)</f>
        <v>Terasy Ústí n. Labem</v>
      </c>
      <c r="L13" s="10">
        <f>VLOOKUP(CONCATENATE($K13,$C13),'Field holes'!$B$1:$I$900,6,FALSE)</f>
        <v>5</v>
      </c>
      <c r="M13" s="10">
        <f>VLOOKUP(CONCATENATE($K13,$C13),'Field holes'!$B$1:$I$900,7,FALSE)</f>
        <v>1</v>
      </c>
    </row>
    <row r="14" spans="1:13" ht="15.75" customHeight="1" x14ac:dyDescent="0.15">
      <c r="A14" s="16">
        <v>13</v>
      </c>
      <c r="B14" s="16">
        <v>1</v>
      </c>
      <c r="C14" s="16">
        <v>13</v>
      </c>
      <c r="F14" s="10">
        <f t="shared" si="2"/>
        <v>5</v>
      </c>
      <c r="G14" s="10">
        <f t="shared" si="0"/>
        <v>4</v>
      </c>
      <c r="H14" s="10" t="str">
        <f t="shared" si="1"/>
        <v/>
      </c>
      <c r="I14" s="10">
        <f>IF(VLOOKUP($B14,Games!$A$1:$I$20,5,FALSE)="Texas",ROUND(((VLOOKUP(VLOOKUP($B14,Games!$A$1:$I$20,6,FALSE),Players!$B$1:$F$40,4,FALSE)+VLOOKUP(VLOOKUP($B14,Games!$A$1:$I$20,7,FALSE),Players!$B$1:$F$40,4,FALSE)))*(3/8),1),ROUND(VLOOKUP(VLOOKUP($B14,Games!$A$1:$I$20,6,FALSE),Players!$B$1:$F$40,5,FALSE),1))</f>
        <v>31.1</v>
      </c>
      <c r="J14" s="10">
        <f>IF(VLOOKUP($B14,Games!$A$1:$I$20,5,FALSE)="Texas",ROUND((VLOOKUP(VLOOKUP($B14,Games!$A$1:$I$20,8,FALSE),Players!$B$1:$F$40,4,FALSE)+VLOOKUP(VLOOKUP($B14,Games!$A$1:$I$20,9,FALSE),Players!$B$1:$F$40,4,FALSE))*(3/8),1),ROUND(VLOOKUP(VLOOKUP($B14,Games!$A$1:$I$20,8,FALSE),Players!$B$1:$F$40,5,FALSE),1))</f>
        <v>9.1999999999999993</v>
      </c>
      <c r="K14" s="10" t="str">
        <f>VLOOKUP(B14,Games!$A$1:$I$20,3,FALSE)</f>
        <v>Terasy Ústí n. Labem</v>
      </c>
      <c r="L14" s="10">
        <f>VLOOKUP(CONCATENATE($K14,$C14),'Field holes'!$B$1:$I$900,6,FALSE)</f>
        <v>4</v>
      </c>
      <c r="M14" s="10">
        <f>VLOOKUP(CONCATENATE($K14,$C14),'Field holes'!$B$1:$I$900,7,FALSE)</f>
        <v>15</v>
      </c>
    </row>
    <row r="15" spans="1:13" ht="15.75" customHeight="1" x14ac:dyDescent="0.15">
      <c r="A15" s="16">
        <v>14</v>
      </c>
      <c r="B15" s="16">
        <v>1</v>
      </c>
      <c r="C15" s="16">
        <v>14</v>
      </c>
      <c r="F15" s="10">
        <f t="shared" si="2"/>
        <v>5</v>
      </c>
      <c r="G15" s="10">
        <f t="shared" si="0"/>
        <v>4</v>
      </c>
      <c r="H15" s="10" t="str">
        <f t="shared" si="1"/>
        <v/>
      </c>
      <c r="I15" s="10">
        <f>IF(VLOOKUP($B15,Games!$A$1:$I$20,5,FALSE)="Texas",ROUND(((VLOOKUP(VLOOKUP($B15,Games!$A$1:$I$20,6,FALSE),Players!$B$1:$F$40,4,FALSE)+VLOOKUP(VLOOKUP($B15,Games!$A$1:$I$20,7,FALSE),Players!$B$1:$F$40,4,FALSE)))*(3/8),1),ROUND(VLOOKUP(VLOOKUP($B15,Games!$A$1:$I$20,6,FALSE),Players!$B$1:$F$40,5,FALSE),1))</f>
        <v>31.1</v>
      </c>
      <c r="J15" s="10">
        <f>IF(VLOOKUP($B15,Games!$A$1:$I$20,5,FALSE)="Texas",ROUND((VLOOKUP(VLOOKUP($B15,Games!$A$1:$I$20,8,FALSE),Players!$B$1:$F$40,4,FALSE)+VLOOKUP(VLOOKUP($B15,Games!$A$1:$I$20,9,FALSE),Players!$B$1:$F$40,4,FALSE))*(3/8),1),ROUND(VLOOKUP(VLOOKUP($B15,Games!$A$1:$I$20,8,FALSE),Players!$B$1:$F$40,5,FALSE),1))</f>
        <v>9.1999999999999993</v>
      </c>
      <c r="K15" s="10" t="str">
        <f>VLOOKUP(B15,Games!$A$1:$I$20,3,FALSE)</f>
        <v>Terasy Ústí n. Labem</v>
      </c>
      <c r="L15" s="10">
        <f>VLOOKUP(CONCATENATE($K15,$C15),'Field holes'!$B$1:$I$900,6,FALSE)</f>
        <v>3</v>
      </c>
      <c r="M15" s="10">
        <f>VLOOKUP(CONCATENATE($K15,$C15),'Field holes'!$B$1:$I$900,7,FALSE)</f>
        <v>7</v>
      </c>
    </row>
    <row r="16" spans="1:13" ht="15.75" customHeight="1" x14ac:dyDescent="0.15">
      <c r="A16" s="16">
        <v>15</v>
      </c>
      <c r="B16" s="16">
        <v>1</v>
      </c>
      <c r="C16" s="16">
        <v>15</v>
      </c>
      <c r="F16" s="10">
        <f t="shared" si="2"/>
        <v>6</v>
      </c>
      <c r="G16" s="10">
        <f t="shared" si="0"/>
        <v>5</v>
      </c>
      <c r="H16" s="10" t="str">
        <f t="shared" si="1"/>
        <v/>
      </c>
      <c r="I16" s="10">
        <f>IF(VLOOKUP($B16,Games!$A$1:$I$20,5,FALSE)="Texas",ROUND(((VLOOKUP(VLOOKUP($B16,Games!$A$1:$I$20,6,FALSE),Players!$B$1:$F$40,4,FALSE)+VLOOKUP(VLOOKUP($B16,Games!$A$1:$I$20,7,FALSE),Players!$B$1:$F$40,4,FALSE)))*(3/8),1),ROUND(VLOOKUP(VLOOKUP($B16,Games!$A$1:$I$20,6,FALSE),Players!$B$1:$F$40,5,FALSE),1))</f>
        <v>31.1</v>
      </c>
      <c r="J16" s="10">
        <f>IF(VLOOKUP($B16,Games!$A$1:$I$20,5,FALSE)="Texas",ROUND((VLOOKUP(VLOOKUP($B16,Games!$A$1:$I$20,8,FALSE),Players!$B$1:$F$40,4,FALSE)+VLOOKUP(VLOOKUP($B16,Games!$A$1:$I$20,9,FALSE),Players!$B$1:$F$40,4,FALSE))*(3/8),1),ROUND(VLOOKUP(VLOOKUP($B16,Games!$A$1:$I$20,8,FALSE),Players!$B$1:$F$40,5,FALSE),1))</f>
        <v>9.1999999999999993</v>
      </c>
      <c r="K16" s="10" t="str">
        <f>VLOOKUP(B16,Games!$A$1:$I$20,3,FALSE)</f>
        <v>Terasy Ústí n. Labem</v>
      </c>
      <c r="L16" s="10">
        <f>VLOOKUP(CONCATENATE($K16,$C16),'Field holes'!$B$1:$I$900,6,FALSE)</f>
        <v>4</v>
      </c>
      <c r="M16" s="10">
        <f>VLOOKUP(CONCATENATE($K16,$C16),'Field holes'!$B$1:$I$900,7,FALSE)</f>
        <v>3</v>
      </c>
    </row>
    <row r="17" spans="1:13" ht="15.75" customHeight="1" x14ac:dyDescent="0.15">
      <c r="A17" s="16">
        <v>16</v>
      </c>
      <c r="B17" s="16">
        <v>1</v>
      </c>
      <c r="C17" s="16">
        <v>16</v>
      </c>
      <c r="F17" s="10">
        <f t="shared" si="2"/>
        <v>4</v>
      </c>
      <c r="G17" s="10">
        <f t="shared" si="0"/>
        <v>3</v>
      </c>
      <c r="H17" s="10" t="str">
        <f t="shared" si="1"/>
        <v/>
      </c>
      <c r="I17" s="10">
        <f>IF(VLOOKUP($B17,Games!$A$1:$I$20,5,FALSE)="Texas",ROUND(((VLOOKUP(VLOOKUP($B17,Games!$A$1:$I$20,6,FALSE),Players!$B$1:$F$40,4,FALSE)+VLOOKUP(VLOOKUP($B17,Games!$A$1:$I$20,7,FALSE),Players!$B$1:$F$40,4,FALSE)))*(3/8),1),ROUND(VLOOKUP(VLOOKUP($B17,Games!$A$1:$I$20,6,FALSE),Players!$B$1:$F$40,5,FALSE),1))</f>
        <v>31.1</v>
      </c>
      <c r="J17" s="10">
        <f>IF(VLOOKUP($B17,Games!$A$1:$I$20,5,FALSE)="Texas",ROUND((VLOOKUP(VLOOKUP($B17,Games!$A$1:$I$20,8,FALSE),Players!$B$1:$F$40,4,FALSE)+VLOOKUP(VLOOKUP($B17,Games!$A$1:$I$20,9,FALSE),Players!$B$1:$F$40,4,FALSE))*(3/8),1),ROUND(VLOOKUP(VLOOKUP($B17,Games!$A$1:$I$20,8,FALSE),Players!$B$1:$F$40,5,FALSE),1))</f>
        <v>9.1999999999999993</v>
      </c>
      <c r="K17" s="10" t="str">
        <f>VLOOKUP(B17,Games!$A$1:$I$20,3,FALSE)</f>
        <v>Terasy Ústí n. Labem</v>
      </c>
      <c r="L17" s="10">
        <f>VLOOKUP(CONCATENATE($K17,$C17),'Field holes'!$B$1:$I$900,6,FALSE)</f>
        <v>3</v>
      </c>
      <c r="M17" s="10">
        <f>VLOOKUP(CONCATENATE($K17,$C17),'Field holes'!$B$1:$I$900,7,FALSE)</f>
        <v>17</v>
      </c>
    </row>
    <row r="18" spans="1:13" ht="15.75" customHeight="1" x14ac:dyDescent="0.15">
      <c r="A18" s="16">
        <v>17</v>
      </c>
      <c r="B18" s="16">
        <v>1</v>
      </c>
      <c r="C18" s="16">
        <v>17</v>
      </c>
      <c r="F18" s="10">
        <f t="shared" si="2"/>
        <v>7</v>
      </c>
      <c r="G18" s="10">
        <f t="shared" si="0"/>
        <v>5</v>
      </c>
      <c r="H18" s="10" t="str">
        <f t="shared" si="1"/>
        <v/>
      </c>
      <c r="I18" s="10">
        <f>IF(VLOOKUP($B18,Games!$A$1:$I$20,5,FALSE)="Texas",ROUND(((VLOOKUP(VLOOKUP($B18,Games!$A$1:$I$20,6,FALSE),Players!$B$1:$F$40,4,FALSE)+VLOOKUP(VLOOKUP($B18,Games!$A$1:$I$20,7,FALSE),Players!$B$1:$F$40,4,FALSE)))*(3/8),1),ROUND(VLOOKUP(VLOOKUP($B18,Games!$A$1:$I$20,6,FALSE),Players!$B$1:$F$40,5,FALSE),1))</f>
        <v>31.1</v>
      </c>
      <c r="J18" s="10">
        <f>IF(VLOOKUP($B18,Games!$A$1:$I$20,5,FALSE)="Texas",ROUND((VLOOKUP(VLOOKUP($B18,Games!$A$1:$I$20,8,FALSE),Players!$B$1:$F$40,4,FALSE)+VLOOKUP(VLOOKUP($B18,Games!$A$1:$I$20,9,FALSE),Players!$B$1:$F$40,4,FALSE))*(3/8),1),ROUND(VLOOKUP(VLOOKUP($B18,Games!$A$1:$I$20,8,FALSE),Players!$B$1:$F$40,5,FALSE),1))</f>
        <v>9.1999999999999993</v>
      </c>
      <c r="K18" s="10" t="str">
        <f>VLOOKUP(B18,Games!$A$1:$I$20,3,FALSE)</f>
        <v>Terasy Ústí n. Labem</v>
      </c>
      <c r="L18" s="10">
        <f>VLOOKUP(CONCATENATE($K18,$C18),'Field holes'!$B$1:$I$900,6,FALSE)</f>
        <v>5</v>
      </c>
      <c r="M18" s="10">
        <f>VLOOKUP(CONCATENATE($K18,$C18),'Field holes'!$B$1:$I$900,7,FALSE)</f>
        <v>13</v>
      </c>
    </row>
    <row r="19" spans="1:13" ht="15.75" customHeight="1" x14ac:dyDescent="0.15">
      <c r="A19" s="16">
        <v>18</v>
      </c>
      <c r="B19" s="16">
        <v>1</v>
      </c>
      <c r="C19" s="16">
        <v>18</v>
      </c>
      <c r="F19" s="10">
        <f t="shared" si="2"/>
        <v>6</v>
      </c>
      <c r="G19" s="10">
        <f t="shared" si="0"/>
        <v>5</v>
      </c>
      <c r="H19" s="10" t="str">
        <f t="shared" si="1"/>
        <v/>
      </c>
      <c r="I19" s="10">
        <f>IF(VLOOKUP($B19,Games!$A$1:$I$20,5,FALSE)="Texas",ROUND(((VLOOKUP(VLOOKUP($B19,Games!$A$1:$I$20,6,FALSE),Players!$B$1:$F$40,4,FALSE)+VLOOKUP(VLOOKUP($B19,Games!$A$1:$I$20,7,FALSE),Players!$B$1:$F$40,4,FALSE)))*(3/8),1),ROUND(VLOOKUP(VLOOKUP($B19,Games!$A$1:$I$20,6,FALSE),Players!$B$1:$F$40,5,FALSE),1))</f>
        <v>31.1</v>
      </c>
      <c r="J19" s="10">
        <f>IF(VLOOKUP($B19,Games!$A$1:$I$20,5,FALSE)="Texas",ROUND((VLOOKUP(VLOOKUP($B19,Games!$A$1:$I$20,8,FALSE),Players!$B$1:$F$40,4,FALSE)+VLOOKUP(VLOOKUP($B19,Games!$A$1:$I$20,9,FALSE),Players!$B$1:$F$40,4,FALSE))*(3/8),1),ROUND(VLOOKUP(VLOOKUP($B19,Games!$A$1:$I$20,8,FALSE),Players!$B$1:$F$40,5,FALSE),1))</f>
        <v>9.1999999999999993</v>
      </c>
      <c r="K19" s="10" t="str">
        <f>VLOOKUP(B19,Games!$A$1:$I$20,3,FALSE)</f>
        <v>Terasy Ústí n. Labem</v>
      </c>
      <c r="L19" s="10">
        <f>VLOOKUP(CONCATENATE($K19,$C19),'Field holes'!$B$1:$I$900,6,FALSE)</f>
        <v>4</v>
      </c>
      <c r="M19" s="10">
        <f>VLOOKUP(CONCATENATE($K19,$C19),'Field holes'!$B$1:$I$900,7,FALSE)</f>
        <v>9</v>
      </c>
    </row>
    <row r="20" spans="1:13" ht="15.75" customHeight="1" x14ac:dyDescent="0.15">
      <c r="A20" s="16">
        <v>19</v>
      </c>
      <c r="B20" s="16">
        <v>2</v>
      </c>
      <c r="C20" s="17">
        <v>1</v>
      </c>
      <c r="F20" s="10">
        <f t="shared" si="2"/>
        <v>5</v>
      </c>
      <c r="G20" s="10">
        <f t="shared" si="0"/>
        <v>4</v>
      </c>
      <c r="H20" s="10" t="str">
        <f t="shared" si="1"/>
        <v/>
      </c>
      <c r="I20" s="10">
        <f>IF(VLOOKUP($B20,Games!$A$1:$I$20,5,FALSE)="Texas",ROUND(((VLOOKUP(VLOOKUP($B20,Games!$A$1:$I$20,6,FALSE),Players!$B$1:$F$40,4,FALSE)+VLOOKUP(VLOOKUP($B20,Games!$A$1:$I$20,7,FALSE),Players!$B$1:$F$40,4,FALSE)))*(3/8),1),ROUND(VLOOKUP(VLOOKUP($B20,Games!$A$1:$I$20,6,FALSE),Players!$B$1:$F$40,5,FALSE),1))</f>
        <v>14.3</v>
      </c>
      <c r="J20" s="10">
        <f>IF(VLOOKUP($B20,Games!$A$1:$I$20,5,FALSE)="Texas",ROUND((VLOOKUP(VLOOKUP($B20,Games!$A$1:$I$20,8,FALSE),Players!$B$1:$F$40,4,FALSE)+VLOOKUP(VLOOKUP($B20,Games!$A$1:$I$20,9,FALSE),Players!$B$1:$F$40,4,FALSE))*(3/8),1),ROUND(VLOOKUP(VLOOKUP($B20,Games!$A$1:$I$20,8,FALSE),Players!$B$1:$F$40,5,FALSE),1))</f>
        <v>9.8000000000000007</v>
      </c>
      <c r="K20" s="10" t="str">
        <f>VLOOKUP(B20,Games!$A$1:$I$20,3,FALSE)</f>
        <v>Terasy Ústí n. Labem</v>
      </c>
      <c r="L20" s="10">
        <f>VLOOKUP(CONCATENATE($K20,$C20),'Field holes'!$B$1:$I$900,6,FALSE)</f>
        <v>4</v>
      </c>
      <c r="M20" s="10">
        <f>VLOOKUP(CONCATENATE($K20,$C20),'Field holes'!$B$1:$I$900,7,FALSE)</f>
        <v>12</v>
      </c>
    </row>
    <row r="21" spans="1:13" ht="15.75" customHeight="1" x14ac:dyDescent="0.15">
      <c r="A21" s="16">
        <v>20</v>
      </c>
      <c r="B21" s="16">
        <v>2</v>
      </c>
      <c r="C21" s="17">
        <v>2</v>
      </c>
      <c r="F21" s="10">
        <f t="shared" si="2"/>
        <v>5</v>
      </c>
      <c r="G21" s="10">
        <f t="shared" si="0"/>
        <v>5</v>
      </c>
      <c r="H21" s="10" t="str">
        <f t="shared" si="1"/>
        <v/>
      </c>
      <c r="I21" s="10">
        <f>IF(VLOOKUP($B21,Games!$A$1:$I$20,5,FALSE)="Texas",ROUND(((VLOOKUP(VLOOKUP($B21,Games!$A$1:$I$20,6,FALSE),Players!$B$1:$F$40,4,FALSE)+VLOOKUP(VLOOKUP($B21,Games!$A$1:$I$20,7,FALSE),Players!$B$1:$F$40,4,FALSE)))*(3/8),1),ROUND(VLOOKUP(VLOOKUP($B21,Games!$A$1:$I$20,6,FALSE),Players!$B$1:$F$40,5,FALSE),1))</f>
        <v>14.3</v>
      </c>
      <c r="J21" s="10">
        <f>IF(VLOOKUP($B21,Games!$A$1:$I$20,5,FALSE)="Texas",ROUND((VLOOKUP(VLOOKUP($B21,Games!$A$1:$I$20,8,FALSE),Players!$B$1:$F$40,4,FALSE)+VLOOKUP(VLOOKUP($B21,Games!$A$1:$I$20,9,FALSE),Players!$B$1:$F$40,4,FALSE))*(3/8),1),ROUND(VLOOKUP(VLOOKUP($B21,Games!$A$1:$I$20,8,FALSE),Players!$B$1:$F$40,5,FALSE),1))</f>
        <v>9.8000000000000007</v>
      </c>
      <c r="K21" s="10" t="str">
        <f>VLOOKUP(B21,Games!$A$1:$I$20,3,FALSE)</f>
        <v>Terasy Ústí n. Labem</v>
      </c>
      <c r="L21" s="10">
        <f>VLOOKUP(CONCATENATE($K21,$C21),'Field holes'!$B$1:$I$900,6,FALSE)</f>
        <v>4</v>
      </c>
      <c r="M21" s="10">
        <f>VLOOKUP(CONCATENATE($K21,$C21),'Field holes'!$B$1:$I$900,7,FALSE)</f>
        <v>6</v>
      </c>
    </row>
    <row r="22" spans="1:13" ht="15.75" customHeight="1" x14ac:dyDescent="0.15">
      <c r="A22" s="16">
        <v>21</v>
      </c>
      <c r="B22" s="16">
        <v>2</v>
      </c>
      <c r="C22" s="17">
        <v>3</v>
      </c>
      <c r="F22" s="10">
        <f t="shared" si="2"/>
        <v>4</v>
      </c>
      <c r="G22" s="10">
        <f t="shared" si="0"/>
        <v>4</v>
      </c>
      <c r="H22" s="10" t="str">
        <f t="shared" si="1"/>
        <v/>
      </c>
      <c r="I22" s="10">
        <f>IF(VLOOKUP($B22,Games!$A$1:$I$20,5,FALSE)="Texas",ROUND(((VLOOKUP(VLOOKUP($B22,Games!$A$1:$I$20,6,FALSE),Players!$B$1:$F$40,4,FALSE)+VLOOKUP(VLOOKUP($B22,Games!$A$1:$I$20,7,FALSE),Players!$B$1:$F$40,4,FALSE)))*(3/8),1),ROUND(VLOOKUP(VLOOKUP($B22,Games!$A$1:$I$20,6,FALSE),Players!$B$1:$F$40,5,FALSE),1))</f>
        <v>14.3</v>
      </c>
      <c r="J22" s="10">
        <f>IF(VLOOKUP($B22,Games!$A$1:$I$20,5,FALSE)="Texas",ROUND((VLOOKUP(VLOOKUP($B22,Games!$A$1:$I$20,8,FALSE),Players!$B$1:$F$40,4,FALSE)+VLOOKUP(VLOOKUP($B22,Games!$A$1:$I$20,9,FALSE),Players!$B$1:$F$40,4,FALSE))*(3/8),1),ROUND(VLOOKUP(VLOOKUP($B22,Games!$A$1:$I$20,8,FALSE),Players!$B$1:$F$40,5,FALSE),1))</f>
        <v>9.8000000000000007</v>
      </c>
      <c r="K22" s="10" t="str">
        <f>VLOOKUP(B22,Games!$A$1:$I$20,3,FALSE)</f>
        <v>Terasy Ústí n. Labem</v>
      </c>
      <c r="L22" s="10">
        <f>VLOOKUP(CONCATENATE($K22,$C22),'Field holes'!$B$1:$I$900,6,FALSE)</f>
        <v>4</v>
      </c>
      <c r="M22" s="10">
        <f>VLOOKUP(CONCATENATE($K22,$C22),'Field holes'!$B$1:$I$900,7,FALSE)</f>
        <v>16</v>
      </c>
    </row>
    <row r="23" spans="1:13" ht="15.75" customHeight="1" x14ac:dyDescent="0.15">
      <c r="A23" s="16">
        <v>22</v>
      </c>
      <c r="B23" s="16">
        <v>2</v>
      </c>
      <c r="C23" s="17">
        <v>4</v>
      </c>
      <c r="F23" s="10">
        <f t="shared" si="2"/>
        <v>4</v>
      </c>
      <c r="G23" s="10">
        <f t="shared" si="0"/>
        <v>4</v>
      </c>
      <c r="H23" s="10" t="str">
        <f t="shared" si="1"/>
        <v/>
      </c>
      <c r="I23" s="10">
        <f>IF(VLOOKUP($B23,Games!$A$1:$I$20,5,FALSE)="Texas",ROUND(((VLOOKUP(VLOOKUP($B23,Games!$A$1:$I$20,6,FALSE),Players!$B$1:$F$40,4,FALSE)+VLOOKUP(VLOOKUP($B23,Games!$A$1:$I$20,7,FALSE),Players!$B$1:$F$40,4,FALSE)))*(3/8),1),ROUND(VLOOKUP(VLOOKUP($B23,Games!$A$1:$I$20,6,FALSE),Players!$B$1:$F$40,5,FALSE),1))</f>
        <v>14.3</v>
      </c>
      <c r="J23" s="10">
        <f>IF(VLOOKUP($B23,Games!$A$1:$I$20,5,FALSE)="Texas",ROUND((VLOOKUP(VLOOKUP($B23,Games!$A$1:$I$20,8,FALSE),Players!$B$1:$F$40,4,FALSE)+VLOOKUP(VLOOKUP($B23,Games!$A$1:$I$20,9,FALSE),Players!$B$1:$F$40,4,FALSE))*(3/8),1),ROUND(VLOOKUP(VLOOKUP($B23,Games!$A$1:$I$20,8,FALSE),Players!$B$1:$F$40,5,FALSE),1))</f>
        <v>9.8000000000000007</v>
      </c>
      <c r="K23" s="10" t="str">
        <f>VLOOKUP(B23,Games!$A$1:$I$20,3,FALSE)</f>
        <v>Terasy Ústí n. Labem</v>
      </c>
      <c r="L23" s="10">
        <f>VLOOKUP(CONCATENATE($K23,$C23),'Field holes'!$B$1:$I$900,6,FALSE)</f>
        <v>3</v>
      </c>
      <c r="M23" s="10">
        <f>VLOOKUP(CONCATENATE($K23,$C23),'Field holes'!$B$1:$I$900,7,FALSE)</f>
        <v>2</v>
      </c>
    </row>
    <row r="24" spans="1:13" ht="15.75" customHeight="1" x14ac:dyDescent="0.15">
      <c r="A24" s="16">
        <v>23</v>
      </c>
      <c r="B24" s="16">
        <v>2</v>
      </c>
      <c r="C24" s="17">
        <v>5</v>
      </c>
      <c r="F24" s="10">
        <f t="shared" si="2"/>
        <v>5</v>
      </c>
      <c r="G24" s="10">
        <f t="shared" si="0"/>
        <v>5</v>
      </c>
      <c r="H24" s="10" t="str">
        <f t="shared" si="1"/>
        <v/>
      </c>
      <c r="I24" s="10">
        <f>IF(VLOOKUP($B24,Games!$A$1:$I$20,5,FALSE)="Texas",ROUND(((VLOOKUP(VLOOKUP($B24,Games!$A$1:$I$20,6,FALSE),Players!$B$1:$F$40,4,FALSE)+VLOOKUP(VLOOKUP($B24,Games!$A$1:$I$20,7,FALSE),Players!$B$1:$F$40,4,FALSE)))*(3/8),1),ROUND(VLOOKUP(VLOOKUP($B24,Games!$A$1:$I$20,6,FALSE),Players!$B$1:$F$40,5,FALSE),1))</f>
        <v>14.3</v>
      </c>
      <c r="J24" s="10">
        <f>IF(VLOOKUP($B24,Games!$A$1:$I$20,5,FALSE)="Texas",ROUND((VLOOKUP(VLOOKUP($B24,Games!$A$1:$I$20,8,FALSE),Players!$B$1:$F$40,4,FALSE)+VLOOKUP(VLOOKUP($B24,Games!$A$1:$I$20,9,FALSE),Players!$B$1:$F$40,4,FALSE))*(3/8),1),ROUND(VLOOKUP(VLOOKUP($B24,Games!$A$1:$I$20,8,FALSE),Players!$B$1:$F$40,5,FALSE),1))</f>
        <v>9.8000000000000007</v>
      </c>
      <c r="K24" s="10" t="str">
        <f>VLOOKUP(B24,Games!$A$1:$I$20,3,FALSE)</f>
        <v>Terasy Ústí n. Labem</v>
      </c>
      <c r="L24" s="10">
        <f>VLOOKUP(CONCATENATE($K24,$C24),'Field holes'!$B$1:$I$900,6,FALSE)</f>
        <v>4</v>
      </c>
      <c r="M24" s="10">
        <f>VLOOKUP(CONCATENATE($K24,$C24),'Field holes'!$B$1:$I$900,7,FALSE)</f>
        <v>8</v>
      </c>
    </row>
    <row r="25" spans="1:13" ht="15.75" customHeight="1" x14ac:dyDescent="0.15">
      <c r="A25" s="16">
        <v>24</v>
      </c>
      <c r="B25" s="16">
        <v>2</v>
      </c>
      <c r="C25" s="17">
        <v>6</v>
      </c>
      <c r="F25" s="10">
        <f t="shared" si="2"/>
        <v>4</v>
      </c>
      <c r="G25" s="10">
        <f t="shared" si="0"/>
        <v>3</v>
      </c>
      <c r="H25" s="10" t="str">
        <f t="shared" si="1"/>
        <v/>
      </c>
      <c r="I25" s="10">
        <f>IF(VLOOKUP($B25,Games!$A$1:$I$20,5,FALSE)="Texas",ROUND(((VLOOKUP(VLOOKUP($B25,Games!$A$1:$I$20,6,FALSE),Players!$B$1:$F$40,4,FALSE)+VLOOKUP(VLOOKUP($B25,Games!$A$1:$I$20,7,FALSE),Players!$B$1:$F$40,4,FALSE)))*(3/8),1),ROUND(VLOOKUP(VLOOKUP($B25,Games!$A$1:$I$20,6,FALSE),Players!$B$1:$F$40,5,FALSE),1))</f>
        <v>14.3</v>
      </c>
      <c r="J25" s="10">
        <f>IF(VLOOKUP($B25,Games!$A$1:$I$20,5,FALSE)="Texas",ROUND((VLOOKUP(VLOOKUP($B25,Games!$A$1:$I$20,8,FALSE),Players!$B$1:$F$40,4,FALSE)+VLOOKUP(VLOOKUP($B25,Games!$A$1:$I$20,9,FALSE),Players!$B$1:$F$40,4,FALSE))*(3/8),1),ROUND(VLOOKUP(VLOOKUP($B25,Games!$A$1:$I$20,8,FALSE),Players!$B$1:$F$40,5,FALSE),1))</f>
        <v>9.8000000000000007</v>
      </c>
      <c r="K25" s="10" t="str">
        <f>VLOOKUP(B25,Games!$A$1:$I$20,3,FALSE)</f>
        <v>Terasy Ústí n. Labem</v>
      </c>
      <c r="L25" s="10">
        <f>VLOOKUP(CONCATENATE($K25,$C25),'Field holes'!$B$1:$I$900,6,FALSE)</f>
        <v>3</v>
      </c>
      <c r="M25" s="10">
        <f>VLOOKUP(CONCATENATE($K25,$C25),'Field holes'!$B$1:$I$900,7,FALSE)</f>
        <v>14</v>
      </c>
    </row>
    <row r="26" spans="1:13" ht="15.75" customHeight="1" x14ac:dyDescent="0.15">
      <c r="A26" s="16">
        <v>25</v>
      </c>
      <c r="B26" s="16">
        <v>2</v>
      </c>
      <c r="C26" s="17">
        <v>7</v>
      </c>
      <c r="F26" s="10">
        <f t="shared" si="2"/>
        <v>4</v>
      </c>
      <c r="G26" s="10">
        <f t="shared" si="0"/>
        <v>4</v>
      </c>
      <c r="H26" s="10" t="str">
        <f t="shared" si="1"/>
        <v/>
      </c>
      <c r="I26" s="10">
        <f>IF(VLOOKUP($B26,Games!$A$1:$I$20,5,FALSE)="Texas",ROUND(((VLOOKUP(VLOOKUP($B26,Games!$A$1:$I$20,6,FALSE),Players!$B$1:$F$40,4,FALSE)+VLOOKUP(VLOOKUP($B26,Games!$A$1:$I$20,7,FALSE),Players!$B$1:$F$40,4,FALSE)))*(3/8),1),ROUND(VLOOKUP(VLOOKUP($B26,Games!$A$1:$I$20,6,FALSE),Players!$B$1:$F$40,5,FALSE),1))</f>
        <v>14.3</v>
      </c>
      <c r="J26" s="10">
        <f>IF(VLOOKUP($B26,Games!$A$1:$I$20,5,FALSE)="Texas",ROUND((VLOOKUP(VLOOKUP($B26,Games!$A$1:$I$20,8,FALSE),Players!$B$1:$F$40,4,FALSE)+VLOOKUP(VLOOKUP($B26,Games!$A$1:$I$20,9,FALSE),Players!$B$1:$F$40,4,FALSE))*(3/8),1),ROUND(VLOOKUP(VLOOKUP($B26,Games!$A$1:$I$20,8,FALSE),Players!$B$1:$F$40,5,FALSE),1))</f>
        <v>9.8000000000000007</v>
      </c>
      <c r="K26" s="10" t="str">
        <f>VLOOKUP(B26,Games!$A$1:$I$20,3,FALSE)</f>
        <v>Terasy Ústí n. Labem</v>
      </c>
      <c r="L26" s="10">
        <f>VLOOKUP(CONCATENATE($K26,$C26),'Field holes'!$B$1:$I$900,6,FALSE)</f>
        <v>4</v>
      </c>
      <c r="M26" s="10">
        <f>VLOOKUP(CONCATENATE($K26,$C26),'Field holes'!$B$1:$I$900,7,FALSE)</f>
        <v>18</v>
      </c>
    </row>
    <row r="27" spans="1:13" ht="15.75" customHeight="1" x14ac:dyDescent="0.15">
      <c r="A27" s="16">
        <v>26</v>
      </c>
      <c r="B27" s="16">
        <v>2</v>
      </c>
      <c r="C27" s="17">
        <v>8</v>
      </c>
      <c r="F27" s="10">
        <f t="shared" si="2"/>
        <v>6</v>
      </c>
      <c r="G27" s="10">
        <f t="shared" si="0"/>
        <v>6</v>
      </c>
      <c r="H27" s="10" t="str">
        <f t="shared" si="1"/>
        <v/>
      </c>
      <c r="I27" s="10">
        <f>IF(VLOOKUP($B27,Games!$A$1:$I$20,5,FALSE)="Texas",ROUND(((VLOOKUP(VLOOKUP($B27,Games!$A$1:$I$20,6,FALSE),Players!$B$1:$F$40,4,FALSE)+VLOOKUP(VLOOKUP($B27,Games!$A$1:$I$20,7,FALSE),Players!$B$1:$F$40,4,FALSE)))*(3/8),1),ROUND(VLOOKUP(VLOOKUP($B27,Games!$A$1:$I$20,6,FALSE),Players!$B$1:$F$40,5,FALSE),1))</f>
        <v>14.3</v>
      </c>
      <c r="J27" s="10">
        <f>IF(VLOOKUP($B27,Games!$A$1:$I$20,5,FALSE)="Texas",ROUND((VLOOKUP(VLOOKUP($B27,Games!$A$1:$I$20,8,FALSE),Players!$B$1:$F$40,4,FALSE)+VLOOKUP(VLOOKUP($B27,Games!$A$1:$I$20,9,FALSE),Players!$B$1:$F$40,4,FALSE))*(3/8),1),ROUND(VLOOKUP(VLOOKUP($B27,Games!$A$1:$I$20,8,FALSE),Players!$B$1:$F$40,5,FALSE),1))</f>
        <v>9.8000000000000007</v>
      </c>
      <c r="K27" s="10" t="str">
        <f>VLOOKUP(B27,Games!$A$1:$I$20,3,FALSE)</f>
        <v>Terasy Ústí n. Labem</v>
      </c>
      <c r="L27" s="10">
        <f>VLOOKUP(CONCATENATE($K27,$C27),'Field holes'!$B$1:$I$900,6,FALSE)</f>
        <v>5</v>
      </c>
      <c r="M27" s="10">
        <f>VLOOKUP(CONCATENATE($K27,$C27),'Field holes'!$B$1:$I$900,7,FALSE)</f>
        <v>4</v>
      </c>
    </row>
    <row r="28" spans="1:13" ht="15.75" customHeight="1" x14ac:dyDescent="0.15">
      <c r="A28" s="16">
        <v>27</v>
      </c>
      <c r="B28" s="16">
        <v>2</v>
      </c>
      <c r="C28" s="17">
        <v>9</v>
      </c>
      <c r="F28" s="10">
        <f t="shared" si="2"/>
        <v>5</v>
      </c>
      <c r="G28" s="10">
        <f t="shared" si="0"/>
        <v>4</v>
      </c>
      <c r="H28" s="10" t="str">
        <f t="shared" si="1"/>
        <v/>
      </c>
      <c r="I28" s="10">
        <f>IF(VLOOKUP($B28,Games!$A$1:$I$20,5,FALSE)="Texas",ROUND(((VLOOKUP(VLOOKUP($B28,Games!$A$1:$I$20,6,FALSE),Players!$B$1:$F$40,4,FALSE)+VLOOKUP(VLOOKUP($B28,Games!$A$1:$I$20,7,FALSE),Players!$B$1:$F$40,4,FALSE)))*(3/8),1),ROUND(VLOOKUP(VLOOKUP($B28,Games!$A$1:$I$20,6,FALSE),Players!$B$1:$F$40,5,FALSE),1))</f>
        <v>14.3</v>
      </c>
      <c r="J28" s="10">
        <f>IF(VLOOKUP($B28,Games!$A$1:$I$20,5,FALSE)="Texas",ROUND((VLOOKUP(VLOOKUP($B28,Games!$A$1:$I$20,8,FALSE),Players!$B$1:$F$40,4,FALSE)+VLOOKUP(VLOOKUP($B28,Games!$A$1:$I$20,9,FALSE),Players!$B$1:$F$40,4,FALSE))*(3/8),1),ROUND(VLOOKUP(VLOOKUP($B28,Games!$A$1:$I$20,8,FALSE),Players!$B$1:$F$40,5,FALSE),1))</f>
        <v>9.8000000000000007</v>
      </c>
      <c r="K28" s="10" t="str">
        <f>VLOOKUP(B28,Games!$A$1:$I$20,3,FALSE)</f>
        <v>Terasy Ústí n. Labem</v>
      </c>
      <c r="L28" s="10">
        <f>VLOOKUP(CONCATENATE($K28,$C28),'Field holes'!$B$1:$I$900,6,FALSE)</f>
        <v>4</v>
      </c>
      <c r="M28" s="10">
        <f>VLOOKUP(CONCATENATE($K28,$C28),'Field holes'!$B$1:$I$900,7,FALSE)</f>
        <v>10</v>
      </c>
    </row>
    <row r="29" spans="1:13" ht="15.75" customHeight="1" x14ac:dyDescent="0.15">
      <c r="A29" s="16">
        <v>28</v>
      </c>
      <c r="B29" s="16">
        <v>2</v>
      </c>
      <c r="C29" s="17">
        <v>10</v>
      </c>
      <c r="F29" s="10">
        <f t="shared" si="2"/>
        <v>5</v>
      </c>
      <c r="G29" s="10">
        <f t="shared" si="0"/>
        <v>4</v>
      </c>
      <c r="H29" s="10" t="str">
        <f t="shared" si="1"/>
        <v/>
      </c>
      <c r="I29" s="10">
        <f>IF(VLOOKUP($B29,Games!$A$1:$I$20,5,FALSE)="Texas",ROUND(((VLOOKUP(VLOOKUP($B29,Games!$A$1:$I$20,6,FALSE),Players!$B$1:$F$40,4,FALSE)+VLOOKUP(VLOOKUP($B29,Games!$A$1:$I$20,7,FALSE),Players!$B$1:$F$40,4,FALSE)))*(3/8),1),ROUND(VLOOKUP(VLOOKUP($B29,Games!$A$1:$I$20,6,FALSE),Players!$B$1:$F$40,5,FALSE),1))</f>
        <v>14.3</v>
      </c>
      <c r="J29" s="10">
        <f>IF(VLOOKUP($B29,Games!$A$1:$I$20,5,FALSE)="Texas",ROUND((VLOOKUP(VLOOKUP($B29,Games!$A$1:$I$20,8,FALSE),Players!$B$1:$F$40,4,FALSE)+VLOOKUP(VLOOKUP($B29,Games!$A$1:$I$20,9,FALSE),Players!$B$1:$F$40,4,FALSE))*(3/8),1),ROUND(VLOOKUP(VLOOKUP($B29,Games!$A$1:$I$20,8,FALSE),Players!$B$1:$F$40,5,FALSE),1))</f>
        <v>9.8000000000000007</v>
      </c>
      <c r="K29" s="10" t="str">
        <f>VLOOKUP(B29,Games!$A$1:$I$20,3,FALSE)</f>
        <v>Terasy Ústí n. Labem</v>
      </c>
      <c r="L29" s="10">
        <f>VLOOKUP(CONCATENATE($K29,$C29),'Field holes'!$B$1:$I$900,6,FALSE)</f>
        <v>4</v>
      </c>
      <c r="M29" s="10">
        <f>VLOOKUP(CONCATENATE($K29,$C29),'Field holes'!$B$1:$I$900,7,FALSE)</f>
        <v>11</v>
      </c>
    </row>
    <row r="30" spans="1:13" ht="15.75" customHeight="1" x14ac:dyDescent="0.15">
      <c r="A30" s="16">
        <v>29</v>
      </c>
      <c r="B30" s="16">
        <v>2</v>
      </c>
      <c r="C30" s="17">
        <v>11</v>
      </c>
      <c r="F30" s="10">
        <f t="shared" si="2"/>
        <v>5</v>
      </c>
      <c r="G30" s="10">
        <f t="shared" si="0"/>
        <v>5</v>
      </c>
      <c r="H30" s="10" t="str">
        <f t="shared" si="1"/>
        <v/>
      </c>
      <c r="I30" s="10">
        <f>IF(VLOOKUP($B30,Games!$A$1:$I$20,5,FALSE)="Texas",ROUND(((VLOOKUP(VLOOKUP($B30,Games!$A$1:$I$20,6,FALSE),Players!$B$1:$F$40,4,FALSE)+VLOOKUP(VLOOKUP($B30,Games!$A$1:$I$20,7,FALSE),Players!$B$1:$F$40,4,FALSE)))*(3/8),1),ROUND(VLOOKUP(VLOOKUP($B30,Games!$A$1:$I$20,6,FALSE),Players!$B$1:$F$40,5,FALSE),1))</f>
        <v>14.3</v>
      </c>
      <c r="J30" s="10">
        <f>IF(VLOOKUP($B30,Games!$A$1:$I$20,5,FALSE)="Texas",ROUND((VLOOKUP(VLOOKUP($B30,Games!$A$1:$I$20,8,FALSE),Players!$B$1:$F$40,4,FALSE)+VLOOKUP(VLOOKUP($B30,Games!$A$1:$I$20,9,FALSE),Players!$B$1:$F$40,4,FALSE))*(3/8),1),ROUND(VLOOKUP(VLOOKUP($B30,Games!$A$1:$I$20,8,FALSE),Players!$B$1:$F$40,5,FALSE),1))</f>
        <v>9.8000000000000007</v>
      </c>
      <c r="K30" s="10" t="str">
        <f>VLOOKUP(B30,Games!$A$1:$I$20,3,FALSE)</f>
        <v>Terasy Ústí n. Labem</v>
      </c>
      <c r="L30" s="10">
        <f>VLOOKUP(CONCATENATE($K30,$C30),'Field holes'!$B$1:$I$900,6,FALSE)</f>
        <v>4</v>
      </c>
      <c r="M30" s="10">
        <f>VLOOKUP(CONCATENATE($K30,$C30),'Field holes'!$B$1:$I$900,7,FALSE)</f>
        <v>5</v>
      </c>
    </row>
    <row r="31" spans="1:13" ht="15.75" customHeight="1" x14ac:dyDescent="0.15">
      <c r="A31" s="16">
        <v>30</v>
      </c>
      <c r="B31" s="16">
        <v>2</v>
      </c>
      <c r="C31" s="17">
        <v>12</v>
      </c>
      <c r="F31" s="10">
        <f t="shared" si="2"/>
        <v>6</v>
      </c>
      <c r="G31" s="10">
        <f t="shared" si="0"/>
        <v>6</v>
      </c>
      <c r="H31" s="10" t="str">
        <f t="shared" si="1"/>
        <v/>
      </c>
      <c r="I31" s="10">
        <f>IF(VLOOKUP($B31,Games!$A$1:$I$20,5,FALSE)="Texas",ROUND(((VLOOKUP(VLOOKUP($B31,Games!$A$1:$I$20,6,FALSE),Players!$B$1:$F$40,4,FALSE)+VLOOKUP(VLOOKUP($B31,Games!$A$1:$I$20,7,FALSE),Players!$B$1:$F$40,4,FALSE)))*(3/8),1),ROUND(VLOOKUP(VLOOKUP($B31,Games!$A$1:$I$20,6,FALSE),Players!$B$1:$F$40,5,FALSE),1))</f>
        <v>14.3</v>
      </c>
      <c r="J31" s="10">
        <f>IF(VLOOKUP($B31,Games!$A$1:$I$20,5,FALSE)="Texas",ROUND((VLOOKUP(VLOOKUP($B31,Games!$A$1:$I$20,8,FALSE),Players!$B$1:$F$40,4,FALSE)+VLOOKUP(VLOOKUP($B31,Games!$A$1:$I$20,9,FALSE),Players!$B$1:$F$40,4,FALSE))*(3/8),1),ROUND(VLOOKUP(VLOOKUP($B31,Games!$A$1:$I$20,8,FALSE),Players!$B$1:$F$40,5,FALSE),1))</f>
        <v>9.8000000000000007</v>
      </c>
      <c r="K31" s="10" t="str">
        <f>VLOOKUP(B31,Games!$A$1:$I$20,3,FALSE)</f>
        <v>Terasy Ústí n. Labem</v>
      </c>
      <c r="L31" s="10">
        <f>VLOOKUP(CONCATENATE($K31,$C31),'Field holes'!$B$1:$I$900,6,FALSE)</f>
        <v>5</v>
      </c>
      <c r="M31" s="10">
        <f>VLOOKUP(CONCATENATE($K31,$C31),'Field holes'!$B$1:$I$900,7,FALSE)</f>
        <v>1</v>
      </c>
    </row>
    <row r="32" spans="1:13" ht="15.75" customHeight="1" x14ac:dyDescent="0.15">
      <c r="A32" s="16">
        <v>31</v>
      </c>
      <c r="B32" s="16">
        <v>2</v>
      </c>
      <c r="C32" s="17">
        <v>13</v>
      </c>
      <c r="F32" s="10">
        <f t="shared" si="2"/>
        <v>4</v>
      </c>
      <c r="G32" s="10">
        <f t="shared" si="0"/>
        <v>4</v>
      </c>
      <c r="H32" s="10" t="str">
        <f t="shared" si="1"/>
        <v/>
      </c>
      <c r="I32" s="10">
        <f>IF(VLOOKUP($B32,Games!$A$1:$I$20,5,FALSE)="Texas",ROUND(((VLOOKUP(VLOOKUP($B32,Games!$A$1:$I$20,6,FALSE),Players!$B$1:$F$40,4,FALSE)+VLOOKUP(VLOOKUP($B32,Games!$A$1:$I$20,7,FALSE),Players!$B$1:$F$40,4,FALSE)))*(3/8),1),ROUND(VLOOKUP(VLOOKUP($B32,Games!$A$1:$I$20,6,FALSE),Players!$B$1:$F$40,5,FALSE),1))</f>
        <v>14.3</v>
      </c>
      <c r="J32" s="10">
        <f>IF(VLOOKUP($B32,Games!$A$1:$I$20,5,FALSE)="Texas",ROUND((VLOOKUP(VLOOKUP($B32,Games!$A$1:$I$20,8,FALSE),Players!$B$1:$F$40,4,FALSE)+VLOOKUP(VLOOKUP($B32,Games!$A$1:$I$20,9,FALSE),Players!$B$1:$F$40,4,FALSE))*(3/8),1),ROUND(VLOOKUP(VLOOKUP($B32,Games!$A$1:$I$20,8,FALSE),Players!$B$1:$F$40,5,FALSE),1))</f>
        <v>9.8000000000000007</v>
      </c>
      <c r="K32" s="10" t="str">
        <f>VLOOKUP(B32,Games!$A$1:$I$20,3,FALSE)</f>
        <v>Terasy Ústí n. Labem</v>
      </c>
      <c r="L32" s="10">
        <f>VLOOKUP(CONCATENATE($K32,$C32),'Field holes'!$B$1:$I$900,6,FALSE)</f>
        <v>4</v>
      </c>
      <c r="M32" s="10">
        <f>VLOOKUP(CONCATENATE($K32,$C32),'Field holes'!$B$1:$I$900,7,FALSE)</f>
        <v>15</v>
      </c>
    </row>
    <row r="33" spans="1:13" ht="15.75" customHeight="1" x14ac:dyDescent="0.15">
      <c r="A33" s="16">
        <v>32</v>
      </c>
      <c r="B33" s="16">
        <v>2</v>
      </c>
      <c r="C33" s="17">
        <v>14</v>
      </c>
      <c r="F33" s="10">
        <f t="shared" si="2"/>
        <v>4</v>
      </c>
      <c r="G33" s="10">
        <f t="shared" si="0"/>
        <v>4</v>
      </c>
      <c r="H33" s="10" t="str">
        <f t="shared" si="1"/>
        <v/>
      </c>
      <c r="I33" s="10">
        <f>IF(VLOOKUP($B33,Games!$A$1:$I$20,5,FALSE)="Texas",ROUND(((VLOOKUP(VLOOKUP($B33,Games!$A$1:$I$20,6,FALSE),Players!$B$1:$F$40,4,FALSE)+VLOOKUP(VLOOKUP($B33,Games!$A$1:$I$20,7,FALSE),Players!$B$1:$F$40,4,FALSE)))*(3/8),1),ROUND(VLOOKUP(VLOOKUP($B33,Games!$A$1:$I$20,6,FALSE),Players!$B$1:$F$40,5,FALSE),1))</f>
        <v>14.3</v>
      </c>
      <c r="J33" s="10">
        <f>IF(VLOOKUP($B33,Games!$A$1:$I$20,5,FALSE)="Texas",ROUND((VLOOKUP(VLOOKUP($B33,Games!$A$1:$I$20,8,FALSE),Players!$B$1:$F$40,4,FALSE)+VLOOKUP(VLOOKUP($B33,Games!$A$1:$I$20,9,FALSE),Players!$B$1:$F$40,4,FALSE))*(3/8),1),ROUND(VLOOKUP(VLOOKUP($B33,Games!$A$1:$I$20,8,FALSE),Players!$B$1:$F$40,5,FALSE),1))</f>
        <v>9.8000000000000007</v>
      </c>
      <c r="K33" s="10" t="str">
        <f>VLOOKUP(B33,Games!$A$1:$I$20,3,FALSE)</f>
        <v>Terasy Ústí n. Labem</v>
      </c>
      <c r="L33" s="10">
        <f>VLOOKUP(CONCATENATE($K33,$C33),'Field holes'!$B$1:$I$900,6,FALSE)</f>
        <v>3</v>
      </c>
      <c r="M33" s="10">
        <f>VLOOKUP(CONCATENATE($K33,$C33),'Field holes'!$B$1:$I$900,7,FALSE)</f>
        <v>7</v>
      </c>
    </row>
    <row r="34" spans="1:13" ht="15.75" customHeight="1" x14ac:dyDescent="0.15">
      <c r="A34" s="16">
        <v>33</v>
      </c>
      <c r="B34" s="16">
        <v>2</v>
      </c>
      <c r="C34" s="17">
        <v>15</v>
      </c>
      <c r="F34" s="10">
        <f t="shared" si="2"/>
        <v>5</v>
      </c>
      <c r="G34" s="10">
        <f t="shared" si="0"/>
        <v>5</v>
      </c>
      <c r="H34" s="10" t="str">
        <f t="shared" si="1"/>
        <v/>
      </c>
      <c r="I34" s="10">
        <f>IF(VLOOKUP($B34,Games!$A$1:$I$20,5,FALSE)="Texas",ROUND(((VLOOKUP(VLOOKUP($B34,Games!$A$1:$I$20,6,FALSE),Players!$B$1:$F$40,4,FALSE)+VLOOKUP(VLOOKUP($B34,Games!$A$1:$I$20,7,FALSE),Players!$B$1:$F$40,4,FALSE)))*(3/8),1),ROUND(VLOOKUP(VLOOKUP($B34,Games!$A$1:$I$20,6,FALSE),Players!$B$1:$F$40,5,FALSE),1))</f>
        <v>14.3</v>
      </c>
      <c r="J34" s="10">
        <f>IF(VLOOKUP($B34,Games!$A$1:$I$20,5,FALSE)="Texas",ROUND((VLOOKUP(VLOOKUP($B34,Games!$A$1:$I$20,8,FALSE),Players!$B$1:$F$40,4,FALSE)+VLOOKUP(VLOOKUP($B34,Games!$A$1:$I$20,9,FALSE),Players!$B$1:$F$40,4,FALSE))*(3/8),1),ROUND(VLOOKUP(VLOOKUP($B34,Games!$A$1:$I$20,8,FALSE),Players!$B$1:$F$40,5,FALSE),1))</f>
        <v>9.8000000000000007</v>
      </c>
      <c r="K34" s="10" t="str">
        <f>VLOOKUP(B34,Games!$A$1:$I$20,3,FALSE)</f>
        <v>Terasy Ústí n. Labem</v>
      </c>
      <c r="L34" s="10">
        <f>VLOOKUP(CONCATENATE($K34,$C34),'Field holes'!$B$1:$I$900,6,FALSE)</f>
        <v>4</v>
      </c>
      <c r="M34" s="10">
        <f>VLOOKUP(CONCATENATE($K34,$C34),'Field holes'!$B$1:$I$900,7,FALSE)</f>
        <v>3</v>
      </c>
    </row>
    <row r="35" spans="1:13" ht="15.75" customHeight="1" x14ac:dyDescent="0.15">
      <c r="A35" s="16">
        <v>34</v>
      </c>
      <c r="B35" s="16">
        <v>2</v>
      </c>
      <c r="C35" s="17">
        <v>16</v>
      </c>
      <c r="F35" s="10">
        <f t="shared" si="2"/>
        <v>3</v>
      </c>
      <c r="G35" s="10">
        <f t="shared" si="0"/>
        <v>3</v>
      </c>
      <c r="H35" s="10" t="str">
        <f t="shared" si="1"/>
        <v/>
      </c>
      <c r="I35" s="10">
        <f>IF(VLOOKUP($B35,Games!$A$1:$I$20,5,FALSE)="Texas",ROUND(((VLOOKUP(VLOOKUP($B35,Games!$A$1:$I$20,6,FALSE),Players!$B$1:$F$40,4,FALSE)+VLOOKUP(VLOOKUP($B35,Games!$A$1:$I$20,7,FALSE),Players!$B$1:$F$40,4,FALSE)))*(3/8),1),ROUND(VLOOKUP(VLOOKUP($B35,Games!$A$1:$I$20,6,FALSE),Players!$B$1:$F$40,5,FALSE),1))</f>
        <v>14.3</v>
      </c>
      <c r="J35" s="10">
        <f>IF(VLOOKUP($B35,Games!$A$1:$I$20,5,FALSE)="Texas",ROUND((VLOOKUP(VLOOKUP($B35,Games!$A$1:$I$20,8,FALSE),Players!$B$1:$F$40,4,FALSE)+VLOOKUP(VLOOKUP($B35,Games!$A$1:$I$20,9,FALSE),Players!$B$1:$F$40,4,FALSE))*(3/8),1),ROUND(VLOOKUP(VLOOKUP($B35,Games!$A$1:$I$20,8,FALSE),Players!$B$1:$F$40,5,FALSE),1))</f>
        <v>9.8000000000000007</v>
      </c>
      <c r="K35" s="10" t="str">
        <f>VLOOKUP(B35,Games!$A$1:$I$20,3,FALSE)</f>
        <v>Terasy Ústí n. Labem</v>
      </c>
      <c r="L35" s="10">
        <f>VLOOKUP(CONCATENATE($K35,$C35),'Field holes'!$B$1:$I$900,6,FALSE)</f>
        <v>3</v>
      </c>
      <c r="M35" s="10">
        <f>VLOOKUP(CONCATENATE($K35,$C35),'Field holes'!$B$1:$I$900,7,FALSE)</f>
        <v>17</v>
      </c>
    </row>
    <row r="36" spans="1:13" ht="15.75" customHeight="1" x14ac:dyDescent="0.15">
      <c r="A36" s="16">
        <v>35</v>
      </c>
      <c r="B36" s="16">
        <v>2</v>
      </c>
      <c r="C36" s="17">
        <v>17</v>
      </c>
      <c r="F36" s="10">
        <f t="shared" si="2"/>
        <v>6</v>
      </c>
      <c r="G36" s="10">
        <f t="shared" si="0"/>
        <v>5</v>
      </c>
      <c r="H36" s="10" t="str">
        <f t="shared" si="1"/>
        <v/>
      </c>
      <c r="I36" s="10">
        <f>IF(VLOOKUP($B36,Games!$A$1:$I$20,5,FALSE)="Texas",ROUND(((VLOOKUP(VLOOKUP($B36,Games!$A$1:$I$20,6,FALSE),Players!$B$1:$F$40,4,FALSE)+VLOOKUP(VLOOKUP($B36,Games!$A$1:$I$20,7,FALSE),Players!$B$1:$F$40,4,FALSE)))*(3/8),1),ROUND(VLOOKUP(VLOOKUP($B36,Games!$A$1:$I$20,6,FALSE),Players!$B$1:$F$40,5,FALSE),1))</f>
        <v>14.3</v>
      </c>
      <c r="J36" s="10">
        <f>IF(VLOOKUP($B36,Games!$A$1:$I$20,5,FALSE)="Texas",ROUND((VLOOKUP(VLOOKUP($B36,Games!$A$1:$I$20,8,FALSE),Players!$B$1:$F$40,4,FALSE)+VLOOKUP(VLOOKUP($B36,Games!$A$1:$I$20,9,FALSE),Players!$B$1:$F$40,4,FALSE))*(3/8),1),ROUND(VLOOKUP(VLOOKUP($B36,Games!$A$1:$I$20,8,FALSE),Players!$B$1:$F$40,5,FALSE),1))</f>
        <v>9.8000000000000007</v>
      </c>
      <c r="K36" s="10" t="str">
        <f>VLOOKUP(B36,Games!$A$1:$I$20,3,FALSE)</f>
        <v>Terasy Ústí n. Labem</v>
      </c>
      <c r="L36" s="10">
        <f>VLOOKUP(CONCATENATE($K36,$C36),'Field holes'!$B$1:$I$900,6,FALSE)</f>
        <v>5</v>
      </c>
      <c r="M36" s="10">
        <f>VLOOKUP(CONCATENATE($K36,$C36),'Field holes'!$B$1:$I$900,7,FALSE)</f>
        <v>13</v>
      </c>
    </row>
    <row r="37" spans="1:13" ht="15.75" customHeight="1" x14ac:dyDescent="0.15">
      <c r="A37" s="16">
        <v>36</v>
      </c>
      <c r="B37" s="16">
        <v>2</v>
      </c>
      <c r="C37" s="17">
        <v>18</v>
      </c>
      <c r="F37" s="10">
        <f t="shared" si="2"/>
        <v>5</v>
      </c>
      <c r="G37" s="10">
        <f t="shared" si="0"/>
        <v>5</v>
      </c>
      <c r="H37" s="10" t="str">
        <f t="shared" si="1"/>
        <v/>
      </c>
      <c r="I37" s="10">
        <f>IF(VLOOKUP($B37,Games!$A$1:$I$20,5,FALSE)="Texas",ROUND(((VLOOKUP(VLOOKUP($B37,Games!$A$1:$I$20,6,FALSE),Players!$B$1:$F$40,4,FALSE)+VLOOKUP(VLOOKUP($B37,Games!$A$1:$I$20,7,FALSE),Players!$B$1:$F$40,4,FALSE)))*(3/8),1),ROUND(VLOOKUP(VLOOKUP($B37,Games!$A$1:$I$20,6,FALSE),Players!$B$1:$F$40,5,FALSE),1))</f>
        <v>14.3</v>
      </c>
      <c r="J37" s="10">
        <f>IF(VLOOKUP($B37,Games!$A$1:$I$20,5,FALSE)="Texas",ROUND((VLOOKUP(VLOOKUP($B37,Games!$A$1:$I$20,8,FALSE),Players!$B$1:$F$40,4,FALSE)+VLOOKUP(VLOOKUP($B37,Games!$A$1:$I$20,9,FALSE),Players!$B$1:$F$40,4,FALSE))*(3/8),1),ROUND(VLOOKUP(VLOOKUP($B37,Games!$A$1:$I$20,8,FALSE),Players!$B$1:$F$40,5,FALSE),1))</f>
        <v>9.8000000000000007</v>
      </c>
      <c r="K37" s="10" t="str">
        <f>VLOOKUP(B37,Games!$A$1:$I$20,3,FALSE)</f>
        <v>Terasy Ústí n. Labem</v>
      </c>
      <c r="L37" s="10">
        <f>VLOOKUP(CONCATENATE($K37,$C37),'Field holes'!$B$1:$I$900,6,FALSE)</f>
        <v>4</v>
      </c>
      <c r="M37" s="10">
        <f>VLOOKUP(CONCATENATE($K37,$C37),'Field holes'!$B$1:$I$900,7,FALSE)</f>
        <v>9</v>
      </c>
    </row>
    <row r="38" spans="1:13" ht="15.75" customHeight="1" x14ac:dyDescent="0.15">
      <c r="A38" s="16">
        <v>37</v>
      </c>
      <c r="B38" s="16">
        <v>3</v>
      </c>
      <c r="C38" s="17">
        <v>1</v>
      </c>
      <c r="F38" s="10">
        <f t="shared" si="2"/>
        <v>4</v>
      </c>
      <c r="G38" s="10">
        <f t="shared" si="0"/>
        <v>5</v>
      </c>
      <c r="H38" s="10" t="str">
        <f t="shared" si="1"/>
        <v/>
      </c>
      <c r="I38" s="10">
        <f>IF(VLOOKUP($B38,Games!$A$1:$I$20,5,FALSE)="Texas",ROUND(((VLOOKUP(VLOOKUP($B38,Games!$A$1:$I$20,6,FALSE),Players!$B$1:$F$40,4,FALSE)+VLOOKUP(VLOOKUP($B38,Games!$A$1:$I$20,7,FALSE),Players!$B$1:$F$40,4,FALSE)))*(3/8),1),ROUND(VLOOKUP(VLOOKUP($B38,Games!$A$1:$I$20,6,FALSE),Players!$B$1:$F$40,5,FALSE),1))</f>
        <v>9</v>
      </c>
      <c r="J38" s="10">
        <f>IF(VLOOKUP($B38,Games!$A$1:$I$20,5,FALSE)="Texas",ROUND((VLOOKUP(VLOOKUP($B38,Games!$A$1:$I$20,8,FALSE),Players!$B$1:$F$40,4,FALSE)+VLOOKUP(VLOOKUP($B38,Games!$A$1:$I$20,9,FALSE),Players!$B$1:$F$40,4,FALSE))*(3/8),1),ROUND(VLOOKUP(VLOOKUP($B38,Games!$A$1:$I$20,8,FALSE),Players!$B$1:$F$40,5,FALSE),1))</f>
        <v>20.399999999999999</v>
      </c>
      <c r="K38" s="10" t="str">
        <f>VLOOKUP(B38,Games!$A$1:$I$20,3,FALSE)</f>
        <v>Terasy Ústí n. Labem</v>
      </c>
      <c r="L38" s="10">
        <f>VLOOKUP(CONCATENATE($K38,$C38),'Field holes'!$B$1:$I$900,6,FALSE)</f>
        <v>4</v>
      </c>
      <c r="M38" s="10">
        <f>VLOOKUP(CONCATENATE($K38,$C38),'Field holes'!$B$1:$I$900,7,FALSE)</f>
        <v>12</v>
      </c>
    </row>
    <row r="39" spans="1:13" ht="15.75" customHeight="1" x14ac:dyDescent="0.15">
      <c r="A39" s="16">
        <v>38</v>
      </c>
      <c r="B39" s="16">
        <v>3</v>
      </c>
      <c r="C39" s="17">
        <v>2</v>
      </c>
      <c r="F39" s="10">
        <f t="shared" si="2"/>
        <v>5</v>
      </c>
      <c r="G39" s="10">
        <f t="shared" si="0"/>
        <v>5</v>
      </c>
      <c r="H39" s="10" t="str">
        <f t="shared" si="1"/>
        <v/>
      </c>
      <c r="I39" s="10">
        <f>IF(VLOOKUP($B39,Games!$A$1:$I$20,5,FALSE)="Texas",ROUND(((VLOOKUP(VLOOKUP($B39,Games!$A$1:$I$20,6,FALSE),Players!$B$1:$F$40,4,FALSE)+VLOOKUP(VLOOKUP($B39,Games!$A$1:$I$20,7,FALSE),Players!$B$1:$F$40,4,FALSE)))*(3/8),1),ROUND(VLOOKUP(VLOOKUP($B39,Games!$A$1:$I$20,6,FALSE),Players!$B$1:$F$40,5,FALSE),1))</f>
        <v>9</v>
      </c>
      <c r="J39" s="10">
        <f>IF(VLOOKUP($B39,Games!$A$1:$I$20,5,FALSE)="Texas",ROUND((VLOOKUP(VLOOKUP($B39,Games!$A$1:$I$20,8,FALSE),Players!$B$1:$F$40,4,FALSE)+VLOOKUP(VLOOKUP($B39,Games!$A$1:$I$20,9,FALSE),Players!$B$1:$F$40,4,FALSE))*(3/8),1),ROUND(VLOOKUP(VLOOKUP($B39,Games!$A$1:$I$20,8,FALSE),Players!$B$1:$F$40,5,FALSE),1))</f>
        <v>20.399999999999999</v>
      </c>
      <c r="K39" s="10" t="str">
        <f>VLOOKUP(B39,Games!$A$1:$I$20,3,FALSE)</f>
        <v>Terasy Ústí n. Labem</v>
      </c>
      <c r="L39" s="10">
        <f>VLOOKUP(CONCATENATE($K39,$C39),'Field holes'!$B$1:$I$900,6,FALSE)</f>
        <v>4</v>
      </c>
      <c r="M39" s="10">
        <f>VLOOKUP(CONCATENATE($K39,$C39),'Field holes'!$B$1:$I$900,7,FALSE)</f>
        <v>6</v>
      </c>
    </row>
    <row r="40" spans="1:13" ht="15.75" customHeight="1" x14ac:dyDescent="0.15">
      <c r="A40" s="16">
        <v>39</v>
      </c>
      <c r="B40" s="16">
        <v>3</v>
      </c>
      <c r="C40" s="17">
        <v>3</v>
      </c>
      <c r="F40" s="10">
        <f t="shared" si="2"/>
        <v>4</v>
      </c>
      <c r="G40" s="10">
        <f t="shared" si="0"/>
        <v>5</v>
      </c>
      <c r="H40" s="10" t="str">
        <f t="shared" si="1"/>
        <v/>
      </c>
      <c r="I40" s="10">
        <f>IF(VLOOKUP($B40,Games!$A$1:$I$20,5,FALSE)="Texas",ROUND(((VLOOKUP(VLOOKUP($B40,Games!$A$1:$I$20,6,FALSE),Players!$B$1:$F$40,4,FALSE)+VLOOKUP(VLOOKUP($B40,Games!$A$1:$I$20,7,FALSE),Players!$B$1:$F$40,4,FALSE)))*(3/8),1),ROUND(VLOOKUP(VLOOKUP($B40,Games!$A$1:$I$20,6,FALSE),Players!$B$1:$F$40,5,FALSE),1))</f>
        <v>9</v>
      </c>
      <c r="J40" s="10">
        <f>IF(VLOOKUP($B40,Games!$A$1:$I$20,5,FALSE)="Texas",ROUND((VLOOKUP(VLOOKUP($B40,Games!$A$1:$I$20,8,FALSE),Players!$B$1:$F$40,4,FALSE)+VLOOKUP(VLOOKUP($B40,Games!$A$1:$I$20,9,FALSE),Players!$B$1:$F$40,4,FALSE))*(3/8),1),ROUND(VLOOKUP(VLOOKUP($B40,Games!$A$1:$I$20,8,FALSE),Players!$B$1:$F$40,5,FALSE),1))</f>
        <v>20.399999999999999</v>
      </c>
      <c r="K40" s="10" t="str">
        <f>VLOOKUP(B40,Games!$A$1:$I$20,3,FALSE)</f>
        <v>Terasy Ústí n. Labem</v>
      </c>
      <c r="L40" s="10">
        <f>VLOOKUP(CONCATENATE($K40,$C40),'Field holes'!$B$1:$I$900,6,FALSE)</f>
        <v>4</v>
      </c>
      <c r="M40" s="10">
        <f>VLOOKUP(CONCATENATE($K40,$C40),'Field holes'!$B$1:$I$900,7,FALSE)</f>
        <v>16</v>
      </c>
    </row>
    <row r="41" spans="1:13" ht="15.75" customHeight="1" x14ac:dyDescent="0.15">
      <c r="A41" s="16">
        <v>40</v>
      </c>
      <c r="B41" s="16">
        <v>3</v>
      </c>
      <c r="C41" s="17">
        <v>4</v>
      </c>
      <c r="F41" s="10">
        <f t="shared" si="2"/>
        <v>4</v>
      </c>
      <c r="G41" s="10">
        <f t="shared" si="0"/>
        <v>5</v>
      </c>
      <c r="H41" s="10" t="str">
        <f t="shared" si="1"/>
        <v/>
      </c>
      <c r="I41" s="10">
        <f>IF(VLOOKUP($B41,Games!$A$1:$I$20,5,FALSE)="Texas",ROUND(((VLOOKUP(VLOOKUP($B41,Games!$A$1:$I$20,6,FALSE),Players!$B$1:$F$40,4,FALSE)+VLOOKUP(VLOOKUP($B41,Games!$A$1:$I$20,7,FALSE),Players!$B$1:$F$40,4,FALSE)))*(3/8),1),ROUND(VLOOKUP(VLOOKUP($B41,Games!$A$1:$I$20,6,FALSE),Players!$B$1:$F$40,5,FALSE),1))</f>
        <v>9</v>
      </c>
      <c r="J41" s="10">
        <f>IF(VLOOKUP($B41,Games!$A$1:$I$20,5,FALSE)="Texas",ROUND((VLOOKUP(VLOOKUP($B41,Games!$A$1:$I$20,8,FALSE),Players!$B$1:$F$40,4,FALSE)+VLOOKUP(VLOOKUP($B41,Games!$A$1:$I$20,9,FALSE),Players!$B$1:$F$40,4,FALSE))*(3/8),1),ROUND(VLOOKUP(VLOOKUP($B41,Games!$A$1:$I$20,8,FALSE),Players!$B$1:$F$40,5,FALSE),1))</f>
        <v>20.399999999999999</v>
      </c>
      <c r="K41" s="10" t="str">
        <f>VLOOKUP(B41,Games!$A$1:$I$20,3,FALSE)</f>
        <v>Terasy Ústí n. Labem</v>
      </c>
      <c r="L41" s="10">
        <f>VLOOKUP(CONCATENATE($K41,$C41),'Field holes'!$B$1:$I$900,6,FALSE)</f>
        <v>3</v>
      </c>
      <c r="M41" s="10">
        <f>VLOOKUP(CONCATENATE($K41,$C41),'Field holes'!$B$1:$I$900,7,FALSE)</f>
        <v>2</v>
      </c>
    </row>
    <row r="42" spans="1:13" ht="15.75" customHeight="1" x14ac:dyDescent="0.15">
      <c r="A42" s="16">
        <v>41</v>
      </c>
      <c r="B42" s="16">
        <v>3</v>
      </c>
      <c r="C42" s="17">
        <v>5</v>
      </c>
      <c r="F42" s="10">
        <f t="shared" si="2"/>
        <v>5</v>
      </c>
      <c r="G42" s="10">
        <f t="shared" si="0"/>
        <v>5</v>
      </c>
      <c r="H42" s="10" t="str">
        <f t="shared" si="1"/>
        <v/>
      </c>
      <c r="I42" s="10">
        <f>IF(VLOOKUP($B42,Games!$A$1:$I$20,5,FALSE)="Texas",ROUND(((VLOOKUP(VLOOKUP($B42,Games!$A$1:$I$20,6,FALSE),Players!$B$1:$F$40,4,FALSE)+VLOOKUP(VLOOKUP($B42,Games!$A$1:$I$20,7,FALSE),Players!$B$1:$F$40,4,FALSE)))*(3/8),1),ROUND(VLOOKUP(VLOOKUP($B42,Games!$A$1:$I$20,6,FALSE),Players!$B$1:$F$40,5,FALSE),1))</f>
        <v>9</v>
      </c>
      <c r="J42" s="10">
        <f>IF(VLOOKUP($B42,Games!$A$1:$I$20,5,FALSE)="Texas",ROUND((VLOOKUP(VLOOKUP($B42,Games!$A$1:$I$20,8,FALSE),Players!$B$1:$F$40,4,FALSE)+VLOOKUP(VLOOKUP($B42,Games!$A$1:$I$20,9,FALSE),Players!$B$1:$F$40,4,FALSE))*(3/8),1),ROUND(VLOOKUP(VLOOKUP($B42,Games!$A$1:$I$20,8,FALSE),Players!$B$1:$F$40,5,FALSE),1))</f>
        <v>20.399999999999999</v>
      </c>
      <c r="K42" s="10" t="str">
        <f>VLOOKUP(B42,Games!$A$1:$I$20,3,FALSE)</f>
        <v>Terasy Ústí n. Labem</v>
      </c>
      <c r="L42" s="10">
        <f>VLOOKUP(CONCATENATE($K42,$C42),'Field holes'!$B$1:$I$900,6,FALSE)</f>
        <v>4</v>
      </c>
      <c r="M42" s="10">
        <f>VLOOKUP(CONCATENATE($K42,$C42),'Field holes'!$B$1:$I$900,7,FALSE)</f>
        <v>8</v>
      </c>
    </row>
    <row r="43" spans="1:13" ht="15.75" customHeight="1" x14ac:dyDescent="0.15">
      <c r="A43" s="16">
        <v>42</v>
      </c>
      <c r="B43" s="16">
        <v>3</v>
      </c>
      <c r="C43" s="17">
        <v>6</v>
      </c>
      <c r="F43" s="10">
        <f t="shared" si="2"/>
        <v>3</v>
      </c>
      <c r="G43" s="10">
        <f t="shared" si="0"/>
        <v>4</v>
      </c>
      <c r="H43" s="10" t="str">
        <f t="shared" si="1"/>
        <v/>
      </c>
      <c r="I43" s="10">
        <f>IF(VLOOKUP($B43,Games!$A$1:$I$20,5,FALSE)="Texas",ROUND(((VLOOKUP(VLOOKUP($B43,Games!$A$1:$I$20,6,FALSE),Players!$B$1:$F$40,4,FALSE)+VLOOKUP(VLOOKUP($B43,Games!$A$1:$I$20,7,FALSE),Players!$B$1:$F$40,4,FALSE)))*(3/8),1),ROUND(VLOOKUP(VLOOKUP($B43,Games!$A$1:$I$20,6,FALSE),Players!$B$1:$F$40,5,FALSE),1))</f>
        <v>9</v>
      </c>
      <c r="J43" s="10">
        <f>IF(VLOOKUP($B43,Games!$A$1:$I$20,5,FALSE)="Texas",ROUND((VLOOKUP(VLOOKUP($B43,Games!$A$1:$I$20,8,FALSE),Players!$B$1:$F$40,4,FALSE)+VLOOKUP(VLOOKUP($B43,Games!$A$1:$I$20,9,FALSE),Players!$B$1:$F$40,4,FALSE))*(3/8),1),ROUND(VLOOKUP(VLOOKUP($B43,Games!$A$1:$I$20,8,FALSE),Players!$B$1:$F$40,5,FALSE),1))</f>
        <v>20.399999999999999</v>
      </c>
      <c r="K43" s="10" t="str">
        <f>VLOOKUP(B43,Games!$A$1:$I$20,3,FALSE)</f>
        <v>Terasy Ústí n. Labem</v>
      </c>
      <c r="L43" s="10">
        <f>VLOOKUP(CONCATENATE($K43,$C43),'Field holes'!$B$1:$I$900,6,FALSE)</f>
        <v>3</v>
      </c>
      <c r="M43" s="10">
        <f>VLOOKUP(CONCATENATE($K43,$C43),'Field holes'!$B$1:$I$900,7,FALSE)</f>
        <v>14</v>
      </c>
    </row>
    <row r="44" spans="1:13" ht="15.75" customHeight="1" x14ac:dyDescent="0.15">
      <c r="A44" s="16">
        <v>43</v>
      </c>
      <c r="B44" s="16">
        <v>3</v>
      </c>
      <c r="C44" s="17">
        <v>7</v>
      </c>
      <c r="F44" s="10">
        <f t="shared" si="2"/>
        <v>4</v>
      </c>
      <c r="G44" s="10">
        <f t="shared" si="0"/>
        <v>5</v>
      </c>
      <c r="H44" s="10" t="str">
        <f t="shared" si="1"/>
        <v/>
      </c>
      <c r="I44" s="10">
        <f>IF(VLOOKUP($B44,Games!$A$1:$I$20,5,FALSE)="Texas",ROUND(((VLOOKUP(VLOOKUP($B44,Games!$A$1:$I$20,6,FALSE),Players!$B$1:$F$40,4,FALSE)+VLOOKUP(VLOOKUP($B44,Games!$A$1:$I$20,7,FALSE),Players!$B$1:$F$40,4,FALSE)))*(3/8),1),ROUND(VLOOKUP(VLOOKUP($B44,Games!$A$1:$I$20,6,FALSE),Players!$B$1:$F$40,5,FALSE),1))</f>
        <v>9</v>
      </c>
      <c r="J44" s="10">
        <f>IF(VLOOKUP($B44,Games!$A$1:$I$20,5,FALSE)="Texas",ROUND((VLOOKUP(VLOOKUP($B44,Games!$A$1:$I$20,8,FALSE),Players!$B$1:$F$40,4,FALSE)+VLOOKUP(VLOOKUP($B44,Games!$A$1:$I$20,9,FALSE),Players!$B$1:$F$40,4,FALSE))*(3/8),1),ROUND(VLOOKUP(VLOOKUP($B44,Games!$A$1:$I$20,8,FALSE),Players!$B$1:$F$40,5,FALSE),1))</f>
        <v>20.399999999999999</v>
      </c>
      <c r="K44" s="10" t="str">
        <f>VLOOKUP(B44,Games!$A$1:$I$20,3,FALSE)</f>
        <v>Terasy Ústí n. Labem</v>
      </c>
      <c r="L44" s="10">
        <f>VLOOKUP(CONCATENATE($K44,$C44),'Field holes'!$B$1:$I$900,6,FALSE)</f>
        <v>4</v>
      </c>
      <c r="M44" s="10">
        <f>VLOOKUP(CONCATENATE($K44,$C44),'Field holes'!$B$1:$I$900,7,FALSE)</f>
        <v>18</v>
      </c>
    </row>
    <row r="45" spans="1:13" ht="15.75" customHeight="1" x14ac:dyDescent="0.15">
      <c r="A45" s="16">
        <v>44</v>
      </c>
      <c r="B45" s="16">
        <v>3</v>
      </c>
      <c r="C45" s="17">
        <v>8</v>
      </c>
      <c r="F45" s="10">
        <f t="shared" si="2"/>
        <v>6</v>
      </c>
      <c r="G45" s="10">
        <f t="shared" si="0"/>
        <v>6</v>
      </c>
      <c r="H45" s="10" t="str">
        <f t="shared" si="1"/>
        <v/>
      </c>
      <c r="I45" s="10">
        <f>IF(VLOOKUP($B45,Games!$A$1:$I$20,5,FALSE)="Texas",ROUND(((VLOOKUP(VLOOKUP($B45,Games!$A$1:$I$20,6,FALSE),Players!$B$1:$F$40,4,FALSE)+VLOOKUP(VLOOKUP($B45,Games!$A$1:$I$20,7,FALSE),Players!$B$1:$F$40,4,FALSE)))*(3/8),1),ROUND(VLOOKUP(VLOOKUP($B45,Games!$A$1:$I$20,6,FALSE),Players!$B$1:$F$40,5,FALSE),1))</f>
        <v>9</v>
      </c>
      <c r="J45" s="10">
        <f>IF(VLOOKUP($B45,Games!$A$1:$I$20,5,FALSE)="Texas",ROUND((VLOOKUP(VLOOKUP($B45,Games!$A$1:$I$20,8,FALSE),Players!$B$1:$F$40,4,FALSE)+VLOOKUP(VLOOKUP($B45,Games!$A$1:$I$20,9,FALSE),Players!$B$1:$F$40,4,FALSE))*(3/8),1),ROUND(VLOOKUP(VLOOKUP($B45,Games!$A$1:$I$20,8,FALSE),Players!$B$1:$F$40,5,FALSE),1))</f>
        <v>20.399999999999999</v>
      </c>
      <c r="K45" s="10" t="str">
        <f>VLOOKUP(B45,Games!$A$1:$I$20,3,FALSE)</f>
        <v>Terasy Ústí n. Labem</v>
      </c>
      <c r="L45" s="10">
        <f>VLOOKUP(CONCATENATE($K45,$C45),'Field holes'!$B$1:$I$900,6,FALSE)</f>
        <v>5</v>
      </c>
      <c r="M45" s="10">
        <f>VLOOKUP(CONCATENATE($K45,$C45),'Field holes'!$B$1:$I$900,7,FALSE)</f>
        <v>4</v>
      </c>
    </row>
    <row r="46" spans="1:13" ht="15.75" customHeight="1" x14ac:dyDescent="0.15">
      <c r="A46" s="16">
        <v>45</v>
      </c>
      <c r="B46" s="16">
        <v>3</v>
      </c>
      <c r="C46" s="17">
        <v>9</v>
      </c>
      <c r="F46" s="10">
        <f t="shared" si="2"/>
        <v>4</v>
      </c>
      <c r="G46" s="10">
        <f t="shared" si="0"/>
        <v>5</v>
      </c>
      <c r="H46" s="10" t="str">
        <f t="shared" si="1"/>
        <v/>
      </c>
      <c r="I46" s="10">
        <f>IF(VLOOKUP($B46,Games!$A$1:$I$20,5,FALSE)="Texas",ROUND(((VLOOKUP(VLOOKUP($B46,Games!$A$1:$I$20,6,FALSE),Players!$B$1:$F$40,4,FALSE)+VLOOKUP(VLOOKUP($B46,Games!$A$1:$I$20,7,FALSE),Players!$B$1:$F$40,4,FALSE)))*(3/8),1),ROUND(VLOOKUP(VLOOKUP($B46,Games!$A$1:$I$20,6,FALSE),Players!$B$1:$F$40,5,FALSE),1))</f>
        <v>9</v>
      </c>
      <c r="J46" s="10">
        <f>IF(VLOOKUP($B46,Games!$A$1:$I$20,5,FALSE)="Texas",ROUND((VLOOKUP(VLOOKUP($B46,Games!$A$1:$I$20,8,FALSE),Players!$B$1:$F$40,4,FALSE)+VLOOKUP(VLOOKUP($B46,Games!$A$1:$I$20,9,FALSE),Players!$B$1:$F$40,4,FALSE))*(3/8),1),ROUND(VLOOKUP(VLOOKUP($B46,Games!$A$1:$I$20,8,FALSE),Players!$B$1:$F$40,5,FALSE),1))</f>
        <v>20.399999999999999</v>
      </c>
      <c r="K46" s="10" t="str">
        <f>VLOOKUP(B46,Games!$A$1:$I$20,3,FALSE)</f>
        <v>Terasy Ústí n. Labem</v>
      </c>
      <c r="L46" s="10">
        <f>VLOOKUP(CONCATENATE($K46,$C46),'Field holes'!$B$1:$I$900,6,FALSE)</f>
        <v>4</v>
      </c>
      <c r="M46" s="10">
        <f>VLOOKUP(CONCATENATE($K46,$C46),'Field holes'!$B$1:$I$900,7,FALSE)</f>
        <v>10</v>
      </c>
    </row>
    <row r="47" spans="1:13" ht="15.75" customHeight="1" x14ac:dyDescent="0.15">
      <c r="A47" s="16">
        <v>46</v>
      </c>
      <c r="B47" s="16">
        <v>3</v>
      </c>
      <c r="C47" s="17">
        <v>10</v>
      </c>
      <c r="F47" s="10">
        <f t="shared" si="2"/>
        <v>4</v>
      </c>
      <c r="G47" s="10">
        <f t="shared" si="0"/>
        <v>5</v>
      </c>
      <c r="H47" s="10" t="str">
        <f t="shared" si="1"/>
        <v/>
      </c>
      <c r="I47" s="10">
        <f>IF(VLOOKUP($B47,Games!$A$1:$I$20,5,FALSE)="Texas",ROUND(((VLOOKUP(VLOOKUP($B47,Games!$A$1:$I$20,6,FALSE),Players!$B$1:$F$40,4,FALSE)+VLOOKUP(VLOOKUP($B47,Games!$A$1:$I$20,7,FALSE),Players!$B$1:$F$40,4,FALSE)))*(3/8),1),ROUND(VLOOKUP(VLOOKUP($B47,Games!$A$1:$I$20,6,FALSE),Players!$B$1:$F$40,5,FALSE),1))</f>
        <v>9</v>
      </c>
      <c r="J47" s="10">
        <f>IF(VLOOKUP($B47,Games!$A$1:$I$20,5,FALSE)="Texas",ROUND((VLOOKUP(VLOOKUP($B47,Games!$A$1:$I$20,8,FALSE),Players!$B$1:$F$40,4,FALSE)+VLOOKUP(VLOOKUP($B47,Games!$A$1:$I$20,9,FALSE),Players!$B$1:$F$40,4,FALSE))*(3/8),1),ROUND(VLOOKUP(VLOOKUP($B47,Games!$A$1:$I$20,8,FALSE),Players!$B$1:$F$40,5,FALSE),1))</f>
        <v>20.399999999999999</v>
      </c>
      <c r="K47" s="10" t="str">
        <f>VLOOKUP(B47,Games!$A$1:$I$20,3,FALSE)</f>
        <v>Terasy Ústí n. Labem</v>
      </c>
      <c r="L47" s="10">
        <f>VLOOKUP(CONCATENATE($K47,$C47),'Field holes'!$B$1:$I$900,6,FALSE)</f>
        <v>4</v>
      </c>
      <c r="M47" s="10">
        <f>VLOOKUP(CONCATENATE($K47,$C47),'Field holes'!$B$1:$I$900,7,FALSE)</f>
        <v>11</v>
      </c>
    </row>
    <row r="48" spans="1:13" ht="15.75" customHeight="1" x14ac:dyDescent="0.15">
      <c r="A48" s="16">
        <v>47</v>
      </c>
      <c r="B48" s="16">
        <v>3</v>
      </c>
      <c r="C48" s="17">
        <v>11</v>
      </c>
      <c r="F48" s="10">
        <f t="shared" si="2"/>
        <v>5</v>
      </c>
      <c r="G48" s="10">
        <f t="shared" si="0"/>
        <v>5</v>
      </c>
      <c r="H48" s="10" t="str">
        <f t="shared" si="1"/>
        <v/>
      </c>
      <c r="I48" s="10">
        <f>IF(VLOOKUP($B48,Games!$A$1:$I$20,5,FALSE)="Texas",ROUND(((VLOOKUP(VLOOKUP($B48,Games!$A$1:$I$20,6,FALSE),Players!$B$1:$F$40,4,FALSE)+VLOOKUP(VLOOKUP($B48,Games!$A$1:$I$20,7,FALSE),Players!$B$1:$F$40,4,FALSE)))*(3/8),1),ROUND(VLOOKUP(VLOOKUP($B48,Games!$A$1:$I$20,6,FALSE),Players!$B$1:$F$40,5,FALSE),1))</f>
        <v>9</v>
      </c>
      <c r="J48" s="10">
        <f>IF(VLOOKUP($B48,Games!$A$1:$I$20,5,FALSE)="Texas",ROUND((VLOOKUP(VLOOKUP($B48,Games!$A$1:$I$20,8,FALSE),Players!$B$1:$F$40,4,FALSE)+VLOOKUP(VLOOKUP($B48,Games!$A$1:$I$20,9,FALSE),Players!$B$1:$F$40,4,FALSE))*(3/8),1),ROUND(VLOOKUP(VLOOKUP($B48,Games!$A$1:$I$20,8,FALSE),Players!$B$1:$F$40,5,FALSE),1))</f>
        <v>20.399999999999999</v>
      </c>
      <c r="K48" s="10" t="str">
        <f>VLOOKUP(B48,Games!$A$1:$I$20,3,FALSE)</f>
        <v>Terasy Ústí n. Labem</v>
      </c>
      <c r="L48" s="10">
        <f>VLOOKUP(CONCATENATE($K48,$C48),'Field holes'!$B$1:$I$900,6,FALSE)</f>
        <v>4</v>
      </c>
      <c r="M48" s="10">
        <f>VLOOKUP(CONCATENATE($K48,$C48),'Field holes'!$B$1:$I$900,7,FALSE)</f>
        <v>5</v>
      </c>
    </row>
    <row r="49" spans="1:13" ht="15.75" customHeight="1" x14ac:dyDescent="0.15">
      <c r="A49" s="16">
        <v>48</v>
      </c>
      <c r="B49" s="16">
        <v>3</v>
      </c>
      <c r="C49" s="17">
        <v>12</v>
      </c>
      <c r="F49" s="10">
        <f t="shared" si="2"/>
        <v>6</v>
      </c>
      <c r="G49" s="10">
        <f t="shared" si="0"/>
        <v>7</v>
      </c>
      <c r="H49" s="10" t="str">
        <f t="shared" si="1"/>
        <v/>
      </c>
      <c r="I49" s="10">
        <f>IF(VLOOKUP($B49,Games!$A$1:$I$20,5,FALSE)="Texas",ROUND(((VLOOKUP(VLOOKUP($B49,Games!$A$1:$I$20,6,FALSE),Players!$B$1:$F$40,4,FALSE)+VLOOKUP(VLOOKUP($B49,Games!$A$1:$I$20,7,FALSE),Players!$B$1:$F$40,4,FALSE)))*(3/8),1),ROUND(VLOOKUP(VLOOKUP($B49,Games!$A$1:$I$20,6,FALSE),Players!$B$1:$F$40,5,FALSE),1))</f>
        <v>9</v>
      </c>
      <c r="J49" s="10">
        <f>IF(VLOOKUP($B49,Games!$A$1:$I$20,5,FALSE)="Texas",ROUND((VLOOKUP(VLOOKUP($B49,Games!$A$1:$I$20,8,FALSE),Players!$B$1:$F$40,4,FALSE)+VLOOKUP(VLOOKUP($B49,Games!$A$1:$I$20,9,FALSE),Players!$B$1:$F$40,4,FALSE))*(3/8),1),ROUND(VLOOKUP(VLOOKUP($B49,Games!$A$1:$I$20,8,FALSE),Players!$B$1:$F$40,5,FALSE),1))</f>
        <v>20.399999999999999</v>
      </c>
      <c r="K49" s="10" t="str">
        <f>VLOOKUP(B49,Games!$A$1:$I$20,3,FALSE)</f>
        <v>Terasy Ústí n. Labem</v>
      </c>
      <c r="L49" s="10">
        <f>VLOOKUP(CONCATENATE($K49,$C49),'Field holes'!$B$1:$I$900,6,FALSE)</f>
        <v>5</v>
      </c>
      <c r="M49" s="10">
        <f>VLOOKUP(CONCATENATE($K49,$C49),'Field holes'!$B$1:$I$900,7,FALSE)</f>
        <v>1</v>
      </c>
    </row>
    <row r="50" spans="1:13" ht="15.75" customHeight="1" x14ac:dyDescent="0.15">
      <c r="A50" s="16">
        <v>49</v>
      </c>
      <c r="B50" s="16">
        <v>3</v>
      </c>
      <c r="C50" s="17">
        <v>13</v>
      </c>
      <c r="F50" s="10">
        <f t="shared" si="2"/>
        <v>4</v>
      </c>
      <c r="G50" s="10">
        <f t="shared" si="0"/>
        <v>5</v>
      </c>
      <c r="H50" s="10" t="str">
        <f t="shared" si="1"/>
        <v/>
      </c>
      <c r="I50" s="10">
        <f>IF(VLOOKUP($B50,Games!$A$1:$I$20,5,FALSE)="Texas",ROUND(((VLOOKUP(VLOOKUP($B50,Games!$A$1:$I$20,6,FALSE),Players!$B$1:$F$40,4,FALSE)+VLOOKUP(VLOOKUP($B50,Games!$A$1:$I$20,7,FALSE),Players!$B$1:$F$40,4,FALSE)))*(3/8),1),ROUND(VLOOKUP(VLOOKUP($B50,Games!$A$1:$I$20,6,FALSE),Players!$B$1:$F$40,5,FALSE),1))</f>
        <v>9</v>
      </c>
      <c r="J50" s="10">
        <f>IF(VLOOKUP($B50,Games!$A$1:$I$20,5,FALSE)="Texas",ROUND((VLOOKUP(VLOOKUP($B50,Games!$A$1:$I$20,8,FALSE),Players!$B$1:$F$40,4,FALSE)+VLOOKUP(VLOOKUP($B50,Games!$A$1:$I$20,9,FALSE),Players!$B$1:$F$40,4,FALSE))*(3/8),1),ROUND(VLOOKUP(VLOOKUP($B50,Games!$A$1:$I$20,8,FALSE),Players!$B$1:$F$40,5,FALSE),1))</f>
        <v>20.399999999999999</v>
      </c>
      <c r="K50" s="10" t="str">
        <f>VLOOKUP(B50,Games!$A$1:$I$20,3,FALSE)</f>
        <v>Terasy Ústí n. Labem</v>
      </c>
      <c r="L50" s="10">
        <f>VLOOKUP(CONCATENATE($K50,$C50),'Field holes'!$B$1:$I$900,6,FALSE)</f>
        <v>4</v>
      </c>
      <c r="M50" s="10">
        <f>VLOOKUP(CONCATENATE($K50,$C50),'Field holes'!$B$1:$I$900,7,FALSE)</f>
        <v>15</v>
      </c>
    </row>
    <row r="51" spans="1:13" ht="15.75" customHeight="1" x14ac:dyDescent="0.15">
      <c r="A51" s="16">
        <v>50</v>
      </c>
      <c r="B51" s="16">
        <v>3</v>
      </c>
      <c r="C51" s="17">
        <v>14</v>
      </c>
      <c r="F51" s="10">
        <f t="shared" si="2"/>
        <v>4</v>
      </c>
      <c r="G51" s="10">
        <f t="shared" si="0"/>
        <v>4</v>
      </c>
      <c r="H51" s="10" t="str">
        <f t="shared" si="1"/>
        <v/>
      </c>
      <c r="I51" s="10">
        <f>IF(VLOOKUP($B51,Games!$A$1:$I$20,5,FALSE)="Texas",ROUND(((VLOOKUP(VLOOKUP($B51,Games!$A$1:$I$20,6,FALSE),Players!$B$1:$F$40,4,FALSE)+VLOOKUP(VLOOKUP($B51,Games!$A$1:$I$20,7,FALSE),Players!$B$1:$F$40,4,FALSE)))*(3/8),1),ROUND(VLOOKUP(VLOOKUP($B51,Games!$A$1:$I$20,6,FALSE),Players!$B$1:$F$40,5,FALSE),1))</f>
        <v>9</v>
      </c>
      <c r="J51" s="10">
        <f>IF(VLOOKUP($B51,Games!$A$1:$I$20,5,FALSE)="Texas",ROUND((VLOOKUP(VLOOKUP($B51,Games!$A$1:$I$20,8,FALSE),Players!$B$1:$F$40,4,FALSE)+VLOOKUP(VLOOKUP($B51,Games!$A$1:$I$20,9,FALSE),Players!$B$1:$F$40,4,FALSE))*(3/8),1),ROUND(VLOOKUP(VLOOKUP($B51,Games!$A$1:$I$20,8,FALSE),Players!$B$1:$F$40,5,FALSE),1))</f>
        <v>20.399999999999999</v>
      </c>
      <c r="K51" s="10" t="str">
        <f>VLOOKUP(B51,Games!$A$1:$I$20,3,FALSE)</f>
        <v>Terasy Ústí n. Labem</v>
      </c>
      <c r="L51" s="10">
        <f>VLOOKUP(CONCATENATE($K51,$C51),'Field holes'!$B$1:$I$900,6,FALSE)</f>
        <v>3</v>
      </c>
      <c r="M51" s="10">
        <f>VLOOKUP(CONCATENATE($K51,$C51),'Field holes'!$B$1:$I$900,7,FALSE)</f>
        <v>7</v>
      </c>
    </row>
    <row r="52" spans="1:13" ht="15.75" customHeight="1" x14ac:dyDescent="0.15">
      <c r="A52" s="16">
        <v>51</v>
      </c>
      <c r="B52" s="16">
        <v>3</v>
      </c>
      <c r="C52" s="17">
        <v>15</v>
      </c>
      <c r="F52" s="10">
        <f t="shared" si="2"/>
        <v>5</v>
      </c>
      <c r="G52" s="10">
        <f t="shared" si="0"/>
        <v>5</v>
      </c>
      <c r="H52" s="10" t="str">
        <f t="shared" si="1"/>
        <v/>
      </c>
      <c r="I52" s="10">
        <f>IF(VLOOKUP($B52,Games!$A$1:$I$20,5,FALSE)="Texas",ROUND(((VLOOKUP(VLOOKUP($B52,Games!$A$1:$I$20,6,FALSE),Players!$B$1:$F$40,4,FALSE)+VLOOKUP(VLOOKUP($B52,Games!$A$1:$I$20,7,FALSE),Players!$B$1:$F$40,4,FALSE)))*(3/8),1),ROUND(VLOOKUP(VLOOKUP($B52,Games!$A$1:$I$20,6,FALSE),Players!$B$1:$F$40,5,FALSE),1))</f>
        <v>9</v>
      </c>
      <c r="J52" s="10">
        <f>IF(VLOOKUP($B52,Games!$A$1:$I$20,5,FALSE)="Texas",ROUND((VLOOKUP(VLOOKUP($B52,Games!$A$1:$I$20,8,FALSE),Players!$B$1:$F$40,4,FALSE)+VLOOKUP(VLOOKUP($B52,Games!$A$1:$I$20,9,FALSE),Players!$B$1:$F$40,4,FALSE))*(3/8),1),ROUND(VLOOKUP(VLOOKUP($B52,Games!$A$1:$I$20,8,FALSE),Players!$B$1:$F$40,5,FALSE),1))</f>
        <v>20.399999999999999</v>
      </c>
      <c r="K52" s="10" t="str">
        <f>VLOOKUP(B52,Games!$A$1:$I$20,3,FALSE)</f>
        <v>Terasy Ústí n. Labem</v>
      </c>
      <c r="L52" s="10">
        <f>VLOOKUP(CONCATENATE($K52,$C52),'Field holes'!$B$1:$I$900,6,FALSE)</f>
        <v>4</v>
      </c>
      <c r="M52" s="10">
        <f>VLOOKUP(CONCATENATE($K52,$C52),'Field holes'!$B$1:$I$900,7,FALSE)</f>
        <v>3</v>
      </c>
    </row>
    <row r="53" spans="1:13" ht="15.75" customHeight="1" x14ac:dyDescent="0.15">
      <c r="A53" s="16">
        <v>52</v>
      </c>
      <c r="B53" s="16">
        <v>3</v>
      </c>
      <c r="C53" s="17">
        <v>16</v>
      </c>
      <c r="F53" s="10">
        <f t="shared" si="2"/>
        <v>3</v>
      </c>
      <c r="G53" s="10">
        <f t="shared" si="0"/>
        <v>4</v>
      </c>
      <c r="H53" s="10" t="str">
        <f t="shared" si="1"/>
        <v/>
      </c>
      <c r="I53" s="10">
        <f>IF(VLOOKUP($B53,Games!$A$1:$I$20,5,FALSE)="Texas",ROUND(((VLOOKUP(VLOOKUP($B53,Games!$A$1:$I$20,6,FALSE),Players!$B$1:$F$40,4,FALSE)+VLOOKUP(VLOOKUP($B53,Games!$A$1:$I$20,7,FALSE),Players!$B$1:$F$40,4,FALSE)))*(3/8),1),ROUND(VLOOKUP(VLOOKUP($B53,Games!$A$1:$I$20,6,FALSE),Players!$B$1:$F$40,5,FALSE),1))</f>
        <v>9</v>
      </c>
      <c r="J53" s="10">
        <f>IF(VLOOKUP($B53,Games!$A$1:$I$20,5,FALSE)="Texas",ROUND((VLOOKUP(VLOOKUP($B53,Games!$A$1:$I$20,8,FALSE),Players!$B$1:$F$40,4,FALSE)+VLOOKUP(VLOOKUP($B53,Games!$A$1:$I$20,9,FALSE),Players!$B$1:$F$40,4,FALSE))*(3/8),1),ROUND(VLOOKUP(VLOOKUP($B53,Games!$A$1:$I$20,8,FALSE),Players!$B$1:$F$40,5,FALSE),1))</f>
        <v>20.399999999999999</v>
      </c>
      <c r="K53" s="10" t="str">
        <f>VLOOKUP(B53,Games!$A$1:$I$20,3,FALSE)</f>
        <v>Terasy Ústí n. Labem</v>
      </c>
      <c r="L53" s="10">
        <f>VLOOKUP(CONCATENATE($K53,$C53),'Field holes'!$B$1:$I$900,6,FALSE)</f>
        <v>3</v>
      </c>
      <c r="M53" s="10">
        <f>VLOOKUP(CONCATENATE($K53,$C53),'Field holes'!$B$1:$I$900,7,FALSE)</f>
        <v>17</v>
      </c>
    </row>
    <row r="54" spans="1:13" ht="15.75" customHeight="1" x14ac:dyDescent="0.15">
      <c r="A54" s="16">
        <v>53</v>
      </c>
      <c r="B54" s="16">
        <v>3</v>
      </c>
      <c r="C54" s="17">
        <v>17</v>
      </c>
      <c r="F54" s="10">
        <f t="shared" si="2"/>
        <v>5</v>
      </c>
      <c r="G54" s="10">
        <f t="shared" si="0"/>
        <v>6</v>
      </c>
      <c r="H54" s="10" t="str">
        <f t="shared" si="1"/>
        <v/>
      </c>
      <c r="I54" s="10">
        <f>IF(VLOOKUP($B54,Games!$A$1:$I$20,5,FALSE)="Texas",ROUND(((VLOOKUP(VLOOKUP($B54,Games!$A$1:$I$20,6,FALSE),Players!$B$1:$F$40,4,FALSE)+VLOOKUP(VLOOKUP($B54,Games!$A$1:$I$20,7,FALSE),Players!$B$1:$F$40,4,FALSE)))*(3/8),1),ROUND(VLOOKUP(VLOOKUP($B54,Games!$A$1:$I$20,6,FALSE),Players!$B$1:$F$40,5,FALSE),1))</f>
        <v>9</v>
      </c>
      <c r="J54" s="10">
        <f>IF(VLOOKUP($B54,Games!$A$1:$I$20,5,FALSE)="Texas",ROUND((VLOOKUP(VLOOKUP($B54,Games!$A$1:$I$20,8,FALSE),Players!$B$1:$F$40,4,FALSE)+VLOOKUP(VLOOKUP($B54,Games!$A$1:$I$20,9,FALSE),Players!$B$1:$F$40,4,FALSE))*(3/8),1),ROUND(VLOOKUP(VLOOKUP($B54,Games!$A$1:$I$20,8,FALSE),Players!$B$1:$F$40,5,FALSE),1))</f>
        <v>20.399999999999999</v>
      </c>
      <c r="K54" s="10" t="str">
        <f>VLOOKUP(B54,Games!$A$1:$I$20,3,FALSE)</f>
        <v>Terasy Ústí n. Labem</v>
      </c>
      <c r="L54" s="10">
        <f>VLOOKUP(CONCATENATE($K54,$C54),'Field holes'!$B$1:$I$900,6,FALSE)</f>
        <v>5</v>
      </c>
      <c r="M54" s="10">
        <f>VLOOKUP(CONCATENATE($K54,$C54),'Field holes'!$B$1:$I$900,7,FALSE)</f>
        <v>13</v>
      </c>
    </row>
    <row r="55" spans="1:13" ht="15.75" customHeight="1" x14ac:dyDescent="0.15">
      <c r="A55" s="16">
        <v>54</v>
      </c>
      <c r="B55" s="16">
        <v>3</v>
      </c>
      <c r="C55" s="17">
        <v>18</v>
      </c>
      <c r="F55" s="10">
        <f t="shared" si="2"/>
        <v>5</v>
      </c>
      <c r="G55" s="10">
        <f t="shared" si="0"/>
        <v>5</v>
      </c>
      <c r="H55" s="10" t="str">
        <f t="shared" si="1"/>
        <v/>
      </c>
      <c r="I55" s="10">
        <f>IF(VLOOKUP($B55,Games!$A$1:$I$20,5,FALSE)="Texas",ROUND(((VLOOKUP(VLOOKUP($B55,Games!$A$1:$I$20,6,FALSE),Players!$B$1:$F$40,4,FALSE)+VLOOKUP(VLOOKUP($B55,Games!$A$1:$I$20,7,FALSE),Players!$B$1:$F$40,4,FALSE)))*(3/8),1),ROUND(VLOOKUP(VLOOKUP($B55,Games!$A$1:$I$20,6,FALSE),Players!$B$1:$F$40,5,FALSE),1))</f>
        <v>9</v>
      </c>
      <c r="J55" s="10">
        <f>IF(VLOOKUP($B55,Games!$A$1:$I$20,5,FALSE)="Texas",ROUND((VLOOKUP(VLOOKUP($B55,Games!$A$1:$I$20,8,FALSE),Players!$B$1:$F$40,4,FALSE)+VLOOKUP(VLOOKUP($B55,Games!$A$1:$I$20,9,FALSE),Players!$B$1:$F$40,4,FALSE))*(3/8),1),ROUND(VLOOKUP(VLOOKUP($B55,Games!$A$1:$I$20,8,FALSE),Players!$B$1:$F$40,5,FALSE),1))</f>
        <v>20.399999999999999</v>
      </c>
      <c r="K55" s="10" t="str">
        <f>VLOOKUP(B55,Games!$A$1:$I$20,3,FALSE)</f>
        <v>Terasy Ústí n. Labem</v>
      </c>
      <c r="L55" s="10">
        <f>VLOOKUP(CONCATENATE($K55,$C55),'Field holes'!$B$1:$I$900,6,FALSE)</f>
        <v>4</v>
      </c>
      <c r="M55" s="10">
        <f>VLOOKUP(CONCATENATE($K55,$C55),'Field holes'!$B$1:$I$900,7,FALSE)</f>
        <v>9</v>
      </c>
    </row>
    <row r="56" spans="1:13" ht="15.75" customHeight="1" x14ac:dyDescent="0.15">
      <c r="A56" s="16">
        <v>55</v>
      </c>
      <c r="B56" s="16">
        <v>4</v>
      </c>
      <c r="C56" s="17">
        <v>1</v>
      </c>
      <c r="F56" s="10">
        <f t="shared" si="2"/>
        <v>5</v>
      </c>
      <c r="G56" s="10">
        <f t="shared" si="0"/>
        <v>5</v>
      </c>
      <c r="H56" s="10" t="str">
        <f t="shared" si="1"/>
        <v/>
      </c>
      <c r="I56" s="10">
        <f>IF(VLOOKUP($B56,Games!$A$1:$I$20,5,FALSE)="Texas",ROUND(((VLOOKUP(VLOOKUP($B56,Games!$A$1:$I$20,6,FALSE),Players!$B$1:$F$40,4,FALSE)+VLOOKUP(VLOOKUP($B56,Games!$A$1:$I$20,7,FALSE),Players!$B$1:$F$40,4,FALSE)))*(3/8),1),ROUND(VLOOKUP(VLOOKUP($B56,Games!$A$1:$I$20,6,FALSE),Players!$B$1:$F$40,5,FALSE),1))</f>
        <v>15.2</v>
      </c>
      <c r="J56" s="10">
        <f>IF(VLOOKUP($B56,Games!$A$1:$I$20,5,FALSE)="Texas",ROUND((VLOOKUP(VLOOKUP($B56,Games!$A$1:$I$20,8,FALSE),Players!$B$1:$F$40,4,FALSE)+VLOOKUP(VLOOKUP($B56,Games!$A$1:$I$20,9,FALSE),Players!$B$1:$F$40,4,FALSE))*(3/8),1),ROUND(VLOOKUP(VLOOKUP($B56,Games!$A$1:$I$20,8,FALSE),Players!$B$1:$F$40,5,FALSE),1))</f>
        <v>19.5</v>
      </c>
      <c r="K56" s="10" t="str">
        <f>VLOOKUP(B56,Games!$A$1:$I$20,3,FALSE)</f>
        <v>Terasy Ústí n. Labem</v>
      </c>
      <c r="L56" s="10">
        <f>VLOOKUP(CONCATENATE($K56,$C56),'Field holes'!$B$1:$I$900,6,FALSE)</f>
        <v>4</v>
      </c>
      <c r="M56" s="10">
        <f>VLOOKUP(CONCATENATE($K56,$C56),'Field holes'!$B$1:$I$900,7,FALSE)</f>
        <v>12</v>
      </c>
    </row>
    <row r="57" spans="1:13" ht="15.75" customHeight="1" x14ac:dyDescent="0.15">
      <c r="A57" s="16">
        <v>56</v>
      </c>
      <c r="B57" s="16">
        <v>4</v>
      </c>
      <c r="C57" s="17">
        <v>2</v>
      </c>
      <c r="F57" s="10">
        <f t="shared" si="2"/>
        <v>5</v>
      </c>
      <c r="G57" s="10">
        <f t="shared" si="0"/>
        <v>5</v>
      </c>
      <c r="H57" s="10" t="str">
        <f t="shared" si="1"/>
        <v/>
      </c>
      <c r="I57" s="10">
        <f>IF(VLOOKUP($B57,Games!$A$1:$I$20,5,FALSE)="Texas",ROUND(((VLOOKUP(VLOOKUP($B57,Games!$A$1:$I$20,6,FALSE),Players!$B$1:$F$40,4,FALSE)+VLOOKUP(VLOOKUP($B57,Games!$A$1:$I$20,7,FALSE),Players!$B$1:$F$40,4,FALSE)))*(3/8),1),ROUND(VLOOKUP(VLOOKUP($B57,Games!$A$1:$I$20,6,FALSE),Players!$B$1:$F$40,5,FALSE),1))</f>
        <v>15.2</v>
      </c>
      <c r="J57" s="10">
        <f>IF(VLOOKUP($B57,Games!$A$1:$I$20,5,FALSE)="Texas",ROUND((VLOOKUP(VLOOKUP($B57,Games!$A$1:$I$20,8,FALSE),Players!$B$1:$F$40,4,FALSE)+VLOOKUP(VLOOKUP($B57,Games!$A$1:$I$20,9,FALSE),Players!$B$1:$F$40,4,FALSE))*(3/8),1),ROUND(VLOOKUP(VLOOKUP($B57,Games!$A$1:$I$20,8,FALSE),Players!$B$1:$F$40,5,FALSE),1))</f>
        <v>19.5</v>
      </c>
      <c r="K57" s="10" t="str">
        <f>VLOOKUP(B57,Games!$A$1:$I$20,3,FALSE)</f>
        <v>Terasy Ústí n. Labem</v>
      </c>
      <c r="L57" s="10">
        <f>VLOOKUP(CONCATENATE($K57,$C57),'Field holes'!$B$1:$I$900,6,FALSE)</f>
        <v>4</v>
      </c>
      <c r="M57" s="10">
        <f>VLOOKUP(CONCATENATE($K57,$C57),'Field holes'!$B$1:$I$900,7,FALSE)</f>
        <v>6</v>
      </c>
    </row>
    <row r="58" spans="1:13" ht="15.75" customHeight="1" x14ac:dyDescent="0.15">
      <c r="A58" s="16">
        <v>57</v>
      </c>
      <c r="B58" s="16">
        <v>4</v>
      </c>
      <c r="C58" s="17">
        <v>3</v>
      </c>
      <c r="F58" s="10">
        <f t="shared" si="2"/>
        <v>4</v>
      </c>
      <c r="G58" s="10">
        <f t="shared" si="0"/>
        <v>5</v>
      </c>
      <c r="H58" s="10" t="str">
        <f t="shared" si="1"/>
        <v/>
      </c>
      <c r="I58" s="10">
        <f>IF(VLOOKUP($B58,Games!$A$1:$I$20,5,FALSE)="Texas",ROUND(((VLOOKUP(VLOOKUP($B58,Games!$A$1:$I$20,6,FALSE),Players!$B$1:$F$40,4,FALSE)+VLOOKUP(VLOOKUP($B58,Games!$A$1:$I$20,7,FALSE),Players!$B$1:$F$40,4,FALSE)))*(3/8),1),ROUND(VLOOKUP(VLOOKUP($B58,Games!$A$1:$I$20,6,FALSE),Players!$B$1:$F$40,5,FALSE),1))</f>
        <v>15.2</v>
      </c>
      <c r="J58" s="10">
        <f>IF(VLOOKUP($B58,Games!$A$1:$I$20,5,FALSE)="Texas",ROUND((VLOOKUP(VLOOKUP($B58,Games!$A$1:$I$20,8,FALSE),Players!$B$1:$F$40,4,FALSE)+VLOOKUP(VLOOKUP($B58,Games!$A$1:$I$20,9,FALSE),Players!$B$1:$F$40,4,FALSE))*(3/8),1),ROUND(VLOOKUP(VLOOKUP($B58,Games!$A$1:$I$20,8,FALSE),Players!$B$1:$F$40,5,FALSE),1))</f>
        <v>19.5</v>
      </c>
      <c r="K58" s="10" t="str">
        <f>VLOOKUP(B58,Games!$A$1:$I$20,3,FALSE)</f>
        <v>Terasy Ústí n. Labem</v>
      </c>
      <c r="L58" s="10">
        <f>VLOOKUP(CONCATENATE($K58,$C58),'Field holes'!$B$1:$I$900,6,FALSE)</f>
        <v>4</v>
      </c>
      <c r="M58" s="10">
        <f>VLOOKUP(CONCATENATE($K58,$C58),'Field holes'!$B$1:$I$900,7,FALSE)</f>
        <v>16</v>
      </c>
    </row>
    <row r="59" spans="1:13" ht="15.75" customHeight="1" x14ac:dyDescent="0.15">
      <c r="A59" s="16">
        <v>58</v>
      </c>
      <c r="B59" s="16">
        <v>4</v>
      </c>
      <c r="C59" s="17">
        <v>4</v>
      </c>
      <c r="F59" s="10">
        <f t="shared" si="2"/>
        <v>4</v>
      </c>
      <c r="G59" s="10">
        <f t="shared" si="0"/>
        <v>4</v>
      </c>
      <c r="H59" s="10" t="str">
        <f t="shared" si="1"/>
        <v/>
      </c>
      <c r="I59" s="10">
        <f>IF(VLOOKUP($B59,Games!$A$1:$I$20,5,FALSE)="Texas",ROUND(((VLOOKUP(VLOOKUP($B59,Games!$A$1:$I$20,6,FALSE),Players!$B$1:$F$40,4,FALSE)+VLOOKUP(VLOOKUP($B59,Games!$A$1:$I$20,7,FALSE),Players!$B$1:$F$40,4,FALSE)))*(3/8),1),ROUND(VLOOKUP(VLOOKUP($B59,Games!$A$1:$I$20,6,FALSE),Players!$B$1:$F$40,5,FALSE),1))</f>
        <v>15.2</v>
      </c>
      <c r="J59" s="10">
        <f>IF(VLOOKUP($B59,Games!$A$1:$I$20,5,FALSE)="Texas",ROUND((VLOOKUP(VLOOKUP($B59,Games!$A$1:$I$20,8,FALSE),Players!$B$1:$F$40,4,FALSE)+VLOOKUP(VLOOKUP($B59,Games!$A$1:$I$20,9,FALSE),Players!$B$1:$F$40,4,FALSE))*(3/8),1),ROUND(VLOOKUP(VLOOKUP($B59,Games!$A$1:$I$20,8,FALSE),Players!$B$1:$F$40,5,FALSE),1))</f>
        <v>19.5</v>
      </c>
      <c r="K59" s="10" t="str">
        <f>VLOOKUP(B59,Games!$A$1:$I$20,3,FALSE)</f>
        <v>Terasy Ústí n. Labem</v>
      </c>
      <c r="L59" s="10">
        <f>VLOOKUP(CONCATENATE($K59,$C59),'Field holes'!$B$1:$I$900,6,FALSE)</f>
        <v>3</v>
      </c>
      <c r="M59" s="10">
        <f>VLOOKUP(CONCATENATE($K59,$C59),'Field holes'!$B$1:$I$900,7,FALSE)</f>
        <v>2</v>
      </c>
    </row>
    <row r="60" spans="1:13" ht="15.75" customHeight="1" x14ac:dyDescent="0.15">
      <c r="A60" s="16">
        <v>59</v>
      </c>
      <c r="B60" s="16">
        <v>4</v>
      </c>
      <c r="C60" s="17">
        <v>5</v>
      </c>
      <c r="F60" s="10">
        <f t="shared" si="2"/>
        <v>5</v>
      </c>
      <c r="G60" s="10">
        <f t="shared" si="0"/>
        <v>5</v>
      </c>
      <c r="H60" s="10" t="str">
        <f t="shared" si="1"/>
        <v/>
      </c>
      <c r="I60" s="10">
        <f>IF(VLOOKUP($B60,Games!$A$1:$I$20,5,FALSE)="Texas",ROUND(((VLOOKUP(VLOOKUP($B60,Games!$A$1:$I$20,6,FALSE),Players!$B$1:$F$40,4,FALSE)+VLOOKUP(VLOOKUP($B60,Games!$A$1:$I$20,7,FALSE),Players!$B$1:$F$40,4,FALSE)))*(3/8),1),ROUND(VLOOKUP(VLOOKUP($B60,Games!$A$1:$I$20,6,FALSE),Players!$B$1:$F$40,5,FALSE),1))</f>
        <v>15.2</v>
      </c>
      <c r="J60" s="10">
        <f>IF(VLOOKUP($B60,Games!$A$1:$I$20,5,FALSE)="Texas",ROUND((VLOOKUP(VLOOKUP($B60,Games!$A$1:$I$20,8,FALSE),Players!$B$1:$F$40,4,FALSE)+VLOOKUP(VLOOKUP($B60,Games!$A$1:$I$20,9,FALSE),Players!$B$1:$F$40,4,FALSE))*(3/8),1),ROUND(VLOOKUP(VLOOKUP($B60,Games!$A$1:$I$20,8,FALSE),Players!$B$1:$F$40,5,FALSE),1))</f>
        <v>19.5</v>
      </c>
      <c r="K60" s="10" t="str">
        <f>VLOOKUP(B60,Games!$A$1:$I$20,3,FALSE)</f>
        <v>Terasy Ústí n. Labem</v>
      </c>
      <c r="L60" s="10">
        <f>VLOOKUP(CONCATENATE($K60,$C60),'Field holes'!$B$1:$I$900,6,FALSE)</f>
        <v>4</v>
      </c>
      <c r="M60" s="10">
        <f>VLOOKUP(CONCATENATE($K60,$C60),'Field holes'!$B$1:$I$900,7,FALSE)</f>
        <v>8</v>
      </c>
    </row>
    <row r="61" spans="1:13" ht="15.75" customHeight="1" x14ac:dyDescent="0.15">
      <c r="A61" s="16">
        <v>60</v>
      </c>
      <c r="B61" s="16">
        <v>4</v>
      </c>
      <c r="C61" s="17">
        <v>6</v>
      </c>
      <c r="F61" s="10">
        <f t="shared" si="2"/>
        <v>4</v>
      </c>
      <c r="G61" s="10">
        <f t="shared" si="0"/>
        <v>4</v>
      </c>
      <c r="H61" s="10" t="str">
        <f t="shared" si="1"/>
        <v/>
      </c>
      <c r="I61" s="10">
        <f>IF(VLOOKUP($B61,Games!$A$1:$I$20,5,FALSE)="Texas",ROUND(((VLOOKUP(VLOOKUP($B61,Games!$A$1:$I$20,6,FALSE),Players!$B$1:$F$40,4,FALSE)+VLOOKUP(VLOOKUP($B61,Games!$A$1:$I$20,7,FALSE),Players!$B$1:$F$40,4,FALSE)))*(3/8),1),ROUND(VLOOKUP(VLOOKUP($B61,Games!$A$1:$I$20,6,FALSE),Players!$B$1:$F$40,5,FALSE),1))</f>
        <v>15.2</v>
      </c>
      <c r="J61" s="10">
        <f>IF(VLOOKUP($B61,Games!$A$1:$I$20,5,FALSE)="Texas",ROUND((VLOOKUP(VLOOKUP($B61,Games!$A$1:$I$20,8,FALSE),Players!$B$1:$F$40,4,FALSE)+VLOOKUP(VLOOKUP($B61,Games!$A$1:$I$20,9,FALSE),Players!$B$1:$F$40,4,FALSE))*(3/8),1),ROUND(VLOOKUP(VLOOKUP($B61,Games!$A$1:$I$20,8,FALSE),Players!$B$1:$F$40,5,FALSE),1))</f>
        <v>19.5</v>
      </c>
      <c r="K61" s="10" t="str">
        <f>VLOOKUP(B61,Games!$A$1:$I$20,3,FALSE)</f>
        <v>Terasy Ústí n. Labem</v>
      </c>
      <c r="L61" s="10">
        <f>VLOOKUP(CONCATENATE($K61,$C61),'Field holes'!$B$1:$I$900,6,FALSE)</f>
        <v>3</v>
      </c>
      <c r="M61" s="10">
        <f>VLOOKUP(CONCATENATE($K61,$C61),'Field holes'!$B$1:$I$900,7,FALSE)</f>
        <v>14</v>
      </c>
    </row>
    <row r="62" spans="1:13" ht="15.75" customHeight="1" x14ac:dyDescent="0.15">
      <c r="A62" s="16">
        <v>61</v>
      </c>
      <c r="B62" s="16">
        <v>4</v>
      </c>
      <c r="C62" s="17">
        <v>7</v>
      </c>
      <c r="F62" s="10">
        <f t="shared" si="2"/>
        <v>4</v>
      </c>
      <c r="G62" s="10">
        <f t="shared" si="0"/>
        <v>5</v>
      </c>
      <c r="H62" s="10" t="str">
        <f t="shared" si="1"/>
        <v/>
      </c>
      <c r="I62" s="10">
        <f>IF(VLOOKUP($B62,Games!$A$1:$I$20,5,FALSE)="Texas",ROUND(((VLOOKUP(VLOOKUP($B62,Games!$A$1:$I$20,6,FALSE),Players!$B$1:$F$40,4,FALSE)+VLOOKUP(VLOOKUP($B62,Games!$A$1:$I$20,7,FALSE),Players!$B$1:$F$40,4,FALSE)))*(3/8),1),ROUND(VLOOKUP(VLOOKUP($B62,Games!$A$1:$I$20,6,FALSE),Players!$B$1:$F$40,5,FALSE),1))</f>
        <v>15.2</v>
      </c>
      <c r="J62" s="10">
        <f>IF(VLOOKUP($B62,Games!$A$1:$I$20,5,FALSE)="Texas",ROUND((VLOOKUP(VLOOKUP($B62,Games!$A$1:$I$20,8,FALSE),Players!$B$1:$F$40,4,FALSE)+VLOOKUP(VLOOKUP($B62,Games!$A$1:$I$20,9,FALSE),Players!$B$1:$F$40,4,FALSE))*(3/8),1),ROUND(VLOOKUP(VLOOKUP($B62,Games!$A$1:$I$20,8,FALSE),Players!$B$1:$F$40,5,FALSE),1))</f>
        <v>19.5</v>
      </c>
      <c r="K62" s="10" t="str">
        <f>VLOOKUP(B62,Games!$A$1:$I$20,3,FALSE)</f>
        <v>Terasy Ústí n. Labem</v>
      </c>
      <c r="L62" s="10">
        <f>VLOOKUP(CONCATENATE($K62,$C62),'Field holes'!$B$1:$I$900,6,FALSE)</f>
        <v>4</v>
      </c>
      <c r="M62" s="10">
        <f>VLOOKUP(CONCATENATE($K62,$C62),'Field holes'!$B$1:$I$900,7,FALSE)</f>
        <v>18</v>
      </c>
    </row>
    <row r="63" spans="1:13" ht="15.75" customHeight="1" x14ac:dyDescent="0.15">
      <c r="A63" s="16">
        <v>62</v>
      </c>
      <c r="B63" s="16">
        <v>4</v>
      </c>
      <c r="C63" s="17">
        <v>8</v>
      </c>
      <c r="F63" s="10">
        <f t="shared" si="2"/>
        <v>6</v>
      </c>
      <c r="G63" s="10">
        <f t="shared" si="0"/>
        <v>6</v>
      </c>
      <c r="H63" s="10" t="str">
        <f t="shared" si="1"/>
        <v/>
      </c>
      <c r="I63" s="10">
        <f>IF(VLOOKUP($B63,Games!$A$1:$I$20,5,FALSE)="Texas",ROUND(((VLOOKUP(VLOOKUP($B63,Games!$A$1:$I$20,6,FALSE),Players!$B$1:$F$40,4,FALSE)+VLOOKUP(VLOOKUP($B63,Games!$A$1:$I$20,7,FALSE),Players!$B$1:$F$40,4,FALSE)))*(3/8),1),ROUND(VLOOKUP(VLOOKUP($B63,Games!$A$1:$I$20,6,FALSE),Players!$B$1:$F$40,5,FALSE),1))</f>
        <v>15.2</v>
      </c>
      <c r="J63" s="10">
        <f>IF(VLOOKUP($B63,Games!$A$1:$I$20,5,FALSE)="Texas",ROUND((VLOOKUP(VLOOKUP($B63,Games!$A$1:$I$20,8,FALSE),Players!$B$1:$F$40,4,FALSE)+VLOOKUP(VLOOKUP($B63,Games!$A$1:$I$20,9,FALSE),Players!$B$1:$F$40,4,FALSE))*(3/8),1),ROUND(VLOOKUP(VLOOKUP($B63,Games!$A$1:$I$20,8,FALSE),Players!$B$1:$F$40,5,FALSE),1))</f>
        <v>19.5</v>
      </c>
      <c r="K63" s="10" t="str">
        <f>VLOOKUP(B63,Games!$A$1:$I$20,3,FALSE)</f>
        <v>Terasy Ústí n. Labem</v>
      </c>
      <c r="L63" s="10">
        <f>VLOOKUP(CONCATENATE($K63,$C63),'Field holes'!$B$1:$I$900,6,FALSE)</f>
        <v>5</v>
      </c>
      <c r="M63" s="10">
        <f>VLOOKUP(CONCATENATE($K63,$C63),'Field holes'!$B$1:$I$900,7,FALSE)</f>
        <v>4</v>
      </c>
    </row>
    <row r="64" spans="1:13" ht="15.75" customHeight="1" x14ac:dyDescent="0.15">
      <c r="A64" s="16">
        <v>63</v>
      </c>
      <c r="B64" s="16">
        <v>4</v>
      </c>
      <c r="C64" s="17">
        <v>9</v>
      </c>
      <c r="F64" s="10">
        <f t="shared" si="2"/>
        <v>5</v>
      </c>
      <c r="G64" s="10">
        <f t="shared" si="0"/>
        <v>5</v>
      </c>
      <c r="H64" s="10" t="str">
        <f t="shared" si="1"/>
        <v/>
      </c>
      <c r="I64" s="10">
        <f>IF(VLOOKUP($B64,Games!$A$1:$I$20,5,FALSE)="Texas",ROUND(((VLOOKUP(VLOOKUP($B64,Games!$A$1:$I$20,6,FALSE),Players!$B$1:$F$40,4,FALSE)+VLOOKUP(VLOOKUP($B64,Games!$A$1:$I$20,7,FALSE),Players!$B$1:$F$40,4,FALSE)))*(3/8),1),ROUND(VLOOKUP(VLOOKUP($B64,Games!$A$1:$I$20,6,FALSE),Players!$B$1:$F$40,5,FALSE),1))</f>
        <v>15.2</v>
      </c>
      <c r="J64" s="10">
        <f>IF(VLOOKUP($B64,Games!$A$1:$I$20,5,FALSE)="Texas",ROUND((VLOOKUP(VLOOKUP($B64,Games!$A$1:$I$20,8,FALSE),Players!$B$1:$F$40,4,FALSE)+VLOOKUP(VLOOKUP($B64,Games!$A$1:$I$20,9,FALSE),Players!$B$1:$F$40,4,FALSE))*(3/8),1),ROUND(VLOOKUP(VLOOKUP($B64,Games!$A$1:$I$20,8,FALSE),Players!$B$1:$F$40,5,FALSE),1))</f>
        <v>19.5</v>
      </c>
      <c r="K64" s="10" t="str">
        <f>VLOOKUP(B64,Games!$A$1:$I$20,3,FALSE)</f>
        <v>Terasy Ústí n. Labem</v>
      </c>
      <c r="L64" s="10">
        <f>VLOOKUP(CONCATENATE($K64,$C64),'Field holes'!$B$1:$I$900,6,FALSE)</f>
        <v>4</v>
      </c>
      <c r="M64" s="10">
        <f>VLOOKUP(CONCATENATE($K64,$C64),'Field holes'!$B$1:$I$900,7,FALSE)</f>
        <v>10</v>
      </c>
    </row>
    <row r="65" spans="1:13" ht="15.75" customHeight="1" x14ac:dyDescent="0.15">
      <c r="A65" s="16">
        <v>64</v>
      </c>
      <c r="B65" s="16">
        <v>4</v>
      </c>
      <c r="C65" s="17">
        <v>10</v>
      </c>
      <c r="F65" s="10">
        <f t="shared" si="2"/>
        <v>5</v>
      </c>
      <c r="G65" s="10">
        <f t="shared" si="0"/>
        <v>5</v>
      </c>
      <c r="H65" s="10" t="str">
        <f t="shared" si="1"/>
        <v/>
      </c>
      <c r="I65" s="10">
        <f>IF(VLOOKUP($B65,Games!$A$1:$I$20,5,FALSE)="Texas",ROUND(((VLOOKUP(VLOOKUP($B65,Games!$A$1:$I$20,6,FALSE),Players!$B$1:$F$40,4,FALSE)+VLOOKUP(VLOOKUP($B65,Games!$A$1:$I$20,7,FALSE),Players!$B$1:$F$40,4,FALSE)))*(3/8),1),ROUND(VLOOKUP(VLOOKUP($B65,Games!$A$1:$I$20,6,FALSE),Players!$B$1:$F$40,5,FALSE),1))</f>
        <v>15.2</v>
      </c>
      <c r="J65" s="10">
        <f>IF(VLOOKUP($B65,Games!$A$1:$I$20,5,FALSE)="Texas",ROUND((VLOOKUP(VLOOKUP($B65,Games!$A$1:$I$20,8,FALSE),Players!$B$1:$F$40,4,FALSE)+VLOOKUP(VLOOKUP($B65,Games!$A$1:$I$20,9,FALSE),Players!$B$1:$F$40,4,FALSE))*(3/8),1),ROUND(VLOOKUP(VLOOKUP($B65,Games!$A$1:$I$20,8,FALSE),Players!$B$1:$F$40,5,FALSE),1))</f>
        <v>19.5</v>
      </c>
      <c r="K65" s="10" t="str">
        <f>VLOOKUP(B65,Games!$A$1:$I$20,3,FALSE)</f>
        <v>Terasy Ústí n. Labem</v>
      </c>
      <c r="L65" s="10">
        <f>VLOOKUP(CONCATENATE($K65,$C65),'Field holes'!$B$1:$I$900,6,FALSE)</f>
        <v>4</v>
      </c>
      <c r="M65" s="10">
        <f>VLOOKUP(CONCATENATE($K65,$C65),'Field holes'!$B$1:$I$900,7,FALSE)</f>
        <v>11</v>
      </c>
    </row>
    <row r="66" spans="1:13" ht="15.75" customHeight="1" x14ac:dyDescent="0.15">
      <c r="A66" s="16">
        <v>65</v>
      </c>
      <c r="B66" s="16">
        <v>4</v>
      </c>
      <c r="C66" s="17">
        <v>11</v>
      </c>
      <c r="F66" s="10">
        <f t="shared" si="2"/>
        <v>5</v>
      </c>
      <c r="G66" s="10">
        <f t="shared" si="0"/>
        <v>5</v>
      </c>
      <c r="H66" s="10" t="str">
        <f t="shared" si="1"/>
        <v/>
      </c>
      <c r="I66" s="10">
        <f>IF(VLOOKUP($B66,Games!$A$1:$I$20,5,FALSE)="Texas",ROUND(((VLOOKUP(VLOOKUP($B66,Games!$A$1:$I$20,6,FALSE),Players!$B$1:$F$40,4,FALSE)+VLOOKUP(VLOOKUP($B66,Games!$A$1:$I$20,7,FALSE),Players!$B$1:$F$40,4,FALSE)))*(3/8),1),ROUND(VLOOKUP(VLOOKUP($B66,Games!$A$1:$I$20,6,FALSE),Players!$B$1:$F$40,5,FALSE),1))</f>
        <v>15.2</v>
      </c>
      <c r="J66" s="10">
        <f>IF(VLOOKUP($B66,Games!$A$1:$I$20,5,FALSE)="Texas",ROUND((VLOOKUP(VLOOKUP($B66,Games!$A$1:$I$20,8,FALSE),Players!$B$1:$F$40,4,FALSE)+VLOOKUP(VLOOKUP($B66,Games!$A$1:$I$20,9,FALSE),Players!$B$1:$F$40,4,FALSE))*(3/8),1),ROUND(VLOOKUP(VLOOKUP($B66,Games!$A$1:$I$20,8,FALSE),Players!$B$1:$F$40,5,FALSE),1))</f>
        <v>19.5</v>
      </c>
      <c r="K66" s="10" t="str">
        <f>VLOOKUP(B66,Games!$A$1:$I$20,3,FALSE)</f>
        <v>Terasy Ústí n. Labem</v>
      </c>
      <c r="L66" s="10">
        <f>VLOOKUP(CONCATENATE($K66,$C66),'Field holes'!$B$1:$I$900,6,FALSE)</f>
        <v>4</v>
      </c>
      <c r="M66" s="10">
        <f>VLOOKUP(CONCATENATE($K66,$C66),'Field holes'!$B$1:$I$900,7,FALSE)</f>
        <v>5</v>
      </c>
    </row>
    <row r="67" spans="1:13" ht="15.75" customHeight="1" x14ac:dyDescent="0.15">
      <c r="A67" s="16">
        <v>66</v>
      </c>
      <c r="B67" s="16">
        <v>4</v>
      </c>
      <c r="C67" s="17">
        <v>12</v>
      </c>
      <c r="F67" s="10">
        <f t="shared" si="2"/>
        <v>6</v>
      </c>
      <c r="G67" s="10">
        <f t="shared" si="0"/>
        <v>7</v>
      </c>
      <c r="H67" s="10" t="str">
        <f t="shared" si="1"/>
        <v/>
      </c>
      <c r="I67" s="10">
        <f>IF(VLOOKUP($B67,Games!$A$1:$I$20,5,FALSE)="Texas",ROUND(((VLOOKUP(VLOOKUP($B67,Games!$A$1:$I$20,6,FALSE),Players!$B$1:$F$40,4,FALSE)+VLOOKUP(VLOOKUP($B67,Games!$A$1:$I$20,7,FALSE),Players!$B$1:$F$40,4,FALSE)))*(3/8),1),ROUND(VLOOKUP(VLOOKUP($B67,Games!$A$1:$I$20,6,FALSE),Players!$B$1:$F$40,5,FALSE),1))</f>
        <v>15.2</v>
      </c>
      <c r="J67" s="10">
        <f>IF(VLOOKUP($B67,Games!$A$1:$I$20,5,FALSE)="Texas",ROUND((VLOOKUP(VLOOKUP($B67,Games!$A$1:$I$20,8,FALSE),Players!$B$1:$F$40,4,FALSE)+VLOOKUP(VLOOKUP($B67,Games!$A$1:$I$20,9,FALSE),Players!$B$1:$F$40,4,FALSE))*(3/8),1),ROUND(VLOOKUP(VLOOKUP($B67,Games!$A$1:$I$20,8,FALSE),Players!$B$1:$F$40,5,FALSE),1))</f>
        <v>19.5</v>
      </c>
      <c r="K67" s="10" t="str">
        <f>VLOOKUP(B67,Games!$A$1:$I$20,3,FALSE)</f>
        <v>Terasy Ústí n. Labem</v>
      </c>
      <c r="L67" s="10">
        <f>VLOOKUP(CONCATENATE($K67,$C67),'Field holes'!$B$1:$I$900,6,FALSE)</f>
        <v>5</v>
      </c>
      <c r="M67" s="10">
        <f>VLOOKUP(CONCATENATE($K67,$C67),'Field holes'!$B$1:$I$900,7,FALSE)</f>
        <v>1</v>
      </c>
    </row>
    <row r="68" spans="1:13" ht="15.75" customHeight="1" x14ac:dyDescent="0.15">
      <c r="A68" s="16">
        <v>67</v>
      </c>
      <c r="B68" s="16">
        <v>4</v>
      </c>
      <c r="C68" s="17">
        <v>13</v>
      </c>
      <c r="F68" s="10">
        <f t="shared" si="2"/>
        <v>5</v>
      </c>
      <c r="G68" s="10">
        <f t="shared" si="0"/>
        <v>5</v>
      </c>
      <c r="H68" s="10" t="str">
        <f t="shared" si="1"/>
        <v/>
      </c>
      <c r="I68" s="10">
        <f>IF(VLOOKUP($B68,Games!$A$1:$I$20,5,FALSE)="Texas",ROUND(((VLOOKUP(VLOOKUP($B68,Games!$A$1:$I$20,6,FALSE),Players!$B$1:$F$40,4,FALSE)+VLOOKUP(VLOOKUP($B68,Games!$A$1:$I$20,7,FALSE),Players!$B$1:$F$40,4,FALSE)))*(3/8),1),ROUND(VLOOKUP(VLOOKUP($B68,Games!$A$1:$I$20,6,FALSE),Players!$B$1:$F$40,5,FALSE),1))</f>
        <v>15.2</v>
      </c>
      <c r="J68" s="10">
        <f>IF(VLOOKUP($B68,Games!$A$1:$I$20,5,FALSE)="Texas",ROUND((VLOOKUP(VLOOKUP($B68,Games!$A$1:$I$20,8,FALSE),Players!$B$1:$F$40,4,FALSE)+VLOOKUP(VLOOKUP($B68,Games!$A$1:$I$20,9,FALSE),Players!$B$1:$F$40,4,FALSE))*(3/8),1),ROUND(VLOOKUP(VLOOKUP($B68,Games!$A$1:$I$20,8,FALSE),Players!$B$1:$F$40,5,FALSE),1))</f>
        <v>19.5</v>
      </c>
      <c r="K68" s="10" t="str">
        <f>VLOOKUP(B68,Games!$A$1:$I$20,3,FALSE)</f>
        <v>Terasy Ústí n. Labem</v>
      </c>
      <c r="L68" s="10">
        <f>VLOOKUP(CONCATENATE($K68,$C68),'Field holes'!$B$1:$I$900,6,FALSE)</f>
        <v>4</v>
      </c>
      <c r="M68" s="10">
        <f>VLOOKUP(CONCATENATE($K68,$C68),'Field holes'!$B$1:$I$900,7,FALSE)</f>
        <v>15</v>
      </c>
    </row>
    <row r="69" spans="1:13" ht="15.75" customHeight="1" x14ac:dyDescent="0.15">
      <c r="A69" s="16">
        <v>68</v>
      </c>
      <c r="B69" s="16">
        <v>4</v>
      </c>
      <c r="C69" s="17">
        <v>14</v>
      </c>
      <c r="F69" s="10">
        <f t="shared" si="2"/>
        <v>4</v>
      </c>
      <c r="G69" s="10">
        <f t="shared" si="0"/>
        <v>4</v>
      </c>
      <c r="H69" s="10" t="str">
        <f t="shared" si="1"/>
        <v/>
      </c>
      <c r="I69" s="10">
        <f>IF(VLOOKUP($B69,Games!$A$1:$I$20,5,FALSE)="Texas",ROUND(((VLOOKUP(VLOOKUP($B69,Games!$A$1:$I$20,6,FALSE),Players!$B$1:$F$40,4,FALSE)+VLOOKUP(VLOOKUP($B69,Games!$A$1:$I$20,7,FALSE),Players!$B$1:$F$40,4,FALSE)))*(3/8),1),ROUND(VLOOKUP(VLOOKUP($B69,Games!$A$1:$I$20,6,FALSE),Players!$B$1:$F$40,5,FALSE),1))</f>
        <v>15.2</v>
      </c>
      <c r="J69" s="10">
        <f>IF(VLOOKUP($B69,Games!$A$1:$I$20,5,FALSE)="Texas",ROUND((VLOOKUP(VLOOKUP($B69,Games!$A$1:$I$20,8,FALSE),Players!$B$1:$F$40,4,FALSE)+VLOOKUP(VLOOKUP($B69,Games!$A$1:$I$20,9,FALSE),Players!$B$1:$F$40,4,FALSE))*(3/8),1),ROUND(VLOOKUP(VLOOKUP($B69,Games!$A$1:$I$20,8,FALSE),Players!$B$1:$F$40,5,FALSE),1))</f>
        <v>19.5</v>
      </c>
      <c r="K69" s="10" t="str">
        <f>VLOOKUP(B69,Games!$A$1:$I$20,3,FALSE)</f>
        <v>Terasy Ústí n. Labem</v>
      </c>
      <c r="L69" s="10">
        <f>VLOOKUP(CONCATENATE($K69,$C69),'Field holes'!$B$1:$I$900,6,FALSE)</f>
        <v>3</v>
      </c>
      <c r="M69" s="10">
        <f>VLOOKUP(CONCATENATE($K69,$C69),'Field holes'!$B$1:$I$900,7,FALSE)</f>
        <v>7</v>
      </c>
    </row>
    <row r="70" spans="1:13" ht="15.75" customHeight="1" x14ac:dyDescent="0.15">
      <c r="A70" s="16">
        <v>69</v>
      </c>
      <c r="B70" s="16">
        <v>4</v>
      </c>
      <c r="C70" s="17">
        <v>15</v>
      </c>
      <c r="F70" s="10">
        <f t="shared" si="2"/>
        <v>5</v>
      </c>
      <c r="G70" s="10">
        <f t="shared" si="0"/>
        <v>5</v>
      </c>
      <c r="H70" s="10" t="str">
        <f t="shared" si="1"/>
        <v/>
      </c>
      <c r="I70" s="10">
        <f>IF(VLOOKUP($B70,Games!$A$1:$I$20,5,FALSE)="Texas",ROUND(((VLOOKUP(VLOOKUP($B70,Games!$A$1:$I$20,6,FALSE),Players!$B$1:$F$40,4,FALSE)+VLOOKUP(VLOOKUP($B70,Games!$A$1:$I$20,7,FALSE),Players!$B$1:$F$40,4,FALSE)))*(3/8),1),ROUND(VLOOKUP(VLOOKUP($B70,Games!$A$1:$I$20,6,FALSE),Players!$B$1:$F$40,5,FALSE),1))</f>
        <v>15.2</v>
      </c>
      <c r="J70" s="10">
        <f>IF(VLOOKUP($B70,Games!$A$1:$I$20,5,FALSE)="Texas",ROUND((VLOOKUP(VLOOKUP($B70,Games!$A$1:$I$20,8,FALSE),Players!$B$1:$F$40,4,FALSE)+VLOOKUP(VLOOKUP($B70,Games!$A$1:$I$20,9,FALSE),Players!$B$1:$F$40,4,FALSE))*(3/8),1),ROUND(VLOOKUP(VLOOKUP($B70,Games!$A$1:$I$20,8,FALSE),Players!$B$1:$F$40,5,FALSE),1))</f>
        <v>19.5</v>
      </c>
      <c r="K70" s="10" t="str">
        <f>VLOOKUP(B70,Games!$A$1:$I$20,3,FALSE)</f>
        <v>Terasy Ústí n. Labem</v>
      </c>
      <c r="L70" s="10">
        <f>VLOOKUP(CONCATENATE($K70,$C70),'Field holes'!$B$1:$I$900,6,FALSE)</f>
        <v>4</v>
      </c>
      <c r="M70" s="10">
        <f>VLOOKUP(CONCATENATE($K70,$C70),'Field holes'!$B$1:$I$900,7,FALSE)</f>
        <v>3</v>
      </c>
    </row>
    <row r="71" spans="1:13" ht="15.75" customHeight="1" x14ac:dyDescent="0.15">
      <c r="A71" s="16">
        <v>70</v>
      </c>
      <c r="B71" s="16">
        <v>4</v>
      </c>
      <c r="C71" s="17">
        <v>16</v>
      </c>
      <c r="F71" s="10">
        <f t="shared" si="2"/>
        <v>3</v>
      </c>
      <c r="G71" s="10">
        <f t="shared" si="0"/>
        <v>4</v>
      </c>
      <c r="H71" s="10" t="str">
        <f t="shared" si="1"/>
        <v/>
      </c>
      <c r="I71" s="10">
        <f>IF(VLOOKUP($B71,Games!$A$1:$I$20,5,FALSE)="Texas",ROUND(((VLOOKUP(VLOOKUP($B71,Games!$A$1:$I$20,6,FALSE),Players!$B$1:$F$40,4,FALSE)+VLOOKUP(VLOOKUP($B71,Games!$A$1:$I$20,7,FALSE),Players!$B$1:$F$40,4,FALSE)))*(3/8),1),ROUND(VLOOKUP(VLOOKUP($B71,Games!$A$1:$I$20,6,FALSE),Players!$B$1:$F$40,5,FALSE),1))</f>
        <v>15.2</v>
      </c>
      <c r="J71" s="10">
        <f>IF(VLOOKUP($B71,Games!$A$1:$I$20,5,FALSE)="Texas",ROUND((VLOOKUP(VLOOKUP($B71,Games!$A$1:$I$20,8,FALSE),Players!$B$1:$F$40,4,FALSE)+VLOOKUP(VLOOKUP($B71,Games!$A$1:$I$20,9,FALSE),Players!$B$1:$F$40,4,FALSE))*(3/8),1),ROUND(VLOOKUP(VLOOKUP($B71,Games!$A$1:$I$20,8,FALSE),Players!$B$1:$F$40,5,FALSE),1))</f>
        <v>19.5</v>
      </c>
      <c r="K71" s="10" t="str">
        <f>VLOOKUP(B71,Games!$A$1:$I$20,3,FALSE)</f>
        <v>Terasy Ústí n. Labem</v>
      </c>
      <c r="L71" s="10">
        <f>VLOOKUP(CONCATENATE($K71,$C71),'Field holes'!$B$1:$I$900,6,FALSE)</f>
        <v>3</v>
      </c>
      <c r="M71" s="10">
        <f>VLOOKUP(CONCATENATE($K71,$C71),'Field holes'!$B$1:$I$900,7,FALSE)</f>
        <v>17</v>
      </c>
    </row>
    <row r="72" spans="1:13" ht="15.75" customHeight="1" x14ac:dyDescent="0.15">
      <c r="A72" s="16">
        <v>71</v>
      </c>
      <c r="B72" s="16">
        <v>4</v>
      </c>
      <c r="C72" s="17">
        <v>17</v>
      </c>
      <c r="F72" s="10">
        <f t="shared" si="2"/>
        <v>6</v>
      </c>
      <c r="G72" s="10">
        <f t="shared" si="0"/>
        <v>6</v>
      </c>
      <c r="H72" s="10" t="str">
        <f t="shared" si="1"/>
        <v/>
      </c>
      <c r="I72" s="10">
        <f>IF(VLOOKUP($B72,Games!$A$1:$I$20,5,FALSE)="Texas",ROUND(((VLOOKUP(VLOOKUP($B72,Games!$A$1:$I$20,6,FALSE),Players!$B$1:$F$40,4,FALSE)+VLOOKUP(VLOOKUP($B72,Games!$A$1:$I$20,7,FALSE),Players!$B$1:$F$40,4,FALSE)))*(3/8),1),ROUND(VLOOKUP(VLOOKUP($B72,Games!$A$1:$I$20,6,FALSE),Players!$B$1:$F$40,5,FALSE),1))</f>
        <v>15.2</v>
      </c>
      <c r="J72" s="10">
        <f>IF(VLOOKUP($B72,Games!$A$1:$I$20,5,FALSE)="Texas",ROUND((VLOOKUP(VLOOKUP($B72,Games!$A$1:$I$20,8,FALSE),Players!$B$1:$F$40,4,FALSE)+VLOOKUP(VLOOKUP($B72,Games!$A$1:$I$20,9,FALSE),Players!$B$1:$F$40,4,FALSE))*(3/8),1),ROUND(VLOOKUP(VLOOKUP($B72,Games!$A$1:$I$20,8,FALSE),Players!$B$1:$F$40,5,FALSE),1))</f>
        <v>19.5</v>
      </c>
      <c r="K72" s="10" t="str">
        <f>VLOOKUP(B72,Games!$A$1:$I$20,3,FALSE)</f>
        <v>Terasy Ústí n. Labem</v>
      </c>
      <c r="L72" s="10">
        <f>VLOOKUP(CONCATENATE($K72,$C72),'Field holes'!$B$1:$I$900,6,FALSE)</f>
        <v>5</v>
      </c>
      <c r="M72" s="10">
        <f>VLOOKUP(CONCATENATE($K72,$C72),'Field holes'!$B$1:$I$900,7,FALSE)</f>
        <v>13</v>
      </c>
    </row>
    <row r="73" spans="1:13" ht="15.75" customHeight="1" x14ac:dyDescent="0.15">
      <c r="A73" s="16">
        <v>72</v>
      </c>
      <c r="B73" s="16">
        <v>4</v>
      </c>
      <c r="C73" s="17">
        <v>18</v>
      </c>
      <c r="F73" s="10">
        <f t="shared" si="2"/>
        <v>5</v>
      </c>
      <c r="G73" s="10">
        <f t="shared" si="0"/>
        <v>5</v>
      </c>
      <c r="H73" s="10" t="str">
        <f t="shared" si="1"/>
        <v/>
      </c>
      <c r="I73" s="10">
        <f>IF(VLOOKUP($B73,Games!$A$1:$I$20,5,FALSE)="Texas",ROUND(((VLOOKUP(VLOOKUP($B73,Games!$A$1:$I$20,6,FALSE),Players!$B$1:$F$40,4,FALSE)+VLOOKUP(VLOOKUP($B73,Games!$A$1:$I$20,7,FALSE),Players!$B$1:$F$40,4,FALSE)))*(3/8),1),ROUND(VLOOKUP(VLOOKUP($B73,Games!$A$1:$I$20,6,FALSE),Players!$B$1:$F$40,5,FALSE),1))</f>
        <v>15.2</v>
      </c>
      <c r="J73" s="10">
        <f>IF(VLOOKUP($B73,Games!$A$1:$I$20,5,FALSE)="Texas",ROUND((VLOOKUP(VLOOKUP($B73,Games!$A$1:$I$20,8,FALSE),Players!$B$1:$F$40,4,FALSE)+VLOOKUP(VLOOKUP($B73,Games!$A$1:$I$20,9,FALSE),Players!$B$1:$F$40,4,FALSE))*(3/8),1),ROUND(VLOOKUP(VLOOKUP($B73,Games!$A$1:$I$20,8,FALSE),Players!$B$1:$F$40,5,FALSE),1))</f>
        <v>19.5</v>
      </c>
      <c r="K73" s="10" t="str">
        <f>VLOOKUP(B73,Games!$A$1:$I$20,3,FALSE)</f>
        <v>Terasy Ústí n. Labem</v>
      </c>
      <c r="L73" s="10">
        <f>VLOOKUP(CONCATENATE($K73,$C73),'Field holes'!$B$1:$I$900,6,FALSE)</f>
        <v>4</v>
      </c>
      <c r="M73" s="10">
        <f>VLOOKUP(CONCATENATE($K73,$C73),'Field holes'!$B$1:$I$900,7,FALSE)</f>
        <v>9</v>
      </c>
    </row>
    <row r="74" spans="1:13" ht="15.75" customHeight="1" x14ac:dyDescent="0.15">
      <c r="A74" s="16">
        <v>73</v>
      </c>
      <c r="B74" s="16">
        <v>5</v>
      </c>
      <c r="C74" s="17">
        <v>1</v>
      </c>
      <c r="F74" s="10" t="e">
        <f t="shared" si="2"/>
        <v>#N/A</v>
      </c>
      <c r="G74" s="10">
        <f t="shared" si="0"/>
        <v>4</v>
      </c>
      <c r="H74" s="10" t="str">
        <f t="shared" si="1"/>
        <v/>
      </c>
      <c r="I74" s="10" t="e">
        <f>IF(VLOOKUP($B74,Games!$A$1:$I$20,5,FALSE)="Texas",ROUND(((VLOOKUP(VLOOKUP($B74,Games!$A$1:$I$20,6,FALSE),Players!$B$1:$F$40,4,FALSE)+VLOOKUP(VLOOKUP($B74,Games!$A$1:$I$20,7,FALSE),Players!$B$1:$F$40,4,FALSE)))*(3/8),1),ROUND(VLOOKUP(VLOOKUP($B74,Games!$A$1:$I$20,6,FALSE),Players!$B$1:$F$40,5,FALSE),1))</f>
        <v>#N/A</v>
      </c>
      <c r="J74" s="10">
        <f>IF(VLOOKUP($B74,Games!$A$1:$I$20,5,FALSE)="Texas",ROUND((VLOOKUP(VLOOKUP($B74,Games!$A$1:$I$20,8,FALSE),Players!$B$1:$F$40,4,FALSE)+VLOOKUP(VLOOKUP($B74,Games!$A$1:$I$20,9,FALSE),Players!$B$1:$F$40,4,FALSE))*(3/8),1),ROUND(VLOOKUP(VLOOKUP($B74,Games!$A$1:$I$20,8,FALSE),Players!$B$1:$F$40,5,FALSE),1))</f>
        <v>1</v>
      </c>
      <c r="K74" s="10" t="str">
        <f>VLOOKUP(B74,Games!$A$1:$I$20,3,FALSE)</f>
        <v>Golf Resort Barbora</v>
      </c>
      <c r="L74" s="10">
        <f>VLOOKUP(CONCATENATE($K74,$C74),'Field holes'!$B$1:$I$900,6,FALSE)</f>
        <v>4</v>
      </c>
      <c r="M74" s="10">
        <f>VLOOKUP(CONCATENATE($K74,$C74),'Field holes'!$B$1:$I$900,7,FALSE)</f>
        <v>10</v>
      </c>
    </row>
    <row r="75" spans="1:13" ht="15.75" customHeight="1" x14ac:dyDescent="0.15">
      <c r="A75" s="16">
        <v>74</v>
      </c>
      <c r="B75" s="16">
        <v>5</v>
      </c>
      <c r="C75" s="17">
        <v>2</v>
      </c>
      <c r="F75" s="10" t="e">
        <f t="shared" si="2"/>
        <v>#N/A</v>
      </c>
      <c r="G75" s="10">
        <f t="shared" si="0"/>
        <v>5</v>
      </c>
      <c r="H75" s="10" t="str">
        <f t="shared" si="1"/>
        <v/>
      </c>
      <c r="I75" s="10" t="e">
        <f>IF(VLOOKUP($B75,Games!$A$1:$I$20,5,FALSE)="Texas",ROUND(((VLOOKUP(VLOOKUP($B75,Games!$A$1:$I$20,6,FALSE),Players!$B$1:$F$40,4,FALSE)+VLOOKUP(VLOOKUP($B75,Games!$A$1:$I$20,7,FALSE),Players!$B$1:$F$40,4,FALSE)))*(3/8),1),ROUND(VLOOKUP(VLOOKUP($B75,Games!$A$1:$I$20,6,FALSE),Players!$B$1:$F$40,5,FALSE),1))</f>
        <v>#N/A</v>
      </c>
      <c r="J75" s="10">
        <f>IF(VLOOKUP($B75,Games!$A$1:$I$20,5,FALSE)="Texas",ROUND((VLOOKUP(VLOOKUP($B75,Games!$A$1:$I$20,8,FALSE),Players!$B$1:$F$40,4,FALSE)+VLOOKUP(VLOOKUP($B75,Games!$A$1:$I$20,9,FALSE),Players!$B$1:$F$40,4,FALSE))*(3/8),1),ROUND(VLOOKUP(VLOOKUP($B75,Games!$A$1:$I$20,8,FALSE),Players!$B$1:$F$40,5,FALSE),1))</f>
        <v>1</v>
      </c>
      <c r="K75" s="10" t="str">
        <f>VLOOKUP(B75,Games!$A$1:$I$20,3,FALSE)</f>
        <v>Golf Resort Barbora</v>
      </c>
      <c r="L75" s="10">
        <f>VLOOKUP(CONCATENATE($K75,$C75),'Field holes'!$B$1:$I$900,6,FALSE)</f>
        <v>5</v>
      </c>
      <c r="M75" s="10">
        <f>VLOOKUP(CONCATENATE($K75,$C75),'Field holes'!$B$1:$I$900,7,FALSE)</f>
        <v>4</v>
      </c>
    </row>
    <row r="76" spans="1:13" ht="15.75" customHeight="1" x14ac:dyDescent="0.15">
      <c r="A76" s="16">
        <v>75</v>
      </c>
      <c r="B76" s="16">
        <v>5</v>
      </c>
      <c r="C76" s="17">
        <v>3</v>
      </c>
      <c r="F76" s="10" t="e">
        <f t="shared" si="2"/>
        <v>#N/A</v>
      </c>
      <c r="G76" s="10">
        <f t="shared" si="0"/>
        <v>3</v>
      </c>
      <c r="H76" s="10" t="str">
        <f t="shared" si="1"/>
        <v/>
      </c>
      <c r="I76" s="10" t="e">
        <f>IF(VLOOKUP($B76,Games!$A$1:$I$20,5,FALSE)="Texas",ROUND(((VLOOKUP(VLOOKUP($B76,Games!$A$1:$I$20,6,FALSE),Players!$B$1:$F$40,4,FALSE)+VLOOKUP(VLOOKUP($B76,Games!$A$1:$I$20,7,FALSE),Players!$B$1:$F$40,4,FALSE)))*(3/8),1),ROUND(VLOOKUP(VLOOKUP($B76,Games!$A$1:$I$20,6,FALSE),Players!$B$1:$F$40,5,FALSE),1))</f>
        <v>#N/A</v>
      </c>
      <c r="J76" s="10">
        <f>IF(VLOOKUP($B76,Games!$A$1:$I$20,5,FALSE)="Texas",ROUND((VLOOKUP(VLOOKUP($B76,Games!$A$1:$I$20,8,FALSE),Players!$B$1:$F$40,4,FALSE)+VLOOKUP(VLOOKUP($B76,Games!$A$1:$I$20,9,FALSE),Players!$B$1:$F$40,4,FALSE))*(3/8),1),ROUND(VLOOKUP(VLOOKUP($B76,Games!$A$1:$I$20,8,FALSE),Players!$B$1:$F$40,5,FALSE),1))</f>
        <v>1</v>
      </c>
      <c r="K76" s="10" t="str">
        <f>VLOOKUP(B76,Games!$A$1:$I$20,3,FALSE)</f>
        <v>Golf Resort Barbora</v>
      </c>
      <c r="L76" s="10">
        <f>VLOOKUP(CONCATENATE($K76,$C76),'Field holes'!$B$1:$I$900,6,FALSE)</f>
        <v>3</v>
      </c>
      <c r="M76" s="10">
        <f>VLOOKUP(CONCATENATE($K76,$C76),'Field holes'!$B$1:$I$900,7,FALSE)</f>
        <v>12</v>
      </c>
    </row>
    <row r="77" spans="1:13" ht="15.75" customHeight="1" x14ac:dyDescent="0.15">
      <c r="A77" s="16">
        <v>76</v>
      </c>
      <c r="B77" s="16">
        <v>5</v>
      </c>
      <c r="C77" s="17">
        <v>4</v>
      </c>
      <c r="F77" s="10" t="e">
        <f t="shared" si="2"/>
        <v>#N/A</v>
      </c>
      <c r="G77" s="10">
        <f t="shared" si="0"/>
        <v>4</v>
      </c>
      <c r="H77" s="10" t="str">
        <f t="shared" si="1"/>
        <v/>
      </c>
      <c r="I77" s="10" t="e">
        <f>IF(VLOOKUP($B77,Games!$A$1:$I$20,5,FALSE)="Texas",ROUND(((VLOOKUP(VLOOKUP($B77,Games!$A$1:$I$20,6,FALSE),Players!$B$1:$F$40,4,FALSE)+VLOOKUP(VLOOKUP($B77,Games!$A$1:$I$20,7,FALSE),Players!$B$1:$F$40,4,FALSE)))*(3/8),1),ROUND(VLOOKUP(VLOOKUP($B77,Games!$A$1:$I$20,6,FALSE),Players!$B$1:$F$40,5,FALSE),1))</f>
        <v>#N/A</v>
      </c>
      <c r="J77" s="10">
        <f>IF(VLOOKUP($B77,Games!$A$1:$I$20,5,FALSE)="Texas",ROUND((VLOOKUP(VLOOKUP($B77,Games!$A$1:$I$20,8,FALSE),Players!$B$1:$F$40,4,FALSE)+VLOOKUP(VLOOKUP($B77,Games!$A$1:$I$20,9,FALSE),Players!$B$1:$F$40,4,FALSE))*(3/8),1),ROUND(VLOOKUP(VLOOKUP($B77,Games!$A$1:$I$20,8,FALSE),Players!$B$1:$F$40,5,FALSE),1))</f>
        <v>1</v>
      </c>
      <c r="K77" s="10" t="str">
        <f>VLOOKUP(B77,Games!$A$1:$I$20,3,FALSE)</f>
        <v>Golf Resort Barbora</v>
      </c>
      <c r="L77" s="10">
        <f>VLOOKUP(CONCATENATE($K77,$C77),'Field holes'!$B$1:$I$900,6,FALSE)</f>
        <v>4</v>
      </c>
      <c r="M77" s="10">
        <f>VLOOKUP(CONCATENATE($K77,$C77),'Field holes'!$B$1:$I$900,7,FALSE)</f>
        <v>2</v>
      </c>
    </row>
    <row r="78" spans="1:13" ht="15.75" customHeight="1" x14ac:dyDescent="0.15">
      <c r="A78" s="16">
        <v>77</v>
      </c>
      <c r="B78" s="16">
        <v>5</v>
      </c>
      <c r="C78" s="17">
        <v>5</v>
      </c>
      <c r="F78" s="10" t="e">
        <f t="shared" si="2"/>
        <v>#N/A</v>
      </c>
      <c r="G78" s="10">
        <f t="shared" si="0"/>
        <v>4</v>
      </c>
      <c r="H78" s="10" t="str">
        <f t="shared" si="1"/>
        <v/>
      </c>
      <c r="I78" s="10" t="e">
        <f>IF(VLOOKUP($B78,Games!$A$1:$I$20,5,FALSE)="Texas",ROUND(((VLOOKUP(VLOOKUP($B78,Games!$A$1:$I$20,6,FALSE),Players!$B$1:$F$40,4,FALSE)+VLOOKUP(VLOOKUP($B78,Games!$A$1:$I$20,7,FALSE),Players!$B$1:$F$40,4,FALSE)))*(3/8),1),ROUND(VLOOKUP(VLOOKUP($B78,Games!$A$1:$I$20,6,FALSE),Players!$B$1:$F$40,5,FALSE),1))</f>
        <v>#N/A</v>
      </c>
      <c r="J78" s="10">
        <f>IF(VLOOKUP($B78,Games!$A$1:$I$20,5,FALSE)="Texas",ROUND((VLOOKUP(VLOOKUP($B78,Games!$A$1:$I$20,8,FALSE),Players!$B$1:$F$40,4,FALSE)+VLOOKUP(VLOOKUP($B78,Games!$A$1:$I$20,9,FALSE),Players!$B$1:$F$40,4,FALSE))*(3/8),1),ROUND(VLOOKUP(VLOOKUP($B78,Games!$A$1:$I$20,8,FALSE),Players!$B$1:$F$40,5,FALSE),1))</f>
        <v>1</v>
      </c>
      <c r="K78" s="10" t="str">
        <f>VLOOKUP(B78,Games!$A$1:$I$20,3,FALSE)</f>
        <v>Golf Resort Barbora</v>
      </c>
      <c r="L78" s="10">
        <f>VLOOKUP(CONCATENATE($K78,$C78),'Field holes'!$B$1:$I$900,6,FALSE)</f>
        <v>4</v>
      </c>
      <c r="M78" s="10">
        <f>VLOOKUP(CONCATENATE($K78,$C78),'Field holes'!$B$1:$I$900,7,FALSE)</f>
        <v>14</v>
      </c>
    </row>
    <row r="79" spans="1:13" ht="15.75" customHeight="1" x14ac:dyDescent="0.15">
      <c r="A79" s="16">
        <v>78</v>
      </c>
      <c r="B79" s="16">
        <v>5</v>
      </c>
      <c r="C79" s="17">
        <v>6</v>
      </c>
      <c r="F79" s="10" t="e">
        <f t="shared" si="2"/>
        <v>#N/A</v>
      </c>
      <c r="G79" s="10">
        <f t="shared" si="0"/>
        <v>5</v>
      </c>
      <c r="H79" s="10" t="str">
        <f t="shared" si="1"/>
        <v/>
      </c>
      <c r="I79" s="10" t="e">
        <f>IF(VLOOKUP($B79,Games!$A$1:$I$20,5,FALSE)="Texas",ROUND(((VLOOKUP(VLOOKUP($B79,Games!$A$1:$I$20,6,FALSE),Players!$B$1:$F$40,4,FALSE)+VLOOKUP(VLOOKUP($B79,Games!$A$1:$I$20,7,FALSE),Players!$B$1:$F$40,4,FALSE)))*(3/8),1),ROUND(VLOOKUP(VLOOKUP($B79,Games!$A$1:$I$20,6,FALSE),Players!$B$1:$F$40,5,FALSE),1))</f>
        <v>#N/A</v>
      </c>
      <c r="J79" s="10">
        <f>IF(VLOOKUP($B79,Games!$A$1:$I$20,5,FALSE)="Texas",ROUND((VLOOKUP(VLOOKUP($B79,Games!$A$1:$I$20,8,FALSE),Players!$B$1:$F$40,4,FALSE)+VLOOKUP(VLOOKUP($B79,Games!$A$1:$I$20,9,FALSE),Players!$B$1:$F$40,4,FALSE))*(3/8),1),ROUND(VLOOKUP(VLOOKUP($B79,Games!$A$1:$I$20,8,FALSE),Players!$B$1:$F$40,5,FALSE),1))</f>
        <v>1</v>
      </c>
      <c r="K79" s="10" t="str">
        <f>VLOOKUP(B79,Games!$A$1:$I$20,3,FALSE)</f>
        <v>Golf Resort Barbora</v>
      </c>
      <c r="L79" s="10">
        <f>VLOOKUP(CONCATENATE($K79,$C79),'Field holes'!$B$1:$I$900,6,FALSE)</f>
        <v>5</v>
      </c>
      <c r="M79" s="10">
        <f>VLOOKUP(CONCATENATE($K79,$C79),'Field holes'!$B$1:$I$900,7,FALSE)</f>
        <v>8</v>
      </c>
    </row>
    <row r="80" spans="1:13" ht="15.75" customHeight="1" x14ac:dyDescent="0.15">
      <c r="A80" s="16">
        <v>79</v>
      </c>
      <c r="B80" s="16">
        <v>5</v>
      </c>
      <c r="C80" s="17">
        <v>7</v>
      </c>
      <c r="F80" s="10" t="e">
        <f t="shared" si="2"/>
        <v>#N/A</v>
      </c>
      <c r="G80" s="10">
        <f t="shared" si="0"/>
        <v>4</v>
      </c>
      <c r="H80" s="10" t="str">
        <f t="shared" si="1"/>
        <v/>
      </c>
      <c r="I80" s="10" t="e">
        <f>IF(VLOOKUP($B80,Games!$A$1:$I$20,5,FALSE)="Texas",ROUND(((VLOOKUP(VLOOKUP($B80,Games!$A$1:$I$20,6,FALSE),Players!$B$1:$F$40,4,FALSE)+VLOOKUP(VLOOKUP($B80,Games!$A$1:$I$20,7,FALSE),Players!$B$1:$F$40,4,FALSE)))*(3/8),1),ROUND(VLOOKUP(VLOOKUP($B80,Games!$A$1:$I$20,6,FALSE),Players!$B$1:$F$40,5,FALSE),1))</f>
        <v>#N/A</v>
      </c>
      <c r="J80" s="10">
        <f>IF(VLOOKUP($B80,Games!$A$1:$I$20,5,FALSE)="Texas",ROUND((VLOOKUP(VLOOKUP($B80,Games!$A$1:$I$20,8,FALSE),Players!$B$1:$F$40,4,FALSE)+VLOOKUP(VLOOKUP($B80,Games!$A$1:$I$20,9,FALSE),Players!$B$1:$F$40,4,FALSE))*(3/8),1),ROUND(VLOOKUP(VLOOKUP($B80,Games!$A$1:$I$20,8,FALSE),Players!$B$1:$F$40,5,FALSE),1))</f>
        <v>1</v>
      </c>
      <c r="K80" s="10" t="str">
        <f>VLOOKUP(B80,Games!$A$1:$I$20,3,FALSE)</f>
        <v>Golf Resort Barbora</v>
      </c>
      <c r="L80" s="10">
        <f>VLOOKUP(CONCATENATE($K80,$C80),'Field holes'!$B$1:$I$900,6,FALSE)</f>
        <v>4</v>
      </c>
      <c r="M80" s="10">
        <f>VLOOKUP(CONCATENATE($K80,$C80),'Field holes'!$B$1:$I$900,7,FALSE)</f>
        <v>16</v>
      </c>
    </row>
    <row r="81" spans="1:13" ht="13" x14ac:dyDescent="0.15">
      <c r="A81" s="16">
        <v>80</v>
      </c>
      <c r="B81" s="16">
        <v>5</v>
      </c>
      <c r="C81" s="17">
        <v>8</v>
      </c>
      <c r="F81" s="10" t="e">
        <f t="shared" si="2"/>
        <v>#N/A</v>
      </c>
      <c r="G81" s="10">
        <f t="shared" si="0"/>
        <v>4</v>
      </c>
      <c r="H81" s="10" t="str">
        <f t="shared" si="1"/>
        <v/>
      </c>
      <c r="I81" s="10" t="e">
        <f>IF(VLOOKUP($B81,Games!$A$1:$I$20,5,FALSE)="Texas",ROUND(((VLOOKUP(VLOOKUP($B81,Games!$A$1:$I$20,6,FALSE),Players!$B$1:$F$40,4,FALSE)+VLOOKUP(VLOOKUP($B81,Games!$A$1:$I$20,7,FALSE),Players!$B$1:$F$40,4,FALSE)))*(3/8),1),ROUND(VLOOKUP(VLOOKUP($B81,Games!$A$1:$I$20,6,FALSE),Players!$B$1:$F$40,5,FALSE),1))</f>
        <v>#N/A</v>
      </c>
      <c r="J81" s="10">
        <f>IF(VLOOKUP($B81,Games!$A$1:$I$20,5,FALSE)="Texas",ROUND((VLOOKUP(VLOOKUP($B81,Games!$A$1:$I$20,8,FALSE),Players!$B$1:$F$40,4,FALSE)+VLOOKUP(VLOOKUP($B81,Games!$A$1:$I$20,9,FALSE),Players!$B$1:$F$40,4,FALSE))*(3/8),1),ROUND(VLOOKUP(VLOOKUP($B81,Games!$A$1:$I$20,8,FALSE),Players!$B$1:$F$40,5,FALSE),1))</f>
        <v>1</v>
      </c>
      <c r="K81" s="10" t="str">
        <f>VLOOKUP(B81,Games!$A$1:$I$20,3,FALSE)</f>
        <v>Golf Resort Barbora</v>
      </c>
      <c r="L81" s="10">
        <f>VLOOKUP(CONCATENATE($K81,$C81),'Field holes'!$B$1:$I$900,6,FALSE)</f>
        <v>4</v>
      </c>
      <c r="M81" s="10">
        <f>VLOOKUP(CONCATENATE($K81,$C81),'Field holes'!$B$1:$I$900,7,FALSE)</f>
        <v>6</v>
      </c>
    </row>
    <row r="82" spans="1:13" ht="13" x14ac:dyDescent="0.15">
      <c r="A82" s="16">
        <v>81</v>
      </c>
      <c r="B82" s="16">
        <v>5</v>
      </c>
      <c r="C82" s="17">
        <v>9</v>
      </c>
      <c r="F82" s="10" t="e">
        <f t="shared" si="2"/>
        <v>#N/A</v>
      </c>
      <c r="G82" s="10">
        <f t="shared" si="0"/>
        <v>3</v>
      </c>
      <c r="H82" s="10" t="str">
        <f t="shared" si="1"/>
        <v/>
      </c>
      <c r="I82" s="10" t="e">
        <f>IF(VLOOKUP($B82,Games!$A$1:$I$20,5,FALSE)="Texas",ROUND(((VLOOKUP(VLOOKUP($B82,Games!$A$1:$I$20,6,FALSE),Players!$B$1:$F$40,4,FALSE)+VLOOKUP(VLOOKUP($B82,Games!$A$1:$I$20,7,FALSE),Players!$B$1:$F$40,4,FALSE)))*(3/8),1),ROUND(VLOOKUP(VLOOKUP($B82,Games!$A$1:$I$20,6,FALSE),Players!$B$1:$F$40,5,FALSE),1))</f>
        <v>#N/A</v>
      </c>
      <c r="J82" s="10">
        <f>IF(VLOOKUP($B82,Games!$A$1:$I$20,5,FALSE)="Texas",ROUND((VLOOKUP(VLOOKUP($B82,Games!$A$1:$I$20,8,FALSE),Players!$B$1:$F$40,4,FALSE)+VLOOKUP(VLOOKUP($B82,Games!$A$1:$I$20,9,FALSE),Players!$B$1:$F$40,4,FALSE))*(3/8),1),ROUND(VLOOKUP(VLOOKUP($B82,Games!$A$1:$I$20,8,FALSE),Players!$B$1:$F$40,5,FALSE),1))</f>
        <v>1</v>
      </c>
      <c r="K82" s="10" t="str">
        <f>VLOOKUP(B82,Games!$A$1:$I$20,3,FALSE)</f>
        <v>Golf Resort Barbora</v>
      </c>
      <c r="L82" s="10">
        <f>VLOOKUP(CONCATENATE($K82,$C82),'Field holes'!$B$1:$I$900,6,FALSE)</f>
        <v>3</v>
      </c>
      <c r="M82" s="10">
        <f>VLOOKUP(CONCATENATE($K82,$C82),'Field holes'!$B$1:$I$900,7,FALSE)</f>
        <v>18</v>
      </c>
    </row>
    <row r="83" spans="1:13" ht="13" x14ac:dyDescent="0.15">
      <c r="A83" s="16">
        <v>82</v>
      </c>
      <c r="B83" s="16">
        <v>5</v>
      </c>
      <c r="C83" s="17">
        <v>10</v>
      </c>
      <c r="F83" s="10" t="e">
        <f t="shared" si="2"/>
        <v>#N/A</v>
      </c>
      <c r="G83" s="10">
        <f t="shared" si="0"/>
        <v>5</v>
      </c>
      <c r="H83" s="10" t="str">
        <f t="shared" si="1"/>
        <v/>
      </c>
      <c r="I83" s="10" t="e">
        <f>IF(VLOOKUP($B83,Games!$A$1:$I$20,5,FALSE)="Texas",ROUND(((VLOOKUP(VLOOKUP($B83,Games!$A$1:$I$20,6,FALSE),Players!$B$1:$F$40,4,FALSE)+VLOOKUP(VLOOKUP($B83,Games!$A$1:$I$20,7,FALSE),Players!$B$1:$F$40,4,FALSE)))*(3/8),1),ROUND(VLOOKUP(VLOOKUP($B83,Games!$A$1:$I$20,6,FALSE),Players!$B$1:$F$40,5,FALSE),1))</f>
        <v>#N/A</v>
      </c>
      <c r="J83" s="10">
        <f>IF(VLOOKUP($B83,Games!$A$1:$I$20,5,FALSE)="Texas",ROUND((VLOOKUP(VLOOKUP($B83,Games!$A$1:$I$20,8,FALSE),Players!$B$1:$F$40,4,FALSE)+VLOOKUP(VLOOKUP($B83,Games!$A$1:$I$20,9,FALSE),Players!$B$1:$F$40,4,FALSE))*(3/8),1),ROUND(VLOOKUP(VLOOKUP($B83,Games!$A$1:$I$20,8,FALSE),Players!$B$1:$F$40,5,FALSE),1))</f>
        <v>1</v>
      </c>
      <c r="K83" s="10" t="str">
        <f>VLOOKUP(B83,Games!$A$1:$I$20,3,FALSE)</f>
        <v>Golf Resort Barbora</v>
      </c>
      <c r="L83" s="10">
        <f>VLOOKUP(CONCATENATE($K83,$C83),'Field holes'!$B$1:$I$900,6,FALSE)</f>
        <v>5</v>
      </c>
      <c r="M83" s="10">
        <f>VLOOKUP(CONCATENATE($K83,$C83),'Field holes'!$B$1:$I$900,7,FALSE)</f>
        <v>11</v>
      </c>
    </row>
    <row r="84" spans="1:13" ht="13" x14ac:dyDescent="0.15">
      <c r="A84" s="16">
        <v>83</v>
      </c>
      <c r="B84" s="16">
        <v>5</v>
      </c>
      <c r="C84" s="17">
        <v>11</v>
      </c>
      <c r="F84" s="10" t="e">
        <f t="shared" si="2"/>
        <v>#N/A</v>
      </c>
      <c r="G84" s="10">
        <f t="shared" si="0"/>
        <v>3</v>
      </c>
      <c r="H84" s="10" t="str">
        <f t="shared" si="1"/>
        <v/>
      </c>
      <c r="I84" s="10" t="e">
        <f>IF(VLOOKUP($B84,Games!$A$1:$I$20,5,FALSE)="Texas",ROUND(((VLOOKUP(VLOOKUP($B84,Games!$A$1:$I$20,6,FALSE),Players!$B$1:$F$40,4,FALSE)+VLOOKUP(VLOOKUP($B84,Games!$A$1:$I$20,7,FALSE),Players!$B$1:$F$40,4,FALSE)))*(3/8),1),ROUND(VLOOKUP(VLOOKUP($B84,Games!$A$1:$I$20,6,FALSE),Players!$B$1:$F$40,5,FALSE),1))</f>
        <v>#N/A</v>
      </c>
      <c r="J84" s="10">
        <f>IF(VLOOKUP($B84,Games!$A$1:$I$20,5,FALSE)="Texas",ROUND((VLOOKUP(VLOOKUP($B84,Games!$A$1:$I$20,8,FALSE),Players!$B$1:$F$40,4,FALSE)+VLOOKUP(VLOOKUP($B84,Games!$A$1:$I$20,9,FALSE),Players!$B$1:$F$40,4,FALSE))*(3/8),1),ROUND(VLOOKUP(VLOOKUP($B84,Games!$A$1:$I$20,8,FALSE),Players!$B$1:$F$40,5,FALSE),1))</f>
        <v>1</v>
      </c>
      <c r="K84" s="10" t="str">
        <f>VLOOKUP(B84,Games!$A$1:$I$20,3,FALSE)</f>
        <v>Golf Resort Barbora</v>
      </c>
      <c r="L84" s="10">
        <f>VLOOKUP(CONCATENATE($K84,$C84),'Field holes'!$B$1:$I$900,6,FALSE)</f>
        <v>3</v>
      </c>
      <c r="M84" s="10">
        <f>VLOOKUP(CONCATENATE($K84,$C84),'Field holes'!$B$1:$I$900,7,FALSE)</f>
        <v>7</v>
      </c>
    </row>
    <row r="85" spans="1:13" ht="13" x14ac:dyDescent="0.15">
      <c r="A85" s="16">
        <v>84</v>
      </c>
      <c r="B85" s="16">
        <v>5</v>
      </c>
      <c r="C85" s="17">
        <v>12</v>
      </c>
      <c r="F85" s="10" t="e">
        <f t="shared" si="2"/>
        <v>#N/A</v>
      </c>
      <c r="G85" s="10">
        <f t="shared" si="0"/>
        <v>4</v>
      </c>
      <c r="H85" s="10" t="str">
        <f t="shared" si="1"/>
        <v/>
      </c>
      <c r="I85" s="10" t="e">
        <f>IF(VLOOKUP($B85,Games!$A$1:$I$20,5,FALSE)="Texas",ROUND(((VLOOKUP(VLOOKUP($B85,Games!$A$1:$I$20,6,FALSE),Players!$B$1:$F$40,4,FALSE)+VLOOKUP(VLOOKUP($B85,Games!$A$1:$I$20,7,FALSE),Players!$B$1:$F$40,4,FALSE)))*(3/8),1),ROUND(VLOOKUP(VLOOKUP($B85,Games!$A$1:$I$20,6,FALSE),Players!$B$1:$F$40,5,FALSE),1))</f>
        <v>#N/A</v>
      </c>
      <c r="J85" s="10">
        <f>IF(VLOOKUP($B85,Games!$A$1:$I$20,5,FALSE)="Texas",ROUND((VLOOKUP(VLOOKUP($B85,Games!$A$1:$I$20,8,FALSE),Players!$B$1:$F$40,4,FALSE)+VLOOKUP(VLOOKUP($B85,Games!$A$1:$I$20,9,FALSE),Players!$B$1:$F$40,4,FALSE))*(3/8),1),ROUND(VLOOKUP(VLOOKUP($B85,Games!$A$1:$I$20,8,FALSE),Players!$B$1:$F$40,5,FALSE),1))</f>
        <v>1</v>
      </c>
      <c r="K85" s="10" t="str">
        <f>VLOOKUP(B85,Games!$A$1:$I$20,3,FALSE)</f>
        <v>Golf Resort Barbora</v>
      </c>
      <c r="L85" s="10">
        <f>VLOOKUP(CONCATENATE($K85,$C85),'Field holes'!$B$1:$I$900,6,FALSE)</f>
        <v>4</v>
      </c>
      <c r="M85" s="10">
        <f>VLOOKUP(CONCATENATE($K85,$C85),'Field holes'!$B$1:$I$900,7,FALSE)</f>
        <v>17</v>
      </c>
    </row>
    <row r="86" spans="1:13" ht="13" x14ac:dyDescent="0.15">
      <c r="A86" s="16">
        <v>85</v>
      </c>
      <c r="B86" s="16">
        <v>5</v>
      </c>
      <c r="C86" s="17">
        <v>13</v>
      </c>
      <c r="F86" s="10" t="e">
        <f t="shared" si="2"/>
        <v>#N/A</v>
      </c>
      <c r="G86" s="10">
        <f t="shared" si="0"/>
        <v>4</v>
      </c>
      <c r="H86" s="10" t="str">
        <f t="shared" si="1"/>
        <v/>
      </c>
      <c r="I86" s="10" t="e">
        <f>IF(VLOOKUP($B86,Games!$A$1:$I$20,5,FALSE)="Texas",ROUND(((VLOOKUP(VLOOKUP($B86,Games!$A$1:$I$20,6,FALSE),Players!$B$1:$F$40,4,FALSE)+VLOOKUP(VLOOKUP($B86,Games!$A$1:$I$20,7,FALSE),Players!$B$1:$F$40,4,FALSE)))*(3/8),1),ROUND(VLOOKUP(VLOOKUP($B86,Games!$A$1:$I$20,6,FALSE),Players!$B$1:$F$40,5,FALSE),1))</f>
        <v>#N/A</v>
      </c>
      <c r="J86" s="10">
        <f>IF(VLOOKUP($B86,Games!$A$1:$I$20,5,FALSE)="Texas",ROUND((VLOOKUP(VLOOKUP($B86,Games!$A$1:$I$20,8,FALSE),Players!$B$1:$F$40,4,FALSE)+VLOOKUP(VLOOKUP($B86,Games!$A$1:$I$20,9,FALSE),Players!$B$1:$F$40,4,FALSE))*(3/8),1),ROUND(VLOOKUP(VLOOKUP($B86,Games!$A$1:$I$20,8,FALSE),Players!$B$1:$F$40,5,FALSE),1))</f>
        <v>1</v>
      </c>
      <c r="K86" s="10" t="str">
        <f>VLOOKUP(B86,Games!$A$1:$I$20,3,FALSE)</f>
        <v>Golf Resort Barbora</v>
      </c>
      <c r="L86" s="10">
        <f>VLOOKUP(CONCATENATE($K86,$C86),'Field holes'!$B$1:$I$900,6,FALSE)</f>
        <v>4</v>
      </c>
      <c r="M86" s="10">
        <f>VLOOKUP(CONCATENATE($K86,$C86),'Field holes'!$B$1:$I$900,7,FALSE)</f>
        <v>9</v>
      </c>
    </row>
    <row r="87" spans="1:13" ht="13" x14ac:dyDescent="0.15">
      <c r="A87" s="16">
        <v>86</v>
      </c>
      <c r="B87" s="16">
        <v>5</v>
      </c>
      <c r="C87" s="17">
        <v>14</v>
      </c>
      <c r="F87" s="10" t="e">
        <f t="shared" si="2"/>
        <v>#N/A</v>
      </c>
      <c r="G87" s="10">
        <f t="shared" si="0"/>
        <v>3</v>
      </c>
      <c r="H87" s="10" t="str">
        <f t="shared" si="1"/>
        <v/>
      </c>
      <c r="I87" s="10" t="e">
        <f>IF(VLOOKUP($B87,Games!$A$1:$I$20,5,FALSE)="Texas",ROUND(((VLOOKUP(VLOOKUP($B87,Games!$A$1:$I$20,6,FALSE),Players!$B$1:$F$40,4,FALSE)+VLOOKUP(VLOOKUP($B87,Games!$A$1:$I$20,7,FALSE),Players!$B$1:$F$40,4,FALSE)))*(3/8),1),ROUND(VLOOKUP(VLOOKUP($B87,Games!$A$1:$I$20,6,FALSE),Players!$B$1:$F$40,5,FALSE),1))</f>
        <v>#N/A</v>
      </c>
      <c r="J87" s="10">
        <f>IF(VLOOKUP($B87,Games!$A$1:$I$20,5,FALSE)="Texas",ROUND((VLOOKUP(VLOOKUP($B87,Games!$A$1:$I$20,8,FALSE),Players!$B$1:$F$40,4,FALSE)+VLOOKUP(VLOOKUP($B87,Games!$A$1:$I$20,9,FALSE),Players!$B$1:$F$40,4,FALSE))*(3/8),1),ROUND(VLOOKUP(VLOOKUP($B87,Games!$A$1:$I$20,8,FALSE),Players!$B$1:$F$40,5,FALSE),1))</f>
        <v>1</v>
      </c>
      <c r="K87" s="10" t="str">
        <f>VLOOKUP(B87,Games!$A$1:$I$20,3,FALSE)</f>
        <v>Golf Resort Barbora</v>
      </c>
      <c r="L87" s="10">
        <f>VLOOKUP(CONCATENATE($K87,$C87),'Field holes'!$B$1:$I$900,6,FALSE)</f>
        <v>3</v>
      </c>
      <c r="M87" s="10">
        <f>VLOOKUP(CONCATENATE($K87,$C87),'Field holes'!$B$1:$I$900,7,FALSE)</f>
        <v>5</v>
      </c>
    </row>
    <row r="88" spans="1:13" ht="13" x14ac:dyDescent="0.15">
      <c r="A88" s="16">
        <v>87</v>
      </c>
      <c r="B88" s="16">
        <v>5</v>
      </c>
      <c r="C88" s="17">
        <v>15</v>
      </c>
      <c r="F88" s="10" t="e">
        <f t="shared" si="2"/>
        <v>#N/A</v>
      </c>
      <c r="G88" s="10">
        <f t="shared" si="0"/>
        <v>6</v>
      </c>
      <c r="H88" s="10" t="str">
        <f t="shared" si="1"/>
        <v/>
      </c>
      <c r="I88" s="10" t="e">
        <f>IF(VLOOKUP($B88,Games!$A$1:$I$20,5,FALSE)="Texas",ROUND(((VLOOKUP(VLOOKUP($B88,Games!$A$1:$I$20,6,FALSE),Players!$B$1:$F$40,4,FALSE)+VLOOKUP(VLOOKUP($B88,Games!$A$1:$I$20,7,FALSE),Players!$B$1:$F$40,4,FALSE)))*(3/8),1),ROUND(VLOOKUP(VLOOKUP($B88,Games!$A$1:$I$20,6,FALSE),Players!$B$1:$F$40,5,FALSE),1))</f>
        <v>#N/A</v>
      </c>
      <c r="J88" s="10">
        <f>IF(VLOOKUP($B88,Games!$A$1:$I$20,5,FALSE)="Texas",ROUND((VLOOKUP(VLOOKUP($B88,Games!$A$1:$I$20,8,FALSE),Players!$B$1:$F$40,4,FALSE)+VLOOKUP(VLOOKUP($B88,Games!$A$1:$I$20,9,FALSE),Players!$B$1:$F$40,4,FALSE))*(3/8),1),ROUND(VLOOKUP(VLOOKUP($B88,Games!$A$1:$I$20,8,FALSE),Players!$B$1:$F$40,5,FALSE),1))</f>
        <v>1</v>
      </c>
      <c r="K88" s="10" t="str">
        <f>VLOOKUP(B88,Games!$A$1:$I$20,3,FALSE)</f>
        <v>Golf Resort Barbora</v>
      </c>
      <c r="L88" s="10">
        <f>VLOOKUP(CONCATENATE($K88,$C88),'Field holes'!$B$1:$I$900,6,FALSE)</f>
        <v>5</v>
      </c>
      <c r="M88" s="10">
        <f>VLOOKUP(CONCATENATE($K88,$C88),'Field holes'!$B$1:$I$900,7,FALSE)</f>
        <v>1</v>
      </c>
    </row>
    <row r="89" spans="1:13" ht="13" x14ac:dyDescent="0.15">
      <c r="A89" s="16">
        <v>88</v>
      </c>
      <c r="B89" s="16">
        <v>5</v>
      </c>
      <c r="C89" s="17">
        <v>16</v>
      </c>
      <c r="F89" s="10" t="e">
        <f t="shared" si="2"/>
        <v>#N/A</v>
      </c>
      <c r="G89" s="10">
        <f t="shared" si="0"/>
        <v>3</v>
      </c>
      <c r="H89" s="10" t="str">
        <f t="shared" si="1"/>
        <v/>
      </c>
      <c r="I89" s="10" t="e">
        <f>IF(VLOOKUP($B89,Games!$A$1:$I$20,5,FALSE)="Texas",ROUND(((VLOOKUP(VLOOKUP($B89,Games!$A$1:$I$20,6,FALSE),Players!$B$1:$F$40,4,FALSE)+VLOOKUP(VLOOKUP($B89,Games!$A$1:$I$20,7,FALSE),Players!$B$1:$F$40,4,FALSE)))*(3/8),1),ROUND(VLOOKUP(VLOOKUP($B89,Games!$A$1:$I$20,6,FALSE),Players!$B$1:$F$40,5,FALSE),1))</f>
        <v>#N/A</v>
      </c>
      <c r="J89" s="10">
        <f>IF(VLOOKUP($B89,Games!$A$1:$I$20,5,FALSE)="Texas",ROUND((VLOOKUP(VLOOKUP($B89,Games!$A$1:$I$20,8,FALSE),Players!$B$1:$F$40,4,FALSE)+VLOOKUP(VLOOKUP($B89,Games!$A$1:$I$20,9,FALSE),Players!$B$1:$F$40,4,FALSE))*(3/8),1),ROUND(VLOOKUP(VLOOKUP($B89,Games!$A$1:$I$20,8,FALSE),Players!$B$1:$F$40,5,FALSE),1))</f>
        <v>1</v>
      </c>
      <c r="K89" s="10" t="str">
        <f>VLOOKUP(B89,Games!$A$1:$I$20,3,FALSE)</f>
        <v>Golf Resort Barbora</v>
      </c>
      <c r="L89" s="10">
        <f>VLOOKUP(CONCATENATE($K89,$C89),'Field holes'!$B$1:$I$900,6,FALSE)</f>
        <v>3</v>
      </c>
      <c r="M89" s="10">
        <f>VLOOKUP(CONCATENATE($K89,$C89),'Field holes'!$B$1:$I$900,7,FALSE)</f>
        <v>13</v>
      </c>
    </row>
    <row r="90" spans="1:13" ht="13" x14ac:dyDescent="0.15">
      <c r="A90" s="16">
        <v>89</v>
      </c>
      <c r="B90" s="16">
        <v>5</v>
      </c>
      <c r="C90" s="17">
        <v>17</v>
      </c>
      <c r="F90" s="10" t="e">
        <f t="shared" si="2"/>
        <v>#N/A</v>
      </c>
      <c r="G90" s="10">
        <f t="shared" si="0"/>
        <v>5</v>
      </c>
      <c r="H90" s="10" t="str">
        <f t="shared" si="1"/>
        <v/>
      </c>
      <c r="I90" s="10" t="e">
        <f>IF(VLOOKUP($B90,Games!$A$1:$I$20,5,FALSE)="Texas",ROUND(((VLOOKUP(VLOOKUP($B90,Games!$A$1:$I$20,6,FALSE),Players!$B$1:$F$40,4,FALSE)+VLOOKUP(VLOOKUP($B90,Games!$A$1:$I$20,7,FALSE),Players!$B$1:$F$40,4,FALSE)))*(3/8),1),ROUND(VLOOKUP(VLOOKUP($B90,Games!$A$1:$I$20,6,FALSE),Players!$B$1:$F$40,5,FALSE),1))</f>
        <v>#N/A</v>
      </c>
      <c r="J90" s="10">
        <f>IF(VLOOKUP($B90,Games!$A$1:$I$20,5,FALSE)="Texas",ROUND((VLOOKUP(VLOOKUP($B90,Games!$A$1:$I$20,8,FALSE),Players!$B$1:$F$40,4,FALSE)+VLOOKUP(VLOOKUP($B90,Games!$A$1:$I$20,9,FALSE),Players!$B$1:$F$40,4,FALSE))*(3/8),1),ROUND(VLOOKUP(VLOOKUP($B90,Games!$A$1:$I$20,8,FALSE),Players!$B$1:$F$40,5,FALSE),1))</f>
        <v>1</v>
      </c>
      <c r="K90" s="10" t="str">
        <f>VLOOKUP(B90,Games!$A$1:$I$20,3,FALSE)</f>
        <v>Golf Resort Barbora</v>
      </c>
      <c r="L90" s="10">
        <f>VLOOKUP(CONCATENATE($K90,$C90),'Field holes'!$B$1:$I$900,6,FALSE)</f>
        <v>5</v>
      </c>
      <c r="M90" s="10">
        <f>VLOOKUP(CONCATENATE($K90,$C90),'Field holes'!$B$1:$I$900,7,FALSE)</f>
        <v>15</v>
      </c>
    </row>
    <row r="91" spans="1:13" ht="13" x14ac:dyDescent="0.15">
      <c r="A91" s="16">
        <v>90</v>
      </c>
      <c r="B91" s="16">
        <v>5</v>
      </c>
      <c r="C91" s="17">
        <v>18</v>
      </c>
      <c r="F91" s="10" t="e">
        <f t="shared" si="2"/>
        <v>#N/A</v>
      </c>
      <c r="G91" s="10">
        <f t="shared" si="0"/>
        <v>4</v>
      </c>
      <c r="H91" s="10" t="str">
        <f t="shared" si="1"/>
        <v/>
      </c>
      <c r="I91" s="10" t="e">
        <f>IF(VLOOKUP($B91,Games!$A$1:$I$20,5,FALSE)="Texas",ROUND(((VLOOKUP(VLOOKUP($B91,Games!$A$1:$I$20,6,FALSE),Players!$B$1:$F$40,4,FALSE)+VLOOKUP(VLOOKUP($B91,Games!$A$1:$I$20,7,FALSE),Players!$B$1:$F$40,4,FALSE)))*(3/8),1),ROUND(VLOOKUP(VLOOKUP($B91,Games!$A$1:$I$20,6,FALSE),Players!$B$1:$F$40,5,FALSE),1))</f>
        <v>#N/A</v>
      </c>
      <c r="J91" s="10">
        <f>IF(VLOOKUP($B91,Games!$A$1:$I$20,5,FALSE)="Texas",ROUND((VLOOKUP(VLOOKUP($B91,Games!$A$1:$I$20,8,FALSE),Players!$B$1:$F$40,4,FALSE)+VLOOKUP(VLOOKUP($B91,Games!$A$1:$I$20,9,FALSE),Players!$B$1:$F$40,4,FALSE))*(3/8),1),ROUND(VLOOKUP(VLOOKUP($B91,Games!$A$1:$I$20,8,FALSE),Players!$B$1:$F$40,5,FALSE),1))</f>
        <v>1</v>
      </c>
      <c r="K91" s="10" t="str">
        <f>VLOOKUP(B91,Games!$A$1:$I$20,3,FALSE)</f>
        <v>Golf Resort Barbora</v>
      </c>
      <c r="L91" s="10">
        <f>VLOOKUP(CONCATENATE($K91,$C91),'Field holes'!$B$1:$I$900,6,FALSE)</f>
        <v>4</v>
      </c>
      <c r="M91" s="10">
        <f>VLOOKUP(CONCATENATE($K91,$C91),'Field holes'!$B$1:$I$900,7,FALSE)</f>
        <v>3</v>
      </c>
    </row>
    <row r="92" spans="1:13" ht="13" x14ac:dyDescent="0.15">
      <c r="A92" s="16">
        <v>91</v>
      </c>
      <c r="B92" s="16">
        <v>6</v>
      </c>
      <c r="C92" s="17">
        <v>1</v>
      </c>
      <c r="F92" s="10" t="e">
        <f t="shared" si="2"/>
        <v>#N/A</v>
      </c>
      <c r="G92" s="10">
        <f t="shared" si="0"/>
        <v>4</v>
      </c>
      <c r="H92" s="10" t="str">
        <f t="shared" si="1"/>
        <v/>
      </c>
      <c r="I92" s="10" t="e">
        <f>IF(VLOOKUP($B92,Games!$A$1:$I$20,5,FALSE)="Texas",ROUND(((VLOOKUP(VLOOKUP($B92,Games!$A$1:$I$20,6,FALSE),Players!$B$1:$F$40,4,FALSE)+VLOOKUP(VLOOKUP($B92,Games!$A$1:$I$20,7,FALSE),Players!$B$1:$F$40,4,FALSE)))*(3/8),1),ROUND(VLOOKUP(VLOOKUP($B92,Games!$A$1:$I$20,6,FALSE),Players!$B$1:$F$40,5,FALSE),1))</f>
        <v>#N/A</v>
      </c>
      <c r="J92" s="10">
        <f>IF(VLOOKUP($B92,Games!$A$1:$I$20,5,FALSE)="Texas",ROUND((VLOOKUP(VLOOKUP($B92,Games!$A$1:$I$20,8,FALSE),Players!$B$1:$F$40,4,FALSE)+VLOOKUP(VLOOKUP($B92,Games!$A$1:$I$20,9,FALSE),Players!$B$1:$F$40,4,FALSE))*(3/8),1),ROUND(VLOOKUP(VLOOKUP($B92,Games!$A$1:$I$20,8,FALSE),Players!$B$1:$F$40,5,FALSE),1))</f>
        <v>0</v>
      </c>
      <c r="K92" s="10" t="str">
        <f>VLOOKUP(B92,Games!$A$1:$I$20,3,FALSE)</f>
        <v>Golf Resort Barbora</v>
      </c>
      <c r="L92" s="10">
        <f>VLOOKUP(CONCATENATE($K92,$C92),'Field holes'!$B$1:$I$900,6,FALSE)</f>
        <v>4</v>
      </c>
      <c r="M92" s="10">
        <f>VLOOKUP(CONCATENATE($K92,$C92),'Field holes'!$B$1:$I$900,7,FALSE)</f>
        <v>10</v>
      </c>
    </row>
    <row r="93" spans="1:13" ht="13" x14ac:dyDescent="0.15">
      <c r="A93" s="16">
        <v>92</v>
      </c>
      <c r="B93" s="16">
        <v>6</v>
      </c>
      <c r="C93" s="17">
        <v>2</v>
      </c>
      <c r="F93" s="10" t="e">
        <f t="shared" si="2"/>
        <v>#N/A</v>
      </c>
      <c r="G93" s="10">
        <f t="shared" si="0"/>
        <v>5</v>
      </c>
      <c r="H93" s="10" t="str">
        <f t="shared" si="1"/>
        <v/>
      </c>
      <c r="I93" s="10" t="e">
        <f>IF(VLOOKUP($B93,Games!$A$1:$I$20,5,FALSE)="Texas",ROUND(((VLOOKUP(VLOOKUP($B93,Games!$A$1:$I$20,6,FALSE),Players!$B$1:$F$40,4,FALSE)+VLOOKUP(VLOOKUP($B93,Games!$A$1:$I$20,7,FALSE),Players!$B$1:$F$40,4,FALSE)))*(3/8),1),ROUND(VLOOKUP(VLOOKUP($B93,Games!$A$1:$I$20,6,FALSE),Players!$B$1:$F$40,5,FALSE),1))</f>
        <v>#N/A</v>
      </c>
      <c r="J93" s="10">
        <f>IF(VLOOKUP($B93,Games!$A$1:$I$20,5,FALSE)="Texas",ROUND((VLOOKUP(VLOOKUP($B93,Games!$A$1:$I$20,8,FALSE),Players!$B$1:$F$40,4,FALSE)+VLOOKUP(VLOOKUP($B93,Games!$A$1:$I$20,9,FALSE),Players!$B$1:$F$40,4,FALSE))*(3/8),1),ROUND(VLOOKUP(VLOOKUP($B93,Games!$A$1:$I$20,8,FALSE),Players!$B$1:$F$40,5,FALSE),1))</f>
        <v>0</v>
      </c>
      <c r="K93" s="10" t="str">
        <f>VLOOKUP(B93,Games!$A$1:$I$20,3,FALSE)</f>
        <v>Golf Resort Barbora</v>
      </c>
      <c r="L93" s="10">
        <f>VLOOKUP(CONCATENATE($K93,$C93),'Field holes'!$B$1:$I$900,6,FALSE)</f>
        <v>5</v>
      </c>
      <c r="M93" s="10">
        <f>VLOOKUP(CONCATENATE($K93,$C93),'Field holes'!$B$1:$I$900,7,FALSE)</f>
        <v>4</v>
      </c>
    </row>
    <row r="94" spans="1:13" ht="13" x14ac:dyDescent="0.15">
      <c r="A94" s="16">
        <v>93</v>
      </c>
      <c r="B94" s="16">
        <v>6</v>
      </c>
      <c r="C94" s="17">
        <v>3</v>
      </c>
      <c r="F94" s="10" t="e">
        <f t="shared" si="2"/>
        <v>#N/A</v>
      </c>
      <c r="G94" s="10">
        <f t="shared" si="0"/>
        <v>3</v>
      </c>
      <c r="H94" s="10" t="str">
        <f t="shared" si="1"/>
        <v/>
      </c>
      <c r="I94" s="10" t="e">
        <f>IF(VLOOKUP($B94,Games!$A$1:$I$20,5,FALSE)="Texas",ROUND(((VLOOKUP(VLOOKUP($B94,Games!$A$1:$I$20,6,FALSE),Players!$B$1:$F$40,4,FALSE)+VLOOKUP(VLOOKUP($B94,Games!$A$1:$I$20,7,FALSE),Players!$B$1:$F$40,4,FALSE)))*(3/8),1),ROUND(VLOOKUP(VLOOKUP($B94,Games!$A$1:$I$20,6,FALSE),Players!$B$1:$F$40,5,FALSE),1))</f>
        <v>#N/A</v>
      </c>
      <c r="J94" s="10">
        <f>IF(VLOOKUP($B94,Games!$A$1:$I$20,5,FALSE)="Texas",ROUND((VLOOKUP(VLOOKUP($B94,Games!$A$1:$I$20,8,FALSE),Players!$B$1:$F$40,4,FALSE)+VLOOKUP(VLOOKUP($B94,Games!$A$1:$I$20,9,FALSE),Players!$B$1:$F$40,4,FALSE))*(3/8),1),ROUND(VLOOKUP(VLOOKUP($B94,Games!$A$1:$I$20,8,FALSE),Players!$B$1:$F$40,5,FALSE),1))</f>
        <v>0</v>
      </c>
      <c r="K94" s="10" t="str">
        <f>VLOOKUP(B94,Games!$A$1:$I$20,3,FALSE)</f>
        <v>Golf Resort Barbora</v>
      </c>
      <c r="L94" s="10">
        <f>VLOOKUP(CONCATENATE($K94,$C94),'Field holes'!$B$1:$I$900,6,FALSE)</f>
        <v>3</v>
      </c>
      <c r="M94" s="10">
        <f>VLOOKUP(CONCATENATE($K94,$C94),'Field holes'!$B$1:$I$900,7,FALSE)</f>
        <v>12</v>
      </c>
    </row>
    <row r="95" spans="1:13" ht="13" x14ac:dyDescent="0.15">
      <c r="A95" s="16">
        <v>94</v>
      </c>
      <c r="B95" s="16">
        <v>6</v>
      </c>
      <c r="C95" s="17">
        <v>4</v>
      </c>
      <c r="F95" s="10" t="e">
        <f t="shared" si="2"/>
        <v>#N/A</v>
      </c>
      <c r="G95" s="10">
        <f t="shared" si="0"/>
        <v>4</v>
      </c>
      <c r="H95" s="10" t="str">
        <f t="shared" si="1"/>
        <v/>
      </c>
      <c r="I95" s="10" t="e">
        <f>IF(VLOOKUP($B95,Games!$A$1:$I$20,5,FALSE)="Texas",ROUND(((VLOOKUP(VLOOKUP($B95,Games!$A$1:$I$20,6,FALSE),Players!$B$1:$F$40,4,FALSE)+VLOOKUP(VLOOKUP($B95,Games!$A$1:$I$20,7,FALSE),Players!$B$1:$F$40,4,FALSE)))*(3/8),1),ROUND(VLOOKUP(VLOOKUP($B95,Games!$A$1:$I$20,6,FALSE),Players!$B$1:$F$40,5,FALSE),1))</f>
        <v>#N/A</v>
      </c>
      <c r="J95" s="10">
        <f>IF(VLOOKUP($B95,Games!$A$1:$I$20,5,FALSE)="Texas",ROUND((VLOOKUP(VLOOKUP($B95,Games!$A$1:$I$20,8,FALSE),Players!$B$1:$F$40,4,FALSE)+VLOOKUP(VLOOKUP($B95,Games!$A$1:$I$20,9,FALSE),Players!$B$1:$F$40,4,FALSE))*(3/8),1),ROUND(VLOOKUP(VLOOKUP($B95,Games!$A$1:$I$20,8,FALSE),Players!$B$1:$F$40,5,FALSE),1))</f>
        <v>0</v>
      </c>
      <c r="K95" s="10" t="str">
        <f>VLOOKUP(B95,Games!$A$1:$I$20,3,FALSE)</f>
        <v>Golf Resort Barbora</v>
      </c>
      <c r="L95" s="10">
        <f>VLOOKUP(CONCATENATE($K95,$C95),'Field holes'!$B$1:$I$900,6,FALSE)</f>
        <v>4</v>
      </c>
      <c r="M95" s="10">
        <f>VLOOKUP(CONCATENATE($K95,$C95),'Field holes'!$B$1:$I$900,7,FALSE)</f>
        <v>2</v>
      </c>
    </row>
    <row r="96" spans="1:13" ht="13" x14ac:dyDescent="0.15">
      <c r="A96" s="16">
        <v>95</v>
      </c>
      <c r="B96" s="16">
        <v>6</v>
      </c>
      <c r="C96" s="17">
        <v>5</v>
      </c>
      <c r="F96" s="10" t="e">
        <f t="shared" si="2"/>
        <v>#N/A</v>
      </c>
      <c r="G96" s="10">
        <f t="shared" si="0"/>
        <v>4</v>
      </c>
      <c r="H96" s="10" t="str">
        <f t="shared" si="1"/>
        <v/>
      </c>
      <c r="I96" s="10" t="e">
        <f>IF(VLOOKUP($B96,Games!$A$1:$I$20,5,FALSE)="Texas",ROUND(((VLOOKUP(VLOOKUP($B96,Games!$A$1:$I$20,6,FALSE),Players!$B$1:$F$40,4,FALSE)+VLOOKUP(VLOOKUP($B96,Games!$A$1:$I$20,7,FALSE),Players!$B$1:$F$40,4,FALSE)))*(3/8),1),ROUND(VLOOKUP(VLOOKUP($B96,Games!$A$1:$I$20,6,FALSE),Players!$B$1:$F$40,5,FALSE),1))</f>
        <v>#N/A</v>
      </c>
      <c r="J96" s="10">
        <f>IF(VLOOKUP($B96,Games!$A$1:$I$20,5,FALSE)="Texas",ROUND((VLOOKUP(VLOOKUP($B96,Games!$A$1:$I$20,8,FALSE),Players!$B$1:$F$40,4,FALSE)+VLOOKUP(VLOOKUP($B96,Games!$A$1:$I$20,9,FALSE),Players!$B$1:$F$40,4,FALSE))*(3/8),1),ROUND(VLOOKUP(VLOOKUP($B96,Games!$A$1:$I$20,8,FALSE),Players!$B$1:$F$40,5,FALSE),1))</f>
        <v>0</v>
      </c>
      <c r="K96" s="10" t="str">
        <f>VLOOKUP(B96,Games!$A$1:$I$20,3,FALSE)</f>
        <v>Golf Resort Barbora</v>
      </c>
      <c r="L96" s="10">
        <f>VLOOKUP(CONCATENATE($K96,$C96),'Field holes'!$B$1:$I$900,6,FALSE)</f>
        <v>4</v>
      </c>
      <c r="M96" s="10">
        <f>VLOOKUP(CONCATENATE($K96,$C96),'Field holes'!$B$1:$I$900,7,FALSE)</f>
        <v>14</v>
      </c>
    </row>
    <row r="97" spans="1:13" ht="13" x14ac:dyDescent="0.15">
      <c r="A97" s="16">
        <v>96</v>
      </c>
      <c r="B97" s="16">
        <v>6</v>
      </c>
      <c r="C97" s="17">
        <v>6</v>
      </c>
      <c r="F97" s="10" t="e">
        <f t="shared" si="2"/>
        <v>#N/A</v>
      </c>
      <c r="G97" s="10">
        <f t="shared" si="0"/>
        <v>5</v>
      </c>
      <c r="H97" s="10" t="str">
        <f t="shared" si="1"/>
        <v/>
      </c>
      <c r="I97" s="10" t="e">
        <f>IF(VLOOKUP($B97,Games!$A$1:$I$20,5,FALSE)="Texas",ROUND(((VLOOKUP(VLOOKUP($B97,Games!$A$1:$I$20,6,FALSE),Players!$B$1:$F$40,4,FALSE)+VLOOKUP(VLOOKUP($B97,Games!$A$1:$I$20,7,FALSE),Players!$B$1:$F$40,4,FALSE)))*(3/8),1),ROUND(VLOOKUP(VLOOKUP($B97,Games!$A$1:$I$20,6,FALSE),Players!$B$1:$F$40,5,FALSE),1))</f>
        <v>#N/A</v>
      </c>
      <c r="J97" s="10">
        <f>IF(VLOOKUP($B97,Games!$A$1:$I$20,5,FALSE)="Texas",ROUND((VLOOKUP(VLOOKUP($B97,Games!$A$1:$I$20,8,FALSE),Players!$B$1:$F$40,4,FALSE)+VLOOKUP(VLOOKUP($B97,Games!$A$1:$I$20,9,FALSE),Players!$B$1:$F$40,4,FALSE))*(3/8),1),ROUND(VLOOKUP(VLOOKUP($B97,Games!$A$1:$I$20,8,FALSE),Players!$B$1:$F$40,5,FALSE),1))</f>
        <v>0</v>
      </c>
      <c r="K97" s="10" t="str">
        <f>VLOOKUP(B97,Games!$A$1:$I$20,3,FALSE)</f>
        <v>Golf Resort Barbora</v>
      </c>
      <c r="L97" s="10">
        <f>VLOOKUP(CONCATENATE($K97,$C97),'Field holes'!$B$1:$I$900,6,FALSE)</f>
        <v>5</v>
      </c>
      <c r="M97" s="10">
        <f>VLOOKUP(CONCATENATE($K97,$C97),'Field holes'!$B$1:$I$900,7,FALSE)</f>
        <v>8</v>
      </c>
    </row>
    <row r="98" spans="1:13" ht="13" x14ac:dyDescent="0.15">
      <c r="A98" s="16">
        <v>97</v>
      </c>
      <c r="B98" s="16">
        <v>6</v>
      </c>
      <c r="C98" s="17">
        <v>7</v>
      </c>
      <c r="F98" s="10" t="e">
        <f t="shared" si="2"/>
        <v>#N/A</v>
      </c>
      <c r="G98" s="10">
        <f t="shared" si="0"/>
        <v>4</v>
      </c>
      <c r="H98" s="10" t="str">
        <f t="shared" si="1"/>
        <v/>
      </c>
      <c r="I98" s="10" t="e">
        <f>IF(VLOOKUP($B98,Games!$A$1:$I$20,5,FALSE)="Texas",ROUND(((VLOOKUP(VLOOKUP($B98,Games!$A$1:$I$20,6,FALSE),Players!$B$1:$F$40,4,FALSE)+VLOOKUP(VLOOKUP($B98,Games!$A$1:$I$20,7,FALSE),Players!$B$1:$F$40,4,FALSE)))*(3/8),1),ROUND(VLOOKUP(VLOOKUP($B98,Games!$A$1:$I$20,6,FALSE),Players!$B$1:$F$40,5,FALSE),1))</f>
        <v>#N/A</v>
      </c>
      <c r="J98" s="10">
        <f>IF(VLOOKUP($B98,Games!$A$1:$I$20,5,FALSE)="Texas",ROUND((VLOOKUP(VLOOKUP($B98,Games!$A$1:$I$20,8,FALSE),Players!$B$1:$F$40,4,FALSE)+VLOOKUP(VLOOKUP($B98,Games!$A$1:$I$20,9,FALSE),Players!$B$1:$F$40,4,FALSE))*(3/8),1),ROUND(VLOOKUP(VLOOKUP($B98,Games!$A$1:$I$20,8,FALSE),Players!$B$1:$F$40,5,FALSE),1))</f>
        <v>0</v>
      </c>
      <c r="K98" s="10" t="str">
        <f>VLOOKUP(B98,Games!$A$1:$I$20,3,FALSE)</f>
        <v>Golf Resort Barbora</v>
      </c>
      <c r="L98" s="10">
        <f>VLOOKUP(CONCATENATE($K98,$C98),'Field holes'!$B$1:$I$900,6,FALSE)</f>
        <v>4</v>
      </c>
      <c r="M98" s="10">
        <f>VLOOKUP(CONCATENATE($K98,$C98),'Field holes'!$B$1:$I$900,7,FALSE)</f>
        <v>16</v>
      </c>
    </row>
    <row r="99" spans="1:13" ht="13" x14ac:dyDescent="0.15">
      <c r="A99" s="16">
        <v>98</v>
      </c>
      <c r="B99" s="16">
        <v>6</v>
      </c>
      <c r="C99" s="17">
        <v>8</v>
      </c>
      <c r="F99" s="10" t="e">
        <f t="shared" si="2"/>
        <v>#N/A</v>
      </c>
      <c r="G99" s="10">
        <f t="shared" si="0"/>
        <v>4</v>
      </c>
      <c r="H99" s="10" t="str">
        <f t="shared" si="1"/>
        <v/>
      </c>
      <c r="I99" s="10" t="e">
        <f>IF(VLOOKUP($B99,Games!$A$1:$I$20,5,FALSE)="Texas",ROUND(((VLOOKUP(VLOOKUP($B99,Games!$A$1:$I$20,6,FALSE),Players!$B$1:$F$40,4,FALSE)+VLOOKUP(VLOOKUP($B99,Games!$A$1:$I$20,7,FALSE),Players!$B$1:$F$40,4,FALSE)))*(3/8),1),ROUND(VLOOKUP(VLOOKUP($B99,Games!$A$1:$I$20,6,FALSE),Players!$B$1:$F$40,5,FALSE),1))</f>
        <v>#N/A</v>
      </c>
      <c r="J99" s="10">
        <f>IF(VLOOKUP($B99,Games!$A$1:$I$20,5,FALSE)="Texas",ROUND((VLOOKUP(VLOOKUP($B99,Games!$A$1:$I$20,8,FALSE),Players!$B$1:$F$40,4,FALSE)+VLOOKUP(VLOOKUP($B99,Games!$A$1:$I$20,9,FALSE),Players!$B$1:$F$40,4,FALSE))*(3/8),1),ROUND(VLOOKUP(VLOOKUP($B99,Games!$A$1:$I$20,8,FALSE),Players!$B$1:$F$40,5,FALSE),1))</f>
        <v>0</v>
      </c>
      <c r="K99" s="10" t="str">
        <f>VLOOKUP(B99,Games!$A$1:$I$20,3,FALSE)</f>
        <v>Golf Resort Barbora</v>
      </c>
      <c r="L99" s="10">
        <f>VLOOKUP(CONCATENATE($K99,$C99),'Field holes'!$B$1:$I$900,6,FALSE)</f>
        <v>4</v>
      </c>
      <c r="M99" s="10">
        <f>VLOOKUP(CONCATENATE($K99,$C99),'Field holes'!$B$1:$I$900,7,FALSE)</f>
        <v>6</v>
      </c>
    </row>
    <row r="100" spans="1:13" ht="13" x14ac:dyDescent="0.15">
      <c r="A100" s="16">
        <v>99</v>
      </c>
      <c r="B100" s="16">
        <v>6</v>
      </c>
      <c r="C100" s="17">
        <v>9</v>
      </c>
      <c r="F100" s="10" t="e">
        <f t="shared" si="2"/>
        <v>#N/A</v>
      </c>
      <c r="G100" s="10">
        <f t="shared" si="0"/>
        <v>3</v>
      </c>
      <c r="H100" s="10" t="str">
        <f t="shared" si="1"/>
        <v/>
      </c>
      <c r="I100" s="10" t="e">
        <f>IF(VLOOKUP($B100,Games!$A$1:$I$20,5,FALSE)="Texas",ROUND(((VLOOKUP(VLOOKUP($B100,Games!$A$1:$I$20,6,FALSE),Players!$B$1:$F$40,4,FALSE)+VLOOKUP(VLOOKUP($B100,Games!$A$1:$I$20,7,FALSE),Players!$B$1:$F$40,4,FALSE)))*(3/8),1),ROUND(VLOOKUP(VLOOKUP($B100,Games!$A$1:$I$20,6,FALSE),Players!$B$1:$F$40,5,FALSE),1))</f>
        <v>#N/A</v>
      </c>
      <c r="J100" s="10">
        <f>IF(VLOOKUP($B100,Games!$A$1:$I$20,5,FALSE)="Texas",ROUND((VLOOKUP(VLOOKUP($B100,Games!$A$1:$I$20,8,FALSE),Players!$B$1:$F$40,4,FALSE)+VLOOKUP(VLOOKUP($B100,Games!$A$1:$I$20,9,FALSE),Players!$B$1:$F$40,4,FALSE))*(3/8),1),ROUND(VLOOKUP(VLOOKUP($B100,Games!$A$1:$I$20,8,FALSE),Players!$B$1:$F$40,5,FALSE),1))</f>
        <v>0</v>
      </c>
      <c r="K100" s="10" t="str">
        <f>VLOOKUP(B100,Games!$A$1:$I$20,3,FALSE)</f>
        <v>Golf Resort Barbora</v>
      </c>
      <c r="L100" s="10">
        <f>VLOOKUP(CONCATENATE($K100,$C100),'Field holes'!$B$1:$I$900,6,FALSE)</f>
        <v>3</v>
      </c>
      <c r="M100" s="10">
        <f>VLOOKUP(CONCATENATE($K100,$C100),'Field holes'!$B$1:$I$900,7,FALSE)</f>
        <v>18</v>
      </c>
    </row>
    <row r="101" spans="1:13" ht="13" x14ac:dyDescent="0.15">
      <c r="A101" s="16">
        <v>100</v>
      </c>
      <c r="B101" s="16">
        <v>6</v>
      </c>
      <c r="C101" s="17">
        <v>10</v>
      </c>
      <c r="F101" s="10" t="e">
        <f t="shared" si="2"/>
        <v>#N/A</v>
      </c>
      <c r="G101" s="10">
        <f t="shared" si="0"/>
        <v>5</v>
      </c>
      <c r="H101" s="10" t="str">
        <f t="shared" si="1"/>
        <v/>
      </c>
      <c r="I101" s="10" t="e">
        <f>IF(VLOOKUP($B101,Games!$A$1:$I$20,5,FALSE)="Texas",ROUND(((VLOOKUP(VLOOKUP($B101,Games!$A$1:$I$20,6,FALSE),Players!$B$1:$F$40,4,FALSE)+VLOOKUP(VLOOKUP($B101,Games!$A$1:$I$20,7,FALSE),Players!$B$1:$F$40,4,FALSE)))*(3/8),1),ROUND(VLOOKUP(VLOOKUP($B101,Games!$A$1:$I$20,6,FALSE),Players!$B$1:$F$40,5,FALSE),1))</f>
        <v>#N/A</v>
      </c>
      <c r="J101" s="10">
        <f>IF(VLOOKUP($B101,Games!$A$1:$I$20,5,FALSE)="Texas",ROUND((VLOOKUP(VLOOKUP($B101,Games!$A$1:$I$20,8,FALSE),Players!$B$1:$F$40,4,FALSE)+VLOOKUP(VLOOKUP($B101,Games!$A$1:$I$20,9,FALSE),Players!$B$1:$F$40,4,FALSE))*(3/8),1),ROUND(VLOOKUP(VLOOKUP($B101,Games!$A$1:$I$20,8,FALSE),Players!$B$1:$F$40,5,FALSE),1))</f>
        <v>0</v>
      </c>
      <c r="K101" s="10" t="str">
        <f>VLOOKUP(B101,Games!$A$1:$I$20,3,FALSE)</f>
        <v>Golf Resort Barbora</v>
      </c>
      <c r="L101" s="10">
        <f>VLOOKUP(CONCATENATE($K101,$C101),'Field holes'!$B$1:$I$900,6,FALSE)</f>
        <v>5</v>
      </c>
      <c r="M101" s="10">
        <f>VLOOKUP(CONCATENATE($K101,$C101),'Field holes'!$B$1:$I$900,7,FALSE)</f>
        <v>11</v>
      </c>
    </row>
    <row r="102" spans="1:13" ht="13" x14ac:dyDescent="0.15">
      <c r="A102" s="16">
        <v>101</v>
      </c>
      <c r="B102" s="16">
        <v>6</v>
      </c>
      <c r="C102" s="17">
        <v>11</v>
      </c>
      <c r="F102" s="10" t="e">
        <f t="shared" si="2"/>
        <v>#N/A</v>
      </c>
      <c r="G102" s="10">
        <f t="shared" si="0"/>
        <v>3</v>
      </c>
      <c r="H102" s="10" t="str">
        <f t="shared" si="1"/>
        <v/>
      </c>
      <c r="I102" s="10" t="e">
        <f>IF(VLOOKUP($B102,Games!$A$1:$I$20,5,FALSE)="Texas",ROUND(((VLOOKUP(VLOOKUP($B102,Games!$A$1:$I$20,6,FALSE),Players!$B$1:$F$40,4,FALSE)+VLOOKUP(VLOOKUP($B102,Games!$A$1:$I$20,7,FALSE),Players!$B$1:$F$40,4,FALSE)))*(3/8),1),ROUND(VLOOKUP(VLOOKUP($B102,Games!$A$1:$I$20,6,FALSE),Players!$B$1:$F$40,5,FALSE),1))</f>
        <v>#N/A</v>
      </c>
      <c r="J102" s="10">
        <f>IF(VLOOKUP($B102,Games!$A$1:$I$20,5,FALSE)="Texas",ROUND((VLOOKUP(VLOOKUP($B102,Games!$A$1:$I$20,8,FALSE),Players!$B$1:$F$40,4,FALSE)+VLOOKUP(VLOOKUP($B102,Games!$A$1:$I$20,9,FALSE),Players!$B$1:$F$40,4,FALSE))*(3/8),1),ROUND(VLOOKUP(VLOOKUP($B102,Games!$A$1:$I$20,8,FALSE),Players!$B$1:$F$40,5,FALSE),1))</f>
        <v>0</v>
      </c>
      <c r="K102" s="10" t="str">
        <f>VLOOKUP(B102,Games!$A$1:$I$20,3,FALSE)</f>
        <v>Golf Resort Barbora</v>
      </c>
      <c r="L102" s="10">
        <f>VLOOKUP(CONCATENATE($K102,$C102),'Field holes'!$B$1:$I$900,6,FALSE)</f>
        <v>3</v>
      </c>
      <c r="M102" s="10">
        <f>VLOOKUP(CONCATENATE($K102,$C102),'Field holes'!$B$1:$I$900,7,FALSE)</f>
        <v>7</v>
      </c>
    </row>
    <row r="103" spans="1:13" ht="13" x14ac:dyDescent="0.15">
      <c r="A103" s="16">
        <v>102</v>
      </c>
      <c r="B103" s="16">
        <v>6</v>
      </c>
      <c r="C103" s="17">
        <v>12</v>
      </c>
      <c r="F103" s="10" t="e">
        <f t="shared" si="2"/>
        <v>#N/A</v>
      </c>
      <c r="G103" s="10">
        <f t="shared" si="0"/>
        <v>4</v>
      </c>
      <c r="H103" s="10" t="str">
        <f t="shared" si="1"/>
        <v/>
      </c>
      <c r="I103" s="10" t="e">
        <f>IF(VLOOKUP($B103,Games!$A$1:$I$20,5,FALSE)="Texas",ROUND(((VLOOKUP(VLOOKUP($B103,Games!$A$1:$I$20,6,FALSE),Players!$B$1:$F$40,4,FALSE)+VLOOKUP(VLOOKUP($B103,Games!$A$1:$I$20,7,FALSE),Players!$B$1:$F$40,4,FALSE)))*(3/8),1),ROUND(VLOOKUP(VLOOKUP($B103,Games!$A$1:$I$20,6,FALSE),Players!$B$1:$F$40,5,FALSE),1))</f>
        <v>#N/A</v>
      </c>
      <c r="J103" s="10">
        <f>IF(VLOOKUP($B103,Games!$A$1:$I$20,5,FALSE)="Texas",ROUND((VLOOKUP(VLOOKUP($B103,Games!$A$1:$I$20,8,FALSE),Players!$B$1:$F$40,4,FALSE)+VLOOKUP(VLOOKUP($B103,Games!$A$1:$I$20,9,FALSE),Players!$B$1:$F$40,4,FALSE))*(3/8),1),ROUND(VLOOKUP(VLOOKUP($B103,Games!$A$1:$I$20,8,FALSE),Players!$B$1:$F$40,5,FALSE),1))</f>
        <v>0</v>
      </c>
      <c r="K103" s="10" t="str">
        <f>VLOOKUP(B103,Games!$A$1:$I$20,3,FALSE)</f>
        <v>Golf Resort Barbora</v>
      </c>
      <c r="L103" s="10">
        <f>VLOOKUP(CONCATENATE($K103,$C103),'Field holes'!$B$1:$I$900,6,FALSE)</f>
        <v>4</v>
      </c>
      <c r="M103" s="10">
        <f>VLOOKUP(CONCATENATE($K103,$C103),'Field holes'!$B$1:$I$900,7,FALSE)</f>
        <v>17</v>
      </c>
    </row>
    <row r="104" spans="1:13" ht="13" x14ac:dyDescent="0.15">
      <c r="A104" s="16">
        <v>103</v>
      </c>
      <c r="B104" s="16">
        <v>6</v>
      </c>
      <c r="C104" s="17">
        <v>13</v>
      </c>
      <c r="F104" s="10" t="e">
        <f t="shared" si="2"/>
        <v>#N/A</v>
      </c>
      <c r="G104" s="10">
        <f t="shared" si="0"/>
        <v>4</v>
      </c>
      <c r="H104" s="10" t="str">
        <f t="shared" si="1"/>
        <v/>
      </c>
      <c r="I104" s="10" t="e">
        <f>IF(VLOOKUP($B104,Games!$A$1:$I$20,5,FALSE)="Texas",ROUND(((VLOOKUP(VLOOKUP($B104,Games!$A$1:$I$20,6,FALSE),Players!$B$1:$F$40,4,FALSE)+VLOOKUP(VLOOKUP($B104,Games!$A$1:$I$20,7,FALSE),Players!$B$1:$F$40,4,FALSE)))*(3/8),1),ROUND(VLOOKUP(VLOOKUP($B104,Games!$A$1:$I$20,6,FALSE),Players!$B$1:$F$40,5,FALSE),1))</f>
        <v>#N/A</v>
      </c>
      <c r="J104" s="10">
        <f>IF(VLOOKUP($B104,Games!$A$1:$I$20,5,FALSE)="Texas",ROUND((VLOOKUP(VLOOKUP($B104,Games!$A$1:$I$20,8,FALSE),Players!$B$1:$F$40,4,FALSE)+VLOOKUP(VLOOKUP($B104,Games!$A$1:$I$20,9,FALSE),Players!$B$1:$F$40,4,FALSE))*(3/8),1),ROUND(VLOOKUP(VLOOKUP($B104,Games!$A$1:$I$20,8,FALSE),Players!$B$1:$F$40,5,FALSE),1))</f>
        <v>0</v>
      </c>
      <c r="K104" s="10" t="str">
        <f>VLOOKUP(B104,Games!$A$1:$I$20,3,FALSE)</f>
        <v>Golf Resort Barbora</v>
      </c>
      <c r="L104" s="10">
        <f>VLOOKUP(CONCATENATE($K104,$C104),'Field holes'!$B$1:$I$900,6,FALSE)</f>
        <v>4</v>
      </c>
      <c r="M104" s="10">
        <f>VLOOKUP(CONCATENATE($K104,$C104),'Field holes'!$B$1:$I$900,7,FALSE)</f>
        <v>9</v>
      </c>
    </row>
    <row r="105" spans="1:13" ht="13" x14ac:dyDescent="0.15">
      <c r="A105" s="16">
        <v>104</v>
      </c>
      <c r="B105" s="16">
        <v>6</v>
      </c>
      <c r="C105" s="17">
        <v>14</v>
      </c>
      <c r="F105" s="10" t="e">
        <f t="shared" si="2"/>
        <v>#N/A</v>
      </c>
      <c r="G105" s="10">
        <f t="shared" si="0"/>
        <v>3</v>
      </c>
      <c r="H105" s="10" t="str">
        <f t="shared" si="1"/>
        <v/>
      </c>
      <c r="I105" s="10" t="e">
        <f>IF(VLOOKUP($B105,Games!$A$1:$I$20,5,FALSE)="Texas",ROUND(((VLOOKUP(VLOOKUP($B105,Games!$A$1:$I$20,6,FALSE),Players!$B$1:$F$40,4,FALSE)+VLOOKUP(VLOOKUP($B105,Games!$A$1:$I$20,7,FALSE),Players!$B$1:$F$40,4,FALSE)))*(3/8),1),ROUND(VLOOKUP(VLOOKUP($B105,Games!$A$1:$I$20,6,FALSE),Players!$B$1:$F$40,5,FALSE),1))</f>
        <v>#N/A</v>
      </c>
      <c r="J105" s="10">
        <f>IF(VLOOKUP($B105,Games!$A$1:$I$20,5,FALSE)="Texas",ROUND((VLOOKUP(VLOOKUP($B105,Games!$A$1:$I$20,8,FALSE),Players!$B$1:$F$40,4,FALSE)+VLOOKUP(VLOOKUP($B105,Games!$A$1:$I$20,9,FALSE),Players!$B$1:$F$40,4,FALSE))*(3/8),1),ROUND(VLOOKUP(VLOOKUP($B105,Games!$A$1:$I$20,8,FALSE),Players!$B$1:$F$40,5,FALSE),1))</f>
        <v>0</v>
      </c>
      <c r="K105" s="10" t="str">
        <f>VLOOKUP(B105,Games!$A$1:$I$20,3,FALSE)</f>
        <v>Golf Resort Barbora</v>
      </c>
      <c r="L105" s="10">
        <f>VLOOKUP(CONCATENATE($K105,$C105),'Field holes'!$B$1:$I$900,6,FALSE)</f>
        <v>3</v>
      </c>
      <c r="M105" s="10">
        <f>VLOOKUP(CONCATENATE($K105,$C105),'Field holes'!$B$1:$I$900,7,FALSE)</f>
        <v>5</v>
      </c>
    </row>
    <row r="106" spans="1:13" ht="13" x14ac:dyDescent="0.15">
      <c r="A106" s="16">
        <v>105</v>
      </c>
      <c r="B106" s="16">
        <v>6</v>
      </c>
      <c r="C106" s="17">
        <v>15</v>
      </c>
      <c r="F106" s="10" t="e">
        <f t="shared" si="2"/>
        <v>#N/A</v>
      </c>
      <c r="G106" s="10">
        <f t="shared" si="0"/>
        <v>5</v>
      </c>
      <c r="H106" s="10" t="str">
        <f t="shared" si="1"/>
        <v/>
      </c>
      <c r="I106" s="10" t="e">
        <f>IF(VLOOKUP($B106,Games!$A$1:$I$20,5,FALSE)="Texas",ROUND(((VLOOKUP(VLOOKUP($B106,Games!$A$1:$I$20,6,FALSE),Players!$B$1:$F$40,4,FALSE)+VLOOKUP(VLOOKUP($B106,Games!$A$1:$I$20,7,FALSE),Players!$B$1:$F$40,4,FALSE)))*(3/8),1),ROUND(VLOOKUP(VLOOKUP($B106,Games!$A$1:$I$20,6,FALSE),Players!$B$1:$F$40,5,FALSE),1))</f>
        <v>#N/A</v>
      </c>
      <c r="J106" s="10">
        <f>IF(VLOOKUP($B106,Games!$A$1:$I$20,5,FALSE)="Texas",ROUND((VLOOKUP(VLOOKUP($B106,Games!$A$1:$I$20,8,FALSE),Players!$B$1:$F$40,4,FALSE)+VLOOKUP(VLOOKUP($B106,Games!$A$1:$I$20,9,FALSE),Players!$B$1:$F$40,4,FALSE))*(3/8),1),ROUND(VLOOKUP(VLOOKUP($B106,Games!$A$1:$I$20,8,FALSE),Players!$B$1:$F$40,5,FALSE),1))</f>
        <v>0</v>
      </c>
      <c r="K106" s="10" t="str">
        <f>VLOOKUP(B106,Games!$A$1:$I$20,3,FALSE)</f>
        <v>Golf Resort Barbora</v>
      </c>
      <c r="L106" s="10">
        <f>VLOOKUP(CONCATENATE($K106,$C106),'Field holes'!$B$1:$I$900,6,FALSE)</f>
        <v>5</v>
      </c>
      <c r="M106" s="10">
        <f>VLOOKUP(CONCATENATE($K106,$C106),'Field holes'!$B$1:$I$900,7,FALSE)</f>
        <v>1</v>
      </c>
    </row>
    <row r="107" spans="1:13" ht="13" x14ac:dyDescent="0.15">
      <c r="A107" s="16">
        <v>106</v>
      </c>
      <c r="B107" s="16">
        <v>6</v>
      </c>
      <c r="C107" s="17">
        <v>16</v>
      </c>
      <c r="F107" s="10" t="e">
        <f t="shared" si="2"/>
        <v>#N/A</v>
      </c>
      <c r="G107" s="10">
        <f t="shared" si="0"/>
        <v>3</v>
      </c>
      <c r="H107" s="10" t="str">
        <f t="shared" si="1"/>
        <v/>
      </c>
      <c r="I107" s="10" t="e">
        <f>IF(VLOOKUP($B107,Games!$A$1:$I$20,5,FALSE)="Texas",ROUND(((VLOOKUP(VLOOKUP($B107,Games!$A$1:$I$20,6,FALSE),Players!$B$1:$F$40,4,FALSE)+VLOOKUP(VLOOKUP($B107,Games!$A$1:$I$20,7,FALSE),Players!$B$1:$F$40,4,FALSE)))*(3/8),1),ROUND(VLOOKUP(VLOOKUP($B107,Games!$A$1:$I$20,6,FALSE),Players!$B$1:$F$40,5,FALSE),1))</f>
        <v>#N/A</v>
      </c>
      <c r="J107" s="10">
        <f>IF(VLOOKUP($B107,Games!$A$1:$I$20,5,FALSE)="Texas",ROUND((VLOOKUP(VLOOKUP($B107,Games!$A$1:$I$20,8,FALSE),Players!$B$1:$F$40,4,FALSE)+VLOOKUP(VLOOKUP($B107,Games!$A$1:$I$20,9,FALSE),Players!$B$1:$F$40,4,FALSE))*(3/8),1),ROUND(VLOOKUP(VLOOKUP($B107,Games!$A$1:$I$20,8,FALSE),Players!$B$1:$F$40,5,FALSE),1))</f>
        <v>0</v>
      </c>
      <c r="K107" s="10" t="str">
        <f>VLOOKUP(B107,Games!$A$1:$I$20,3,FALSE)</f>
        <v>Golf Resort Barbora</v>
      </c>
      <c r="L107" s="10">
        <f>VLOOKUP(CONCATENATE($K107,$C107),'Field holes'!$B$1:$I$900,6,FALSE)</f>
        <v>3</v>
      </c>
      <c r="M107" s="10">
        <f>VLOOKUP(CONCATENATE($K107,$C107),'Field holes'!$B$1:$I$900,7,FALSE)</f>
        <v>13</v>
      </c>
    </row>
    <row r="108" spans="1:13" ht="13" x14ac:dyDescent="0.15">
      <c r="A108" s="16">
        <v>107</v>
      </c>
      <c r="B108" s="16">
        <v>6</v>
      </c>
      <c r="C108" s="17">
        <v>17</v>
      </c>
      <c r="F108" s="10" t="e">
        <f t="shared" si="2"/>
        <v>#N/A</v>
      </c>
      <c r="G108" s="10">
        <f t="shared" si="0"/>
        <v>5</v>
      </c>
      <c r="H108" s="10" t="str">
        <f t="shared" si="1"/>
        <v/>
      </c>
      <c r="I108" s="10" t="e">
        <f>IF(VLOOKUP($B108,Games!$A$1:$I$20,5,FALSE)="Texas",ROUND(((VLOOKUP(VLOOKUP($B108,Games!$A$1:$I$20,6,FALSE),Players!$B$1:$F$40,4,FALSE)+VLOOKUP(VLOOKUP($B108,Games!$A$1:$I$20,7,FALSE),Players!$B$1:$F$40,4,FALSE)))*(3/8),1),ROUND(VLOOKUP(VLOOKUP($B108,Games!$A$1:$I$20,6,FALSE),Players!$B$1:$F$40,5,FALSE),1))</f>
        <v>#N/A</v>
      </c>
      <c r="J108" s="10">
        <f>IF(VLOOKUP($B108,Games!$A$1:$I$20,5,FALSE)="Texas",ROUND((VLOOKUP(VLOOKUP($B108,Games!$A$1:$I$20,8,FALSE),Players!$B$1:$F$40,4,FALSE)+VLOOKUP(VLOOKUP($B108,Games!$A$1:$I$20,9,FALSE),Players!$B$1:$F$40,4,FALSE))*(3/8),1),ROUND(VLOOKUP(VLOOKUP($B108,Games!$A$1:$I$20,8,FALSE),Players!$B$1:$F$40,5,FALSE),1))</f>
        <v>0</v>
      </c>
      <c r="K108" s="10" t="str">
        <f>VLOOKUP(B108,Games!$A$1:$I$20,3,FALSE)</f>
        <v>Golf Resort Barbora</v>
      </c>
      <c r="L108" s="10">
        <f>VLOOKUP(CONCATENATE($K108,$C108),'Field holes'!$B$1:$I$900,6,FALSE)</f>
        <v>5</v>
      </c>
      <c r="M108" s="10">
        <f>VLOOKUP(CONCATENATE($K108,$C108),'Field holes'!$B$1:$I$900,7,FALSE)</f>
        <v>15</v>
      </c>
    </row>
    <row r="109" spans="1:13" ht="13" x14ac:dyDescent="0.15">
      <c r="A109" s="16">
        <v>108</v>
      </c>
      <c r="B109" s="16">
        <v>6</v>
      </c>
      <c r="C109" s="17">
        <v>18</v>
      </c>
      <c r="F109" s="10" t="e">
        <f t="shared" si="2"/>
        <v>#N/A</v>
      </c>
      <c r="G109" s="10">
        <f t="shared" si="0"/>
        <v>4</v>
      </c>
      <c r="H109" s="10" t="str">
        <f t="shared" si="1"/>
        <v/>
      </c>
      <c r="I109" s="10" t="e">
        <f>IF(VLOOKUP($B109,Games!$A$1:$I$20,5,FALSE)="Texas",ROUND(((VLOOKUP(VLOOKUP($B109,Games!$A$1:$I$20,6,FALSE),Players!$B$1:$F$40,4,FALSE)+VLOOKUP(VLOOKUP($B109,Games!$A$1:$I$20,7,FALSE),Players!$B$1:$F$40,4,FALSE)))*(3/8),1),ROUND(VLOOKUP(VLOOKUP($B109,Games!$A$1:$I$20,6,FALSE),Players!$B$1:$F$40,5,FALSE),1))</f>
        <v>#N/A</v>
      </c>
      <c r="J109" s="10">
        <f>IF(VLOOKUP($B109,Games!$A$1:$I$20,5,FALSE)="Texas",ROUND((VLOOKUP(VLOOKUP($B109,Games!$A$1:$I$20,8,FALSE),Players!$B$1:$F$40,4,FALSE)+VLOOKUP(VLOOKUP($B109,Games!$A$1:$I$20,9,FALSE),Players!$B$1:$F$40,4,FALSE))*(3/8),1),ROUND(VLOOKUP(VLOOKUP($B109,Games!$A$1:$I$20,8,FALSE),Players!$B$1:$F$40,5,FALSE),1))</f>
        <v>0</v>
      </c>
      <c r="K109" s="10" t="str">
        <f>VLOOKUP(B109,Games!$A$1:$I$20,3,FALSE)</f>
        <v>Golf Resort Barbora</v>
      </c>
      <c r="L109" s="10">
        <f>VLOOKUP(CONCATENATE($K109,$C109),'Field holes'!$B$1:$I$900,6,FALSE)</f>
        <v>4</v>
      </c>
      <c r="M109" s="10">
        <f>VLOOKUP(CONCATENATE($K109,$C109),'Field holes'!$B$1:$I$900,7,FALSE)</f>
        <v>3</v>
      </c>
    </row>
    <row r="110" spans="1:13" ht="13" x14ac:dyDescent="0.15">
      <c r="A110" s="16">
        <v>109</v>
      </c>
      <c r="B110" s="16">
        <v>7</v>
      </c>
      <c r="C110" s="17">
        <v>1</v>
      </c>
      <c r="F110" s="10" t="e">
        <f t="shared" si="2"/>
        <v>#N/A</v>
      </c>
      <c r="G110" s="10">
        <f t="shared" si="0"/>
        <v>6</v>
      </c>
      <c r="H110" s="10" t="str">
        <f t="shared" si="1"/>
        <v/>
      </c>
      <c r="I110" s="10" t="e">
        <f>IF(VLOOKUP($B110,Games!$A$1:$I$20,5,FALSE)="Texas",ROUND(((VLOOKUP(VLOOKUP($B110,Games!$A$1:$I$20,6,FALSE),Players!$B$1:$F$40,4,FALSE)+VLOOKUP(VLOOKUP($B110,Games!$A$1:$I$20,7,FALSE),Players!$B$1:$F$40,4,FALSE)))*(3/8),1),ROUND(VLOOKUP(VLOOKUP($B110,Games!$A$1:$I$20,6,FALSE),Players!$B$1:$F$40,5,FALSE),1))</f>
        <v>#N/A</v>
      </c>
      <c r="J110" s="10">
        <f>IF(VLOOKUP($B110,Games!$A$1:$I$20,5,FALSE)="Texas",ROUND((VLOOKUP(VLOOKUP($B110,Games!$A$1:$I$20,8,FALSE),Players!$B$1:$F$40,4,FALSE)+VLOOKUP(VLOOKUP($B110,Games!$A$1:$I$20,9,FALSE),Players!$B$1:$F$40,4,FALSE))*(3/8),1),ROUND(VLOOKUP(VLOOKUP($B110,Games!$A$1:$I$20,8,FALSE),Players!$B$1:$F$40,5,FALSE),1))</f>
        <v>38</v>
      </c>
      <c r="K110" s="10" t="str">
        <f>VLOOKUP(B110,Games!$A$1:$I$20,3,FALSE)</f>
        <v>Golf Resort Barbora</v>
      </c>
      <c r="L110" s="10">
        <f>VLOOKUP(CONCATENATE($K110,$C110),'Field holes'!$B$1:$I$900,6,FALSE)</f>
        <v>4</v>
      </c>
      <c r="M110" s="10">
        <f>VLOOKUP(CONCATENATE($K110,$C110),'Field holes'!$B$1:$I$900,7,FALSE)</f>
        <v>10</v>
      </c>
    </row>
    <row r="111" spans="1:13" ht="13" x14ac:dyDescent="0.15">
      <c r="A111" s="16">
        <v>110</v>
      </c>
      <c r="B111" s="16">
        <v>7</v>
      </c>
      <c r="C111" s="17">
        <v>2</v>
      </c>
      <c r="F111" s="10" t="e">
        <f t="shared" si="2"/>
        <v>#N/A</v>
      </c>
      <c r="G111" s="10">
        <f t="shared" si="0"/>
        <v>7</v>
      </c>
      <c r="H111" s="10" t="str">
        <f t="shared" si="1"/>
        <v/>
      </c>
      <c r="I111" s="10" t="e">
        <f>IF(VLOOKUP($B111,Games!$A$1:$I$20,5,FALSE)="Texas",ROUND(((VLOOKUP(VLOOKUP($B111,Games!$A$1:$I$20,6,FALSE),Players!$B$1:$F$40,4,FALSE)+VLOOKUP(VLOOKUP($B111,Games!$A$1:$I$20,7,FALSE),Players!$B$1:$F$40,4,FALSE)))*(3/8),1),ROUND(VLOOKUP(VLOOKUP($B111,Games!$A$1:$I$20,6,FALSE),Players!$B$1:$F$40,5,FALSE),1))</f>
        <v>#N/A</v>
      </c>
      <c r="J111" s="10">
        <f>IF(VLOOKUP($B111,Games!$A$1:$I$20,5,FALSE)="Texas",ROUND((VLOOKUP(VLOOKUP($B111,Games!$A$1:$I$20,8,FALSE),Players!$B$1:$F$40,4,FALSE)+VLOOKUP(VLOOKUP($B111,Games!$A$1:$I$20,9,FALSE),Players!$B$1:$F$40,4,FALSE))*(3/8),1),ROUND(VLOOKUP(VLOOKUP($B111,Games!$A$1:$I$20,8,FALSE),Players!$B$1:$F$40,5,FALSE),1))</f>
        <v>38</v>
      </c>
      <c r="K111" s="10" t="str">
        <f>VLOOKUP(B111,Games!$A$1:$I$20,3,FALSE)</f>
        <v>Golf Resort Barbora</v>
      </c>
      <c r="L111" s="10">
        <f>VLOOKUP(CONCATENATE($K111,$C111),'Field holes'!$B$1:$I$900,6,FALSE)</f>
        <v>5</v>
      </c>
      <c r="M111" s="10">
        <f>VLOOKUP(CONCATENATE($K111,$C111),'Field holes'!$B$1:$I$900,7,FALSE)</f>
        <v>4</v>
      </c>
    </row>
    <row r="112" spans="1:13" ht="13" x14ac:dyDescent="0.15">
      <c r="A112" s="16">
        <v>111</v>
      </c>
      <c r="B112" s="16">
        <v>7</v>
      </c>
      <c r="C112" s="17">
        <v>3</v>
      </c>
      <c r="F112" s="10" t="e">
        <f t="shared" si="2"/>
        <v>#N/A</v>
      </c>
      <c r="G112" s="10">
        <f t="shared" si="0"/>
        <v>5</v>
      </c>
      <c r="H112" s="10" t="str">
        <f t="shared" si="1"/>
        <v/>
      </c>
      <c r="I112" s="10" t="e">
        <f>IF(VLOOKUP($B112,Games!$A$1:$I$20,5,FALSE)="Texas",ROUND(((VLOOKUP(VLOOKUP($B112,Games!$A$1:$I$20,6,FALSE),Players!$B$1:$F$40,4,FALSE)+VLOOKUP(VLOOKUP($B112,Games!$A$1:$I$20,7,FALSE),Players!$B$1:$F$40,4,FALSE)))*(3/8),1),ROUND(VLOOKUP(VLOOKUP($B112,Games!$A$1:$I$20,6,FALSE),Players!$B$1:$F$40,5,FALSE),1))</f>
        <v>#N/A</v>
      </c>
      <c r="J112" s="10">
        <f>IF(VLOOKUP($B112,Games!$A$1:$I$20,5,FALSE)="Texas",ROUND((VLOOKUP(VLOOKUP($B112,Games!$A$1:$I$20,8,FALSE),Players!$B$1:$F$40,4,FALSE)+VLOOKUP(VLOOKUP($B112,Games!$A$1:$I$20,9,FALSE),Players!$B$1:$F$40,4,FALSE))*(3/8),1),ROUND(VLOOKUP(VLOOKUP($B112,Games!$A$1:$I$20,8,FALSE),Players!$B$1:$F$40,5,FALSE),1))</f>
        <v>38</v>
      </c>
      <c r="K112" s="10" t="str">
        <f>VLOOKUP(B112,Games!$A$1:$I$20,3,FALSE)</f>
        <v>Golf Resort Barbora</v>
      </c>
      <c r="L112" s="10">
        <f>VLOOKUP(CONCATENATE($K112,$C112),'Field holes'!$B$1:$I$900,6,FALSE)</f>
        <v>3</v>
      </c>
      <c r="M112" s="10">
        <f>VLOOKUP(CONCATENATE($K112,$C112),'Field holes'!$B$1:$I$900,7,FALSE)</f>
        <v>12</v>
      </c>
    </row>
    <row r="113" spans="1:13" ht="13" x14ac:dyDescent="0.15">
      <c r="A113" s="16">
        <v>112</v>
      </c>
      <c r="B113" s="16">
        <v>7</v>
      </c>
      <c r="C113" s="17">
        <v>4</v>
      </c>
      <c r="F113" s="10" t="e">
        <f t="shared" si="2"/>
        <v>#N/A</v>
      </c>
      <c r="G113" s="10">
        <f t="shared" si="0"/>
        <v>7</v>
      </c>
      <c r="H113" s="10" t="str">
        <f t="shared" si="1"/>
        <v/>
      </c>
      <c r="I113" s="10" t="e">
        <f>IF(VLOOKUP($B113,Games!$A$1:$I$20,5,FALSE)="Texas",ROUND(((VLOOKUP(VLOOKUP($B113,Games!$A$1:$I$20,6,FALSE),Players!$B$1:$F$40,4,FALSE)+VLOOKUP(VLOOKUP($B113,Games!$A$1:$I$20,7,FALSE),Players!$B$1:$F$40,4,FALSE)))*(3/8),1),ROUND(VLOOKUP(VLOOKUP($B113,Games!$A$1:$I$20,6,FALSE),Players!$B$1:$F$40,5,FALSE),1))</f>
        <v>#N/A</v>
      </c>
      <c r="J113" s="10">
        <f>IF(VLOOKUP($B113,Games!$A$1:$I$20,5,FALSE)="Texas",ROUND((VLOOKUP(VLOOKUP($B113,Games!$A$1:$I$20,8,FALSE),Players!$B$1:$F$40,4,FALSE)+VLOOKUP(VLOOKUP($B113,Games!$A$1:$I$20,9,FALSE),Players!$B$1:$F$40,4,FALSE))*(3/8),1),ROUND(VLOOKUP(VLOOKUP($B113,Games!$A$1:$I$20,8,FALSE),Players!$B$1:$F$40,5,FALSE),1))</f>
        <v>38</v>
      </c>
      <c r="K113" s="10" t="str">
        <f>VLOOKUP(B113,Games!$A$1:$I$20,3,FALSE)</f>
        <v>Golf Resort Barbora</v>
      </c>
      <c r="L113" s="10">
        <f>VLOOKUP(CONCATENATE($K113,$C113),'Field holes'!$B$1:$I$900,6,FALSE)</f>
        <v>4</v>
      </c>
      <c r="M113" s="10">
        <f>VLOOKUP(CONCATENATE($K113,$C113),'Field holes'!$B$1:$I$900,7,FALSE)</f>
        <v>2</v>
      </c>
    </row>
    <row r="114" spans="1:13" ht="13" x14ac:dyDescent="0.15">
      <c r="A114" s="16">
        <v>113</v>
      </c>
      <c r="B114" s="16">
        <v>7</v>
      </c>
      <c r="C114" s="17">
        <v>5</v>
      </c>
      <c r="F114" s="10" t="e">
        <f t="shared" si="2"/>
        <v>#N/A</v>
      </c>
      <c r="G114" s="10">
        <f t="shared" si="0"/>
        <v>6</v>
      </c>
      <c r="H114" s="10" t="str">
        <f t="shared" si="1"/>
        <v/>
      </c>
      <c r="I114" s="10" t="e">
        <f>IF(VLOOKUP($B114,Games!$A$1:$I$20,5,FALSE)="Texas",ROUND(((VLOOKUP(VLOOKUP($B114,Games!$A$1:$I$20,6,FALSE),Players!$B$1:$F$40,4,FALSE)+VLOOKUP(VLOOKUP($B114,Games!$A$1:$I$20,7,FALSE),Players!$B$1:$F$40,4,FALSE)))*(3/8),1),ROUND(VLOOKUP(VLOOKUP($B114,Games!$A$1:$I$20,6,FALSE),Players!$B$1:$F$40,5,FALSE),1))</f>
        <v>#N/A</v>
      </c>
      <c r="J114" s="10">
        <f>IF(VLOOKUP($B114,Games!$A$1:$I$20,5,FALSE)="Texas",ROUND((VLOOKUP(VLOOKUP($B114,Games!$A$1:$I$20,8,FALSE),Players!$B$1:$F$40,4,FALSE)+VLOOKUP(VLOOKUP($B114,Games!$A$1:$I$20,9,FALSE),Players!$B$1:$F$40,4,FALSE))*(3/8),1),ROUND(VLOOKUP(VLOOKUP($B114,Games!$A$1:$I$20,8,FALSE),Players!$B$1:$F$40,5,FALSE),1))</f>
        <v>38</v>
      </c>
      <c r="K114" s="10" t="str">
        <f>VLOOKUP(B114,Games!$A$1:$I$20,3,FALSE)</f>
        <v>Golf Resort Barbora</v>
      </c>
      <c r="L114" s="10">
        <f>VLOOKUP(CONCATENATE($K114,$C114),'Field holes'!$B$1:$I$900,6,FALSE)</f>
        <v>4</v>
      </c>
      <c r="M114" s="10">
        <f>VLOOKUP(CONCATENATE($K114,$C114),'Field holes'!$B$1:$I$900,7,FALSE)</f>
        <v>14</v>
      </c>
    </row>
    <row r="115" spans="1:13" ht="13" x14ac:dyDescent="0.15">
      <c r="A115" s="16">
        <v>114</v>
      </c>
      <c r="B115" s="16">
        <v>7</v>
      </c>
      <c r="C115" s="17">
        <v>6</v>
      </c>
      <c r="F115" s="10" t="e">
        <f t="shared" si="2"/>
        <v>#N/A</v>
      </c>
      <c r="G115" s="10">
        <f t="shared" si="0"/>
        <v>7</v>
      </c>
      <c r="H115" s="10" t="str">
        <f t="shared" si="1"/>
        <v/>
      </c>
      <c r="I115" s="10" t="e">
        <f>IF(VLOOKUP($B115,Games!$A$1:$I$20,5,FALSE)="Texas",ROUND(((VLOOKUP(VLOOKUP($B115,Games!$A$1:$I$20,6,FALSE),Players!$B$1:$F$40,4,FALSE)+VLOOKUP(VLOOKUP($B115,Games!$A$1:$I$20,7,FALSE),Players!$B$1:$F$40,4,FALSE)))*(3/8),1),ROUND(VLOOKUP(VLOOKUP($B115,Games!$A$1:$I$20,6,FALSE),Players!$B$1:$F$40,5,FALSE),1))</f>
        <v>#N/A</v>
      </c>
      <c r="J115" s="10">
        <f>IF(VLOOKUP($B115,Games!$A$1:$I$20,5,FALSE)="Texas",ROUND((VLOOKUP(VLOOKUP($B115,Games!$A$1:$I$20,8,FALSE),Players!$B$1:$F$40,4,FALSE)+VLOOKUP(VLOOKUP($B115,Games!$A$1:$I$20,9,FALSE),Players!$B$1:$F$40,4,FALSE))*(3/8),1),ROUND(VLOOKUP(VLOOKUP($B115,Games!$A$1:$I$20,8,FALSE),Players!$B$1:$F$40,5,FALSE),1))</f>
        <v>38</v>
      </c>
      <c r="K115" s="10" t="str">
        <f>VLOOKUP(B115,Games!$A$1:$I$20,3,FALSE)</f>
        <v>Golf Resort Barbora</v>
      </c>
      <c r="L115" s="10">
        <f>VLOOKUP(CONCATENATE($K115,$C115),'Field holes'!$B$1:$I$900,6,FALSE)</f>
        <v>5</v>
      </c>
      <c r="M115" s="10">
        <f>VLOOKUP(CONCATENATE($K115,$C115),'Field holes'!$B$1:$I$900,7,FALSE)</f>
        <v>8</v>
      </c>
    </row>
    <row r="116" spans="1:13" ht="13" x14ac:dyDescent="0.15">
      <c r="A116" s="16">
        <v>115</v>
      </c>
      <c r="B116" s="16">
        <v>7</v>
      </c>
      <c r="C116" s="17">
        <v>7</v>
      </c>
      <c r="F116" s="10" t="e">
        <f t="shared" si="2"/>
        <v>#N/A</v>
      </c>
      <c r="G116" s="10">
        <f t="shared" si="0"/>
        <v>6</v>
      </c>
      <c r="H116" s="10" t="str">
        <f t="shared" si="1"/>
        <v/>
      </c>
      <c r="I116" s="10" t="e">
        <f>IF(VLOOKUP($B116,Games!$A$1:$I$20,5,FALSE)="Texas",ROUND(((VLOOKUP(VLOOKUP($B116,Games!$A$1:$I$20,6,FALSE),Players!$B$1:$F$40,4,FALSE)+VLOOKUP(VLOOKUP($B116,Games!$A$1:$I$20,7,FALSE),Players!$B$1:$F$40,4,FALSE)))*(3/8),1),ROUND(VLOOKUP(VLOOKUP($B116,Games!$A$1:$I$20,6,FALSE),Players!$B$1:$F$40,5,FALSE),1))</f>
        <v>#N/A</v>
      </c>
      <c r="J116" s="10">
        <f>IF(VLOOKUP($B116,Games!$A$1:$I$20,5,FALSE)="Texas",ROUND((VLOOKUP(VLOOKUP($B116,Games!$A$1:$I$20,8,FALSE),Players!$B$1:$F$40,4,FALSE)+VLOOKUP(VLOOKUP($B116,Games!$A$1:$I$20,9,FALSE),Players!$B$1:$F$40,4,FALSE))*(3/8),1),ROUND(VLOOKUP(VLOOKUP($B116,Games!$A$1:$I$20,8,FALSE),Players!$B$1:$F$40,5,FALSE),1))</f>
        <v>38</v>
      </c>
      <c r="K116" s="10" t="str">
        <f>VLOOKUP(B116,Games!$A$1:$I$20,3,FALSE)</f>
        <v>Golf Resort Barbora</v>
      </c>
      <c r="L116" s="10">
        <f>VLOOKUP(CONCATENATE($K116,$C116),'Field holes'!$B$1:$I$900,6,FALSE)</f>
        <v>4</v>
      </c>
      <c r="M116" s="10">
        <f>VLOOKUP(CONCATENATE($K116,$C116),'Field holes'!$B$1:$I$900,7,FALSE)</f>
        <v>16</v>
      </c>
    </row>
    <row r="117" spans="1:13" ht="13" x14ac:dyDescent="0.15">
      <c r="A117" s="16">
        <v>116</v>
      </c>
      <c r="B117" s="16">
        <v>7</v>
      </c>
      <c r="C117" s="17">
        <v>8</v>
      </c>
      <c r="F117" s="10" t="e">
        <f t="shared" si="2"/>
        <v>#N/A</v>
      </c>
      <c r="G117" s="10">
        <f t="shared" si="0"/>
        <v>6</v>
      </c>
      <c r="H117" s="10" t="str">
        <f t="shared" si="1"/>
        <v/>
      </c>
      <c r="I117" s="10" t="e">
        <f>IF(VLOOKUP($B117,Games!$A$1:$I$20,5,FALSE)="Texas",ROUND(((VLOOKUP(VLOOKUP($B117,Games!$A$1:$I$20,6,FALSE),Players!$B$1:$F$40,4,FALSE)+VLOOKUP(VLOOKUP($B117,Games!$A$1:$I$20,7,FALSE),Players!$B$1:$F$40,4,FALSE)))*(3/8),1),ROUND(VLOOKUP(VLOOKUP($B117,Games!$A$1:$I$20,6,FALSE),Players!$B$1:$F$40,5,FALSE),1))</f>
        <v>#N/A</v>
      </c>
      <c r="J117" s="10">
        <f>IF(VLOOKUP($B117,Games!$A$1:$I$20,5,FALSE)="Texas",ROUND((VLOOKUP(VLOOKUP($B117,Games!$A$1:$I$20,8,FALSE),Players!$B$1:$F$40,4,FALSE)+VLOOKUP(VLOOKUP($B117,Games!$A$1:$I$20,9,FALSE),Players!$B$1:$F$40,4,FALSE))*(3/8),1),ROUND(VLOOKUP(VLOOKUP($B117,Games!$A$1:$I$20,8,FALSE),Players!$B$1:$F$40,5,FALSE),1))</f>
        <v>38</v>
      </c>
      <c r="K117" s="10" t="str">
        <f>VLOOKUP(B117,Games!$A$1:$I$20,3,FALSE)</f>
        <v>Golf Resort Barbora</v>
      </c>
      <c r="L117" s="10">
        <f>VLOOKUP(CONCATENATE($K117,$C117),'Field holes'!$B$1:$I$900,6,FALSE)</f>
        <v>4</v>
      </c>
      <c r="M117" s="10">
        <f>VLOOKUP(CONCATENATE($K117,$C117),'Field holes'!$B$1:$I$900,7,FALSE)</f>
        <v>6</v>
      </c>
    </row>
    <row r="118" spans="1:13" ht="13" x14ac:dyDescent="0.15">
      <c r="A118" s="16">
        <v>117</v>
      </c>
      <c r="B118" s="16">
        <v>7</v>
      </c>
      <c r="C118" s="17">
        <v>9</v>
      </c>
      <c r="F118" s="10" t="e">
        <f t="shared" si="2"/>
        <v>#N/A</v>
      </c>
      <c r="G118" s="10">
        <f t="shared" si="0"/>
        <v>5</v>
      </c>
      <c r="H118" s="10" t="str">
        <f t="shared" si="1"/>
        <v/>
      </c>
      <c r="I118" s="10" t="e">
        <f>IF(VLOOKUP($B118,Games!$A$1:$I$20,5,FALSE)="Texas",ROUND(((VLOOKUP(VLOOKUP($B118,Games!$A$1:$I$20,6,FALSE),Players!$B$1:$F$40,4,FALSE)+VLOOKUP(VLOOKUP($B118,Games!$A$1:$I$20,7,FALSE),Players!$B$1:$F$40,4,FALSE)))*(3/8),1),ROUND(VLOOKUP(VLOOKUP($B118,Games!$A$1:$I$20,6,FALSE),Players!$B$1:$F$40,5,FALSE),1))</f>
        <v>#N/A</v>
      </c>
      <c r="J118" s="10">
        <f>IF(VLOOKUP($B118,Games!$A$1:$I$20,5,FALSE)="Texas",ROUND((VLOOKUP(VLOOKUP($B118,Games!$A$1:$I$20,8,FALSE),Players!$B$1:$F$40,4,FALSE)+VLOOKUP(VLOOKUP($B118,Games!$A$1:$I$20,9,FALSE),Players!$B$1:$F$40,4,FALSE))*(3/8),1),ROUND(VLOOKUP(VLOOKUP($B118,Games!$A$1:$I$20,8,FALSE),Players!$B$1:$F$40,5,FALSE),1))</f>
        <v>38</v>
      </c>
      <c r="K118" s="10" t="str">
        <f>VLOOKUP(B118,Games!$A$1:$I$20,3,FALSE)</f>
        <v>Golf Resort Barbora</v>
      </c>
      <c r="L118" s="10">
        <f>VLOOKUP(CONCATENATE($K118,$C118),'Field holes'!$B$1:$I$900,6,FALSE)</f>
        <v>3</v>
      </c>
      <c r="M118" s="10">
        <f>VLOOKUP(CONCATENATE($K118,$C118),'Field holes'!$B$1:$I$900,7,FALSE)</f>
        <v>18</v>
      </c>
    </row>
    <row r="119" spans="1:13" ht="13" x14ac:dyDescent="0.15">
      <c r="A119" s="16">
        <v>118</v>
      </c>
      <c r="B119" s="16">
        <v>7</v>
      </c>
      <c r="C119" s="17">
        <v>10</v>
      </c>
      <c r="F119" s="10" t="e">
        <f t="shared" si="2"/>
        <v>#N/A</v>
      </c>
      <c r="G119" s="10">
        <f t="shared" si="0"/>
        <v>7</v>
      </c>
      <c r="H119" s="10" t="str">
        <f t="shared" si="1"/>
        <v/>
      </c>
      <c r="I119" s="10" t="e">
        <f>IF(VLOOKUP($B119,Games!$A$1:$I$20,5,FALSE)="Texas",ROUND(((VLOOKUP(VLOOKUP($B119,Games!$A$1:$I$20,6,FALSE),Players!$B$1:$F$40,4,FALSE)+VLOOKUP(VLOOKUP($B119,Games!$A$1:$I$20,7,FALSE),Players!$B$1:$F$40,4,FALSE)))*(3/8),1),ROUND(VLOOKUP(VLOOKUP($B119,Games!$A$1:$I$20,6,FALSE),Players!$B$1:$F$40,5,FALSE),1))</f>
        <v>#N/A</v>
      </c>
      <c r="J119" s="10">
        <f>IF(VLOOKUP($B119,Games!$A$1:$I$20,5,FALSE)="Texas",ROUND((VLOOKUP(VLOOKUP($B119,Games!$A$1:$I$20,8,FALSE),Players!$B$1:$F$40,4,FALSE)+VLOOKUP(VLOOKUP($B119,Games!$A$1:$I$20,9,FALSE),Players!$B$1:$F$40,4,FALSE))*(3/8),1),ROUND(VLOOKUP(VLOOKUP($B119,Games!$A$1:$I$20,8,FALSE),Players!$B$1:$F$40,5,FALSE),1))</f>
        <v>38</v>
      </c>
      <c r="K119" s="10" t="str">
        <f>VLOOKUP(B119,Games!$A$1:$I$20,3,FALSE)</f>
        <v>Golf Resort Barbora</v>
      </c>
      <c r="L119" s="10">
        <f>VLOOKUP(CONCATENATE($K119,$C119),'Field holes'!$B$1:$I$900,6,FALSE)</f>
        <v>5</v>
      </c>
      <c r="M119" s="10">
        <f>VLOOKUP(CONCATENATE($K119,$C119),'Field holes'!$B$1:$I$900,7,FALSE)</f>
        <v>11</v>
      </c>
    </row>
    <row r="120" spans="1:13" ht="13" x14ac:dyDescent="0.15">
      <c r="A120" s="16">
        <v>119</v>
      </c>
      <c r="B120" s="16">
        <v>7</v>
      </c>
      <c r="C120" s="17">
        <v>11</v>
      </c>
      <c r="F120" s="10" t="e">
        <f t="shared" si="2"/>
        <v>#N/A</v>
      </c>
      <c r="G120" s="10">
        <f t="shared" si="0"/>
        <v>5</v>
      </c>
      <c r="H120" s="10" t="str">
        <f t="shared" si="1"/>
        <v/>
      </c>
      <c r="I120" s="10" t="e">
        <f>IF(VLOOKUP($B120,Games!$A$1:$I$20,5,FALSE)="Texas",ROUND(((VLOOKUP(VLOOKUP($B120,Games!$A$1:$I$20,6,FALSE),Players!$B$1:$F$40,4,FALSE)+VLOOKUP(VLOOKUP($B120,Games!$A$1:$I$20,7,FALSE),Players!$B$1:$F$40,4,FALSE)))*(3/8),1),ROUND(VLOOKUP(VLOOKUP($B120,Games!$A$1:$I$20,6,FALSE),Players!$B$1:$F$40,5,FALSE),1))</f>
        <v>#N/A</v>
      </c>
      <c r="J120" s="10">
        <f>IF(VLOOKUP($B120,Games!$A$1:$I$20,5,FALSE)="Texas",ROUND((VLOOKUP(VLOOKUP($B120,Games!$A$1:$I$20,8,FALSE),Players!$B$1:$F$40,4,FALSE)+VLOOKUP(VLOOKUP($B120,Games!$A$1:$I$20,9,FALSE),Players!$B$1:$F$40,4,FALSE))*(3/8),1),ROUND(VLOOKUP(VLOOKUP($B120,Games!$A$1:$I$20,8,FALSE),Players!$B$1:$F$40,5,FALSE),1))</f>
        <v>38</v>
      </c>
      <c r="K120" s="10" t="str">
        <f>VLOOKUP(B120,Games!$A$1:$I$20,3,FALSE)</f>
        <v>Golf Resort Barbora</v>
      </c>
      <c r="L120" s="10">
        <f>VLOOKUP(CONCATENATE($K120,$C120),'Field holes'!$B$1:$I$900,6,FALSE)</f>
        <v>3</v>
      </c>
      <c r="M120" s="10">
        <f>VLOOKUP(CONCATENATE($K120,$C120),'Field holes'!$B$1:$I$900,7,FALSE)</f>
        <v>7</v>
      </c>
    </row>
    <row r="121" spans="1:13" ht="13" x14ac:dyDescent="0.15">
      <c r="A121" s="16">
        <v>120</v>
      </c>
      <c r="B121" s="16">
        <v>7</v>
      </c>
      <c r="C121" s="17">
        <v>12</v>
      </c>
      <c r="F121" s="10" t="e">
        <f t="shared" si="2"/>
        <v>#N/A</v>
      </c>
      <c r="G121" s="10">
        <f t="shared" si="0"/>
        <v>6</v>
      </c>
      <c r="H121" s="10" t="str">
        <f t="shared" si="1"/>
        <v/>
      </c>
      <c r="I121" s="10" t="e">
        <f>IF(VLOOKUP($B121,Games!$A$1:$I$20,5,FALSE)="Texas",ROUND(((VLOOKUP(VLOOKUP($B121,Games!$A$1:$I$20,6,FALSE),Players!$B$1:$F$40,4,FALSE)+VLOOKUP(VLOOKUP($B121,Games!$A$1:$I$20,7,FALSE),Players!$B$1:$F$40,4,FALSE)))*(3/8),1),ROUND(VLOOKUP(VLOOKUP($B121,Games!$A$1:$I$20,6,FALSE),Players!$B$1:$F$40,5,FALSE),1))</f>
        <v>#N/A</v>
      </c>
      <c r="J121" s="10">
        <f>IF(VLOOKUP($B121,Games!$A$1:$I$20,5,FALSE)="Texas",ROUND((VLOOKUP(VLOOKUP($B121,Games!$A$1:$I$20,8,FALSE),Players!$B$1:$F$40,4,FALSE)+VLOOKUP(VLOOKUP($B121,Games!$A$1:$I$20,9,FALSE),Players!$B$1:$F$40,4,FALSE))*(3/8),1),ROUND(VLOOKUP(VLOOKUP($B121,Games!$A$1:$I$20,8,FALSE),Players!$B$1:$F$40,5,FALSE),1))</f>
        <v>38</v>
      </c>
      <c r="K121" s="10" t="str">
        <f>VLOOKUP(B121,Games!$A$1:$I$20,3,FALSE)</f>
        <v>Golf Resort Barbora</v>
      </c>
      <c r="L121" s="10">
        <f>VLOOKUP(CONCATENATE($K121,$C121),'Field holes'!$B$1:$I$900,6,FALSE)</f>
        <v>4</v>
      </c>
      <c r="M121" s="10">
        <f>VLOOKUP(CONCATENATE($K121,$C121),'Field holes'!$B$1:$I$900,7,FALSE)</f>
        <v>17</v>
      </c>
    </row>
    <row r="122" spans="1:13" ht="13" x14ac:dyDescent="0.15">
      <c r="A122" s="16">
        <v>121</v>
      </c>
      <c r="B122" s="16">
        <v>7</v>
      </c>
      <c r="C122" s="17">
        <v>13</v>
      </c>
      <c r="F122" s="10" t="e">
        <f t="shared" si="2"/>
        <v>#N/A</v>
      </c>
      <c r="G122" s="10">
        <f t="shared" si="0"/>
        <v>6</v>
      </c>
      <c r="H122" s="10" t="str">
        <f t="shared" si="1"/>
        <v/>
      </c>
      <c r="I122" s="10" t="e">
        <f>IF(VLOOKUP($B122,Games!$A$1:$I$20,5,FALSE)="Texas",ROUND(((VLOOKUP(VLOOKUP($B122,Games!$A$1:$I$20,6,FALSE),Players!$B$1:$F$40,4,FALSE)+VLOOKUP(VLOOKUP($B122,Games!$A$1:$I$20,7,FALSE),Players!$B$1:$F$40,4,FALSE)))*(3/8),1),ROUND(VLOOKUP(VLOOKUP($B122,Games!$A$1:$I$20,6,FALSE),Players!$B$1:$F$40,5,FALSE),1))</f>
        <v>#N/A</v>
      </c>
      <c r="J122" s="10">
        <f>IF(VLOOKUP($B122,Games!$A$1:$I$20,5,FALSE)="Texas",ROUND((VLOOKUP(VLOOKUP($B122,Games!$A$1:$I$20,8,FALSE),Players!$B$1:$F$40,4,FALSE)+VLOOKUP(VLOOKUP($B122,Games!$A$1:$I$20,9,FALSE),Players!$B$1:$F$40,4,FALSE))*(3/8),1),ROUND(VLOOKUP(VLOOKUP($B122,Games!$A$1:$I$20,8,FALSE),Players!$B$1:$F$40,5,FALSE),1))</f>
        <v>38</v>
      </c>
      <c r="K122" s="10" t="str">
        <f>VLOOKUP(B122,Games!$A$1:$I$20,3,FALSE)</f>
        <v>Golf Resort Barbora</v>
      </c>
      <c r="L122" s="10">
        <f>VLOOKUP(CONCATENATE($K122,$C122),'Field holes'!$B$1:$I$900,6,FALSE)</f>
        <v>4</v>
      </c>
      <c r="M122" s="10">
        <f>VLOOKUP(CONCATENATE($K122,$C122),'Field holes'!$B$1:$I$900,7,FALSE)</f>
        <v>9</v>
      </c>
    </row>
    <row r="123" spans="1:13" ht="13" x14ac:dyDescent="0.15">
      <c r="A123" s="16">
        <v>122</v>
      </c>
      <c r="B123" s="16">
        <v>7</v>
      </c>
      <c r="C123" s="17">
        <v>14</v>
      </c>
      <c r="F123" s="10" t="e">
        <f t="shared" si="2"/>
        <v>#N/A</v>
      </c>
      <c r="G123" s="10">
        <f t="shared" si="0"/>
        <v>5</v>
      </c>
      <c r="H123" s="10" t="str">
        <f t="shared" si="1"/>
        <v/>
      </c>
      <c r="I123" s="10" t="e">
        <f>IF(VLOOKUP($B123,Games!$A$1:$I$20,5,FALSE)="Texas",ROUND(((VLOOKUP(VLOOKUP($B123,Games!$A$1:$I$20,6,FALSE),Players!$B$1:$F$40,4,FALSE)+VLOOKUP(VLOOKUP($B123,Games!$A$1:$I$20,7,FALSE),Players!$B$1:$F$40,4,FALSE)))*(3/8),1),ROUND(VLOOKUP(VLOOKUP($B123,Games!$A$1:$I$20,6,FALSE),Players!$B$1:$F$40,5,FALSE),1))</f>
        <v>#N/A</v>
      </c>
      <c r="J123" s="10">
        <f>IF(VLOOKUP($B123,Games!$A$1:$I$20,5,FALSE)="Texas",ROUND((VLOOKUP(VLOOKUP($B123,Games!$A$1:$I$20,8,FALSE),Players!$B$1:$F$40,4,FALSE)+VLOOKUP(VLOOKUP($B123,Games!$A$1:$I$20,9,FALSE),Players!$B$1:$F$40,4,FALSE))*(3/8),1),ROUND(VLOOKUP(VLOOKUP($B123,Games!$A$1:$I$20,8,FALSE),Players!$B$1:$F$40,5,FALSE),1))</f>
        <v>38</v>
      </c>
      <c r="K123" s="10" t="str">
        <f>VLOOKUP(B123,Games!$A$1:$I$20,3,FALSE)</f>
        <v>Golf Resort Barbora</v>
      </c>
      <c r="L123" s="10">
        <f>VLOOKUP(CONCATENATE($K123,$C123),'Field holes'!$B$1:$I$900,6,FALSE)</f>
        <v>3</v>
      </c>
      <c r="M123" s="10">
        <f>VLOOKUP(CONCATENATE($K123,$C123),'Field holes'!$B$1:$I$900,7,FALSE)</f>
        <v>5</v>
      </c>
    </row>
    <row r="124" spans="1:13" ht="13" x14ac:dyDescent="0.15">
      <c r="A124" s="16">
        <v>123</v>
      </c>
      <c r="B124" s="16">
        <v>7</v>
      </c>
      <c r="C124" s="17">
        <v>15</v>
      </c>
      <c r="F124" s="10" t="e">
        <f t="shared" si="2"/>
        <v>#N/A</v>
      </c>
      <c r="G124" s="10">
        <f t="shared" si="0"/>
        <v>8</v>
      </c>
      <c r="H124" s="10" t="str">
        <f t="shared" si="1"/>
        <v/>
      </c>
      <c r="I124" s="10" t="e">
        <f>IF(VLOOKUP($B124,Games!$A$1:$I$20,5,FALSE)="Texas",ROUND(((VLOOKUP(VLOOKUP($B124,Games!$A$1:$I$20,6,FALSE),Players!$B$1:$F$40,4,FALSE)+VLOOKUP(VLOOKUP($B124,Games!$A$1:$I$20,7,FALSE),Players!$B$1:$F$40,4,FALSE)))*(3/8),1),ROUND(VLOOKUP(VLOOKUP($B124,Games!$A$1:$I$20,6,FALSE),Players!$B$1:$F$40,5,FALSE),1))</f>
        <v>#N/A</v>
      </c>
      <c r="J124" s="10">
        <f>IF(VLOOKUP($B124,Games!$A$1:$I$20,5,FALSE)="Texas",ROUND((VLOOKUP(VLOOKUP($B124,Games!$A$1:$I$20,8,FALSE),Players!$B$1:$F$40,4,FALSE)+VLOOKUP(VLOOKUP($B124,Games!$A$1:$I$20,9,FALSE),Players!$B$1:$F$40,4,FALSE))*(3/8),1),ROUND(VLOOKUP(VLOOKUP($B124,Games!$A$1:$I$20,8,FALSE),Players!$B$1:$F$40,5,FALSE),1))</f>
        <v>38</v>
      </c>
      <c r="K124" s="10" t="str">
        <f>VLOOKUP(B124,Games!$A$1:$I$20,3,FALSE)</f>
        <v>Golf Resort Barbora</v>
      </c>
      <c r="L124" s="10">
        <f>VLOOKUP(CONCATENATE($K124,$C124),'Field holes'!$B$1:$I$900,6,FALSE)</f>
        <v>5</v>
      </c>
      <c r="M124" s="10">
        <f>VLOOKUP(CONCATENATE($K124,$C124),'Field holes'!$B$1:$I$900,7,FALSE)</f>
        <v>1</v>
      </c>
    </row>
    <row r="125" spans="1:13" ht="13" x14ac:dyDescent="0.15">
      <c r="A125" s="16">
        <v>124</v>
      </c>
      <c r="B125" s="16">
        <v>7</v>
      </c>
      <c r="C125" s="17">
        <v>16</v>
      </c>
      <c r="F125" s="10" t="e">
        <f t="shared" si="2"/>
        <v>#N/A</v>
      </c>
      <c r="G125" s="10">
        <f t="shared" si="0"/>
        <v>5</v>
      </c>
      <c r="H125" s="10" t="str">
        <f t="shared" si="1"/>
        <v/>
      </c>
      <c r="I125" s="10" t="e">
        <f>IF(VLOOKUP($B125,Games!$A$1:$I$20,5,FALSE)="Texas",ROUND(((VLOOKUP(VLOOKUP($B125,Games!$A$1:$I$20,6,FALSE),Players!$B$1:$F$40,4,FALSE)+VLOOKUP(VLOOKUP($B125,Games!$A$1:$I$20,7,FALSE),Players!$B$1:$F$40,4,FALSE)))*(3/8),1),ROUND(VLOOKUP(VLOOKUP($B125,Games!$A$1:$I$20,6,FALSE),Players!$B$1:$F$40,5,FALSE),1))</f>
        <v>#N/A</v>
      </c>
      <c r="J125" s="10">
        <f>IF(VLOOKUP($B125,Games!$A$1:$I$20,5,FALSE)="Texas",ROUND((VLOOKUP(VLOOKUP($B125,Games!$A$1:$I$20,8,FALSE),Players!$B$1:$F$40,4,FALSE)+VLOOKUP(VLOOKUP($B125,Games!$A$1:$I$20,9,FALSE),Players!$B$1:$F$40,4,FALSE))*(3/8),1),ROUND(VLOOKUP(VLOOKUP($B125,Games!$A$1:$I$20,8,FALSE),Players!$B$1:$F$40,5,FALSE),1))</f>
        <v>38</v>
      </c>
      <c r="K125" s="10" t="str">
        <f>VLOOKUP(B125,Games!$A$1:$I$20,3,FALSE)</f>
        <v>Golf Resort Barbora</v>
      </c>
      <c r="L125" s="10">
        <f>VLOOKUP(CONCATENATE($K125,$C125),'Field holes'!$B$1:$I$900,6,FALSE)</f>
        <v>3</v>
      </c>
      <c r="M125" s="10">
        <f>VLOOKUP(CONCATENATE($K125,$C125),'Field holes'!$B$1:$I$900,7,FALSE)</f>
        <v>13</v>
      </c>
    </row>
    <row r="126" spans="1:13" ht="13" x14ac:dyDescent="0.15">
      <c r="A126" s="16">
        <v>125</v>
      </c>
      <c r="B126" s="16">
        <v>7</v>
      </c>
      <c r="C126" s="17">
        <v>17</v>
      </c>
      <c r="F126" s="10" t="e">
        <f t="shared" si="2"/>
        <v>#N/A</v>
      </c>
      <c r="G126" s="10">
        <f t="shared" si="0"/>
        <v>7</v>
      </c>
      <c r="H126" s="10" t="str">
        <f t="shared" si="1"/>
        <v/>
      </c>
      <c r="I126" s="10" t="e">
        <f>IF(VLOOKUP($B126,Games!$A$1:$I$20,5,FALSE)="Texas",ROUND(((VLOOKUP(VLOOKUP($B126,Games!$A$1:$I$20,6,FALSE),Players!$B$1:$F$40,4,FALSE)+VLOOKUP(VLOOKUP($B126,Games!$A$1:$I$20,7,FALSE),Players!$B$1:$F$40,4,FALSE)))*(3/8),1),ROUND(VLOOKUP(VLOOKUP($B126,Games!$A$1:$I$20,6,FALSE),Players!$B$1:$F$40,5,FALSE),1))</f>
        <v>#N/A</v>
      </c>
      <c r="J126" s="10">
        <f>IF(VLOOKUP($B126,Games!$A$1:$I$20,5,FALSE)="Texas",ROUND((VLOOKUP(VLOOKUP($B126,Games!$A$1:$I$20,8,FALSE),Players!$B$1:$F$40,4,FALSE)+VLOOKUP(VLOOKUP($B126,Games!$A$1:$I$20,9,FALSE),Players!$B$1:$F$40,4,FALSE))*(3/8),1),ROUND(VLOOKUP(VLOOKUP($B126,Games!$A$1:$I$20,8,FALSE),Players!$B$1:$F$40,5,FALSE),1))</f>
        <v>38</v>
      </c>
      <c r="K126" s="10" t="str">
        <f>VLOOKUP(B126,Games!$A$1:$I$20,3,FALSE)</f>
        <v>Golf Resort Barbora</v>
      </c>
      <c r="L126" s="10">
        <f>VLOOKUP(CONCATENATE($K126,$C126),'Field holes'!$B$1:$I$900,6,FALSE)</f>
        <v>5</v>
      </c>
      <c r="M126" s="10">
        <f>VLOOKUP(CONCATENATE($K126,$C126),'Field holes'!$B$1:$I$900,7,FALSE)</f>
        <v>15</v>
      </c>
    </row>
    <row r="127" spans="1:13" ht="13" x14ac:dyDescent="0.15">
      <c r="A127" s="16">
        <v>126</v>
      </c>
      <c r="B127" s="16">
        <v>7</v>
      </c>
      <c r="C127" s="17">
        <v>18</v>
      </c>
      <c r="F127" s="10" t="e">
        <f t="shared" si="2"/>
        <v>#N/A</v>
      </c>
      <c r="G127" s="10">
        <f t="shared" si="0"/>
        <v>6</v>
      </c>
      <c r="H127" s="10" t="str">
        <f t="shared" si="1"/>
        <v/>
      </c>
      <c r="I127" s="10" t="e">
        <f>IF(VLOOKUP($B127,Games!$A$1:$I$20,5,FALSE)="Texas",ROUND(((VLOOKUP(VLOOKUP($B127,Games!$A$1:$I$20,6,FALSE),Players!$B$1:$F$40,4,FALSE)+VLOOKUP(VLOOKUP($B127,Games!$A$1:$I$20,7,FALSE),Players!$B$1:$F$40,4,FALSE)))*(3/8),1),ROUND(VLOOKUP(VLOOKUP($B127,Games!$A$1:$I$20,6,FALSE),Players!$B$1:$F$40,5,FALSE),1))</f>
        <v>#N/A</v>
      </c>
      <c r="J127" s="10">
        <f>IF(VLOOKUP($B127,Games!$A$1:$I$20,5,FALSE)="Texas",ROUND((VLOOKUP(VLOOKUP($B127,Games!$A$1:$I$20,8,FALSE),Players!$B$1:$F$40,4,FALSE)+VLOOKUP(VLOOKUP($B127,Games!$A$1:$I$20,9,FALSE),Players!$B$1:$F$40,4,FALSE))*(3/8),1),ROUND(VLOOKUP(VLOOKUP($B127,Games!$A$1:$I$20,8,FALSE),Players!$B$1:$F$40,5,FALSE),1))</f>
        <v>38</v>
      </c>
      <c r="K127" s="10" t="str">
        <f>VLOOKUP(B127,Games!$A$1:$I$20,3,FALSE)</f>
        <v>Golf Resort Barbora</v>
      </c>
      <c r="L127" s="10">
        <f>VLOOKUP(CONCATENATE($K127,$C127),'Field holes'!$B$1:$I$900,6,FALSE)</f>
        <v>4</v>
      </c>
      <c r="M127" s="10">
        <f>VLOOKUP(CONCATENATE($K127,$C127),'Field holes'!$B$1:$I$900,7,FALSE)</f>
        <v>3</v>
      </c>
    </row>
    <row r="128" spans="1:13" ht="13" x14ac:dyDescent="0.15">
      <c r="A128" s="16">
        <v>127</v>
      </c>
      <c r="B128" s="16">
        <v>8</v>
      </c>
      <c r="C128" s="17">
        <v>1</v>
      </c>
      <c r="F128" s="10" t="e">
        <f t="shared" si="2"/>
        <v>#N/A</v>
      </c>
      <c r="G128" s="10">
        <f t="shared" si="0"/>
        <v>5</v>
      </c>
      <c r="H128" s="10" t="str">
        <f t="shared" si="1"/>
        <v/>
      </c>
      <c r="I128" s="10" t="e">
        <f>IF(VLOOKUP($B128,Games!$A$1:$I$20,5,FALSE)="Texas",ROUND(((VLOOKUP(VLOOKUP($B128,Games!$A$1:$I$20,6,FALSE),Players!$B$1:$F$40,4,FALSE)+VLOOKUP(VLOOKUP($B128,Games!$A$1:$I$20,7,FALSE),Players!$B$1:$F$40,4,FALSE)))*(3/8),1),ROUND(VLOOKUP(VLOOKUP($B128,Games!$A$1:$I$20,6,FALSE),Players!$B$1:$F$40,5,FALSE),1))</f>
        <v>#N/A</v>
      </c>
      <c r="J128" s="10">
        <f>IF(VLOOKUP($B128,Games!$A$1:$I$20,5,FALSE)="Texas",ROUND((VLOOKUP(VLOOKUP($B128,Games!$A$1:$I$20,8,FALSE),Players!$B$1:$F$40,4,FALSE)+VLOOKUP(VLOOKUP($B128,Games!$A$1:$I$20,9,FALSE),Players!$B$1:$F$40,4,FALSE))*(3/8),1),ROUND(VLOOKUP(VLOOKUP($B128,Games!$A$1:$I$20,8,FALSE),Players!$B$1:$F$40,5,FALSE),1))</f>
        <v>17</v>
      </c>
      <c r="K128" s="10" t="str">
        <f>VLOOKUP(B128,Games!$A$1:$I$20,3,FALSE)</f>
        <v>Golf Resort Barbora</v>
      </c>
      <c r="L128" s="10">
        <f>VLOOKUP(CONCATENATE($K128,$C128),'Field holes'!$B$1:$I$900,6,FALSE)</f>
        <v>4</v>
      </c>
      <c r="M128" s="10">
        <f>VLOOKUP(CONCATENATE($K128,$C128),'Field holes'!$B$1:$I$900,7,FALSE)</f>
        <v>10</v>
      </c>
    </row>
    <row r="129" spans="1:13" ht="13" x14ac:dyDescent="0.15">
      <c r="A129" s="16">
        <v>128</v>
      </c>
      <c r="B129" s="16">
        <v>8</v>
      </c>
      <c r="C129" s="17">
        <v>2</v>
      </c>
      <c r="F129" s="10" t="e">
        <f t="shared" si="2"/>
        <v>#N/A</v>
      </c>
      <c r="G129" s="10">
        <f t="shared" si="0"/>
        <v>6</v>
      </c>
      <c r="H129" s="10" t="str">
        <f t="shared" si="1"/>
        <v/>
      </c>
      <c r="I129" s="10" t="e">
        <f>IF(VLOOKUP($B129,Games!$A$1:$I$20,5,FALSE)="Texas",ROUND(((VLOOKUP(VLOOKUP($B129,Games!$A$1:$I$20,6,FALSE),Players!$B$1:$F$40,4,FALSE)+VLOOKUP(VLOOKUP($B129,Games!$A$1:$I$20,7,FALSE),Players!$B$1:$F$40,4,FALSE)))*(3/8),1),ROUND(VLOOKUP(VLOOKUP($B129,Games!$A$1:$I$20,6,FALSE),Players!$B$1:$F$40,5,FALSE),1))</f>
        <v>#N/A</v>
      </c>
      <c r="J129" s="10">
        <f>IF(VLOOKUP($B129,Games!$A$1:$I$20,5,FALSE)="Texas",ROUND((VLOOKUP(VLOOKUP($B129,Games!$A$1:$I$20,8,FALSE),Players!$B$1:$F$40,4,FALSE)+VLOOKUP(VLOOKUP($B129,Games!$A$1:$I$20,9,FALSE),Players!$B$1:$F$40,4,FALSE))*(3/8),1),ROUND(VLOOKUP(VLOOKUP($B129,Games!$A$1:$I$20,8,FALSE),Players!$B$1:$F$40,5,FALSE),1))</f>
        <v>17</v>
      </c>
      <c r="K129" s="10" t="str">
        <f>VLOOKUP(B129,Games!$A$1:$I$20,3,FALSE)</f>
        <v>Golf Resort Barbora</v>
      </c>
      <c r="L129" s="10">
        <f>VLOOKUP(CONCATENATE($K129,$C129),'Field holes'!$B$1:$I$900,6,FALSE)</f>
        <v>5</v>
      </c>
      <c r="M129" s="10">
        <f>VLOOKUP(CONCATENATE($K129,$C129),'Field holes'!$B$1:$I$900,7,FALSE)</f>
        <v>4</v>
      </c>
    </row>
    <row r="130" spans="1:13" ht="13" x14ac:dyDescent="0.15">
      <c r="A130" s="16">
        <v>129</v>
      </c>
      <c r="B130" s="16">
        <v>8</v>
      </c>
      <c r="C130" s="17">
        <v>3</v>
      </c>
      <c r="F130" s="10" t="e">
        <f t="shared" si="2"/>
        <v>#N/A</v>
      </c>
      <c r="G130" s="10">
        <f t="shared" si="0"/>
        <v>4</v>
      </c>
      <c r="H130" s="10" t="str">
        <f t="shared" si="1"/>
        <v/>
      </c>
      <c r="I130" s="10" t="e">
        <f>IF(VLOOKUP($B130,Games!$A$1:$I$20,5,FALSE)="Texas",ROUND(((VLOOKUP(VLOOKUP($B130,Games!$A$1:$I$20,6,FALSE),Players!$B$1:$F$40,4,FALSE)+VLOOKUP(VLOOKUP($B130,Games!$A$1:$I$20,7,FALSE),Players!$B$1:$F$40,4,FALSE)))*(3/8),1),ROUND(VLOOKUP(VLOOKUP($B130,Games!$A$1:$I$20,6,FALSE),Players!$B$1:$F$40,5,FALSE),1))</f>
        <v>#N/A</v>
      </c>
      <c r="J130" s="10">
        <f>IF(VLOOKUP($B130,Games!$A$1:$I$20,5,FALSE)="Texas",ROUND((VLOOKUP(VLOOKUP($B130,Games!$A$1:$I$20,8,FALSE),Players!$B$1:$F$40,4,FALSE)+VLOOKUP(VLOOKUP($B130,Games!$A$1:$I$20,9,FALSE),Players!$B$1:$F$40,4,FALSE))*(3/8),1),ROUND(VLOOKUP(VLOOKUP($B130,Games!$A$1:$I$20,8,FALSE),Players!$B$1:$F$40,5,FALSE),1))</f>
        <v>17</v>
      </c>
      <c r="K130" s="10" t="str">
        <f>VLOOKUP(B130,Games!$A$1:$I$20,3,FALSE)</f>
        <v>Golf Resort Barbora</v>
      </c>
      <c r="L130" s="10">
        <f>VLOOKUP(CONCATENATE($K130,$C130),'Field holes'!$B$1:$I$900,6,FALSE)</f>
        <v>3</v>
      </c>
      <c r="M130" s="10">
        <f>VLOOKUP(CONCATENATE($K130,$C130),'Field holes'!$B$1:$I$900,7,FALSE)</f>
        <v>12</v>
      </c>
    </row>
    <row r="131" spans="1:13" ht="13" x14ac:dyDescent="0.15">
      <c r="A131" s="16">
        <v>130</v>
      </c>
      <c r="B131" s="16">
        <v>8</v>
      </c>
      <c r="C131" s="17">
        <v>4</v>
      </c>
      <c r="F131" s="10" t="e">
        <f t="shared" si="2"/>
        <v>#N/A</v>
      </c>
      <c r="G131" s="10">
        <f t="shared" si="0"/>
        <v>5</v>
      </c>
      <c r="H131" s="10" t="str">
        <f t="shared" si="1"/>
        <v/>
      </c>
      <c r="I131" s="10" t="e">
        <f>IF(VLOOKUP($B131,Games!$A$1:$I$20,5,FALSE)="Texas",ROUND(((VLOOKUP(VLOOKUP($B131,Games!$A$1:$I$20,6,FALSE),Players!$B$1:$F$40,4,FALSE)+VLOOKUP(VLOOKUP($B131,Games!$A$1:$I$20,7,FALSE),Players!$B$1:$F$40,4,FALSE)))*(3/8),1),ROUND(VLOOKUP(VLOOKUP($B131,Games!$A$1:$I$20,6,FALSE),Players!$B$1:$F$40,5,FALSE),1))</f>
        <v>#N/A</v>
      </c>
      <c r="J131" s="10">
        <f>IF(VLOOKUP($B131,Games!$A$1:$I$20,5,FALSE)="Texas",ROUND((VLOOKUP(VLOOKUP($B131,Games!$A$1:$I$20,8,FALSE),Players!$B$1:$F$40,4,FALSE)+VLOOKUP(VLOOKUP($B131,Games!$A$1:$I$20,9,FALSE),Players!$B$1:$F$40,4,FALSE))*(3/8),1),ROUND(VLOOKUP(VLOOKUP($B131,Games!$A$1:$I$20,8,FALSE),Players!$B$1:$F$40,5,FALSE),1))</f>
        <v>17</v>
      </c>
      <c r="K131" s="10" t="str">
        <f>VLOOKUP(B131,Games!$A$1:$I$20,3,FALSE)</f>
        <v>Golf Resort Barbora</v>
      </c>
      <c r="L131" s="10">
        <f>VLOOKUP(CONCATENATE($K131,$C131),'Field holes'!$B$1:$I$900,6,FALSE)</f>
        <v>4</v>
      </c>
      <c r="M131" s="10">
        <f>VLOOKUP(CONCATENATE($K131,$C131),'Field holes'!$B$1:$I$900,7,FALSE)</f>
        <v>2</v>
      </c>
    </row>
    <row r="132" spans="1:13" ht="13" x14ac:dyDescent="0.15">
      <c r="A132" s="16">
        <v>131</v>
      </c>
      <c r="B132" s="16">
        <v>8</v>
      </c>
      <c r="C132" s="17">
        <v>5</v>
      </c>
      <c r="F132" s="10" t="e">
        <f t="shared" si="2"/>
        <v>#N/A</v>
      </c>
      <c r="G132" s="10">
        <f t="shared" si="0"/>
        <v>5</v>
      </c>
      <c r="H132" s="10" t="str">
        <f t="shared" si="1"/>
        <v/>
      </c>
      <c r="I132" s="10" t="e">
        <f>IF(VLOOKUP($B132,Games!$A$1:$I$20,5,FALSE)="Texas",ROUND(((VLOOKUP(VLOOKUP($B132,Games!$A$1:$I$20,6,FALSE),Players!$B$1:$F$40,4,FALSE)+VLOOKUP(VLOOKUP($B132,Games!$A$1:$I$20,7,FALSE),Players!$B$1:$F$40,4,FALSE)))*(3/8),1),ROUND(VLOOKUP(VLOOKUP($B132,Games!$A$1:$I$20,6,FALSE),Players!$B$1:$F$40,5,FALSE),1))</f>
        <v>#N/A</v>
      </c>
      <c r="J132" s="10">
        <f>IF(VLOOKUP($B132,Games!$A$1:$I$20,5,FALSE)="Texas",ROUND((VLOOKUP(VLOOKUP($B132,Games!$A$1:$I$20,8,FALSE),Players!$B$1:$F$40,4,FALSE)+VLOOKUP(VLOOKUP($B132,Games!$A$1:$I$20,9,FALSE),Players!$B$1:$F$40,4,FALSE))*(3/8),1),ROUND(VLOOKUP(VLOOKUP($B132,Games!$A$1:$I$20,8,FALSE),Players!$B$1:$F$40,5,FALSE),1))</f>
        <v>17</v>
      </c>
      <c r="K132" s="10" t="str">
        <f>VLOOKUP(B132,Games!$A$1:$I$20,3,FALSE)</f>
        <v>Golf Resort Barbora</v>
      </c>
      <c r="L132" s="10">
        <f>VLOOKUP(CONCATENATE($K132,$C132),'Field holes'!$B$1:$I$900,6,FALSE)</f>
        <v>4</v>
      </c>
      <c r="M132" s="10">
        <f>VLOOKUP(CONCATENATE($K132,$C132),'Field holes'!$B$1:$I$900,7,FALSE)</f>
        <v>14</v>
      </c>
    </row>
    <row r="133" spans="1:13" ht="13" x14ac:dyDescent="0.15">
      <c r="A133" s="16">
        <v>132</v>
      </c>
      <c r="B133" s="16">
        <v>8</v>
      </c>
      <c r="C133" s="17">
        <v>6</v>
      </c>
      <c r="F133" s="10" t="e">
        <f t="shared" si="2"/>
        <v>#N/A</v>
      </c>
      <c r="G133" s="10">
        <f t="shared" si="0"/>
        <v>6</v>
      </c>
      <c r="H133" s="10" t="str">
        <f t="shared" si="1"/>
        <v/>
      </c>
      <c r="I133" s="10" t="e">
        <f>IF(VLOOKUP($B133,Games!$A$1:$I$20,5,FALSE)="Texas",ROUND(((VLOOKUP(VLOOKUP($B133,Games!$A$1:$I$20,6,FALSE),Players!$B$1:$F$40,4,FALSE)+VLOOKUP(VLOOKUP($B133,Games!$A$1:$I$20,7,FALSE),Players!$B$1:$F$40,4,FALSE)))*(3/8),1),ROUND(VLOOKUP(VLOOKUP($B133,Games!$A$1:$I$20,6,FALSE),Players!$B$1:$F$40,5,FALSE),1))</f>
        <v>#N/A</v>
      </c>
      <c r="J133" s="10">
        <f>IF(VLOOKUP($B133,Games!$A$1:$I$20,5,FALSE)="Texas",ROUND((VLOOKUP(VLOOKUP($B133,Games!$A$1:$I$20,8,FALSE),Players!$B$1:$F$40,4,FALSE)+VLOOKUP(VLOOKUP($B133,Games!$A$1:$I$20,9,FALSE),Players!$B$1:$F$40,4,FALSE))*(3/8),1),ROUND(VLOOKUP(VLOOKUP($B133,Games!$A$1:$I$20,8,FALSE),Players!$B$1:$F$40,5,FALSE),1))</f>
        <v>17</v>
      </c>
      <c r="K133" s="10" t="str">
        <f>VLOOKUP(B133,Games!$A$1:$I$20,3,FALSE)</f>
        <v>Golf Resort Barbora</v>
      </c>
      <c r="L133" s="10">
        <f>VLOOKUP(CONCATENATE($K133,$C133),'Field holes'!$B$1:$I$900,6,FALSE)</f>
        <v>5</v>
      </c>
      <c r="M133" s="10">
        <f>VLOOKUP(CONCATENATE($K133,$C133),'Field holes'!$B$1:$I$900,7,FALSE)</f>
        <v>8</v>
      </c>
    </row>
    <row r="134" spans="1:13" ht="13" x14ac:dyDescent="0.15">
      <c r="A134" s="16">
        <v>133</v>
      </c>
      <c r="B134" s="16">
        <v>8</v>
      </c>
      <c r="C134" s="17">
        <v>7</v>
      </c>
      <c r="F134" s="10" t="e">
        <f t="shared" si="2"/>
        <v>#N/A</v>
      </c>
      <c r="G134" s="10">
        <f t="shared" si="0"/>
        <v>5</v>
      </c>
      <c r="H134" s="10" t="str">
        <f t="shared" si="1"/>
        <v/>
      </c>
      <c r="I134" s="10" t="e">
        <f>IF(VLOOKUP($B134,Games!$A$1:$I$20,5,FALSE)="Texas",ROUND(((VLOOKUP(VLOOKUP($B134,Games!$A$1:$I$20,6,FALSE),Players!$B$1:$F$40,4,FALSE)+VLOOKUP(VLOOKUP($B134,Games!$A$1:$I$20,7,FALSE),Players!$B$1:$F$40,4,FALSE)))*(3/8),1),ROUND(VLOOKUP(VLOOKUP($B134,Games!$A$1:$I$20,6,FALSE),Players!$B$1:$F$40,5,FALSE),1))</f>
        <v>#N/A</v>
      </c>
      <c r="J134" s="10">
        <f>IF(VLOOKUP($B134,Games!$A$1:$I$20,5,FALSE)="Texas",ROUND((VLOOKUP(VLOOKUP($B134,Games!$A$1:$I$20,8,FALSE),Players!$B$1:$F$40,4,FALSE)+VLOOKUP(VLOOKUP($B134,Games!$A$1:$I$20,9,FALSE),Players!$B$1:$F$40,4,FALSE))*(3/8),1),ROUND(VLOOKUP(VLOOKUP($B134,Games!$A$1:$I$20,8,FALSE),Players!$B$1:$F$40,5,FALSE),1))</f>
        <v>17</v>
      </c>
      <c r="K134" s="10" t="str">
        <f>VLOOKUP(B134,Games!$A$1:$I$20,3,FALSE)</f>
        <v>Golf Resort Barbora</v>
      </c>
      <c r="L134" s="10">
        <f>VLOOKUP(CONCATENATE($K134,$C134),'Field holes'!$B$1:$I$900,6,FALSE)</f>
        <v>4</v>
      </c>
      <c r="M134" s="10">
        <f>VLOOKUP(CONCATENATE($K134,$C134),'Field holes'!$B$1:$I$900,7,FALSE)</f>
        <v>16</v>
      </c>
    </row>
    <row r="135" spans="1:13" ht="13" x14ac:dyDescent="0.15">
      <c r="A135" s="16">
        <v>134</v>
      </c>
      <c r="B135" s="16">
        <v>8</v>
      </c>
      <c r="C135" s="17">
        <v>8</v>
      </c>
      <c r="F135" s="10" t="e">
        <f t="shared" si="2"/>
        <v>#N/A</v>
      </c>
      <c r="G135" s="10">
        <f t="shared" si="0"/>
        <v>5</v>
      </c>
      <c r="H135" s="10" t="str">
        <f t="shared" si="1"/>
        <v/>
      </c>
      <c r="I135" s="10" t="e">
        <f>IF(VLOOKUP($B135,Games!$A$1:$I$20,5,FALSE)="Texas",ROUND(((VLOOKUP(VLOOKUP($B135,Games!$A$1:$I$20,6,FALSE),Players!$B$1:$F$40,4,FALSE)+VLOOKUP(VLOOKUP($B135,Games!$A$1:$I$20,7,FALSE),Players!$B$1:$F$40,4,FALSE)))*(3/8),1),ROUND(VLOOKUP(VLOOKUP($B135,Games!$A$1:$I$20,6,FALSE),Players!$B$1:$F$40,5,FALSE),1))</f>
        <v>#N/A</v>
      </c>
      <c r="J135" s="10">
        <f>IF(VLOOKUP($B135,Games!$A$1:$I$20,5,FALSE)="Texas",ROUND((VLOOKUP(VLOOKUP($B135,Games!$A$1:$I$20,8,FALSE),Players!$B$1:$F$40,4,FALSE)+VLOOKUP(VLOOKUP($B135,Games!$A$1:$I$20,9,FALSE),Players!$B$1:$F$40,4,FALSE))*(3/8),1),ROUND(VLOOKUP(VLOOKUP($B135,Games!$A$1:$I$20,8,FALSE),Players!$B$1:$F$40,5,FALSE),1))</f>
        <v>17</v>
      </c>
      <c r="K135" s="10" t="str">
        <f>VLOOKUP(B135,Games!$A$1:$I$20,3,FALSE)</f>
        <v>Golf Resort Barbora</v>
      </c>
      <c r="L135" s="10">
        <f>VLOOKUP(CONCATENATE($K135,$C135),'Field holes'!$B$1:$I$900,6,FALSE)</f>
        <v>4</v>
      </c>
      <c r="M135" s="10">
        <f>VLOOKUP(CONCATENATE($K135,$C135),'Field holes'!$B$1:$I$900,7,FALSE)</f>
        <v>6</v>
      </c>
    </row>
    <row r="136" spans="1:13" ht="13" x14ac:dyDescent="0.15">
      <c r="A136" s="16">
        <v>135</v>
      </c>
      <c r="B136" s="16">
        <v>8</v>
      </c>
      <c r="C136" s="17">
        <v>9</v>
      </c>
      <c r="F136" s="10" t="e">
        <f t="shared" si="2"/>
        <v>#N/A</v>
      </c>
      <c r="G136" s="10">
        <f t="shared" si="0"/>
        <v>3</v>
      </c>
      <c r="H136" s="10" t="str">
        <f t="shared" si="1"/>
        <v/>
      </c>
      <c r="I136" s="10" t="e">
        <f>IF(VLOOKUP($B136,Games!$A$1:$I$20,5,FALSE)="Texas",ROUND(((VLOOKUP(VLOOKUP($B136,Games!$A$1:$I$20,6,FALSE),Players!$B$1:$F$40,4,FALSE)+VLOOKUP(VLOOKUP($B136,Games!$A$1:$I$20,7,FALSE),Players!$B$1:$F$40,4,FALSE)))*(3/8),1),ROUND(VLOOKUP(VLOOKUP($B136,Games!$A$1:$I$20,6,FALSE),Players!$B$1:$F$40,5,FALSE),1))</f>
        <v>#N/A</v>
      </c>
      <c r="J136" s="10">
        <f>IF(VLOOKUP($B136,Games!$A$1:$I$20,5,FALSE)="Texas",ROUND((VLOOKUP(VLOOKUP($B136,Games!$A$1:$I$20,8,FALSE),Players!$B$1:$F$40,4,FALSE)+VLOOKUP(VLOOKUP($B136,Games!$A$1:$I$20,9,FALSE),Players!$B$1:$F$40,4,FALSE))*(3/8),1),ROUND(VLOOKUP(VLOOKUP($B136,Games!$A$1:$I$20,8,FALSE),Players!$B$1:$F$40,5,FALSE),1))</f>
        <v>17</v>
      </c>
      <c r="K136" s="10" t="str">
        <f>VLOOKUP(B136,Games!$A$1:$I$20,3,FALSE)</f>
        <v>Golf Resort Barbora</v>
      </c>
      <c r="L136" s="10">
        <f>VLOOKUP(CONCATENATE($K136,$C136),'Field holes'!$B$1:$I$900,6,FALSE)</f>
        <v>3</v>
      </c>
      <c r="M136" s="10">
        <f>VLOOKUP(CONCATENATE($K136,$C136),'Field holes'!$B$1:$I$900,7,FALSE)</f>
        <v>18</v>
      </c>
    </row>
    <row r="137" spans="1:13" ht="13" x14ac:dyDescent="0.15">
      <c r="A137" s="16">
        <v>136</v>
      </c>
      <c r="B137" s="16">
        <v>8</v>
      </c>
      <c r="C137" s="17">
        <v>10</v>
      </c>
      <c r="F137" s="10" t="e">
        <f t="shared" si="2"/>
        <v>#N/A</v>
      </c>
      <c r="G137" s="10">
        <f t="shared" si="0"/>
        <v>6</v>
      </c>
      <c r="H137" s="10" t="str">
        <f t="shared" si="1"/>
        <v/>
      </c>
      <c r="I137" s="10" t="e">
        <f>IF(VLOOKUP($B137,Games!$A$1:$I$20,5,FALSE)="Texas",ROUND(((VLOOKUP(VLOOKUP($B137,Games!$A$1:$I$20,6,FALSE),Players!$B$1:$F$40,4,FALSE)+VLOOKUP(VLOOKUP($B137,Games!$A$1:$I$20,7,FALSE),Players!$B$1:$F$40,4,FALSE)))*(3/8),1),ROUND(VLOOKUP(VLOOKUP($B137,Games!$A$1:$I$20,6,FALSE),Players!$B$1:$F$40,5,FALSE),1))</f>
        <v>#N/A</v>
      </c>
      <c r="J137" s="10">
        <f>IF(VLOOKUP($B137,Games!$A$1:$I$20,5,FALSE)="Texas",ROUND((VLOOKUP(VLOOKUP($B137,Games!$A$1:$I$20,8,FALSE),Players!$B$1:$F$40,4,FALSE)+VLOOKUP(VLOOKUP($B137,Games!$A$1:$I$20,9,FALSE),Players!$B$1:$F$40,4,FALSE))*(3/8),1),ROUND(VLOOKUP(VLOOKUP($B137,Games!$A$1:$I$20,8,FALSE),Players!$B$1:$F$40,5,FALSE),1))</f>
        <v>17</v>
      </c>
      <c r="K137" s="10" t="str">
        <f>VLOOKUP(B137,Games!$A$1:$I$20,3,FALSE)</f>
        <v>Golf Resort Barbora</v>
      </c>
      <c r="L137" s="10">
        <f>VLOOKUP(CONCATENATE($K137,$C137),'Field holes'!$B$1:$I$900,6,FALSE)</f>
        <v>5</v>
      </c>
      <c r="M137" s="10">
        <f>VLOOKUP(CONCATENATE($K137,$C137),'Field holes'!$B$1:$I$900,7,FALSE)</f>
        <v>11</v>
      </c>
    </row>
    <row r="138" spans="1:13" ht="13" x14ac:dyDescent="0.15">
      <c r="A138" s="16">
        <v>137</v>
      </c>
      <c r="B138" s="16">
        <v>8</v>
      </c>
      <c r="C138" s="17">
        <v>11</v>
      </c>
      <c r="F138" s="10" t="e">
        <f t="shared" si="2"/>
        <v>#N/A</v>
      </c>
      <c r="G138" s="10">
        <f t="shared" si="0"/>
        <v>4</v>
      </c>
      <c r="H138" s="10" t="str">
        <f t="shared" si="1"/>
        <v/>
      </c>
      <c r="I138" s="10" t="e">
        <f>IF(VLOOKUP($B138,Games!$A$1:$I$20,5,FALSE)="Texas",ROUND(((VLOOKUP(VLOOKUP($B138,Games!$A$1:$I$20,6,FALSE),Players!$B$1:$F$40,4,FALSE)+VLOOKUP(VLOOKUP($B138,Games!$A$1:$I$20,7,FALSE),Players!$B$1:$F$40,4,FALSE)))*(3/8),1),ROUND(VLOOKUP(VLOOKUP($B138,Games!$A$1:$I$20,6,FALSE),Players!$B$1:$F$40,5,FALSE),1))</f>
        <v>#N/A</v>
      </c>
      <c r="J138" s="10">
        <f>IF(VLOOKUP($B138,Games!$A$1:$I$20,5,FALSE)="Texas",ROUND((VLOOKUP(VLOOKUP($B138,Games!$A$1:$I$20,8,FALSE),Players!$B$1:$F$40,4,FALSE)+VLOOKUP(VLOOKUP($B138,Games!$A$1:$I$20,9,FALSE),Players!$B$1:$F$40,4,FALSE))*(3/8),1),ROUND(VLOOKUP(VLOOKUP($B138,Games!$A$1:$I$20,8,FALSE),Players!$B$1:$F$40,5,FALSE),1))</f>
        <v>17</v>
      </c>
      <c r="K138" s="10" t="str">
        <f>VLOOKUP(B138,Games!$A$1:$I$20,3,FALSE)</f>
        <v>Golf Resort Barbora</v>
      </c>
      <c r="L138" s="10">
        <f>VLOOKUP(CONCATENATE($K138,$C138),'Field holes'!$B$1:$I$900,6,FALSE)</f>
        <v>3</v>
      </c>
      <c r="M138" s="10">
        <f>VLOOKUP(CONCATENATE($K138,$C138),'Field holes'!$B$1:$I$900,7,FALSE)</f>
        <v>7</v>
      </c>
    </row>
    <row r="139" spans="1:13" ht="13" x14ac:dyDescent="0.15">
      <c r="A139" s="16">
        <v>138</v>
      </c>
      <c r="B139" s="16">
        <v>8</v>
      </c>
      <c r="C139" s="17">
        <v>12</v>
      </c>
      <c r="F139" s="10" t="e">
        <f t="shared" si="2"/>
        <v>#N/A</v>
      </c>
      <c r="G139" s="10">
        <f t="shared" si="0"/>
        <v>5</v>
      </c>
      <c r="H139" s="10" t="str">
        <f t="shared" si="1"/>
        <v/>
      </c>
      <c r="I139" s="10" t="e">
        <f>IF(VLOOKUP($B139,Games!$A$1:$I$20,5,FALSE)="Texas",ROUND(((VLOOKUP(VLOOKUP($B139,Games!$A$1:$I$20,6,FALSE),Players!$B$1:$F$40,4,FALSE)+VLOOKUP(VLOOKUP($B139,Games!$A$1:$I$20,7,FALSE),Players!$B$1:$F$40,4,FALSE)))*(3/8),1),ROUND(VLOOKUP(VLOOKUP($B139,Games!$A$1:$I$20,6,FALSE),Players!$B$1:$F$40,5,FALSE),1))</f>
        <v>#N/A</v>
      </c>
      <c r="J139" s="10">
        <f>IF(VLOOKUP($B139,Games!$A$1:$I$20,5,FALSE)="Texas",ROUND((VLOOKUP(VLOOKUP($B139,Games!$A$1:$I$20,8,FALSE),Players!$B$1:$F$40,4,FALSE)+VLOOKUP(VLOOKUP($B139,Games!$A$1:$I$20,9,FALSE),Players!$B$1:$F$40,4,FALSE))*(3/8),1),ROUND(VLOOKUP(VLOOKUP($B139,Games!$A$1:$I$20,8,FALSE),Players!$B$1:$F$40,5,FALSE),1))</f>
        <v>17</v>
      </c>
      <c r="K139" s="10" t="str">
        <f>VLOOKUP(B139,Games!$A$1:$I$20,3,FALSE)</f>
        <v>Golf Resort Barbora</v>
      </c>
      <c r="L139" s="10">
        <f>VLOOKUP(CONCATENATE($K139,$C139),'Field holes'!$B$1:$I$900,6,FALSE)</f>
        <v>4</v>
      </c>
      <c r="M139" s="10">
        <f>VLOOKUP(CONCATENATE($K139,$C139),'Field holes'!$B$1:$I$900,7,FALSE)</f>
        <v>17</v>
      </c>
    </row>
    <row r="140" spans="1:13" ht="13" x14ac:dyDescent="0.15">
      <c r="A140" s="16">
        <v>139</v>
      </c>
      <c r="B140" s="16">
        <v>8</v>
      </c>
      <c r="C140" s="17">
        <v>13</v>
      </c>
      <c r="F140" s="10" t="e">
        <f t="shared" si="2"/>
        <v>#N/A</v>
      </c>
      <c r="G140" s="10">
        <f t="shared" si="0"/>
        <v>5</v>
      </c>
      <c r="H140" s="10" t="str">
        <f t="shared" si="1"/>
        <v/>
      </c>
      <c r="I140" s="10" t="e">
        <f>IF(VLOOKUP($B140,Games!$A$1:$I$20,5,FALSE)="Texas",ROUND(((VLOOKUP(VLOOKUP($B140,Games!$A$1:$I$20,6,FALSE),Players!$B$1:$F$40,4,FALSE)+VLOOKUP(VLOOKUP($B140,Games!$A$1:$I$20,7,FALSE),Players!$B$1:$F$40,4,FALSE)))*(3/8),1),ROUND(VLOOKUP(VLOOKUP($B140,Games!$A$1:$I$20,6,FALSE),Players!$B$1:$F$40,5,FALSE),1))</f>
        <v>#N/A</v>
      </c>
      <c r="J140" s="10">
        <f>IF(VLOOKUP($B140,Games!$A$1:$I$20,5,FALSE)="Texas",ROUND((VLOOKUP(VLOOKUP($B140,Games!$A$1:$I$20,8,FALSE),Players!$B$1:$F$40,4,FALSE)+VLOOKUP(VLOOKUP($B140,Games!$A$1:$I$20,9,FALSE),Players!$B$1:$F$40,4,FALSE))*(3/8),1),ROUND(VLOOKUP(VLOOKUP($B140,Games!$A$1:$I$20,8,FALSE),Players!$B$1:$F$40,5,FALSE),1))</f>
        <v>17</v>
      </c>
      <c r="K140" s="10" t="str">
        <f>VLOOKUP(B140,Games!$A$1:$I$20,3,FALSE)</f>
        <v>Golf Resort Barbora</v>
      </c>
      <c r="L140" s="10">
        <f>VLOOKUP(CONCATENATE($K140,$C140),'Field holes'!$B$1:$I$900,6,FALSE)</f>
        <v>4</v>
      </c>
      <c r="M140" s="10">
        <f>VLOOKUP(CONCATENATE($K140,$C140),'Field holes'!$B$1:$I$900,7,FALSE)</f>
        <v>9</v>
      </c>
    </row>
    <row r="141" spans="1:13" ht="13" x14ac:dyDescent="0.15">
      <c r="A141" s="16">
        <v>140</v>
      </c>
      <c r="B141" s="16">
        <v>8</v>
      </c>
      <c r="C141" s="17">
        <v>14</v>
      </c>
      <c r="F141" s="10" t="e">
        <f t="shared" si="2"/>
        <v>#N/A</v>
      </c>
      <c r="G141" s="10">
        <f t="shared" si="0"/>
        <v>4</v>
      </c>
      <c r="H141" s="10" t="str">
        <f t="shared" si="1"/>
        <v/>
      </c>
      <c r="I141" s="10" t="e">
        <f>IF(VLOOKUP($B141,Games!$A$1:$I$20,5,FALSE)="Texas",ROUND(((VLOOKUP(VLOOKUP($B141,Games!$A$1:$I$20,6,FALSE),Players!$B$1:$F$40,4,FALSE)+VLOOKUP(VLOOKUP($B141,Games!$A$1:$I$20,7,FALSE),Players!$B$1:$F$40,4,FALSE)))*(3/8),1),ROUND(VLOOKUP(VLOOKUP($B141,Games!$A$1:$I$20,6,FALSE),Players!$B$1:$F$40,5,FALSE),1))</f>
        <v>#N/A</v>
      </c>
      <c r="J141" s="10">
        <f>IF(VLOOKUP($B141,Games!$A$1:$I$20,5,FALSE)="Texas",ROUND((VLOOKUP(VLOOKUP($B141,Games!$A$1:$I$20,8,FALSE),Players!$B$1:$F$40,4,FALSE)+VLOOKUP(VLOOKUP($B141,Games!$A$1:$I$20,9,FALSE),Players!$B$1:$F$40,4,FALSE))*(3/8),1),ROUND(VLOOKUP(VLOOKUP($B141,Games!$A$1:$I$20,8,FALSE),Players!$B$1:$F$40,5,FALSE),1))</f>
        <v>17</v>
      </c>
      <c r="K141" s="10" t="str">
        <f>VLOOKUP(B141,Games!$A$1:$I$20,3,FALSE)</f>
        <v>Golf Resort Barbora</v>
      </c>
      <c r="L141" s="10">
        <f>VLOOKUP(CONCATENATE($K141,$C141),'Field holes'!$B$1:$I$900,6,FALSE)</f>
        <v>3</v>
      </c>
      <c r="M141" s="10">
        <f>VLOOKUP(CONCATENATE($K141,$C141),'Field holes'!$B$1:$I$900,7,FALSE)</f>
        <v>5</v>
      </c>
    </row>
    <row r="142" spans="1:13" ht="13" x14ac:dyDescent="0.15">
      <c r="A142" s="16">
        <v>141</v>
      </c>
      <c r="B142" s="16">
        <v>8</v>
      </c>
      <c r="C142" s="17">
        <v>15</v>
      </c>
      <c r="F142" s="10" t="e">
        <f t="shared" si="2"/>
        <v>#N/A</v>
      </c>
      <c r="G142" s="10">
        <f t="shared" si="0"/>
        <v>6</v>
      </c>
      <c r="H142" s="10" t="str">
        <f t="shared" si="1"/>
        <v/>
      </c>
      <c r="I142" s="10" t="e">
        <f>IF(VLOOKUP($B142,Games!$A$1:$I$20,5,FALSE)="Texas",ROUND(((VLOOKUP(VLOOKUP($B142,Games!$A$1:$I$20,6,FALSE),Players!$B$1:$F$40,4,FALSE)+VLOOKUP(VLOOKUP($B142,Games!$A$1:$I$20,7,FALSE),Players!$B$1:$F$40,4,FALSE)))*(3/8),1),ROUND(VLOOKUP(VLOOKUP($B142,Games!$A$1:$I$20,6,FALSE),Players!$B$1:$F$40,5,FALSE),1))</f>
        <v>#N/A</v>
      </c>
      <c r="J142" s="10">
        <f>IF(VLOOKUP($B142,Games!$A$1:$I$20,5,FALSE)="Texas",ROUND((VLOOKUP(VLOOKUP($B142,Games!$A$1:$I$20,8,FALSE),Players!$B$1:$F$40,4,FALSE)+VLOOKUP(VLOOKUP($B142,Games!$A$1:$I$20,9,FALSE),Players!$B$1:$F$40,4,FALSE))*(3/8),1),ROUND(VLOOKUP(VLOOKUP($B142,Games!$A$1:$I$20,8,FALSE),Players!$B$1:$F$40,5,FALSE),1))</f>
        <v>17</v>
      </c>
      <c r="K142" s="10" t="str">
        <f>VLOOKUP(B142,Games!$A$1:$I$20,3,FALSE)</f>
        <v>Golf Resort Barbora</v>
      </c>
      <c r="L142" s="10">
        <f>VLOOKUP(CONCATENATE($K142,$C142),'Field holes'!$B$1:$I$900,6,FALSE)</f>
        <v>5</v>
      </c>
      <c r="M142" s="10">
        <f>VLOOKUP(CONCATENATE($K142,$C142),'Field holes'!$B$1:$I$900,7,FALSE)</f>
        <v>1</v>
      </c>
    </row>
    <row r="143" spans="1:13" ht="13" x14ac:dyDescent="0.15">
      <c r="A143" s="16">
        <v>142</v>
      </c>
      <c r="B143" s="16">
        <v>8</v>
      </c>
      <c r="C143" s="17">
        <v>16</v>
      </c>
      <c r="F143" s="10" t="e">
        <f t="shared" si="2"/>
        <v>#N/A</v>
      </c>
      <c r="G143" s="10">
        <f t="shared" si="0"/>
        <v>4</v>
      </c>
      <c r="H143" s="10" t="str">
        <f t="shared" si="1"/>
        <v/>
      </c>
      <c r="I143" s="10" t="e">
        <f>IF(VLOOKUP($B143,Games!$A$1:$I$20,5,FALSE)="Texas",ROUND(((VLOOKUP(VLOOKUP($B143,Games!$A$1:$I$20,6,FALSE),Players!$B$1:$F$40,4,FALSE)+VLOOKUP(VLOOKUP($B143,Games!$A$1:$I$20,7,FALSE),Players!$B$1:$F$40,4,FALSE)))*(3/8),1),ROUND(VLOOKUP(VLOOKUP($B143,Games!$A$1:$I$20,6,FALSE),Players!$B$1:$F$40,5,FALSE),1))</f>
        <v>#N/A</v>
      </c>
      <c r="J143" s="10">
        <f>IF(VLOOKUP($B143,Games!$A$1:$I$20,5,FALSE)="Texas",ROUND((VLOOKUP(VLOOKUP($B143,Games!$A$1:$I$20,8,FALSE),Players!$B$1:$F$40,4,FALSE)+VLOOKUP(VLOOKUP($B143,Games!$A$1:$I$20,9,FALSE),Players!$B$1:$F$40,4,FALSE))*(3/8),1),ROUND(VLOOKUP(VLOOKUP($B143,Games!$A$1:$I$20,8,FALSE),Players!$B$1:$F$40,5,FALSE),1))</f>
        <v>17</v>
      </c>
      <c r="K143" s="10" t="str">
        <f>VLOOKUP(B143,Games!$A$1:$I$20,3,FALSE)</f>
        <v>Golf Resort Barbora</v>
      </c>
      <c r="L143" s="10">
        <f>VLOOKUP(CONCATENATE($K143,$C143),'Field holes'!$B$1:$I$900,6,FALSE)</f>
        <v>3</v>
      </c>
      <c r="M143" s="10">
        <f>VLOOKUP(CONCATENATE($K143,$C143),'Field holes'!$B$1:$I$900,7,FALSE)</f>
        <v>13</v>
      </c>
    </row>
    <row r="144" spans="1:13" ht="13" x14ac:dyDescent="0.15">
      <c r="A144" s="16">
        <v>143</v>
      </c>
      <c r="B144" s="16">
        <v>8</v>
      </c>
      <c r="C144" s="17">
        <v>17</v>
      </c>
      <c r="F144" s="10" t="e">
        <f t="shared" si="2"/>
        <v>#N/A</v>
      </c>
      <c r="G144" s="10">
        <f t="shared" si="0"/>
        <v>6</v>
      </c>
      <c r="H144" s="10" t="str">
        <f t="shared" si="1"/>
        <v/>
      </c>
      <c r="I144" s="10" t="e">
        <f>IF(VLOOKUP($B144,Games!$A$1:$I$20,5,FALSE)="Texas",ROUND(((VLOOKUP(VLOOKUP($B144,Games!$A$1:$I$20,6,FALSE),Players!$B$1:$F$40,4,FALSE)+VLOOKUP(VLOOKUP($B144,Games!$A$1:$I$20,7,FALSE),Players!$B$1:$F$40,4,FALSE)))*(3/8),1),ROUND(VLOOKUP(VLOOKUP($B144,Games!$A$1:$I$20,6,FALSE),Players!$B$1:$F$40,5,FALSE),1))</f>
        <v>#N/A</v>
      </c>
      <c r="J144" s="10">
        <f>IF(VLOOKUP($B144,Games!$A$1:$I$20,5,FALSE)="Texas",ROUND((VLOOKUP(VLOOKUP($B144,Games!$A$1:$I$20,8,FALSE),Players!$B$1:$F$40,4,FALSE)+VLOOKUP(VLOOKUP($B144,Games!$A$1:$I$20,9,FALSE),Players!$B$1:$F$40,4,FALSE))*(3/8),1),ROUND(VLOOKUP(VLOOKUP($B144,Games!$A$1:$I$20,8,FALSE),Players!$B$1:$F$40,5,FALSE),1))</f>
        <v>17</v>
      </c>
      <c r="K144" s="10" t="str">
        <f>VLOOKUP(B144,Games!$A$1:$I$20,3,FALSE)</f>
        <v>Golf Resort Barbora</v>
      </c>
      <c r="L144" s="10">
        <f>VLOOKUP(CONCATENATE($K144,$C144),'Field holes'!$B$1:$I$900,6,FALSE)</f>
        <v>5</v>
      </c>
      <c r="M144" s="10">
        <f>VLOOKUP(CONCATENATE($K144,$C144),'Field holes'!$B$1:$I$900,7,FALSE)</f>
        <v>15</v>
      </c>
    </row>
    <row r="145" spans="1:13" ht="13" x14ac:dyDescent="0.15">
      <c r="A145" s="16">
        <v>144</v>
      </c>
      <c r="B145" s="16">
        <v>8</v>
      </c>
      <c r="C145" s="17">
        <v>18</v>
      </c>
      <c r="F145" s="10" t="e">
        <f t="shared" si="2"/>
        <v>#N/A</v>
      </c>
      <c r="G145" s="10">
        <f t="shared" si="0"/>
        <v>5</v>
      </c>
      <c r="H145" s="10" t="str">
        <f t="shared" si="1"/>
        <v/>
      </c>
      <c r="I145" s="10" t="e">
        <f>IF(VLOOKUP($B145,Games!$A$1:$I$20,5,FALSE)="Texas",ROUND(((VLOOKUP(VLOOKUP($B145,Games!$A$1:$I$20,6,FALSE),Players!$B$1:$F$40,4,FALSE)+VLOOKUP(VLOOKUP($B145,Games!$A$1:$I$20,7,FALSE),Players!$B$1:$F$40,4,FALSE)))*(3/8),1),ROUND(VLOOKUP(VLOOKUP($B145,Games!$A$1:$I$20,6,FALSE),Players!$B$1:$F$40,5,FALSE),1))</f>
        <v>#N/A</v>
      </c>
      <c r="J145" s="10">
        <f>IF(VLOOKUP($B145,Games!$A$1:$I$20,5,FALSE)="Texas",ROUND((VLOOKUP(VLOOKUP($B145,Games!$A$1:$I$20,8,FALSE),Players!$B$1:$F$40,4,FALSE)+VLOOKUP(VLOOKUP($B145,Games!$A$1:$I$20,9,FALSE),Players!$B$1:$F$40,4,FALSE))*(3/8),1),ROUND(VLOOKUP(VLOOKUP($B145,Games!$A$1:$I$20,8,FALSE),Players!$B$1:$F$40,5,FALSE),1))</f>
        <v>17</v>
      </c>
      <c r="K145" s="10" t="str">
        <f>VLOOKUP(B145,Games!$A$1:$I$20,3,FALSE)</f>
        <v>Golf Resort Barbora</v>
      </c>
      <c r="L145" s="10">
        <f>VLOOKUP(CONCATENATE($K145,$C145),'Field holes'!$B$1:$I$900,6,FALSE)</f>
        <v>4</v>
      </c>
      <c r="M145" s="10">
        <f>VLOOKUP(CONCATENATE($K145,$C145),'Field holes'!$B$1:$I$900,7,FALSE)</f>
        <v>3</v>
      </c>
    </row>
    <row r="146" spans="1:13" ht="13" x14ac:dyDescent="0.15">
      <c r="A146" s="16">
        <v>145</v>
      </c>
      <c r="B146" s="16">
        <v>9</v>
      </c>
      <c r="C146" s="17">
        <v>1</v>
      </c>
      <c r="F146" s="10" t="e">
        <f t="shared" si="2"/>
        <v>#N/A</v>
      </c>
      <c r="G146" s="10">
        <f t="shared" si="0"/>
        <v>5</v>
      </c>
      <c r="H146" s="10" t="str">
        <f t="shared" si="1"/>
        <v/>
      </c>
      <c r="I146" s="10" t="e">
        <f>IF(VLOOKUP($B146,Games!$A$1:$I$20,5,FALSE)="Texas",ROUND(((VLOOKUP(VLOOKUP($B146,Games!$A$1:$I$20,6,FALSE),Players!$B$1:$F$40,4,FALSE)+VLOOKUP(VLOOKUP($B146,Games!$A$1:$I$20,7,FALSE),Players!$B$1:$F$40,4,FALSE)))*(3/8),1),ROUND(VLOOKUP(VLOOKUP($B146,Games!$A$1:$I$20,6,FALSE),Players!$B$1:$F$40,5,FALSE),1))</f>
        <v>#N/A</v>
      </c>
      <c r="J146" s="10">
        <f>IF(VLOOKUP($B146,Games!$A$1:$I$20,5,FALSE)="Texas",ROUND((VLOOKUP(VLOOKUP($B146,Games!$A$1:$I$20,8,FALSE),Players!$B$1:$F$40,4,FALSE)+VLOOKUP(VLOOKUP($B146,Games!$A$1:$I$20,9,FALSE),Players!$B$1:$F$40,4,FALSE))*(3/8),1),ROUND(VLOOKUP(VLOOKUP($B146,Games!$A$1:$I$20,8,FALSE),Players!$B$1:$F$40,5,FALSE),1))</f>
        <v>24</v>
      </c>
      <c r="K146" s="10" t="str">
        <f>VLOOKUP(B146,Games!$A$1:$I$20,3,FALSE)</f>
        <v>Golf Resort Barbora</v>
      </c>
      <c r="L146" s="10">
        <f>VLOOKUP(CONCATENATE($K146,$C146),'Field holes'!$B$1:$I$900,6,FALSE)</f>
        <v>4</v>
      </c>
      <c r="M146" s="10">
        <f>VLOOKUP(CONCATENATE($K146,$C146),'Field holes'!$B$1:$I$900,7,FALSE)</f>
        <v>10</v>
      </c>
    </row>
    <row r="147" spans="1:13" ht="13" x14ac:dyDescent="0.15">
      <c r="A147" s="16">
        <v>146</v>
      </c>
      <c r="B147" s="16">
        <v>9</v>
      </c>
      <c r="C147" s="17">
        <v>2</v>
      </c>
      <c r="F147" s="10" t="e">
        <f t="shared" si="2"/>
        <v>#N/A</v>
      </c>
      <c r="G147" s="10">
        <f t="shared" si="0"/>
        <v>7</v>
      </c>
      <c r="H147" s="10" t="str">
        <f t="shared" si="1"/>
        <v/>
      </c>
      <c r="I147" s="10" t="e">
        <f>IF(VLOOKUP($B147,Games!$A$1:$I$20,5,FALSE)="Texas",ROUND(((VLOOKUP(VLOOKUP($B147,Games!$A$1:$I$20,6,FALSE),Players!$B$1:$F$40,4,FALSE)+VLOOKUP(VLOOKUP($B147,Games!$A$1:$I$20,7,FALSE),Players!$B$1:$F$40,4,FALSE)))*(3/8),1),ROUND(VLOOKUP(VLOOKUP($B147,Games!$A$1:$I$20,6,FALSE),Players!$B$1:$F$40,5,FALSE),1))</f>
        <v>#N/A</v>
      </c>
      <c r="J147" s="10">
        <f>IF(VLOOKUP($B147,Games!$A$1:$I$20,5,FALSE)="Texas",ROUND((VLOOKUP(VLOOKUP($B147,Games!$A$1:$I$20,8,FALSE),Players!$B$1:$F$40,4,FALSE)+VLOOKUP(VLOOKUP($B147,Games!$A$1:$I$20,9,FALSE),Players!$B$1:$F$40,4,FALSE))*(3/8),1),ROUND(VLOOKUP(VLOOKUP($B147,Games!$A$1:$I$20,8,FALSE),Players!$B$1:$F$40,5,FALSE),1))</f>
        <v>24</v>
      </c>
      <c r="K147" s="10" t="str">
        <f>VLOOKUP(B147,Games!$A$1:$I$20,3,FALSE)</f>
        <v>Golf Resort Barbora</v>
      </c>
      <c r="L147" s="10">
        <f>VLOOKUP(CONCATENATE($K147,$C147),'Field holes'!$B$1:$I$900,6,FALSE)</f>
        <v>5</v>
      </c>
      <c r="M147" s="10">
        <f>VLOOKUP(CONCATENATE($K147,$C147),'Field holes'!$B$1:$I$900,7,FALSE)</f>
        <v>4</v>
      </c>
    </row>
    <row r="148" spans="1:13" ht="13" x14ac:dyDescent="0.15">
      <c r="A148" s="16">
        <v>147</v>
      </c>
      <c r="B148" s="16">
        <v>9</v>
      </c>
      <c r="C148" s="17">
        <v>3</v>
      </c>
      <c r="F148" s="10" t="e">
        <f t="shared" si="2"/>
        <v>#N/A</v>
      </c>
      <c r="G148" s="10">
        <f t="shared" si="0"/>
        <v>4</v>
      </c>
      <c r="H148" s="10" t="str">
        <f t="shared" si="1"/>
        <v/>
      </c>
      <c r="I148" s="10" t="e">
        <f>IF(VLOOKUP($B148,Games!$A$1:$I$20,5,FALSE)="Texas",ROUND(((VLOOKUP(VLOOKUP($B148,Games!$A$1:$I$20,6,FALSE),Players!$B$1:$F$40,4,FALSE)+VLOOKUP(VLOOKUP($B148,Games!$A$1:$I$20,7,FALSE),Players!$B$1:$F$40,4,FALSE)))*(3/8),1),ROUND(VLOOKUP(VLOOKUP($B148,Games!$A$1:$I$20,6,FALSE),Players!$B$1:$F$40,5,FALSE),1))</f>
        <v>#N/A</v>
      </c>
      <c r="J148" s="10">
        <f>IF(VLOOKUP($B148,Games!$A$1:$I$20,5,FALSE)="Texas",ROUND((VLOOKUP(VLOOKUP($B148,Games!$A$1:$I$20,8,FALSE),Players!$B$1:$F$40,4,FALSE)+VLOOKUP(VLOOKUP($B148,Games!$A$1:$I$20,9,FALSE),Players!$B$1:$F$40,4,FALSE))*(3/8),1),ROUND(VLOOKUP(VLOOKUP($B148,Games!$A$1:$I$20,8,FALSE),Players!$B$1:$F$40,5,FALSE),1))</f>
        <v>24</v>
      </c>
      <c r="K148" s="10" t="str">
        <f>VLOOKUP(B148,Games!$A$1:$I$20,3,FALSE)</f>
        <v>Golf Resort Barbora</v>
      </c>
      <c r="L148" s="10">
        <f>VLOOKUP(CONCATENATE($K148,$C148),'Field holes'!$B$1:$I$900,6,FALSE)</f>
        <v>3</v>
      </c>
      <c r="M148" s="10">
        <f>VLOOKUP(CONCATENATE($K148,$C148),'Field holes'!$B$1:$I$900,7,FALSE)</f>
        <v>12</v>
      </c>
    </row>
    <row r="149" spans="1:13" ht="13" x14ac:dyDescent="0.15">
      <c r="A149" s="16">
        <v>148</v>
      </c>
      <c r="B149" s="16">
        <v>9</v>
      </c>
      <c r="C149" s="17">
        <v>4</v>
      </c>
      <c r="F149" s="10" t="e">
        <f t="shared" si="2"/>
        <v>#N/A</v>
      </c>
      <c r="G149" s="10">
        <f t="shared" si="0"/>
        <v>6</v>
      </c>
      <c r="H149" s="10" t="str">
        <f t="shared" si="1"/>
        <v/>
      </c>
      <c r="I149" s="10" t="e">
        <f>IF(VLOOKUP($B149,Games!$A$1:$I$20,5,FALSE)="Texas",ROUND(((VLOOKUP(VLOOKUP($B149,Games!$A$1:$I$20,6,FALSE),Players!$B$1:$F$40,4,FALSE)+VLOOKUP(VLOOKUP($B149,Games!$A$1:$I$20,7,FALSE),Players!$B$1:$F$40,4,FALSE)))*(3/8),1),ROUND(VLOOKUP(VLOOKUP($B149,Games!$A$1:$I$20,6,FALSE),Players!$B$1:$F$40,5,FALSE),1))</f>
        <v>#N/A</v>
      </c>
      <c r="J149" s="10">
        <f>IF(VLOOKUP($B149,Games!$A$1:$I$20,5,FALSE)="Texas",ROUND((VLOOKUP(VLOOKUP($B149,Games!$A$1:$I$20,8,FALSE),Players!$B$1:$F$40,4,FALSE)+VLOOKUP(VLOOKUP($B149,Games!$A$1:$I$20,9,FALSE),Players!$B$1:$F$40,4,FALSE))*(3/8),1),ROUND(VLOOKUP(VLOOKUP($B149,Games!$A$1:$I$20,8,FALSE),Players!$B$1:$F$40,5,FALSE),1))</f>
        <v>24</v>
      </c>
      <c r="K149" s="10" t="str">
        <f>VLOOKUP(B149,Games!$A$1:$I$20,3,FALSE)</f>
        <v>Golf Resort Barbora</v>
      </c>
      <c r="L149" s="10">
        <f>VLOOKUP(CONCATENATE($K149,$C149),'Field holes'!$B$1:$I$900,6,FALSE)</f>
        <v>4</v>
      </c>
      <c r="M149" s="10">
        <f>VLOOKUP(CONCATENATE($K149,$C149),'Field holes'!$B$1:$I$900,7,FALSE)</f>
        <v>2</v>
      </c>
    </row>
    <row r="150" spans="1:13" ht="13" x14ac:dyDescent="0.15">
      <c r="A150" s="16">
        <v>149</v>
      </c>
      <c r="B150" s="16">
        <v>9</v>
      </c>
      <c r="C150" s="17">
        <v>5</v>
      </c>
      <c r="F150" s="10" t="e">
        <f t="shared" si="2"/>
        <v>#N/A</v>
      </c>
      <c r="G150" s="10">
        <f t="shared" si="0"/>
        <v>5</v>
      </c>
      <c r="H150" s="10" t="str">
        <f t="shared" si="1"/>
        <v/>
      </c>
      <c r="I150" s="10" t="e">
        <f>IF(VLOOKUP($B150,Games!$A$1:$I$20,5,FALSE)="Texas",ROUND(((VLOOKUP(VLOOKUP($B150,Games!$A$1:$I$20,6,FALSE),Players!$B$1:$F$40,4,FALSE)+VLOOKUP(VLOOKUP($B150,Games!$A$1:$I$20,7,FALSE),Players!$B$1:$F$40,4,FALSE)))*(3/8),1),ROUND(VLOOKUP(VLOOKUP($B150,Games!$A$1:$I$20,6,FALSE),Players!$B$1:$F$40,5,FALSE),1))</f>
        <v>#N/A</v>
      </c>
      <c r="J150" s="10">
        <f>IF(VLOOKUP($B150,Games!$A$1:$I$20,5,FALSE)="Texas",ROUND((VLOOKUP(VLOOKUP($B150,Games!$A$1:$I$20,8,FALSE),Players!$B$1:$F$40,4,FALSE)+VLOOKUP(VLOOKUP($B150,Games!$A$1:$I$20,9,FALSE),Players!$B$1:$F$40,4,FALSE))*(3/8),1),ROUND(VLOOKUP(VLOOKUP($B150,Games!$A$1:$I$20,8,FALSE),Players!$B$1:$F$40,5,FALSE),1))</f>
        <v>24</v>
      </c>
      <c r="K150" s="10" t="str">
        <f>VLOOKUP(B150,Games!$A$1:$I$20,3,FALSE)</f>
        <v>Golf Resort Barbora</v>
      </c>
      <c r="L150" s="10">
        <f>VLOOKUP(CONCATENATE($K150,$C150),'Field holes'!$B$1:$I$900,6,FALSE)</f>
        <v>4</v>
      </c>
      <c r="M150" s="10">
        <f>VLOOKUP(CONCATENATE($K150,$C150),'Field holes'!$B$1:$I$900,7,FALSE)</f>
        <v>14</v>
      </c>
    </row>
    <row r="151" spans="1:13" ht="13" x14ac:dyDescent="0.15">
      <c r="A151" s="16">
        <v>150</v>
      </c>
      <c r="B151" s="16">
        <v>9</v>
      </c>
      <c r="C151" s="17">
        <v>6</v>
      </c>
      <c r="F151" s="10" t="e">
        <f t="shared" si="2"/>
        <v>#N/A</v>
      </c>
      <c r="G151" s="10">
        <f t="shared" si="0"/>
        <v>6</v>
      </c>
      <c r="H151" s="10" t="str">
        <f t="shared" si="1"/>
        <v/>
      </c>
      <c r="I151" s="10" t="e">
        <f>IF(VLOOKUP($B151,Games!$A$1:$I$20,5,FALSE)="Texas",ROUND(((VLOOKUP(VLOOKUP($B151,Games!$A$1:$I$20,6,FALSE),Players!$B$1:$F$40,4,FALSE)+VLOOKUP(VLOOKUP($B151,Games!$A$1:$I$20,7,FALSE),Players!$B$1:$F$40,4,FALSE)))*(3/8),1),ROUND(VLOOKUP(VLOOKUP($B151,Games!$A$1:$I$20,6,FALSE),Players!$B$1:$F$40,5,FALSE),1))</f>
        <v>#N/A</v>
      </c>
      <c r="J151" s="10">
        <f>IF(VLOOKUP($B151,Games!$A$1:$I$20,5,FALSE)="Texas",ROUND((VLOOKUP(VLOOKUP($B151,Games!$A$1:$I$20,8,FALSE),Players!$B$1:$F$40,4,FALSE)+VLOOKUP(VLOOKUP($B151,Games!$A$1:$I$20,9,FALSE),Players!$B$1:$F$40,4,FALSE))*(3/8),1),ROUND(VLOOKUP(VLOOKUP($B151,Games!$A$1:$I$20,8,FALSE),Players!$B$1:$F$40,5,FALSE),1))</f>
        <v>24</v>
      </c>
      <c r="K151" s="10" t="str">
        <f>VLOOKUP(B151,Games!$A$1:$I$20,3,FALSE)</f>
        <v>Golf Resort Barbora</v>
      </c>
      <c r="L151" s="10">
        <f>VLOOKUP(CONCATENATE($K151,$C151),'Field holes'!$B$1:$I$900,6,FALSE)</f>
        <v>5</v>
      </c>
      <c r="M151" s="10">
        <f>VLOOKUP(CONCATENATE($K151,$C151),'Field holes'!$B$1:$I$900,7,FALSE)</f>
        <v>8</v>
      </c>
    </row>
    <row r="152" spans="1:13" ht="13" x14ac:dyDescent="0.15">
      <c r="A152" s="16">
        <v>151</v>
      </c>
      <c r="B152" s="16">
        <v>9</v>
      </c>
      <c r="C152" s="17">
        <v>7</v>
      </c>
      <c r="F152" s="10" t="e">
        <f t="shared" si="2"/>
        <v>#N/A</v>
      </c>
      <c r="G152" s="10">
        <f t="shared" si="0"/>
        <v>5</v>
      </c>
      <c r="H152" s="10" t="str">
        <f t="shared" si="1"/>
        <v/>
      </c>
      <c r="I152" s="10" t="e">
        <f>IF(VLOOKUP($B152,Games!$A$1:$I$20,5,FALSE)="Texas",ROUND(((VLOOKUP(VLOOKUP($B152,Games!$A$1:$I$20,6,FALSE),Players!$B$1:$F$40,4,FALSE)+VLOOKUP(VLOOKUP($B152,Games!$A$1:$I$20,7,FALSE),Players!$B$1:$F$40,4,FALSE)))*(3/8),1),ROUND(VLOOKUP(VLOOKUP($B152,Games!$A$1:$I$20,6,FALSE),Players!$B$1:$F$40,5,FALSE),1))</f>
        <v>#N/A</v>
      </c>
      <c r="J152" s="10">
        <f>IF(VLOOKUP($B152,Games!$A$1:$I$20,5,FALSE)="Texas",ROUND((VLOOKUP(VLOOKUP($B152,Games!$A$1:$I$20,8,FALSE),Players!$B$1:$F$40,4,FALSE)+VLOOKUP(VLOOKUP($B152,Games!$A$1:$I$20,9,FALSE),Players!$B$1:$F$40,4,FALSE))*(3/8),1),ROUND(VLOOKUP(VLOOKUP($B152,Games!$A$1:$I$20,8,FALSE),Players!$B$1:$F$40,5,FALSE),1))</f>
        <v>24</v>
      </c>
      <c r="K152" s="10" t="str">
        <f>VLOOKUP(B152,Games!$A$1:$I$20,3,FALSE)</f>
        <v>Golf Resort Barbora</v>
      </c>
      <c r="L152" s="10">
        <f>VLOOKUP(CONCATENATE($K152,$C152),'Field holes'!$B$1:$I$900,6,FALSE)</f>
        <v>4</v>
      </c>
      <c r="M152" s="10">
        <f>VLOOKUP(CONCATENATE($K152,$C152),'Field holes'!$B$1:$I$900,7,FALSE)</f>
        <v>16</v>
      </c>
    </row>
    <row r="153" spans="1:13" ht="13" x14ac:dyDescent="0.15">
      <c r="A153" s="16">
        <v>152</v>
      </c>
      <c r="B153" s="16">
        <v>9</v>
      </c>
      <c r="C153" s="17">
        <v>8</v>
      </c>
      <c r="F153" s="10" t="e">
        <f t="shared" si="2"/>
        <v>#N/A</v>
      </c>
      <c r="G153" s="10">
        <f t="shared" si="0"/>
        <v>6</v>
      </c>
      <c r="H153" s="10" t="str">
        <f t="shared" si="1"/>
        <v/>
      </c>
      <c r="I153" s="10" t="e">
        <f>IF(VLOOKUP($B153,Games!$A$1:$I$20,5,FALSE)="Texas",ROUND(((VLOOKUP(VLOOKUP($B153,Games!$A$1:$I$20,6,FALSE),Players!$B$1:$F$40,4,FALSE)+VLOOKUP(VLOOKUP($B153,Games!$A$1:$I$20,7,FALSE),Players!$B$1:$F$40,4,FALSE)))*(3/8),1),ROUND(VLOOKUP(VLOOKUP($B153,Games!$A$1:$I$20,6,FALSE),Players!$B$1:$F$40,5,FALSE),1))</f>
        <v>#N/A</v>
      </c>
      <c r="J153" s="10">
        <f>IF(VLOOKUP($B153,Games!$A$1:$I$20,5,FALSE)="Texas",ROUND((VLOOKUP(VLOOKUP($B153,Games!$A$1:$I$20,8,FALSE),Players!$B$1:$F$40,4,FALSE)+VLOOKUP(VLOOKUP($B153,Games!$A$1:$I$20,9,FALSE),Players!$B$1:$F$40,4,FALSE))*(3/8),1),ROUND(VLOOKUP(VLOOKUP($B153,Games!$A$1:$I$20,8,FALSE),Players!$B$1:$F$40,5,FALSE),1))</f>
        <v>24</v>
      </c>
      <c r="K153" s="10" t="str">
        <f>VLOOKUP(B153,Games!$A$1:$I$20,3,FALSE)</f>
        <v>Golf Resort Barbora</v>
      </c>
      <c r="L153" s="10">
        <f>VLOOKUP(CONCATENATE($K153,$C153),'Field holes'!$B$1:$I$900,6,FALSE)</f>
        <v>4</v>
      </c>
      <c r="M153" s="10">
        <f>VLOOKUP(CONCATENATE($K153,$C153),'Field holes'!$B$1:$I$900,7,FALSE)</f>
        <v>6</v>
      </c>
    </row>
    <row r="154" spans="1:13" ht="13" x14ac:dyDescent="0.15">
      <c r="A154" s="16">
        <v>153</v>
      </c>
      <c r="B154" s="16">
        <v>9</v>
      </c>
      <c r="C154" s="17">
        <v>9</v>
      </c>
      <c r="F154" s="10" t="e">
        <f t="shared" si="2"/>
        <v>#N/A</v>
      </c>
      <c r="G154" s="10">
        <f t="shared" si="0"/>
        <v>4</v>
      </c>
      <c r="H154" s="10" t="str">
        <f t="shared" si="1"/>
        <v/>
      </c>
      <c r="I154" s="10" t="e">
        <f>IF(VLOOKUP($B154,Games!$A$1:$I$20,5,FALSE)="Texas",ROUND(((VLOOKUP(VLOOKUP($B154,Games!$A$1:$I$20,6,FALSE),Players!$B$1:$F$40,4,FALSE)+VLOOKUP(VLOOKUP($B154,Games!$A$1:$I$20,7,FALSE),Players!$B$1:$F$40,4,FALSE)))*(3/8),1),ROUND(VLOOKUP(VLOOKUP($B154,Games!$A$1:$I$20,6,FALSE),Players!$B$1:$F$40,5,FALSE),1))</f>
        <v>#N/A</v>
      </c>
      <c r="J154" s="10">
        <f>IF(VLOOKUP($B154,Games!$A$1:$I$20,5,FALSE)="Texas",ROUND((VLOOKUP(VLOOKUP($B154,Games!$A$1:$I$20,8,FALSE),Players!$B$1:$F$40,4,FALSE)+VLOOKUP(VLOOKUP($B154,Games!$A$1:$I$20,9,FALSE),Players!$B$1:$F$40,4,FALSE))*(3/8),1),ROUND(VLOOKUP(VLOOKUP($B154,Games!$A$1:$I$20,8,FALSE),Players!$B$1:$F$40,5,FALSE),1))</f>
        <v>24</v>
      </c>
      <c r="K154" s="10" t="str">
        <f>VLOOKUP(B154,Games!$A$1:$I$20,3,FALSE)</f>
        <v>Golf Resort Barbora</v>
      </c>
      <c r="L154" s="10">
        <f>VLOOKUP(CONCATENATE($K154,$C154),'Field holes'!$B$1:$I$900,6,FALSE)</f>
        <v>3</v>
      </c>
      <c r="M154" s="10">
        <f>VLOOKUP(CONCATENATE($K154,$C154),'Field holes'!$B$1:$I$900,7,FALSE)</f>
        <v>18</v>
      </c>
    </row>
    <row r="155" spans="1:13" ht="13" x14ac:dyDescent="0.15">
      <c r="A155" s="16">
        <v>154</v>
      </c>
      <c r="B155" s="16">
        <v>9</v>
      </c>
      <c r="C155" s="17">
        <v>10</v>
      </c>
      <c r="F155" s="10" t="e">
        <f t="shared" si="2"/>
        <v>#N/A</v>
      </c>
      <c r="G155" s="10">
        <f t="shared" si="0"/>
        <v>6</v>
      </c>
      <c r="H155" s="10" t="str">
        <f t="shared" si="1"/>
        <v/>
      </c>
      <c r="I155" s="10" t="e">
        <f>IF(VLOOKUP($B155,Games!$A$1:$I$20,5,FALSE)="Texas",ROUND(((VLOOKUP(VLOOKUP($B155,Games!$A$1:$I$20,6,FALSE),Players!$B$1:$F$40,4,FALSE)+VLOOKUP(VLOOKUP($B155,Games!$A$1:$I$20,7,FALSE),Players!$B$1:$F$40,4,FALSE)))*(3/8),1),ROUND(VLOOKUP(VLOOKUP($B155,Games!$A$1:$I$20,6,FALSE),Players!$B$1:$F$40,5,FALSE),1))</f>
        <v>#N/A</v>
      </c>
      <c r="J155" s="10">
        <f>IF(VLOOKUP($B155,Games!$A$1:$I$20,5,FALSE)="Texas",ROUND((VLOOKUP(VLOOKUP($B155,Games!$A$1:$I$20,8,FALSE),Players!$B$1:$F$40,4,FALSE)+VLOOKUP(VLOOKUP($B155,Games!$A$1:$I$20,9,FALSE),Players!$B$1:$F$40,4,FALSE))*(3/8),1),ROUND(VLOOKUP(VLOOKUP($B155,Games!$A$1:$I$20,8,FALSE),Players!$B$1:$F$40,5,FALSE),1))</f>
        <v>24</v>
      </c>
      <c r="K155" s="10" t="str">
        <f>VLOOKUP(B155,Games!$A$1:$I$20,3,FALSE)</f>
        <v>Golf Resort Barbora</v>
      </c>
      <c r="L155" s="10">
        <f>VLOOKUP(CONCATENATE($K155,$C155),'Field holes'!$B$1:$I$900,6,FALSE)</f>
        <v>5</v>
      </c>
      <c r="M155" s="10">
        <f>VLOOKUP(CONCATENATE($K155,$C155),'Field holes'!$B$1:$I$900,7,FALSE)</f>
        <v>11</v>
      </c>
    </row>
    <row r="156" spans="1:13" ht="13" x14ac:dyDescent="0.15">
      <c r="A156" s="16">
        <v>155</v>
      </c>
      <c r="B156" s="16">
        <v>9</v>
      </c>
      <c r="C156" s="17">
        <v>11</v>
      </c>
      <c r="F156" s="10" t="e">
        <f t="shared" si="2"/>
        <v>#N/A</v>
      </c>
      <c r="G156" s="10">
        <f t="shared" si="0"/>
        <v>4</v>
      </c>
      <c r="H156" s="10" t="str">
        <f t="shared" si="1"/>
        <v/>
      </c>
      <c r="I156" s="10" t="e">
        <f>IF(VLOOKUP($B156,Games!$A$1:$I$20,5,FALSE)="Texas",ROUND(((VLOOKUP(VLOOKUP($B156,Games!$A$1:$I$20,6,FALSE),Players!$B$1:$F$40,4,FALSE)+VLOOKUP(VLOOKUP($B156,Games!$A$1:$I$20,7,FALSE),Players!$B$1:$F$40,4,FALSE)))*(3/8),1),ROUND(VLOOKUP(VLOOKUP($B156,Games!$A$1:$I$20,6,FALSE),Players!$B$1:$F$40,5,FALSE),1))</f>
        <v>#N/A</v>
      </c>
      <c r="J156" s="10">
        <f>IF(VLOOKUP($B156,Games!$A$1:$I$20,5,FALSE)="Texas",ROUND((VLOOKUP(VLOOKUP($B156,Games!$A$1:$I$20,8,FALSE),Players!$B$1:$F$40,4,FALSE)+VLOOKUP(VLOOKUP($B156,Games!$A$1:$I$20,9,FALSE),Players!$B$1:$F$40,4,FALSE))*(3/8),1),ROUND(VLOOKUP(VLOOKUP($B156,Games!$A$1:$I$20,8,FALSE),Players!$B$1:$F$40,5,FALSE),1))</f>
        <v>24</v>
      </c>
      <c r="K156" s="10" t="str">
        <f>VLOOKUP(B156,Games!$A$1:$I$20,3,FALSE)</f>
        <v>Golf Resort Barbora</v>
      </c>
      <c r="L156" s="10">
        <f>VLOOKUP(CONCATENATE($K156,$C156),'Field holes'!$B$1:$I$900,6,FALSE)</f>
        <v>3</v>
      </c>
      <c r="M156" s="10">
        <f>VLOOKUP(CONCATENATE($K156,$C156),'Field holes'!$B$1:$I$900,7,FALSE)</f>
        <v>7</v>
      </c>
    </row>
    <row r="157" spans="1:13" ht="13" x14ac:dyDescent="0.15">
      <c r="A157" s="16">
        <v>156</v>
      </c>
      <c r="B157" s="16">
        <v>9</v>
      </c>
      <c r="C157" s="17">
        <v>12</v>
      </c>
      <c r="F157" s="10" t="e">
        <f t="shared" si="2"/>
        <v>#N/A</v>
      </c>
      <c r="G157" s="10">
        <f t="shared" si="0"/>
        <v>5</v>
      </c>
      <c r="H157" s="10" t="str">
        <f t="shared" si="1"/>
        <v/>
      </c>
      <c r="I157" s="10" t="e">
        <f>IF(VLOOKUP($B157,Games!$A$1:$I$20,5,FALSE)="Texas",ROUND(((VLOOKUP(VLOOKUP($B157,Games!$A$1:$I$20,6,FALSE),Players!$B$1:$F$40,4,FALSE)+VLOOKUP(VLOOKUP($B157,Games!$A$1:$I$20,7,FALSE),Players!$B$1:$F$40,4,FALSE)))*(3/8),1),ROUND(VLOOKUP(VLOOKUP($B157,Games!$A$1:$I$20,6,FALSE),Players!$B$1:$F$40,5,FALSE),1))</f>
        <v>#N/A</v>
      </c>
      <c r="J157" s="10">
        <f>IF(VLOOKUP($B157,Games!$A$1:$I$20,5,FALSE)="Texas",ROUND((VLOOKUP(VLOOKUP($B157,Games!$A$1:$I$20,8,FALSE),Players!$B$1:$F$40,4,FALSE)+VLOOKUP(VLOOKUP($B157,Games!$A$1:$I$20,9,FALSE),Players!$B$1:$F$40,4,FALSE))*(3/8),1),ROUND(VLOOKUP(VLOOKUP($B157,Games!$A$1:$I$20,8,FALSE),Players!$B$1:$F$40,5,FALSE),1))</f>
        <v>24</v>
      </c>
      <c r="K157" s="10" t="str">
        <f>VLOOKUP(B157,Games!$A$1:$I$20,3,FALSE)</f>
        <v>Golf Resort Barbora</v>
      </c>
      <c r="L157" s="10">
        <f>VLOOKUP(CONCATENATE($K157,$C157),'Field holes'!$B$1:$I$900,6,FALSE)</f>
        <v>4</v>
      </c>
      <c r="M157" s="10">
        <f>VLOOKUP(CONCATENATE($K157,$C157),'Field holes'!$B$1:$I$900,7,FALSE)</f>
        <v>17</v>
      </c>
    </row>
    <row r="158" spans="1:13" ht="13" x14ac:dyDescent="0.15">
      <c r="A158" s="16">
        <v>157</v>
      </c>
      <c r="B158" s="16">
        <v>9</v>
      </c>
      <c r="C158" s="17">
        <v>13</v>
      </c>
      <c r="F158" s="10" t="e">
        <f t="shared" si="2"/>
        <v>#N/A</v>
      </c>
      <c r="G158" s="10">
        <f t="shared" si="0"/>
        <v>5</v>
      </c>
      <c r="H158" s="10" t="str">
        <f t="shared" si="1"/>
        <v/>
      </c>
      <c r="I158" s="10" t="e">
        <f>IF(VLOOKUP($B158,Games!$A$1:$I$20,5,FALSE)="Texas",ROUND(((VLOOKUP(VLOOKUP($B158,Games!$A$1:$I$20,6,FALSE),Players!$B$1:$F$40,4,FALSE)+VLOOKUP(VLOOKUP($B158,Games!$A$1:$I$20,7,FALSE),Players!$B$1:$F$40,4,FALSE)))*(3/8),1),ROUND(VLOOKUP(VLOOKUP($B158,Games!$A$1:$I$20,6,FALSE),Players!$B$1:$F$40,5,FALSE),1))</f>
        <v>#N/A</v>
      </c>
      <c r="J158" s="10">
        <f>IF(VLOOKUP($B158,Games!$A$1:$I$20,5,FALSE)="Texas",ROUND((VLOOKUP(VLOOKUP($B158,Games!$A$1:$I$20,8,FALSE),Players!$B$1:$F$40,4,FALSE)+VLOOKUP(VLOOKUP($B158,Games!$A$1:$I$20,9,FALSE),Players!$B$1:$F$40,4,FALSE))*(3/8),1),ROUND(VLOOKUP(VLOOKUP($B158,Games!$A$1:$I$20,8,FALSE),Players!$B$1:$F$40,5,FALSE),1))</f>
        <v>24</v>
      </c>
      <c r="K158" s="10" t="str">
        <f>VLOOKUP(B158,Games!$A$1:$I$20,3,FALSE)</f>
        <v>Golf Resort Barbora</v>
      </c>
      <c r="L158" s="10">
        <f>VLOOKUP(CONCATENATE($K158,$C158),'Field holes'!$B$1:$I$900,6,FALSE)</f>
        <v>4</v>
      </c>
      <c r="M158" s="10">
        <f>VLOOKUP(CONCATENATE($K158,$C158),'Field holes'!$B$1:$I$900,7,FALSE)</f>
        <v>9</v>
      </c>
    </row>
    <row r="159" spans="1:13" ht="13" x14ac:dyDescent="0.15">
      <c r="A159" s="16">
        <v>158</v>
      </c>
      <c r="B159" s="16">
        <v>9</v>
      </c>
      <c r="C159" s="17">
        <v>14</v>
      </c>
      <c r="F159" s="10" t="e">
        <f t="shared" si="2"/>
        <v>#N/A</v>
      </c>
      <c r="G159" s="10">
        <f t="shared" si="0"/>
        <v>5</v>
      </c>
      <c r="H159" s="10" t="str">
        <f t="shared" si="1"/>
        <v/>
      </c>
      <c r="I159" s="10" t="e">
        <f>IF(VLOOKUP($B159,Games!$A$1:$I$20,5,FALSE)="Texas",ROUND(((VLOOKUP(VLOOKUP($B159,Games!$A$1:$I$20,6,FALSE),Players!$B$1:$F$40,4,FALSE)+VLOOKUP(VLOOKUP($B159,Games!$A$1:$I$20,7,FALSE),Players!$B$1:$F$40,4,FALSE)))*(3/8),1),ROUND(VLOOKUP(VLOOKUP($B159,Games!$A$1:$I$20,6,FALSE),Players!$B$1:$F$40,5,FALSE),1))</f>
        <v>#N/A</v>
      </c>
      <c r="J159" s="10">
        <f>IF(VLOOKUP($B159,Games!$A$1:$I$20,5,FALSE)="Texas",ROUND((VLOOKUP(VLOOKUP($B159,Games!$A$1:$I$20,8,FALSE),Players!$B$1:$F$40,4,FALSE)+VLOOKUP(VLOOKUP($B159,Games!$A$1:$I$20,9,FALSE),Players!$B$1:$F$40,4,FALSE))*(3/8),1),ROUND(VLOOKUP(VLOOKUP($B159,Games!$A$1:$I$20,8,FALSE),Players!$B$1:$F$40,5,FALSE),1))</f>
        <v>24</v>
      </c>
      <c r="K159" s="10" t="str">
        <f>VLOOKUP(B159,Games!$A$1:$I$20,3,FALSE)</f>
        <v>Golf Resort Barbora</v>
      </c>
      <c r="L159" s="10">
        <f>VLOOKUP(CONCATENATE($K159,$C159),'Field holes'!$B$1:$I$900,6,FALSE)</f>
        <v>3</v>
      </c>
      <c r="M159" s="10">
        <f>VLOOKUP(CONCATENATE($K159,$C159),'Field holes'!$B$1:$I$900,7,FALSE)</f>
        <v>5</v>
      </c>
    </row>
    <row r="160" spans="1:13" ht="13" x14ac:dyDescent="0.15">
      <c r="A160" s="16">
        <v>159</v>
      </c>
      <c r="B160" s="16">
        <v>9</v>
      </c>
      <c r="C160" s="17">
        <v>15</v>
      </c>
      <c r="F160" s="10" t="e">
        <f t="shared" si="2"/>
        <v>#N/A</v>
      </c>
      <c r="G160" s="10">
        <f t="shared" si="0"/>
        <v>7</v>
      </c>
      <c r="H160" s="10" t="str">
        <f t="shared" si="1"/>
        <v/>
      </c>
      <c r="I160" s="10" t="e">
        <f>IF(VLOOKUP($B160,Games!$A$1:$I$20,5,FALSE)="Texas",ROUND(((VLOOKUP(VLOOKUP($B160,Games!$A$1:$I$20,6,FALSE),Players!$B$1:$F$40,4,FALSE)+VLOOKUP(VLOOKUP($B160,Games!$A$1:$I$20,7,FALSE),Players!$B$1:$F$40,4,FALSE)))*(3/8),1),ROUND(VLOOKUP(VLOOKUP($B160,Games!$A$1:$I$20,6,FALSE),Players!$B$1:$F$40,5,FALSE),1))</f>
        <v>#N/A</v>
      </c>
      <c r="J160" s="10">
        <f>IF(VLOOKUP($B160,Games!$A$1:$I$20,5,FALSE)="Texas",ROUND((VLOOKUP(VLOOKUP($B160,Games!$A$1:$I$20,8,FALSE),Players!$B$1:$F$40,4,FALSE)+VLOOKUP(VLOOKUP($B160,Games!$A$1:$I$20,9,FALSE),Players!$B$1:$F$40,4,FALSE))*(3/8),1),ROUND(VLOOKUP(VLOOKUP($B160,Games!$A$1:$I$20,8,FALSE),Players!$B$1:$F$40,5,FALSE),1))</f>
        <v>24</v>
      </c>
      <c r="K160" s="10" t="str">
        <f>VLOOKUP(B160,Games!$A$1:$I$20,3,FALSE)</f>
        <v>Golf Resort Barbora</v>
      </c>
      <c r="L160" s="10">
        <f>VLOOKUP(CONCATENATE($K160,$C160),'Field holes'!$B$1:$I$900,6,FALSE)</f>
        <v>5</v>
      </c>
      <c r="M160" s="10">
        <f>VLOOKUP(CONCATENATE($K160,$C160),'Field holes'!$B$1:$I$900,7,FALSE)</f>
        <v>1</v>
      </c>
    </row>
    <row r="161" spans="1:13" ht="13" x14ac:dyDescent="0.15">
      <c r="A161" s="16">
        <v>160</v>
      </c>
      <c r="B161" s="16">
        <v>9</v>
      </c>
      <c r="C161" s="17">
        <v>16</v>
      </c>
      <c r="F161" s="10" t="e">
        <f t="shared" si="2"/>
        <v>#N/A</v>
      </c>
      <c r="G161" s="10">
        <f t="shared" si="0"/>
        <v>4</v>
      </c>
      <c r="H161" s="10" t="str">
        <f t="shared" si="1"/>
        <v/>
      </c>
      <c r="I161" s="10" t="e">
        <f>IF(VLOOKUP($B161,Games!$A$1:$I$20,5,FALSE)="Texas",ROUND(((VLOOKUP(VLOOKUP($B161,Games!$A$1:$I$20,6,FALSE),Players!$B$1:$F$40,4,FALSE)+VLOOKUP(VLOOKUP($B161,Games!$A$1:$I$20,7,FALSE),Players!$B$1:$F$40,4,FALSE)))*(3/8),1),ROUND(VLOOKUP(VLOOKUP($B161,Games!$A$1:$I$20,6,FALSE),Players!$B$1:$F$40,5,FALSE),1))</f>
        <v>#N/A</v>
      </c>
      <c r="J161" s="10">
        <f>IF(VLOOKUP($B161,Games!$A$1:$I$20,5,FALSE)="Texas",ROUND((VLOOKUP(VLOOKUP($B161,Games!$A$1:$I$20,8,FALSE),Players!$B$1:$F$40,4,FALSE)+VLOOKUP(VLOOKUP($B161,Games!$A$1:$I$20,9,FALSE),Players!$B$1:$F$40,4,FALSE))*(3/8),1),ROUND(VLOOKUP(VLOOKUP($B161,Games!$A$1:$I$20,8,FALSE),Players!$B$1:$F$40,5,FALSE),1))</f>
        <v>24</v>
      </c>
      <c r="K161" s="10" t="str">
        <f>VLOOKUP(B161,Games!$A$1:$I$20,3,FALSE)</f>
        <v>Golf Resort Barbora</v>
      </c>
      <c r="L161" s="10">
        <f>VLOOKUP(CONCATENATE($K161,$C161),'Field holes'!$B$1:$I$900,6,FALSE)</f>
        <v>3</v>
      </c>
      <c r="M161" s="10">
        <f>VLOOKUP(CONCATENATE($K161,$C161),'Field holes'!$B$1:$I$900,7,FALSE)</f>
        <v>13</v>
      </c>
    </row>
    <row r="162" spans="1:13" ht="13" x14ac:dyDescent="0.15">
      <c r="A162" s="16">
        <v>161</v>
      </c>
      <c r="B162" s="16">
        <v>9</v>
      </c>
      <c r="C162" s="17">
        <v>17</v>
      </c>
      <c r="F162" s="10" t="e">
        <f t="shared" si="2"/>
        <v>#N/A</v>
      </c>
      <c r="G162" s="10">
        <f t="shared" si="0"/>
        <v>6</v>
      </c>
      <c r="H162" s="10" t="str">
        <f t="shared" si="1"/>
        <v/>
      </c>
      <c r="I162" s="10" t="e">
        <f>IF(VLOOKUP($B162,Games!$A$1:$I$20,5,FALSE)="Texas",ROUND(((VLOOKUP(VLOOKUP($B162,Games!$A$1:$I$20,6,FALSE),Players!$B$1:$F$40,4,FALSE)+VLOOKUP(VLOOKUP($B162,Games!$A$1:$I$20,7,FALSE),Players!$B$1:$F$40,4,FALSE)))*(3/8),1),ROUND(VLOOKUP(VLOOKUP($B162,Games!$A$1:$I$20,6,FALSE),Players!$B$1:$F$40,5,FALSE),1))</f>
        <v>#N/A</v>
      </c>
      <c r="J162" s="10">
        <f>IF(VLOOKUP($B162,Games!$A$1:$I$20,5,FALSE)="Texas",ROUND((VLOOKUP(VLOOKUP($B162,Games!$A$1:$I$20,8,FALSE),Players!$B$1:$F$40,4,FALSE)+VLOOKUP(VLOOKUP($B162,Games!$A$1:$I$20,9,FALSE),Players!$B$1:$F$40,4,FALSE))*(3/8),1),ROUND(VLOOKUP(VLOOKUP($B162,Games!$A$1:$I$20,8,FALSE),Players!$B$1:$F$40,5,FALSE),1))</f>
        <v>24</v>
      </c>
      <c r="K162" s="10" t="str">
        <f>VLOOKUP(B162,Games!$A$1:$I$20,3,FALSE)</f>
        <v>Golf Resort Barbora</v>
      </c>
      <c r="L162" s="10">
        <f>VLOOKUP(CONCATENATE($K162,$C162),'Field holes'!$B$1:$I$900,6,FALSE)</f>
        <v>5</v>
      </c>
      <c r="M162" s="10">
        <f>VLOOKUP(CONCATENATE($K162,$C162),'Field holes'!$B$1:$I$900,7,FALSE)</f>
        <v>15</v>
      </c>
    </row>
    <row r="163" spans="1:13" ht="13" x14ac:dyDescent="0.15">
      <c r="A163" s="16">
        <v>162</v>
      </c>
      <c r="B163" s="16">
        <v>9</v>
      </c>
      <c r="C163" s="17">
        <v>18</v>
      </c>
      <c r="F163" s="10" t="e">
        <f t="shared" si="2"/>
        <v>#N/A</v>
      </c>
      <c r="G163" s="10">
        <f t="shared" si="0"/>
        <v>6</v>
      </c>
      <c r="H163" s="10" t="str">
        <f t="shared" si="1"/>
        <v/>
      </c>
      <c r="I163" s="10" t="e">
        <f>IF(VLOOKUP($B163,Games!$A$1:$I$20,5,FALSE)="Texas",ROUND(((VLOOKUP(VLOOKUP($B163,Games!$A$1:$I$20,6,FALSE),Players!$B$1:$F$40,4,FALSE)+VLOOKUP(VLOOKUP($B163,Games!$A$1:$I$20,7,FALSE),Players!$B$1:$F$40,4,FALSE)))*(3/8),1),ROUND(VLOOKUP(VLOOKUP($B163,Games!$A$1:$I$20,6,FALSE),Players!$B$1:$F$40,5,FALSE),1))</f>
        <v>#N/A</v>
      </c>
      <c r="J163" s="10">
        <f>IF(VLOOKUP($B163,Games!$A$1:$I$20,5,FALSE)="Texas",ROUND((VLOOKUP(VLOOKUP($B163,Games!$A$1:$I$20,8,FALSE),Players!$B$1:$F$40,4,FALSE)+VLOOKUP(VLOOKUP($B163,Games!$A$1:$I$20,9,FALSE),Players!$B$1:$F$40,4,FALSE))*(3/8),1),ROUND(VLOOKUP(VLOOKUP($B163,Games!$A$1:$I$20,8,FALSE),Players!$B$1:$F$40,5,FALSE),1))</f>
        <v>24</v>
      </c>
      <c r="K163" s="10" t="str">
        <f>VLOOKUP(B163,Games!$A$1:$I$20,3,FALSE)</f>
        <v>Golf Resort Barbora</v>
      </c>
      <c r="L163" s="10">
        <f>VLOOKUP(CONCATENATE($K163,$C163),'Field holes'!$B$1:$I$900,6,FALSE)</f>
        <v>4</v>
      </c>
      <c r="M163" s="10">
        <f>VLOOKUP(CONCATENATE($K163,$C163),'Field holes'!$B$1:$I$900,7,FALSE)</f>
        <v>3</v>
      </c>
    </row>
    <row r="164" spans="1:13" ht="13" x14ac:dyDescent="0.15">
      <c r="A164" s="16">
        <v>163</v>
      </c>
      <c r="B164" s="16">
        <v>10</v>
      </c>
      <c r="C164" s="17">
        <v>1</v>
      </c>
      <c r="F164" s="10" t="e">
        <f t="shared" si="2"/>
        <v>#N/A</v>
      </c>
      <c r="G164" s="10">
        <f t="shared" si="0"/>
        <v>5</v>
      </c>
      <c r="H164" s="10" t="str">
        <f t="shared" si="1"/>
        <v/>
      </c>
      <c r="I164" s="10" t="e">
        <f>IF(VLOOKUP($B164,Games!$A$1:$I$20,5,FALSE)="Texas",ROUND(((VLOOKUP(VLOOKUP($B164,Games!$A$1:$I$20,6,FALSE),Players!$B$1:$F$40,4,FALSE)+VLOOKUP(VLOOKUP($B164,Games!$A$1:$I$20,7,FALSE),Players!$B$1:$F$40,4,FALSE)))*(3/8),1),ROUND(VLOOKUP(VLOOKUP($B164,Games!$A$1:$I$20,6,FALSE),Players!$B$1:$F$40,5,FALSE),1))</f>
        <v>#N/A</v>
      </c>
      <c r="J164" s="10">
        <f>IF(VLOOKUP($B164,Games!$A$1:$I$20,5,FALSE)="Texas",ROUND((VLOOKUP(VLOOKUP($B164,Games!$A$1:$I$20,8,FALSE),Players!$B$1:$F$40,4,FALSE)+VLOOKUP(VLOOKUP($B164,Games!$A$1:$I$20,9,FALSE),Players!$B$1:$F$40,4,FALSE))*(3/8),1),ROUND(VLOOKUP(VLOOKUP($B164,Games!$A$1:$I$20,8,FALSE),Players!$B$1:$F$40,5,FALSE),1))</f>
        <v>26</v>
      </c>
      <c r="K164" s="10" t="str">
        <f>VLOOKUP(B164,Games!$A$1:$I$20,3,FALSE)</f>
        <v>Golf Resort Barbora</v>
      </c>
      <c r="L164" s="10">
        <f>VLOOKUP(CONCATENATE($K164,$C164),'Field holes'!$B$1:$I$900,6,FALSE)</f>
        <v>4</v>
      </c>
      <c r="M164" s="10">
        <f>VLOOKUP(CONCATENATE($K164,$C164),'Field holes'!$B$1:$I$900,7,FALSE)</f>
        <v>10</v>
      </c>
    </row>
    <row r="165" spans="1:13" ht="13" x14ac:dyDescent="0.15">
      <c r="A165" s="16">
        <v>164</v>
      </c>
      <c r="B165" s="16">
        <v>10</v>
      </c>
      <c r="C165" s="17">
        <v>2</v>
      </c>
      <c r="F165" s="10" t="e">
        <f t="shared" si="2"/>
        <v>#N/A</v>
      </c>
      <c r="G165" s="10">
        <f t="shared" si="0"/>
        <v>7</v>
      </c>
      <c r="H165" s="10" t="str">
        <f t="shared" si="1"/>
        <v/>
      </c>
      <c r="I165" s="10" t="e">
        <f>IF(VLOOKUP($B165,Games!$A$1:$I$20,5,FALSE)="Texas",ROUND(((VLOOKUP(VLOOKUP($B165,Games!$A$1:$I$20,6,FALSE),Players!$B$1:$F$40,4,FALSE)+VLOOKUP(VLOOKUP($B165,Games!$A$1:$I$20,7,FALSE),Players!$B$1:$F$40,4,FALSE)))*(3/8),1),ROUND(VLOOKUP(VLOOKUP($B165,Games!$A$1:$I$20,6,FALSE),Players!$B$1:$F$40,5,FALSE),1))</f>
        <v>#N/A</v>
      </c>
      <c r="J165" s="10">
        <f>IF(VLOOKUP($B165,Games!$A$1:$I$20,5,FALSE)="Texas",ROUND((VLOOKUP(VLOOKUP($B165,Games!$A$1:$I$20,8,FALSE),Players!$B$1:$F$40,4,FALSE)+VLOOKUP(VLOOKUP($B165,Games!$A$1:$I$20,9,FALSE),Players!$B$1:$F$40,4,FALSE))*(3/8),1),ROUND(VLOOKUP(VLOOKUP($B165,Games!$A$1:$I$20,8,FALSE),Players!$B$1:$F$40,5,FALSE),1))</f>
        <v>26</v>
      </c>
      <c r="K165" s="10" t="str">
        <f>VLOOKUP(B165,Games!$A$1:$I$20,3,FALSE)</f>
        <v>Golf Resort Barbora</v>
      </c>
      <c r="L165" s="10">
        <f>VLOOKUP(CONCATENATE($K165,$C165),'Field holes'!$B$1:$I$900,6,FALSE)</f>
        <v>5</v>
      </c>
      <c r="M165" s="10">
        <f>VLOOKUP(CONCATENATE($K165,$C165),'Field holes'!$B$1:$I$900,7,FALSE)</f>
        <v>4</v>
      </c>
    </row>
    <row r="166" spans="1:13" ht="13" x14ac:dyDescent="0.15">
      <c r="A166" s="16">
        <v>165</v>
      </c>
      <c r="B166" s="16">
        <v>10</v>
      </c>
      <c r="C166" s="17">
        <v>3</v>
      </c>
      <c r="F166" s="10" t="e">
        <f t="shared" si="2"/>
        <v>#N/A</v>
      </c>
      <c r="G166" s="10">
        <f t="shared" si="0"/>
        <v>4</v>
      </c>
      <c r="H166" s="10" t="str">
        <f t="shared" si="1"/>
        <v/>
      </c>
      <c r="I166" s="10" t="e">
        <f>IF(VLOOKUP($B166,Games!$A$1:$I$20,5,FALSE)="Texas",ROUND(((VLOOKUP(VLOOKUP($B166,Games!$A$1:$I$20,6,FALSE),Players!$B$1:$F$40,4,FALSE)+VLOOKUP(VLOOKUP($B166,Games!$A$1:$I$20,7,FALSE),Players!$B$1:$F$40,4,FALSE)))*(3/8),1),ROUND(VLOOKUP(VLOOKUP($B166,Games!$A$1:$I$20,6,FALSE),Players!$B$1:$F$40,5,FALSE),1))</f>
        <v>#N/A</v>
      </c>
      <c r="J166" s="10">
        <f>IF(VLOOKUP($B166,Games!$A$1:$I$20,5,FALSE)="Texas",ROUND((VLOOKUP(VLOOKUP($B166,Games!$A$1:$I$20,8,FALSE),Players!$B$1:$F$40,4,FALSE)+VLOOKUP(VLOOKUP($B166,Games!$A$1:$I$20,9,FALSE),Players!$B$1:$F$40,4,FALSE))*(3/8),1),ROUND(VLOOKUP(VLOOKUP($B166,Games!$A$1:$I$20,8,FALSE),Players!$B$1:$F$40,5,FALSE),1))</f>
        <v>26</v>
      </c>
      <c r="K166" s="10" t="str">
        <f>VLOOKUP(B166,Games!$A$1:$I$20,3,FALSE)</f>
        <v>Golf Resort Barbora</v>
      </c>
      <c r="L166" s="10">
        <f>VLOOKUP(CONCATENATE($K166,$C166),'Field holes'!$B$1:$I$900,6,FALSE)</f>
        <v>3</v>
      </c>
      <c r="M166" s="10">
        <f>VLOOKUP(CONCATENATE($K166,$C166),'Field holes'!$B$1:$I$900,7,FALSE)</f>
        <v>12</v>
      </c>
    </row>
    <row r="167" spans="1:13" ht="13" x14ac:dyDescent="0.15">
      <c r="A167" s="16">
        <v>166</v>
      </c>
      <c r="B167" s="16">
        <v>10</v>
      </c>
      <c r="C167" s="17">
        <v>4</v>
      </c>
      <c r="F167" s="10" t="e">
        <f t="shared" si="2"/>
        <v>#N/A</v>
      </c>
      <c r="G167" s="10">
        <f t="shared" si="0"/>
        <v>6</v>
      </c>
      <c r="H167" s="10" t="str">
        <f t="shared" si="1"/>
        <v/>
      </c>
      <c r="I167" s="10" t="e">
        <f>IF(VLOOKUP($B167,Games!$A$1:$I$20,5,FALSE)="Texas",ROUND(((VLOOKUP(VLOOKUP($B167,Games!$A$1:$I$20,6,FALSE),Players!$B$1:$F$40,4,FALSE)+VLOOKUP(VLOOKUP($B167,Games!$A$1:$I$20,7,FALSE),Players!$B$1:$F$40,4,FALSE)))*(3/8),1),ROUND(VLOOKUP(VLOOKUP($B167,Games!$A$1:$I$20,6,FALSE),Players!$B$1:$F$40,5,FALSE),1))</f>
        <v>#N/A</v>
      </c>
      <c r="J167" s="10">
        <f>IF(VLOOKUP($B167,Games!$A$1:$I$20,5,FALSE)="Texas",ROUND((VLOOKUP(VLOOKUP($B167,Games!$A$1:$I$20,8,FALSE),Players!$B$1:$F$40,4,FALSE)+VLOOKUP(VLOOKUP($B167,Games!$A$1:$I$20,9,FALSE),Players!$B$1:$F$40,4,FALSE))*(3/8),1),ROUND(VLOOKUP(VLOOKUP($B167,Games!$A$1:$I$20,8,FALSE),Players!$B$1:$F$40,5,FALSE),1))</f>
        <v>26</v>
      </c>
      <c r="K167" s="10" t="str">
        <f>VLOOKUP(B167,Games!$A$1:$I$20,3,FALSE)</f>
        <v>Golf Resort Barbora</v>
      </c>
      <c r="L167" s="10">
        <f>VLOOKUP(CONCATENATE($K167,$C167),'Field holes'!$B$1:$I$900,6,FALSE)</f>
        <v>4</v>
      </c>
      <c r="M167" s="10">
        <f>VLOOKUP(CONCATENATE($K167,$C167),'Field holes'!$B$1:$I$900,7,FALSE)</f>
        <v>2</v>
      </c>
    </row>
    <row r="168" spans="1:13" ht="13" x14ac:dyDescent="0.15">
      <c r="A168" s="16">
        <v>167</v>
      </c>
      <c r="B168" s="16">
        <v>10</v>
      </c>
      <c r="C168" s="17">
        <v>5</v>
      </c>
      <c r="F168" s="10" t="e">
        <f t="shared" si="2"/>
        <v>#N/A</v>
      </c>
      <c r="G168" s="10">
        <f t="shared" si="0"/>
        <v>5</v>
      </c>
      <c r="H168" s="10" t="str">
        <f t="shared" si="1"/>
        <v/>
      </c>
      <c r="I168" s="10" t="e">
        <f>IF(VLOOKUP($B168,Games!$A$1:$I$20,5,FALSE)="Texas",ROUND(((VLOOKUP(VLOOKUP($B168,Games!$A$1:$I$20,6,FALSE),Players!$B$1:$F$40,4,FALSE)+VLOOKUP(VLOOKUP($B168,Games!$A$1:$I$20,7,FALSE),Players!$B$1:$F$40,4,FALSE)))*(3/8),1),ROUND(VLOOKUP(VLOOKUP($B168,Games!$A$1:$I$20,6,FALSE),Players!$B$1:$F$40,5,FALSE),1))</f>
        <v>#N/A</v>
      </c>
      <c r="J168" s="10">
        <f>IF(VLOOKUP($B168,Games!$A$1:$I$20,5,FALSE)="Texas",ROUND((VLOOKUP(VLOOKUP($B168,Games!$A$1:$I$20,8,FALSE),Players!$B$1:$F$40,4,FALSE)+VLOOKUP(VLOOKUP($B168,Games!$A$1:$I$20,9,FALSE),Players!$B$1:$F$40,4,FALSE))*(3/8),1),ROUND(VLOOKUP(VLOOKUP($B168,Games!$A$1:$I$20,8,FALSE),Players!$B$1:$F$40,5,FALSE),1))</f>
        <v>26</v>
      </c>
      <c r="K168" s="10" t="str">
        <f>VLOOKUP(B168,Games!$A$1:$I$20,3,FALSE)</f>
        <v>Golf Resort Barbora</v>
      </c>
      <c r="L168" s="10">
        <f>VLOOKUP(CONCATENATE($K168,$C168),'Field holes'!$B$1:$I$900,6,FALSE)</f>
        <v>4</v>
      </c>
      <c r="M168" s="10">
        <f>VLOOKUP(CONCATENATE($K168,$C168),'Field holes'!$B$1:$I$900,7,FALSE)</f>
        <v>14</v>
      </c>
    </row>
    <row r="169" spans="1:13" ht="13" x14ac:dyDescent="0.15">
      <c r="A169" s="16">
        <v>168</v>
      </c>
      <c r="B169" s="16">
        <v>10</v>
      </c>
      <c r="C169" s="17">
        <v>6</v>
      </c>
      <c r="F169" s="10" t="e">
        <f t="shared" si="2"/>
        <v>#N/A</v>
      </c>
      <c r="G169" s="10">
        <f t="shared" si="0"/>
        <v>7</v>
      </c>
      <c r="H169" s="10" t="str">
        <f t="shared" si="1"/>
        <v/>
      </c>
      <c r="I169" s="10" t="e">
        <f>IF(VLOOKUP($B169,Games!$A$1:$I$20,5,FALSE)="Texas",ROUND(((VLOOKUP(VLOOKUP($B169,Games!$A$1:$I$20,6,FALSE),Players!$B$1:$F$40,4,FALSE)+VLOOKUP(VLOOKUP($B169,Games!$A$1:$I$20,7,FALSE),Players!$B$1:$F$40,4,FALSE)))*(3/8),1),ROUND(VLOOKUP(VLOOKUP($B169,Games!$A$1:$I$20,6,FALSE),Players!$B$1:$F$40,5,FALSE),1))</f>
        <v>#N/A</v>
      </c>
      <c r="J169" s="10">
        <f>IF(VLOOKUP($B169,Games!$A$1:$I$20,5,FALSE)="Texas",ROUND((VLOOKUP(VLOOKUP($B169,Games!$A$1:$I$20,8,FALSE),Players!$B$1:$F$40,4,FALSE)+VLOOKUP(VLOOKUP($B169,Games!$A$1:$I$20,9,FALSE),Players!$B$1:$F$40,4,FALSE))*(3/8),1),ROUND(VLOOKUP(VLOOKUP($B169,Games!$A$1:$I$20,8,FALSE),Players!$B$1:$F$40,5,FALSE),1))</f>
        <v>26</v>
      </c>
      <c r="K169" s="10" t="str">
        <f>VLOOKUP(B169,Games!$A$1:$I$20,3,FALSE)</f>
        <v>Golf Resort Barbora</v>
      </c>
      <c r="L169" s="10">
        <f>VLOOKUP(CONCATENATE($K169,$C169),'Field holes'!$B$1:$I$900,6,FALSE)</f>
        <v>5</v>
      </c>
      <c r="M169" s="10">
        <f>VLOOKUP(CONCATENATE($K169,$C169),'Field holes'!$B$1:$I$900,7,FALSE)</f>
        <v>8</v>
      </c>
    </row>
    <row r="170" spans="1:13" ht="13" x14ac:dyDescent="0.15">
      <c r="A170" s="16">
        <v>169</v>
      </c>
      <c r="B170" s="16">
        <v>10</v>
      </c>
      <c r="C170" s="17">
        <v>7</v>
      </c>
      <c r="F170" s="10" t="e">
        <f t="shared" si="2"/>
        <v>#N/A</v>
      </c>
      <c r="G170" s="10">
        <f t="shared" si="0"/>
        <v>5</v>
      </c>
      <c r="H170" s="10" t="str">
        <f t="shared" si="1"/>
        <v/>
      </c>
      <c r="I170" s="10" t="e">
        <f>IF(VLOOKUP($B170,Games!$A$1:$I$20,5,FALSE)="Texas",ROUND(((VLOOKUP(VLOOKUP($B170,Games!$A$1:$I$20,6,FALSE),Players!$B$1:$F$40,4,FALSE)+VLOOKUP(VLOOKUP($B170,Games!$A$1:$I$20,7,FALSE),Players!$B$1:$F$40,4,FALSE)))*(3/8),1),ROUND(VLOOKUP(VLOOKUP($B170,Games!$A$1:$I$20,6,FALSE),Players!$B$1:$F$40,5,FALSE),1))</f>
        <v>#N/A</v>
      </c>
      <c r="J170" s="10">
        <f>IF(VLOOKUP($B170,Games!$A$1:$I$20,5,FALSE)="Texas",ROUND((VLOOKUP(VLOOKUP($B170,Games!$A$1:$I$20,8,FALSE),Players!$B$1:$F$40,4,FALSE)+VLOOKUP(VLOOKUP($B170,Games!$A$1:$I$20,9,FALSE),Players!$B$1:$F$40,4,FALSE))*(3/8),1),ROUND(VLOOKUP(VLOOKUP($B170,Games!$A$1:$I$20,8,FALSE),Players!$B$1:$F$40,5,FALSE),1))</f>
        <v>26</v>
      </c>
      <c r="K170" s="10" t="str">
        <f>VLOOKUP(B170,Games!$A$1:$I$20,3,FALSE)</f>
        <v>Golf Resort Barbora</v>
      </c>
      <c r="L170" s="10">
        <f>VLOOKUP(CONCATENATE($K170,$C170),'Field holes'!$B$1:$I$900,6,FALSE)</f>
        <v>4</v>
      </c>
      <c r="M170" s="10">
        <f>VLOOKUP(CONCATENATE($K170,$C170),'Field holes'!$B$1:$I$900,7,FALSE)</f>
        <v>16</v>
      </c>
    </row>
    <row r="171" spans="1:13" ht="13" x14ac:dyDescent="0.15">
      <c r="A171" s="16">
        <v>170</v>
      </c>
      <c r="B171" s="16">
        <v>10</v>
      </c>
      <c r="C171" s="17">
        <v>8</v>
      </c>
      <c r="F171" s="10" t="e">
        <f t="shared" si="2"/>
        <v>#N/A</v>
      </c>
      <c r="G171" s="10">
        <f t="shared" si="0"/>
        <v>6</v>
      </c>
      <c r="H171" s="10" t="str">
        <f t="shared" si="1"/>
        <v/>
      </c>
      <c r="I171" s="10" t="e">
        <f>IF(VLOOKUP($B171,Games!$A$1:$I$20,5,FALSE)="Texas",ROUND(((VLOOKUP(VLOOKUP($B171,Games!$A$1:$I$20,6,FALSE),Players!$B$1:$F$40,4,FALSE)+VLOOKUP(VLOOKUP($B171,Games!$A$1:$I$20,7,FALSE),Players!$B$1:$F$40,4,FALSE)))*(3/8),1),ROUND(VLOOKUP(VLOOKUP($B171,Games!$A$1:$I$20,6,FALSE),Players!$B$1:$F$40,5,FALSE),1))</f>
        <v>#N/A</v>
      </c>
      <c r="J171" s="10">
        <f>IF(VLOOKUP($B171,Games!$A$1:$I$20,5,FALSE)="Texas",ROUND((VLOOKUP(VLOOKUP($B171,Games!$A$1:$I$20,8,FALSE),Players!$B$1:$F$40,4,FALSE)+VLOOKUP(VLOOKUP($B171,Games!$A$1:$I$20,9,FALSE),Players!$B$1:$F$40,4,FALSE))*(3/8),1),ROUND(VLOOKUP(VLOOKUP($B171,Games!$A$1:$I$20,8,FALSE),Players!$B$1:$F$40,5,FALSE),1))</f>
        <v>26</v>
      </c>
      <c r="K171" s="10" t="str">
        <f>VLOOKUP(B171,Games!$A$1:$I$20,3,FALSE)</f>
        <v>Golf Resort Barbora</v>
      </c>
      <c r="L171" s="10">
        <f>VLOOKUP(CONCATENATE($K171,$C171),'Field holes'!$B$1:$I$900,6,FALSE)</f>
        <v>4</v>
      </c>
      <c r="M171" s="10">
        <f>VLOOKUP(CONCATENATE($K171,$C171),'Field holes'!$B$1:$I$900,7,FALSE)</f>
        <v>6</v>
      </c>
    </row>
    <row r="172" spans="1:13" ht="13" x14ac:dyDescent="0.15">
      <c r="A172" s="16">
        <v>171</v>
      </c>
      <c r="B172" s="16">
        <v>10</v>
      </c>
      <c r="C172" s="17">
        <v>9</v>
      </c>
      <c r="F172" s="10" t="e">
        <f t="shared" si="2"/>
        <v>#N/A</v>
      </c>
      <c r="G172" s="10">
        <f t="shared" si="0"/>
        <v>4</v>
      </c>
      <c r="H172" s="10" t="str">
        <f t="shared" si="1"/>
        <v/>
      </c>
      <c r="I172" s="10" t="e">
        <f>IF(VLOOKUP($B172,Games!$A$1:$I$20,5,FALSE)="Texas",ROUND(((VLOOKUP(VLOOKUP($B172,Games!$A$1:$I$20,6,FALSE),Players!$B$1:$F$40,4,FALSE)+VLOOKUP(VLOOKUP($B172,Games!$A$1:$I$20,7,FALSE),Players!$B$1:$F$40,4,FALSE)))*(3/8),1),ROUND(VLOOKUP(VLOOKUP($B172,Games!$A$1:$I$20,6,FALSE),Players!$B$1:$F$40,5,FALSE),1))</f>
        <v>#N/A</v>
      </c>
      <c r="J172" s="10">
        <f>IF(VLOOKUP($B172,Games!$A$1:$I$20,5,FALSE)="Texas",ROUND((VLOOKUP(VLOOKUP($B172,Games!$A$1:$I$20,8,FALSE),Players!$B$1:$F$40,4,FALSE)+VLOOKUP(VLOOKUP($B172,Games!$A$1:$I$20,9,FALSE),Players!$B$1:$F$40,4,FALSE))*(3/8),1),ROUND(VLOOKUP(VLOOKUP($B172,Games!$A$1:$I$20,8,FALSE),Players!$B$1:$F$40,5,FALSE),1))</f>
        <v>26</v>
      </c>
      <c r="K172" s="10" t="str">
        <f>VLOOKUP(B172,Games!$A$1:$I$20,3,FALSE)</f>
        <v>Golf Resort Barbora</v>
      </c>
      <c r="L172" s="10">
        <f>VLOOKUP(CONCATENATE($K172,$C172),'Field holes'!$B$1:$I$900,6,FALSE)</f>
        <v>3</v>
      </c>
      <c r="M172" s="10">
        <f>VLOOKUP(CONCATENATE($K172,$C172),'Field holes'!$B$1:$I$900,7,FALSE)</f>
        <v>18</v>
      </c>
    </row>
    <row r="173" spans="1:13" ht="13" x14ac:dyDescent="0.15">
      <c r="A173" s="16">
        <v>172</v>
      </c>
      <c r="B173" s="16">
        <v>10</v>
      </c>
      <c r="C173" s="17">
        <v>10</v>
      </c>
      <c r="F173" s="10" t="e">
        <f t="shared" si="2"/>
        <v>#N/A</v>
      </c>
      <c r="G173" s="10">
        <f t="shared" si="0"/>
        <v>6</v>
      </c>
      <c r="H173" s="10" t="str">
        <f t="shared" si="1"/>
        <v/>
      </c>
      <c r="I173" s="10" t="e">
        <f>IF(VLOOKUP($B173,Games!$A$1:$I$20,5,FALSE)="Texas",ROUND(((VLOOKUP(VLOOKUP($B173,Games!$A$1:$I$20,6,FALSE),Players!$B$1:$F$40,4,FALSE)+VLOOKUP(VLOOKUP($B173,Games!$A$1:$I$20,7,FALSE),Players!$B$1:$F$40,4,FALSE)))*(3/8),1),ROUND(VLOOKUP(VLOOKUP($B173,Games!$A$1:$I$20,6,FALSE),Players!$B$1:$F$40,5,FALSE),1))</f>
        <v>#N/A</v>
      </c>
      <c r="J173" s="10">
        <f>IF(VLOOKUP($B173,Games!$A$1:$I$20,5,FALSE)="Texas",ROUND((VLOOKUP(VLOOKUP($B173,Games!$A$1:$I$20,8,FALSE),Players!$B$1:$F$40,4,FALSE)+VLOOKUP(VLOOKUP($B173,Games!$A$1:$I$20,9,FALSE),Players!$B$1:$F$40,4,FALSE))*(3/8),1),ROUND(VLOOKUP(VLOOKUP($B173,Games!$A$1:$I$20,8,FALSE),Players!$B$1:$F$40,5,FALSE),1))</f>
        <v>26</v>
      </c>
      <c r="K173" s="10" t="str">
        <f>VLOOKUP(B173,Games!$A$1:$I$20,3,FALSE)</f>
        <v>Golf Resort Barbora</v>
      </c>
      <c r="L173" s="10">
        <f>VLOOKUP(CONCATENATE($K173,$C173),'Field holes'!$B$1:$I$900,6,FALSE)</f>
        <v>5</v>
      </c>
      <c r="M173" s="10">
        <f>VLOOKUP(CONCATENATE($K173,$C173),'Field holes'!$B$1:$I$900,7,FALSE)</f>
        <v>11</v>
      </c>
    </row>
    <row r="174" spans="1:13" ht="13" x14ac:dyDescent="0.15">
      <c r="A174" s="16">
        <v>173</v>
      </c>
      <c r="B174" s="16">
        <v>10</v>
      </c>
      <c r="C174" s="17">
        <v>11</v>
      </c>
      <c r="F174" s="10" t="e">
        <f t="shared" si="2"/>
        <v>#N/A</v>
      </c>
      <c r="G174" s="10">
        <f t="shared" si="0"/>
        <v>5</v>
      </c>
      <c r="H174" s="10" t="str">
        <f t="shared" si="1"/>
        <v/>
      </c>
      <c r="I174" s="10" t="e">
        <f>IF(VLOOKUP($B174,Games!$A$1:$I$20,5,FALSE)="Texas",ROUND(((VLOOKUP(VLOOKUP($B174,Games!$A$1:$I$20,6,FALSE),Players!$B$1:$F$40,4,FALSE)+VLOOKUP(VLOOKUP($B174,Games!$A$1:$I$20,7,FALSE),Players!$B$1:$F$40,4,FALSE)))*(3/8),1),ROUND(VLOOKUP(VLOOKUP($B174,Games!$A$1:$I$20,6,FALSE),Players!$B$1:$F$40,5,FALSE),1))</f>
        <v>#N/A</v>
      </c>
      <c r="J174" s="10">
        <f>IF(VLOOKUP($B174,Games!$A$1:$I$20,5,FALSE)="Texas",ROUND((VLOOKUP(VLOOKUP($B174,Games!$A$1:$I$20,8,FALSE),Players!$B$1:$F$40,4,FALSE)+VLOOKUP(VLOOKUP($B174,Games!$A$1:$I$20,9,FALSE),Players!$B$1:$F$40,4,FALSE))*(3/8),1),ROUND(VLOOKUP(VLOOKUP($B174,Games!$A$1:$I$20,8,FALSE),Players!$B$1:$F$40,5,FALSE),1))</f>
        <v>26</v>
      </c>
      <c r="K174" s="10" t="str">
        <f>VLOOKUP(B174,Games!$A$1:$I$20,3,FALSE)</f>
        <v>Golf Resort Barbora</v>
      </c>
      <c r="L174" s="10">
        <f>VLOOKUP(CONCATENATE($K174,$C174),'Field holes'!$B$1:$I$900,6,FALSE)</f>
        <v>3</v>
      </c>
      <c r="M174" s="10">
        <f>VLOOKUP(CONCATENATE($K174,$C174),'Field holes'!$B$1:$I$900,7,FALSE)</f>
        <v>7</v>
      </c>
    </row>
    <row r="175" spans="1:13" ht="13" x14ac:dyDescent="0.15">
      <c r="A175" s="16">
        <v>174</v>
      </c>
      <c r="B175" s="16">
        <v>10</v>
      </c>
      <c r="C175" s="17">
        <v>12</v>
      </c>
      <c r="F175" s="10" t="e">
        <f t="shared" si="2"/>
        <v>#N/A</v>
      </c>
      <c r="G175" s="10">
        <f t="shared" si="0"/>
        <v>5</v>
      </c>
      <c r="H175" s="10" t="str">
        <f t="shared" si="1"/>
        <v/>
      </c>
      <c r="I175" s="10" t="e">
        <f>IF(VLOOKUP($B175,Games!$A$1:$I$20,5,FALSE)="Texas",ROUND(((VLOOKUP(VLOOKUP($B175,Games!$A$1:$I$20,6,FALSE),Players!$B$1:$F$40,4,FALSE)+VLOOKUP(VLOOKUP($B175,Games!$A$1:$I$20,7,FALSE),Players!$B$1:$F$40,4,FALSE)))*(3/8),1),ROUND(VLOOKUP(VLOOKUP($B175,Games!$A$1:$I$20,6,FALSE),Players!$B$1:$F$40,5,FALSE),1))</f>
        <v>#N/A</v>
      </c>
      <c r="J175" s="10">
        <f>IF(VLOOKUP($B175,Games!$A$1:$I$20,5,FALSE)="Texas",ROUND((VLOOKUP(VLOOKUP($B175,Games!$A$1:$I$20,8,FALSE),Players!$B$1:$F$40,4,FALSE)+VLOOKUP(VLOOKUP($B175,Games!$A$1:$I$20,9,FALSE),Players!$B$1:$F$40,4,FALSE))*(3/8),1),ROUND(VLOOKUP(VLOOKUP($B175,Games!$A$1:$I$20,8,FALSE),Players!$B$1:$F$40,5,FALSE),1))</f>
        <v>26</v>
      </c>
      <c r="K175" s="10" t="str">
        <f>VLOOKUP(B175,Games!$A$1:$I$20,3,FALSE)</f>
        <v>Golf Resort Barbora</v>
      </c>
      <c r="L175" s="10">
        <f>VLOOKUP(CONCATENATE($K175,$C175),'Field holes'!$B$1:$I$900,6,FALSE)</f>
        <v>4</v>
      </c>
      <c r="M175" s="10">
        <f>VLOOKUP(CONCATENATE($K175,$C175),'Field holes'!$B$1:$I$900,7,FALSE)</f>
        <v>17</v>
      </c>
    </row>
    <row r="176" spans="1:13" ht="13" x14ac:dyDescent="0.15">
      <c r="A176" s="16">
        <v>175</v>
      </c>
      <c r="B176" s="16">
        <v>10</v>
      </c>
      <c r="C176" s="17">
        <v>13</v>
      </c>
      <c r="F176" s="10" t="e">
        <f t="shared" si="2"/>
        <v>#N/A</v>
      </c>
      <c r="G176" s="10">
        <f t="shared" si="0"/>
        <v>5</v>
      </c>
      <c r="H176" s="10" t="str">
        <f t="shared" si="1"/>
        <v/>
      </c>
      <c r="I176" s="10" t="e">
        <f>IF(VLOOKUP($B176,Games!$A$1:$I$20,5,FALSE)="Texas",ROUND(((VLOOKUP(VLOOKUP($B176,Games!$A$1:$I$20,6,FALSE),Players!$B$1:$F$40,4,FALSE)+VLOOKUP(VLOOKUP($B176,Games!$A$1:$I$20,7,FALSE),Players!$B$1:$F$40,4,FALSE)))*(3/8),1),ROUND(VLOOKUP(VLOOKUP($B176,Games!$A$1:$I$20,6,FALSE),Players!$B$1:$F$40,5,FALSE),1))</f>
        <v>#N/A</v>
      </c>
      <c r="J176" s="10">
        <f>IF(VLOOKUP($B176,Games!$A$1:$I$20,5,FALSE)="Texas",ROUND((VLOOKUP(VLOOKUP($B176,Games!$A$1:$I$20,8,FALSE),Players!$B$1:$F$40,4,FALSE)+VLOOKUP(VLOOKUP($B176,Games!$A$1:$I$20,9,FALSE),Players!$B$1:$F$40,4,FALSE))*(3/8),1),ROUND(VLOOKUP(VLOOKUP($B176,Games!$A$1:$I$20,8,FALSE),Players!$B$1:$F$40,5,FALSE),1))</f>
        <v>26</v>
      </c>
      <c r="K176" s="10" t="str">
        <f>VLOOKUP(B176,Games!$A$1:$I$20,3,FALSE)</f>
        <v>Golf Resort Barbora</v>
      </c>
      <c r="L176" s="10">
        <f>VLOOKUP(CONCATENATE($K176,$C176),'Field holes'!$B$1:$I$900,6,FALSE)</f>
        <v>4</v>
      </c>
      <c r="M176" s="10">
        <f>VLOOKUP(CONCATENATE($K176,$C176),'Field holes'!$B$1:$I$900,7,FALSE)</f>
        <v>9</v>
      </c>
    </row>
    <row r="177" spans="1:13" ht="13" x14ac:dyDescent="0.15">
      <c r="A177" s="16">
        <v>176</v>
      </c>
      <c r="B177" s="16">
        <v>10</v>
      </c>
      <c r="C177" s="17">
        <v>14</v>
      </c>
      <c r="F177" s="10" t="e">
        <f t="shared" si="2"/>
        <v>#N/A</v>
      </c>
      <c r="G177" s="10">
        <f t="shared" si="0"/>
        <v>5</v>
      </c>
      <c r="H177" s="10" t="str">
        <f t="shared" si="1"/>
        <v/>
      </c>
      <c r="I177" s="10" t="e">
        <f>IF(VLOOKUP($B177,Games!$A$1:$I$20,5,FALSE)="Texas",ROUND(((VLOOKUP(VLOOKUP($B177,Games!$A$1:$I$20,6,FALSE),Players!$B$1:$F$40,4,FALSE)+VLOOKUP(VLOOKUP($B177,Games!$A$1:$I$20,7,FALSE),Players!$B$1:$F$40,4,FALSE)))*(3/8),1),ROUND(VLOOKUP(VLOOKUP($B177,Games!$A$1:$I$20,6,FALSE),Players!$B$1:$F$40,5,FALSE),1))</f>
        <v>#N/A</v>
      </c>
      <c r="J177" s="10">
        <f>IF(VLOOKUP($B177,Games!$A$1:$I$20,5,FALSE)="Texas",ROUND((VLOOKUP(VLOOKUP($B177,Games!$A$1:$I$20,8,FALSE),Players!$B$1:$F$40,4,FALSE)+VLOOKUP(VLOOKUP($B177,Games!$A$1:$I$20,9,FALSE),Players!$B$1:$F$40,4,FALSE))*(3/8),1),ROUND(VLOOKUP(VLOOKUP($B177,Games!$A$1:$I$20,8,FALSE),Players!$B$1:$F$40,5,FALSE),1))</f>
        <v>26</v>
      </c>
      <c r="K177" s="10" t="str">
        <f>VLOOKUP(B177,Games!$A$1:$I$20,3,FALSE)</f>
        <v>Golf Resort Barbora</v>
      </c>
      <c r="L177" s="10">
        <f>VLOOKUP(CONCATENATE($K177,$C177),'Field holes'!$B$1:$I$900,6,FALSE)</f>
        <v>3</v>
      </c>
      <c r="M177" s="10">
        <f>VLOOKUP(CONCATENATE($K177,$C177),'Field holes'!$B$1:$I$900,7,FALSE)</f>
        <v>5</v>
      </c>
    </row>
    <row r="178" spans="1:13" ht="13" x14ac:dyDescent="0.15">
      <c r="A178" s="16">
        <v>177</v>
      </c>
      <c r="B178" s="16">
        <v>10</v>
      </c>
      <c r="C178" s="17">
        <v>15</v>
      </c>
      <c r="F178" s="10" t="e">
        <f t="shared" si="2"/>
        <v>#N/A</v>
      </c>
      <c r="G178" s="10">
        <f t="shared" si="0"/>
        <v>7</v>
      </c>
      <c r="H178" s="10" t="str">
        <f t="shared" si="1"/>
        <v/>
      </c>
      <c r="I178" s="10" t="e">
        <f>IF(VLOOKUP($B178,Games!$A$1:$I$20,5,FALSE)="Texas",ROUND(((VLOOKUP(VLOOKUP($B178,Games!$A$1:$I$20,6,FALSE),Players!$B$1:$F$40,4,FALSE)+VLOOKUP(VLOOKUP($B178,Games!$A$1:$I$20,7,FALSE),Players!$B$1:$F$40,4,FALSE)))*(3/8),1),ROUND(VLOOKUP(VLOOKUP($B178,Games!$A$1:$I$20,6,FALSE),Players!$B$1:$F$40,5,FALSE),1))</f>
        <v>#N/A</v>
      </c>
      <c r="J178" s="10">
        <f>IF(VLOOKUP($B178,Games!$A$1:$I$20,5,FALSE)="Texas",ROUND((VLOOKUP(VLOOKUP($B178,Games!$A$1:$I$20,8,FALSE),Players!$B$1:$F$40,4,FALSE)+VLOOKUP(VLOOKUP($B178,Games!$A$1:$I$20,9,FALSE),Players!$B$1:$F$40,4,FALSE))*(3/8),1),ROUND(VLOOKUP(VLOOKUP($B178,Games!$A$1:$I$20,8,FALSE),Players!$B$1:$F$40,5,FALSE),1))</f>
        <v>26</v>
      </c>
      <c r="K178" s="10" t="str">
        <f>VLOOKUP(B178,Games!$A$1:$I$20,3,FALSE)</f>
        <v>Golf Resort Barbora</v>
      </c>
      <c r="L178" s="10">
        <f>VLOOKUP(CONCATENATE($K178,$C178),'Field holes'!$B$1:$I$900,6,FALSE)</f>
        <v>5</v>
      </c>
      <c r="M178" s="10">
        <f>VLOOKUP(CONCATENATE($K178,$C178),'Field holes'!$B$1:$I$900,7,FALSE)</f>
        <v>1</v>
      </c>
    </row>
    <row r="179" spans="1:13" ht="13" x14ac:dyDescent="0.15">
      <c r="A179" s="16">
        <v>178</v>
      </c>
      <c r="B179" s="16">
        <v>10</v>
      </c>
      <c r="C179" s="17">
        <v>16</v>
      </c>
      <c r="F179" s="10" t="e">
        <f t="shared" si="2"/>
        <v>#N/A</v>
      </c>
      <c r="G179" s="10">
        <f t="shared" si="0"/>
        <v>4</v>
      </c>
      <c r="H179" s="10" t="str">
        <f t="shared" si="1"/>
        <v/>
      </c>
      <c r="I179" s="10" t="e">
        <f>IF(VLOOKUP($B179,Games!$A$1:$I$20,5,FALSE)="Texas",ROUND(((VLOOKUP(VLOOKUP($B179,Games!$A$1:$I$20,6,FALSE),Players!$B$1:$F$40,4,FALSE)+VLOOKUP(VLOOKUP($B179,Games!$A$1:$I$20,7,FALSE),Players!$B$1:$F$40,4,FALSE)))*(3/8),1),ROUND(VLOOKUP(VLOOKUP($B179,Games!$A$1:$I$20,6,FALSE),Players!$B$1:$F$40,5,FALSE),1))</f>
        <v>#N/A</v>
      </c>
      <c r="J179" s="10">
        <f>IF(VLOOKUP($B179,Games!$A$1:$I$20,5,FALSE)="Texas",ROUND((VLOOKUP(VLOOKUP($B179,Games!$A$1:$I$20,8,FALSE),Players!$B$1:$F$40,4,FALSE)+VLOOKUP(VLOOKUP($B179,Games!$A$1:$I$20,9,FALSE),Players!$B$1:$F$40,4,FALSE))*(3/8),1),ROUND(VLOOKUP(VLOOKUP($B179,Games!$A$1:$I$20,8,FALSE),Players!$B$1:$F$40,5,FALSE),1))</f>
        <v>26</v>
      </c>
      <c r="K179" s="10" t="str">
        <f>VLOOKUP(B179,Games!$A$1:$I$20,3,FALSE)</f>
        <v>Golf Resort Barbora</v>
      </c>
      <c r="L179" s="10">
        <f>VLOOKUP(CONCATENATE($K179,$C179),'Field holes'!$B$1:$I$900,6,FALSE)</f>
        <v>3</v>
      </c>
      <c r="M179" s="10">
        <f>VLOOKUP(CONCATENATE($K179,$C179),'Field holes'!$B$1:$I$900,7,FALSE)</f>
        <v>13</v>
      </c>
    </row>
    <row r="180" spans="1:13" ht="13" x14ac:dyDescent="0.15">
      <c r="A180" s="16">
        <v>179</v>
      </c>
      <c r="B180" s="16">
        <v>10</v>
      </c>
      <c r="C180" s="17">
        <v>17</v>
      </c>
      <c r="F180" s="10" t="e">
        <f t="shared" si="2"/>
        <v>#N/A</v>
      </c>
      <c r="G180" s="10">
        <f t="shared" si="0"/>
        <v>6</v>
      </c>
      <c r="H180" s="10" t="str">
        <f t="shared" si="1"/>
        <v/>
      </c>
      <c r="I180" s="10" t="e">
        <f>IF(VLOOKUP($B180,Games!$A$1:$I$20,5,FALSE)="Texas",ROUND(((VLOOKUP(VLOOKUP($B180,Games!$A$1:$I$20,6,FALSE),Players!$B$1:$F$40,4,FALSE)+VLOOKUP(VLOOKUP($B180,Games!$A$1:$I$20,7,FALSE),Players!$B$1:$F$40,4,FALSE)))*(3/8),1),ROUND(VLOOKUP(VLOOKUP($B180,Games!$A$1:$I$20,6,FALSE),Players!$B$1:$F$40,5,FALSE),1))</f>
        <v>#N/A</v>
      </c>
      <c r="J180" s="10">
        <f>IF(VLOOKUP($B180,Games!$A$1:$I$20,5,FALSE)="Texas",ROUND((VLOOKUP(VLOOKUP($B180,Games!$A$1:$I$20,8,FALSE),Players!$B$1:$F$40,4,FALSE)+VLOOKUP(VLOOKUP($B180,Games!$A$1:$I$20,9,FALSE),Players!$B$1:$F$40,4,FALSE))*(3/8),1),ROUND(VLOOKUP(VLOOKUP($B180,Games!$A$1:$I$20,8,FALSE),Players!$B$1:$F$40,5,FALSE),1))</f>
        <v>26</v>
      </c>
      <c r="K180" s="10" t="str">
        <f>VLOOKUP(B180,Games!$A$1:$I$20,3,FALSE)</f>
        <v>Golf Resort Barbora</v>
      </c>
      <c r="L180" s="10">
        <f>VLOOKUP(CONCATENATE($K180,$C180),'Field holes'!$B$1:$I$900,6,FALSE)</f>
        <v>5</v>
      </c>
      <c r="M180" s="10">
        <f>VLOOKUP(CONCATENATE($K180,$C180),'Field holes'!$B$1:$I$900,7,FALSE)</f>
        <v>15</v>
      </c>
    </row>
    <row r="181" spans="1:13" ht="13" x14ac:dyDescent="0.15">
      <c r="A181" s="16">
        <v>180</v>
      </c>
      <c r="B181" s="16">
        <v>10</v>
      </c>
      <c r="C181" s="17">
        <v>18</v>
      </c>
      <c r="F181" s="10" t="e">
        <f t="shared" si="2"/>
        <v>#N/A</v>
      </c>
      <c r="G181" s="10">
        <f t="shared" si="0"/>
        <v>6</v>
      </c>
      <c r="H181" s="10" t="str">
        <f t="shared" si="1"/>
        <v/>
      </c>
      <c r="I181" s="10" t="e">
        <f>IF(VLOOKUP($B181,Games!$A$1:$I$20,5,FALSE)="Texas",ROUND(((VLOOKUP(VLOOKUP($B181,Games!$A$1:$I$20,6,FALSE),Players!$B$1:$F$40,4,FALSE)+VLOOKUP(VLOOKUP($B181,Games!$A$1:$I$20,7,FALSE),Players!$B$1:$F$40,4,FALSE)))*(3/8),1),ROUND(VLOOKUP(VLOOKUP($B181,Games!$A$1:$I$20,6,FALSE),Players!$B$1:$F$40,5,FALSE),1))</f>
        <v>#N/A</v>
      </c>
      <c r="J181" s="10">
        <f>IF(VLOOKUP($B181,Games!$A$1:$I$20,5,FALSE)="Texas",ROUND((VLOOKUP(VLOOKUP($B181,Games!$A$1:$I$20,8,FALSE),Players!$B$1:$F$40,4,FALSE)+VLOOKUP(VLOOKUP($B181,Games!$A$1:$I$20,9,FALSE),Players!$B$1:$F$40,4,FALSE))*(3/8),1),ROUND(VLOOKUP(VLOOKUP($B181,Games!$A$1:$I$20,8,FALSE),Players!$B$1:$F$40,5,FALSE),1))</f>
        <v>26</v>
      </c>
      <c r="K181" s="10" t="str">
        <f>VLOOKUP(B181,Games!$A$1:$I$20,3,FALSE)</f>
        <v>Golf Resort Barbora</v>
      </c>
      <c r="L181" s="10">
        <f>VLOOKUP(CONCATENATE($K181,$C181),'Field holes'!$B$1:$I$900,6,FALSE)</f>
        <v>4</v>
      </c>
      <c r="M181" s="10">
        <f>VLOOKUP(CONCATENATE($K181,$C181),'Field holes'!$B$1:$I$900,7,FALSE)</f>
        <v>3</v>
      </c>
    </row>
    <row r="182" spans="1:13" ht="13" x14ac:dyDescent="0.15">
      <c r="A182" s="16">
        <v>181</v>
      </c>
      <c r="B182" s="16">
        <v>11</v>
      </c>
      <c r="C182" s="17">
        <v>1</v>
      </c>
      <c r="F182" s="10" t="e">
        <f t="shared" si="2"/>
        <v>#N/A</v>
      </c>
      <c r="G182" s="10">
        <f t="shared" si="0"/>
        <v>5</v>
      </c>
      <c r="H182" s="10" t="str">
        <f t="shared" si="1"/>
        <v/>
      </c>
      <c r="I182" s="10" t="e">
        <f>IF(VLOOKUP($B182,Games!$A$1:$I$20,5,FALSE)="Texas",ROUND(((VLOOKUP(VLOOKUP($B182,Games!$A$1:$I$20,6,FALSE),Players!$B$1:$F$40,4,FALSE)+VLOOKUP(VLOOKUP($B182,Games!$A$1:$I$20,7,FALSE),Players!$B$1:$F$40,4,FALSE)))*(3/8),1),ROUND(VLOOKUP(VLOOKUP($B182,Games!$A$1:$I$20,6,FALSE),Players!$B$1:$F$40,5,FALSE),1))</f>
        <v>#N/A</v>
      </c>
      <c r="J182" s="10">
        <f>IF(VLOOKUP($B182,Games!$A$1:$I$20,5,FALSE)="Texas",ROUND((VLOOKUP(VLOOKUP($B182,Games!$A$1:$I$20,8,FALSE),Players!$B$1:$F$40,4,FALSE)+VLOOKUP(VLOOKUP($B182,Games!$A$1:$I$20,9,FALSE),Players!$B$1:$F$40,4,FALSE))*(3/8),1),ROUND(VLOOKUP(VLOOKUP($B182,Games!$A$1:$I$20,8,FALSE),Players!$B$1:$F$40,5,FALSE),1))</f>
        <v>16</v>
      </c>
      <c r="K182" s="10" t="str">
        <f>VLOOKUP(B182,Games!$A$1:$I$20,3,FALSE)</f>
        <v>Golf Resort Barbora</v>
      </c>
      <c r="L182" s="10">
        <f>VLOOKUP(CONCATENATE($K182,$C182),'Field holes'!$B$1:$I$900,6,FALSE)</f>
        <v>4</v>
      </c>
      <c r="M182" s="10">
        <f>VLOOKUP(CONCATENATE($K182,$C182),'Field holes'!$B$1:$I$900,7,FALSE)</f>
        <v>10</v>
      </c>
    </row>
    <row r="183" spans="1:13" ht="13" x14ac:dyDescent="0.15">
      <c r="A183" s="16">
        <v>182</v>
      </c>
      <c r="B183" s="16">
        <v>11</v>
      </c>
      <c r="C183" s="17">
        <v>2</v>
      </c>
      <c r="F183" s="10" t="e">
        <f t="shared" si="2"/>
        <v>#N/A</v>
      </c>
      <c r="G183" s="10">
        <f t="shared" si="0"/>
        <v>6</v>
      </c>
      <c r="H183" s="10" t="str">
        <f t="shared" si="1"/>
        <v/>
      </c>
      <c r="I183" s="10" t="e">
        <f>IF(VLOOKUP($B183,Games!$A$1:$I$20,5,FALSE)="Texas",ROUND(((VLOOKUP(VLOOKUP($B183,Games!$A$1:$I$20,6,FALSE),Players!$B$1:$F$40,4,FALSE)+VLOOKUP(VLOOKUP($B183,Games!$A$1:$I$20,7,FALSE),Players!$B$1:$F$40,4,FALSE)))*(3/8),1),ROUND(VLOOKUP(VLOOKUP($B183,Games!$A$1:$I$20,6,FALSE),Players!$B$1:$F$40,5,FALSE),1))</f>
        <v>#N/A</v>
      </c>
      <c r="J183" s="10">
        <f>IF(VLOOKUP($B183,Games!$A$1:$I$20,5,FALSE)="Texas",ROUND((VLOOKUP(VLOOKUP($B183,Games!$A$1:$I$20,8,FALSE),Players!$B$1:$F$40,4,FALSE)+VLOOKUP(VLOOKUP($B183,Games!$A$1:$I$20,9,FALSE),Players!$B$1:$F$40,4,FALSE))*(3/8),1),ROUND(VLOOKUP(VLOOKUP($B183,Games!$A$1:$I$20,8,FALSE),Players!$B$1:$F$40,5,FALSE),1))</f>
        <v>16</v>
      </c>
      <c r="K183" s="10" t="str">
        <f>VLOOKUP(B183,Games!$A$1:$I$20,3,FALSE)</f>
        <v>Golf Resort Barbora</v>
      </c>
      <c r="L183" s="10">
        <f>VLOOKUP(CONCATENATE($K183,$C183),'Field holes'!$B$1:$I$900,6,FALSE)</f>
        <v>5</v>
      </c>
      <c r="M183" s="10">
        <f>VLOOKUP(CONCATENATE($K183,$C183),'Field holes'!$B$1:$I$900,7,FALSE)</f>
        <v>4</v>
      </c>
    </row>
    <row r="184" spans="1:13" ht="13" x14ac:dyDescent="0.15">
      <c r="A184" s="16">
        <v>183</v>
      </c>
      <c r="B184" s="16">
        <v>11</v>
      </c>
      <c r="C184" s="17">
        <v>3</v>
      </c>
      <c r="F184" s="10" t="e">
        <f t="shared" si="2"/>
        <v>#N/A</v>
      </c>
      <c r="G184" s="10">
        <f t="shared" si="0"/>
        <v>4</v>
      </c>
      <c r="H184" s="10" t="str">
        <f t="shared" si="1"/>
        <v/>
      </c>
      <c r="I184" s="10" t="e">
        <f>IF(VLOOKUP($B184,Games!$A$1:$I$20,5,FALSE)="Texas",ROUND(((VLOOKUP(VLOOKUP($B184,Games!$A$1:$I$20,6,FALSE),Players!$B$1:$F$40,4,FALSE)+VLOOKUP(VLOOKUP($B184,Games!$A$1:$I$20,7,FALSE),Players!$B$1:$F$40,4,FALSE)))*(3/8),1),ROUND(VLOOKUP(VLOOKUP($B184,Games!$A$1:$I$20,6,FALSE),Players!$B$1:$F$40,5,FALSE),1))</f>
        <v>#N/A</v>
      </c>
      <c r="J184" s="10">
        <f>IF(VLOOKUP($B184,Games!$A$1:$I$20,5,FALSE)="Texas",ROUND((VLOOKUP(VLOOKUP($B184,Games!$A$1:$I$20,8,FALSE),Players!$B$1:$F$40,4,FALSE)+VLOOKUP(VLOOKUP($B184,Games!$A$1:$I$20,9,FALSE),Players!$B$1:$F$40,4,FALSE))*(3/8),1),ROUND(VLOOKUP(VLOOKUP($B184,Games!$A$1:$I$20,8,FALSE),Players!$B$1:$F$40,5,FALSE),1))</f>
        <v>16</v>
      </c>
      <c r="K184" s="10" t="str">
        <f>VLOOKUP(B184,Games!$A$1:$I$20,3,FALSE)</f>
        <v>Golf Resort Barbora</v>
      </c>
      <c r="L184" s="10">
        <f>VLOOKUP(CONCATENATE($K184,$C184),'Field holes'!$B$1:$I$900,6,FALSE)</f>
        <v>3</v>
      </c>
      <c r="M184" s="10">
        <f>VLOOKUP(CONCATENATE($K184,$C184),'Field holes'!$B$1:$I$900,7,FALSE)</f>
        <v>12</v>
      </c>
    </row>
    <row r="185" spans="1:13" ht="13" x14ac:dyDescent="0.15">
      <c r="A185" s="16">
        <v>184</v>
      </c>
      <c r="B185" s="16">
        <v>11</v>
      </c>
      <c r="C185" s="17">
        <v>4</v>
      </c>
      <c r="F185" s="10" t="e">
        <f t="shared" si="2"/>
        <v>#N/A</v>
      </c>
      <c r="G185" s="10">
        <f t="shared" si="0"/>
        <v>5</v>
      </c>
      <c r="H185" s="10" t="str">
        <f t="shared" si="1"/>
        <v/>
      </c>
      <c r="I185" s="10" t="e">
        <f>IF(VLOOKUP($B185,Games!$A$1:$I$20,5,FALSE)="Texas",ROUND(((VLOOKUP(VLOOKUP($B185,Games!$A$1:$I$20,6,FALSE),Players!$B$1:$F$40,4,FALSE)+VLOOKUP(VLOOKUP($B185,Games!$A$1:$I$20,7,FALSE),Players!$B$1:$F$40,4,FALSE)))*(3/8),1),ROUND(VLOOKUP(VLOOKUP($B185,Games!$A$1:$I$20,6,FALSE),Players!$B$1:$F$40,5,FALSE),1))</f>
        <v>#N/A</v>
      </c>
      <c r="J185" s="10">
        <f>IF(VLOOKUP($B185,Games!$A$1:$I$20,5,FALSE)="Texas",ROUND((VLOOKUP(VLOOKUP($B185,Games!$A$1:$I$20,8,FALSE),Players!$B$1:$F$40,4,FALSE)+VLOOKUP(VLOOKUP($B185,Games!$A$1:$I$20,9,FALSE),Players!$B$1:$F$40,4,FALSE))*(3/8),1),ROUND(VLOOKUP(VLOOKUP($B185,Games!$A$1:$I$20,8,FALSE),Players!$B$1:$F$40,5,FALSE),1))</f>
        <v>16</v>
      </c>
      <c r="K185" s="10" t="str">
        <f>VLOOKUP(B185,Games!$A$1:$I$20,3,FALSE)</f>
        <v>Golf Resort Barbora</v>
      </c>
      <c r="L185" s="10">
        <f>VLOOKUP(CONCATENATE($K185,$C185),'Field holes'!$B$1:$I$900,6,FALSE)</f>
        <v>4</v>
      </c>
      <c r="M185" s="10">
        <f>VLOOKUP(CONCATENATE($K185,$C185),'Field holes'!$B$1:$I$900,7,FALSE)</f>
        <v>2</v>
      </c>
    </row>
    <row r="186" spans="1:13" ht="13" x14ac:dyDescent="0.15">
      <c r="A186" s="16">
        <v>185</v>
      </c>
      <c r="B186" s="16">
        <v>11</v>
      </c>
      <c r="C186" s="17">
        <v>5</v>
      </c>
      <c r="F186" s="10" t="e">
        <f t="shared" si="2"/>
        <v>#N/A</v>
      </c>
      <c r="G186" s="10">
        <f t="shared" si="0"/>
        <v>5</v>
      </c>
      <c r="H186" s="10" t="str">
        <f t="shared" si="1"/>
        <v/>
      </c>
      <c r="I186" s="10" t="e">
        <f>IF(VLOOKUP($B186,Games!$A$1:$I$20,5,FALSE)="Texas",ROUND(((VLOOKUP(VLOOKUP($B186,Games!$A$1:$I$20,6,FALSE),Players!$B$1:$F$40,4,FALSE)+VLOOKUP(VLOOKUP($B186,Games!$A$1:$I$20,7,FALSE),Players!$B$1:$F$40,4,FALSE)))*(3/8),1),ROUND(VLOOKUP(VLOOKUP($B186,Games!$A$1:$I$20,6,FALSE),Players!$B$1:$F$40,5,FALSE),1))</f>
        <v>#N/A</v>
      </c>
      <c r="J186" s="10">
        <f>IF(VLOOKUP($B186,Games!$A$1:$I$20,5,FALSE)="Texas",ROUND((VLOOKUP(VLOOKUP($B186,Games!$A$1:$I$20,8,FALSE),Players!$B$1:$F$40,4,FALSE)+VLOOKUP(VLOOKUP($B186,Games!$A$1:$I$20,9,FALSE),Players!$B$1:$F$40,4,FALSE))*(3/8),1),ROUND(VLOOKUP(VLOOKUP($B186,Games!$A$1:$I$20,8,FALSE),Players!$B$1:$F$40,5,FALSE),1))</f>
        <v>16</v>
      </c>
      <c r="K186" s="10" t="str">
        <f>VLOOKUP(B186,Games!$A$1:$I$20,3,FALSE)</f>
        <v>Golf Resort Barbora</v>
      </c>
      <c r="L186" s="10">
        <f>VLOOKUP(CONCATENATE($K186,$C186),'Field holes'!$B$1:$I$900,6,FALSE)</f>
        <v>4</v>
      </c>
      <c r="M186" s="10">
        <f>VLOOKUP(CONCATENATE($K186,$C186),'Field holes'!$B$1:$I$900,7,FALSE)</f>
        <v>14</v>
      </c>
    </row>
    <row r="187" spans="1:13" ht="13" x14ac:dyDescent="0.15">
      <c r="A187" s="16">
        <v>186</v>
      </c>
      <c r="B187" s="16">
        <v>11</v>
      </c>
      <c r="C187" s="17">
        <v>6</v>
      </c>
      <c r="F187" s="10" t="e">
        <f t="shared" si="2"/>
        <v>#N/A</v>
      </c>
      <c r="G187" s="10">
        <f t="shared" si="0"/>
        <v>6</v>
      </c>
      <c r="H187" s="10" t="str">
        <f t="shared" si="1"/>
        <v/>
      </c>
      <c r="I187" s="10" t="e">
        <f>IF(VLOOKUP($B187,Games!$A$1:$I$20,5,FALSE)="Texas",ROUND(((VLOOKUP(VLOOKUP($B187,Games!$A$1:$I$20,6,FALSE),Players!$B$1:$F$40,4,FALSE)+VLOOKUP(VLOOKUP($B187,Games!$A$1:$I$20,7,FALSE),Players!$B$1:$F$40,4,FALSE)))*(3/8),1),ROUND(VLOOKUP(VLOOKUP($B187,Games!$A$1:$I$20,6,FALSE),Players!$B$1:$F$40,5,FALSE),1))</f>
        <v>#N/A</v>
      </c>
      <c r="J187" s="10">
        <f>IF(VLOOKUP($B187,Games!$A$1:$I$20,5,FALSE)="Texas",ROUND((VLOOKUP(VLOOKUP($B187,Games!$A$1:$I$20,8,FALSE),Players!$B$1:$F$40,4,FALSE)+VLOOKUP(VLOOKUP($B187,Games!$A$1:$I$20,9,FALSE),Players!$B$1:$F$40,4,FALSE))*(3/8),1),ROUND(VLOOKUP(VLOOKUP($B187,Games!$A$1:$I$20,8,FALSE),Players!$B$1:$F$40,5,FALSE),1))</f>
        <v>16</v>
      </c>
      <c r="K187" s="10" t="str">
        <f>VLOOKUP(B187,Games!$A$1:$I$20,3,FALSE)</f>
        <v>Golf Resort Barbora</v>
      </c>
      <c r="L187" s="10">
        <f>VLOOKUP(CONCATENATE($K187,$C187),'Field holes'!$B$1:$I$900,6,FALSE)</f>
        <v>5</v>
      </c>
      <c r="M187" s="10">
        <f>VLOOKUP(CONCATENATE($K187,$C187),'Field holes'!$B$1:$I$900,7,FALSE)</f>
        <v>8</v>
      </c>
    </row>
    <row r="188" spans="1:13" ht="13" x14ac:dyDescent="0.15">
      <c r="A188" s="16">
        <v>187</v>
      </c>
      <c r="B188" s="16">
        <v>11</v>
      </c>
      <c r="C188" s="17">
        <v>7</v>
      </c>
      <c r="F188" s="10" t="e">
        <f t="shared" si="2"/>
        <v>#N/A</v>
      </c>
      <c r="G188" s="10">
        <f t="shared" si="0"/>
        <v>5</v>
      </c>
      <c r="H188" s="10" t="str">
        <f t="shared" si="1"/>
        <v/>
      </c>
      <c r="I188" s="10" t="e">
        <f>IF(VLOOKUP($B188,Games!$A$1:$I$20,5,FALSE)="Texas",ROUND(((VLOOKUP(VLOOKUP($B188,Games!$A$1:$I$20,6,FALSE),Players!$B$1:$F$40,4,FALSE)+VLOOKUP(VLOOKUP($B188,Games!$A$1:$I$20,7,FALSE),Players!$B$1:$F$40,4,FALSE)))*(3/8),1),ROUND(VLOOKUP(VLOOKUP($B188,Games!$A$1:$I$20,6,FALSE),Players!$B$1:$F$40,5,FALSE),1))</f>
        <v>#N/A</v>
      </c>
      <c r="J188" s="10">
        <f>IF(VLOOKUP($B188,Games!$A$1:$I$20,5,FALSE)="Texas",ROUND((VLOOKUP(VLOOKUP($B188,Games!$A$1:$I$20,8,FALSE),Players!$B$1:$F$40,4,FALSE)+VLOOKUP(VLOOKUP($B188,Games!$A$1:$I$20,9,FALSE),Players!$B$1:$F$40,4,FALSE))*(3/8),1),ROUND(VLOOKUP(VLOOKUP($B188,Games!$A$1:$I$20,8,FALSE),Players!$B$1:$F$40,5,FALSE),1))</f>
        <v>16</v>
      </c>
      <c r="K188" s="10" t="str">
        <f>VLOOKUP(B188,Games!$A$1:$I$20,3,FALSE)</f>
        <v>Golf Resort Barbora</v>
      </c>
      <c r="L188" s="10">
        <f>VLOOKUP(CONCATENATE($K188,$C188),'Field holes'!$B$1:$I$900,6,FALSE)</f>
        <v>4</v>
      </c>
      <c r="M188" s="10">
        <f>VLOOKUP(CONCATENATE($K188,$C188),'Field holes'!$B$1:$I$900,7,FALSE)</f>
        <v>16</v>
      </c>
    </row>
    <row r="189" spans="1:13" ht="13" x14ac:dyDescent="0.15">
      <c r="A189" s="16">
        <v>188</v>
      </c>
      <c r="B189" s="16">
        <v>11</v>
      </c>
      <c r="C189" s="17">
        <v>8</v>
      </c>
      <c r="F189" s="10" t="e">
        <f t="shared" si="2"/>
        <v>#N/A</v>
      </c>
      <c r="G189" s="10">
        <f t="shared" si="0"/>
        <v>5</v>
      </c>
      <c r="H189" s="10" t="str">
        <f t="shared" si="1"/>
        <v/>
      </c>
      <c r="I189" s="10" t="e">
        <f>IF(VLOOKUP($B189,Games!$A$1:$I$20,5,FALSE)="Texas",ROUND(((VLOOKUP(VLOOKUP($B189,Games!$A$1:$I$20,6,FALSE),Players!$B$1:$F$40,4,FALSE)+VLOOKUP(VLOOKUP($B189,Games!$A$1:$I$20,7,FALSE),Players!$B$1:$F$40,4,FALSE)))*(3/8),1),ROUND(VLOOKUP(VLOOKUP($B189,Games!$A$1:$I$20,6,FALSE),Players!$B$1:$F$40,5,FALSE),1))</f>
        <v>#N/A</v>
      </c>
      <c r="J189" s="10">
        <f>IF(VLOOKUP($B189,Games!$A$1:$I$20,5,FALSE)="Texas",ROUND((VLOOKUP(VLOOKUP($B189,Games!$A$1:$I$20,8,FALSE),Players!$B$1:$F$40,4,FALSE)+VLOOKUP(VLOOKUP($B189,Games!$A$1:$I$20,9,FALSE),Players!$B$1:$F$40,4,FALSE))*(3/8),1),ROUND(VLOOKUP(VLOOKUP($B189,Games!$A$1:$I$20,8,FALSE),Players!$B$1:$F$40,5,FALSE),1))</f>
        <v>16</v>
      </c>
      <c r="K189" s="10" t="str">
        <f>VLOOKUP(B189,Games!$A$1:$I$20,3,FALSE)</f>
        <v>Golf Resort Barbora</v>
      </c>
      <c r="L189" s="10">
        <f>VLOOKUP(CONCATENATE($K189,$C189),'Field holes'!$B$1:$I$900,6,FALSE)</f>
        <v>4</v>
      </c>
      <c r="M189" s="10">
        <f>VLOOKUP(CONCATENATE($K189,$C189),'Field holes'!$B$1:$I$900,7,FALSE)</f>
        <v>6</v>
      </c>
    </row>
    <row r="190" spans="1:13" ht="13" x14ac:dyDescent="0.15">
      <c r="A190" s="16">
        <v>189</v>
      </c>
      <c r="B190" s="16">
        <v>11</v>
      </c>
      <c r="C190" s="17">
        <v>9</v>
      </c>
      <c r="F190" s="10" t="e">
        <f t="shared" si="2"/>
        <v>#N/A</v>
      </c>
      <c r="G190" s="10">
        <f t="shared" si="0"/>
        <v>3</v>
      </c>
      <c r="H190" s="10" t="str">
        <f t="shared" si="1"/>
        <v/>
      </c>
      <c r="I190" s="10" t="e">
        <f>IF(VLOOKUP($B190,Games!$A$1:$I$20,5,FALSE)="Texas",ROUND(((VLOOKUP(VLOOKUP($B190,Games!$A$1:$I$20,6,FALSE),Players!$B$1:$F$40,4,FALSE)+VLOOKUP(VLOOKUP($B190,Games!$A$1:$I$20,7,FALSE),Players!$B$1:$F$40,4,FALSE)))*(3/8),1),ROUND(VLOOKUP(VLOOKUP($B190,Games!$A$1:$I$20,6,FALSE),Players!$B$1:$F$40,5,FALSE),1))</f>
        <v>#N/A</v>
      </c>
      <c r="J190" s="10">
        <f>IF(VLOOKUP($B190,Games!$A$1:$I$20,5,FALSE)="Texas",ROUND((VLOOKUP(VLOOKUP($B190,Games!$A$1:$I$20,8,FALSE),Players!$B$1:$F$40,4,FALSE)+VLOOKUP(VLOOKUP($B190,Games!$A$1:$I$20,9,FALSE),Players!$B$1:$F$40,4,FALSE))*(3/8),1),ROUND(VLOOKUP(VLOOKUP($B190,Games!$A$1:$I$20,8,FALSE),Players!$B$1:$F$40,5,FALSE),1))</f>
        <v>16</v>
      </c>
      <c r="K190" s="10" t="str">
        <f>VLOOKUP(B190,Games!$A$1:$I$20,3,FALSE)</f>
        <v>Golf Resort Barbora</v>
      </c>
      <c r="L190" s="10">
        <f>VLOOKUP(CONCATENATE($K190,$C190),'Field holes'!$B$1:$I$900,6,FALSE)</f>
        <v>3</v>
      </c>
      <c r="M190" s="10">
        <f>VLOOKUP(CONCATENATE($K190,$C190),'Field holes'!$B$1:$I$900,7,FALSE)</f>
        <v>18</v>
      </c>
    </row>
    <row r="191" spans="1:13" ht="13" x14ac:dyDescent="0.15">
      <c r="A191" s="16">
        <v>190</v>
      </c>
      <c r="B191" s="16">
        <v>11</v>
      </c>
      <c r="C191" s="17">
        <v>10</v>
      </c>
      <c r="F191" s="10" t="e">
        <f t="shared" si="2"/>
        <v>#N/A</v>
      </c>
      <c r="G191" s="10">
        <f t="shared" si="0"/>
        <v>6</v>
      </c>
      <c r="H191" s="10" t="str">
        <f t="shared" si="1"/>
        <v/>
      </c>
      <c r="I191" s="10" t="e">
        <f>IF(VLOOKUP($B191,Games!$A$1:$I$20,5,FALSE)="Texas",ROUND(((VLOOKUP(VLOOKUP($B191,Games!$A$1:$I$20,6,FALSE),Players!$B$1:$F$40,4,FALSE)+VLOOKUP(VLOOKUP($B191,Games!$A$1:$I$20,7,FALSE),Players!$B$1:$F$40,4,FALSE)))*(3/8),1),ROUND(VLOOKUP(VLOOKUP($B191,Games!$A$1:$I$20,6,FALSE),Players!$B$1:$F$40,5,FALSE),1))</f>
        <v>#N/A</v>
      </c>
      <c r="J191" s="10">
        <f>IF(VLOOKUP($B191,Games!$A$1:$I$20,5,FALSE)="Texas",ROUND((VLOOKUP(VLOOKUP($B191,Games!$A$1:$I$20,8,FALSE),Players!$B$1:$F$40,4,FALSE)+VLOOKUP(VLOOKUP($B191,Games!$A$1:$I$20,9,FALSE),Players!$B$1:$F$40,4,FALSE))*(3/8),1),ROUND(VLOOKUP(VLOOKUP($B191,Games!$A$1:$I$20,8,FALSE),Players!$B$1:$F$40,5,FALSE),1))</f>
        <v>16</v>
      </c>
      <c r="K191" s="10" t="str">
        <f>VLOOKUP(B191,Games!$A$1:$I$20,3,FALSE)</f>
        <v>Golf Resort Barbora</v>
      </c>
      <c r="L191" s="10">
        <f>VLOOKUP(CONCATENATE($K191,$C191),'Field holes'!$B$1:$I$900,6,FALSE)</f>
        <v>5</v>
      </c>
      <c r="M191" s="10">
        <f>VLOOKUP(CONCATENATE($K191,$C191),'Field holes'!$B$1:$I$900,7,FALSE)</f>
        <v>11</v>
      </c>
    </row>
    <row r="192" spans="1:13" ht="13" x14ac:dyDescent="0.15">
      <c r="A192" s="16">
        <v>191</v>
      </c>
      <c r="B192" s="16">
        <v>11</v>
      </c>
      <c r="C192" s="17">
        <v>11</v>
      </c>
      <c r="F192" s="10" t="e">
        <f t="shared" si="2"/>
        <v>#N/A</v>
      </c>
      <c r="G192" s="10">
        <f t="shared" si="0"/>
        <v>4</v>
      </c>
      <c r="H192" s="10" t="str">
        <f t="shared" si="1"/>
        <v/>
      </c>
      <c r="I192" s="10" t="e">
        <f>IF(VLOOKUP($B192,Games!$A$1:$I$20,5,FALSE)="Texas",ROUND(((VLOOKUP(VLOOKUP($B192,Games!$A$1:$I$20,6,FALSE),Players!$B$1:$F$40,4,FALSE)+VLOOKUP(VLOOKUP($B192,Games!$A$1:$I$20,7,FALSE),Players!$B$1:$F$40,4,FALSE)))*(3/8),1),ROUND(VLOOKUP(VLOOKUP($B192,Games!$A$1:$I$20,6,FALSE),Players!$B$1:$F$40,5,FALSE),1))</f>
        <v>#N/A</v>
      </c>
      <c r="J192" s="10">
        <f>IF(VLOOKUP($B192,Games!$A$1:$I$20,5,FALSE)="Texas",ROUND((VLOOKUP(VLOOKUP($B192,Games!$A$1:$I$20,8,FALSE),Players!$B$1:$F$40,4,FALSE)+VLOOKUP(VLOOKUP($B192,Games!$A$1:$I$20,9,FALSE),Players!$B$1:$F$40,4,FALSE))*(3/8),1),ROUND(VLOOKUP(VLOOKUP($B192,Games!$A$1:$I$20,8,FALSE),Players!$B$1:$F$40,5,FALSE),1))</f>
        <v>16</v>
      </c>
      <c r="K192" s="10" t="str">
        <f>VLOOKUP(B192,Games!$A$1:$I$20,3,FALSE)</f>
        <v>Golf Resort Barbora</v>
      </c>
      <c r="L192" s="10">
        <f>VLOOKUP(CONCATENATE($K192,$C192),'Field holes'!$B$1:$I$900,6,FALSE)</f>
        <v>3</v>
      </c>
      <c r="M192" s="10">
        <f>VLOOKUP(CONCATENATE($K192,$C192),'Field holes'!$B$1:$I$900,7,FALSE)</f>
        <v>7</v>
      </c>
    </row>
    <row r="193" spans="1:13" ht="13" x14ac:dyDescent="0.15">
      <c r="A193" s="16">
        <v>192</v>
      </c>
      <c r="B193" s="16">
        <v>11</v>
      </c>
      <c r="C193" s="17">
        <v>12</v>
      </c>
      <c r="F193" s="10" t="e">
        <f t="shared" si="2"/>
        <v>#N/A</v>
      </c>
      <c r="G193" s="10">
        <f t="shared" si="0"/>
        <v>4</v>
      </c>
      <c r="H193" s="10" t="str">
        <f t="shared" si="1"/>
        <v/>
      </c>
      <c r="I193" s="10" t="e">
        <f>IF(VLOOKUP($B193,Games!$A$1:$I$20,5,FALSE)="Texas",ROUND(((VLOOKUP(VLOOKUP($B193,Games!$A$1:$I$20,6,FALSE),Players!$B$1:$F$40,4,FALSE)+VLOOKUP(VLOOKUP($B193,Games!$A$1:$I$20,7,FALSE),Players!$B$1:$F$40,4,FALSE)))*(3/8),1),ROUND(VLOOKUP(VLOOKUP($B193,Games!$A$1:$I$20,6,FALSE),Players!$B$1:$F$40,5,FALSE),1))</f>
        <v>#N/A</v>
      </c>
      <c r="J193" s="10">
        <f>IF(VLOOKUP($B193,Games!$A$1:$I$20,5,FALSE)="Texas",ROUND((VLOOKUP(VLOOKUP($B193,Games!$A$1:$I$20,8,FALSE),Players!$B$1:$F$40,4,FALSE)+VLOOKUP(VLOOKUP($B193,Games!$A$1:$I$20,9,FALSE),Players!$B$1:$F$40,4,FALSE))*(3/8),1),ROUND(VLOOKUP(VLOOKUP($B193,Games!$A$1:$I$20,8,FALSE),Players!$B$1:$F$40,5,FALSE),1))</f>
        <v>16</v>
      </c>
      <c r="K193" s="10" t="str">
        <f>VLOOKUP(B193,Games!$A$1:$I$20,3,FALSE)</f>
        <v>Golf Resort Barbora</v>
      </c>
      <c r="L193" s="10">
        <f>VLOOKUP(CONCATENATE($K193,$C193),'Field holes'!$B$1:$I$900,6,FALSE)</f>
        <v>4</v>
      </c>
      <c r="M193" s="10">
        <f>VLOOKUP(CONCATENATE($K193,$C193),'Field holes'!$B$1:$I$900,7,FALSE)</f>
        <v>17</v>
      </c>
    </row>
    <row r="194" spans="1:13" ht="13" x14ac:dyDescent="0.15">
      <c r="A194" s="16">
        <v>193</v>
      </c>
      <c r="B194" s="16">
        <v>11</v>
      </c>
      <c r="C194" s="17">
        <v>13</v>
      </c>
      <c r="F194" s="10" t="e">
        <f t="shared" si="2"/>
        <v>#N/A</v>
      </c>
      <c r="G194" s="10">
        <f t="shared" si="0"/>
        <v>5</v>
      </c>
      <c r="H194" s="10" t="str">
        <f t="shared" si="1"/>
        <v/>
      </c>
      <c r="I194" s="10" t="e">
        <f>IF(VLOOKUP($B194,Games!$A$1:$I$20,5,FALSE)="Texas",ROUND(((VLOOKUP(VLOOKUP($B194,Games!$A$1:$I$20,6,FALSE),Players!$B$1:$F$40,4,FALSE)+VLOOKUP(VLOOKUP($B194,Games!$A$1:$I$20,7,FALSE),Players!$B$1:$F$40,4,FALSE)))*(3/8),1),ROUND(VLOOKUP(VLOOKUP($B194,Games!$A$1:$I$20,6,FALSE),Players!$B$1:$F$40,5,FALSE),1))</f>
        <v>#N/A</v>
      </c>
      <c r="J194" s="10">
        <f>IF(VLOOKUP($B194,Games!$A$1:$I$20,5,FALSE)="Texas",ROUND((VLOOKUP(VLOOKUP($B194,Games!$A$1:$I$20,8,FALSE),Players!$B$1:$F$40,4,FALSE)+VLOOKUP(VLOOKUP($B194,Games!$A$1:$I$20,9,FALSE),Players!$B$1:$F$40,4,FALSE))*(3/8),1),ROUND(VLOOKUP(VLOOKUP($B194,Games!$A$1:$I$20,8,FALSE),Players!$B$1:$F$40,5,FALSE),1))</f>
        <v>16</v>
      </c>
      <c r="K194" s="10" t="str">
        <f>VLOOKUP(B194,Games!$A$1:$I$20,3,FALSE)</f>
        <v>Golf Resort Barbora</v>
      </c>
      <c r="L194" s="10">
        <f>VLOOKUP(CONCATENATE($K194,$C194),'Field holes'!$B$1:$I$900,6,FALSE)</f>
        <v>4</v>
      </c>
      <c r="M194" s="10">
        <f>VLOOKUP(CONCATENATE($K194,$C194),'Field holes'!$B$1:$I$900,7,FALSE)</f>
        <v>9</v>
      </c>
    </row>
    <row r="195" spans="1:13" ht="13" x14ac:dyDescent="0.15">
      <c r="A195" s="16">
        <v>194</v>
      </c>
      <c r="B195" s="16">
        <v>11</v>
      </c>
      <c r="C195" s="17">
        <v>14</v>
      </c>
      <c r="F195" s="10" t="e">
        <f t="shared" si="2"/>
        <v>#N/A</v>
      </c>
      <c r="G195" s="10">
        <f t="shared" si="0"/>
        <v>4</v>
      </c>
      <c r="H195" s="10" t="str">
        <f t="shared" si="1"/>
        <v/>
      </c>
      <c r="I195" s="10" t="e">
        <f>IF(VLOOKUP($B195,Games!$A$1:$I$20,5,FALSE)="Texas",ROUND(((VLOOKUP(VLOOKUP($B195,Games!$A$1:$I$20,6,FALSE),Players!$B$1:$F$40,4,FALSE)+VLOOKUP(VLOOKUP($B195,Games!$A$1:$I$20,7,FALSE),Players!$B$1:$F$40,4,FALSE)))*(3/8),1),ROUND(VLOOKUP(VLOOKUP($B195,Games!$A$1:$I$20,6,FALSE),Players!$B$1:$F$40,5,FALSE),1))</f>
        <v>#N/A</v>
      </c>
      <c r="J195" s="10">
        <f>IF(VLOOKUP($B195,Games!$A$1:$I$20,5,FALSE)="Texas",ROUND((VLOOKUP(VLOOKUP($B195,Games!$A$1:$I$20,8,FALSE),Players!$B$1:$F$40,4,FALSE)+VLOOKUP(VLOOKUP($B195,Games!$A$1:$I$20,9,FALSE),Players!$B$1:$F$40,4,FALSE))*(3/8),1),ROUND(VLOOKUP(VLOOKUP($B195,Games!$A$1:$I$20,8,FALSE),Players!$B$1:$F$40,5,FALSE),1))</f>
        <v>16</v>
      </c>
      <c r="K195" s="10" t="str">
        <f>VLOOKUP(B195,Games!$A$1:$I$20,3,FALSE)</f>
        <v>Golf Resort Barbora</v>
      </c>
      <c r="L195" s="10">
        <f>VLOOKUP(CONCATENATE($K195,$C195),'Field holes'!$B$1:$I$900,6,FALSE)</f>
        <v>3</v>
      </c>
      <c r="M195" s="10">
        <f>VLOOKUP(CONCATENATE($K195,$C195),'Field holes'!$B$1:$I$900,7,FALSE)</f>
        <v>5</v>
      </c>
    </row>
    <row r="196" spans="1:13" ht="13" x14ac:dyDescent="0.15">
      <c r="A196" s="16">
        <v>195</v>
      </c>
      <c r="B196" s="16">
        <v>11</v>
      </c>
      <c r="C196" s="17">
        <v>15</v>
      </c>
      <c r="F196" s="10" t="e">
        <f t="shared" si="2"/>
        <v>#N/A</v>
      </c>
      <c r="G196" s="10">
        <f t="shared" si="0"/>
        <v>6</v>
      </c>
      <c r="H196" s="10" t="str">
        <f t="shared" si="1"/>
        <v/>
      </c>
      <c r="I196" s="10" t="e">
        <f>IF(VLOOKUP($B196,Games!$A$1:$I$20,5,FALSE)="Texas",ROUND(((VLOOKUP(VLOOKUP($B196,Games!$A$1:$I$20,6,FALSE),Players!$B$1:$F$40,4,FALSE)+VLOOKUP(VLOOKUP($B196,Games!$A$1:$I$20,7,FALSE),Players!$B$1:$F$40,4,FALSE)))*(3/8),1),ROUND(VLOOKUP(VLOOKUP($B196,Games!$A$1:$I$20,6,FALSE),Players!$B$1:$F$40,5,FALSE),1))</f>
        <v>#N/A</v>
      </c>
      <c r="J196" s="10">
        <f>IF(VLOOKUP($B196,Games!$A$1:$I$20,5,FALSE)="Texas",ROUND((VLOOKUP(VLOOKUP($B196,Games!$A$1:$I$20,8,FALSE),Players!$B$1:$F$40,4,FALSE)+VLOOKUP(VLOOKUP($B196,Games!$A$1:$I$20,9,FALSE),Players!$B$1:$F$40,4,FALSE))*(3/8),1),ROUND(VLOOKUP(VLOOKUP($B196,Games!$A$1:$I$20,8,FALSE),Players!$B$1:$F$40,5,FALSE),1))</f>
        <v>16</v>
      </c>
      <c r="K196" s="10" t="str">
        <f>VLOOKUP(B196,Games!$A$1:$I$20,3,FALSE)</f>
        <v>Golf Resort Barbora</v>
      </c>
      <c r="L196" s="10">
        <f>VLOOKUP(CONCATENATE($K196,$C196),'Field holes'!$B$1:$I$900,6,FALSE)</f>
        <v>5</v>
      </c>
      <c r="M196" s="10">
        <f>VLOOKUP(CONCATENATE($K196,$C196),'Field holes'!$B$1:$I$900,7,FALSE)</f>
        <v>1</v>
      </c>
    </row>
    <row r="197" spans="1:13" ht="13" x14ac:dyDescent="0.15">
      <c r="A197" s="16">
        <v>196</v>
      </c>
      <c r="B197" s="16">
        <v>11</v>
      </c>
      <c r="C197" s="17">
        <v>16</v>
      </c>
      <c r="F197" s="10" t="e">
        <f t="shared" si="2"/>
        <v>#N/A</v>
      </c>
      <c r="G197" s="10">
        <f t="shared" si="0"/>
        <v>4</v>
      </c>
      <c r="H197" s="10" t="str">
        <f t="shared" si="1"/>
        <v/>
      </c>
      <c r="I197" s="10" t="e">
        <f>IF(VLOOKUP($B197,Games!$A$1:$I$20,5,FALSE)="Texas",ROUND(((VLOOKUP(VLOOKUP($B197,Games!$A$1:$I$20,6,FALSE),Players!$B$1:$F$40,4,FALSE)+VLOOKUP(VLOOKUP($B197,Games!$A$1:$I$20,7,FALSE),Players!$B$1:$F$40,4,FALSE)))*(3/8),1),ROUND(VLOOKUP(VLOOKUP($B197,Games!$A$1:$I$20,6,FALSE),Players!$B$1:$F$40,5,FALSE),1))</f>
        <v>#N/A</v>
      </c>
      <c r="J197" s="10">
        <f>IF(VLOOKUP($B197,Games!$A$1:$I$20,5,FALSE)="Texas",ROUND((VLOOKUP(VLOOKUP($B197,Games!$A$1:$I$20,8,FALSE),Players!$B$1:$F$40,4,FALSE)+VLOOKUP(VLOOKUP($B197,Games!$A$1:$I$20,9,FALSE),Players!$B$1:$F$40,4,FALSE))*(3/8),1),ROUND(VLOOKUP(VLOOKUP($B197,Games!$A$1:$I$20,8,FALSE),Players!$B$1:$F$40,5,FALSE),1))</f>
        <v>16</v>
      </c>
      <c r="K197" s="10" t="str">
        <f>VLOOKUP(B197,Games!$A$1:$I$20,3,FALSE)</f>
        <v>Golf Resort Barbora</v>
      </c>
      <c r="L197" s="10">
        <f>VLOOKUP(CONCATENATE($K197,$C197),'Field holes'!$B$1:$I$900,6,FALSE)</f>
        <v>3</v>
      </c>
      <c r="M197" s="10">
        <f>VLOOKUP(CONCATENATE($K197,$C197),'Field holes'!$B$1:$I$900,7,FALSE)</f>
        <v>13</v>
      </c>
    </row>
    <row r="198" spans="1:13" ht="13" x14ac:dyDescent="0.15">
      <c r="A198" s="16">
        <v>197</v>
      </c>
      <c r="B198" s="16">
        <v>11</v>
      </c>
      <c r="C198" s="17">
        <v>17</v>
      </c>
      <c r="F198" s="10" t="e">
        <f t="shared" si="2"/>
        <v>#N/A</v>
      </c>
      <c r="G198" s="10">
        <f t="shared" si="0"/>
        <v>6</v>
      </c>
      <c r="H198" s="10" t="str">
        <f t="shared" si="1"/>
        <v/>
      </c>
      <c r="I198" s="10" t="e">
        <f>IF(VLOOKUP($B198,Games!$A$1:$I$20,5,FALSE)="Texas",ROUND(((VLOOKUP(VLOOKUP($B198,Games!$A$1:$I$20,6,FALSE),Players!$B$1:$F$40,4,FALSE)+VLOOKUP(VLOOKUP($B198,Games!$A$1:$I$20,7,FALSE),Players!$B$1:$F$40,4,FALSE)))*(3/8),1),ROUND(VLOOKUP(VLOOKUP($B198,Games!$A$1:$I$20,6,FALSE),Players!$B$1:$F$40,5,FALSE),1))</f>
        <v>#N/A</v>
      </c>
      <c r="J198" s="10">
        <f>IF(VLOOKUP($B198,Games!$A$1:$I$20,5,FALSE)="Texas",ROUND((VLOOKUP(VLOOKUP($B198,Games!$A$1:$I$20,8,FALSE),Players!$B$1:$F$40,4,FALSE)+VLOOKUP(VLOOKUP($B198,Games!$A$1:$I$20,9,FALSE),Players!$B$1:$F$40,4,FALSE))*(3/8),1),ROUND(VLOOKUP(VLOOKUP($B198,Games!$A$1:$I$20,8,FALSE),Players!$B$1:$F$40,5,FALSE),1))</f>
        <v>16</v>
      </c>
      <c r="K198" s="10" t="str">
        <f>VLOOKUP(B198,Games!$A$1:$I$20,3,FALSE)</f>
        <v>Golf Resort Barbora</v>
      </c>
      <c r="L198" s="10">
        <f>VLOOKUP(CONCATENATE($K198,$C198),'Field holes'!$B$1:$I$900,6,FALSE)</f>
        <v>5</v>
      </c>
      <c r="M198" s="10">
        <f>VLOOKUP(CONCATENATE($K198,$C198),'Field holes'!$B$1:$I$900,7,FALSE)</f>
        <v>15</v>
      </c>
    </row>
    <row r="199" spans="1:13" ht="13" x14ac:dyDescent="0.15">
      <c r="A199" s="16">
        <v>198</v>
      </c>
      <c r="B199" s="16">
        <v>11</v>
      </c>
      <c r="C199" s="17">
        <v>18</v>
      </c>
      <c r="F199" s="10" t="e">
        <f t="shared" si="2"/>
        <v>#N/A</v>
      </c>
      <c r="G199" s="10">
        <f t="shared" si="0"/>
        <v>5</v>
      </c>
      <c r="H199" s="10" t="str">
        <f t="shared" si="1"/>
        <v/>
      </c>
      <c r="I199" s="10" t="e">
        <f>IF(VLOOKUP($B199,Games!$A$1:$I$20,5,FALSE)="Texas",ROUND(((VLOOKUP(VLOOKUP($B199,Games!$A$1:$I$20,6,FALSE),Players!$B$1:$F$40,4,FALSE)+VLOOKUP(VLOOKUP($B199,Games!$A$1:$I$20,7,FALSE),Players!$B$1:$F$40,4,FALSE)))*(3/8),1),ROUND(VLOOKUP(VLOOKUP($B199,Games!$A$1:$I$20,6,FALSE),Players!$B$1:$F$40,5,FALSE),1))</f>
        <v>#N/A</v>
      </c>
      <c r="J199" s="10">
        <f>IF(VLOOKUP($B199,Games!$A$1:$I$20,5,FALSE)="Texas",ROUND((VLOOKUP(VLOOKUP($B199,Games!$A$1:$I$20,8,FALSE),Players!$B$1:$F$40,4,FALSE)+VLOOKUP(VLOOKUP($B199,Games!$A$1:$I$20,9,FALSE),Players!$B$1:$F$40,4,FALSE))*(3/8),1),ROUND(VLOOKUP(VLOOKUP($B199,Games!$A$1:$I$20,8,FALSE),Players!$B$1:$F$40,5,FALSE),1))</f>
        <v>16</v>
      </c>
      <c r="K199" s="10" t="str">
        <f>VLOOKUP(B199,Games!$A$1:$I$20,3,FALSE)</f>
        <v>Golf Resort Barbora</v>
      </c>
      <c r="L199" s="10">
        <f>VLOOKUP(CONCATENATE($K199,$C199),'Field holes'!$B$1:$I$900,6,FALSE)</f>
        <v>4</v>
      </c>
      <c r="M199" s="10">
        <f>VLOOKUP(CONCATENATE($K199,$C199),'Field holes'!$B$1:$I$900,7,FALSE)</f>
        <v>3</v>
      </c>
    </row>
    <row r="200" spans="1:13" ht="13" x14ac:dyDescent="0.15">
      <c r="A200" s="16">
        <v>199</v>
      </c>
      <c r="B200" s="16">
        <v>12</v>
      </c>
      <c r="C200" s="17">
        <v>1</v>
      </c>
      <c r="F200" s="10" t="e">
        <f t="shared" si="2"/>
        <v>#N/A</v>
      </c>
      <c r="G200" s="10">
        <f t="shared" si="0"/>
        <v>6</v>
      </c>
      <c r="H200" s="10" t="str">
        <f t="shared" si="1"/>
        <v/>
      </c>
      <c r="I200" s="10" t="e">
        <f>IF(VLOOKUP($B200,Games!$A$1:$I$20,5,FALSE)="Texas",ROUND(((VLOOKUP(VLOOKUP($B200,Games!$A$1:$I$20,6,FALSE),Players!$B$1:$F$40,4,FALSE)+VLOOKUP(VLOOKUP($B200,Games!$A$1:$I$20,7,FALSE),Players!$B$1:$F$40,4,FALSE)))*(3/8),1),ROUND(VLOOKUP(VLOOKUP($B200,Games!$A$1:$I$20,6,FALSE),Players!$B$1:$F$40,5,FALSE),1))</f>
        <v>#N/A</v>
      </c>
      <c r="J200" s="10">
        <f>IF(VLOOKUP($B200,Games!$A$1:$I$20,5,FALSE)="Texas",ROUND((VLOOKUP(VLOOKUP($B200,Games!$A$1:$I$20,8,FALSE),Players!$B$1:$F$40,4,FALSE)+VLOOKUP(VLOOKUP($B200,Games!$A$1:$I$20,9,FALSE),Players!$B$1:$F$40,4,FALSE))*(3/8),1),ROUND(VLOOKUP(VLOOKUP($B200,Games!$A$1:$I$20,8,FALSE),Players!$B$1:$F$40,5,FALSE),1))</f>
        <v>35</v>
      </c>
      <c r="K200" s="10" t="str">
        <f>VLOOKUP(B200,Games!$A$1:$I$20,3,FALSE)</f>
        <v>Golf Resort Barbora</v>
      </c>
      <c r="L200" s="10">
        <f>VLOOKUP(CONCATENATE($K200,$C200),'Field holes'!$B$1:$I$900,6,FALSE)</f>
        <v>4</v>
      </c>
      <c r="M200" s="10">
        <f>VLOOKUP(CONCATENATE($K200,$C200),'Field holes'!$B$1:$I$900,7,FALSE)</f>
        <v>10</v>
      </c>
    </row>
    <row r="201" spans="1:13" ht="13" x14ac:dyDescent="0.15">
      <c r="A201" s="16">
        <v>200</v>
      </c>
      <c r="B201" s="16">
        <v>12</v>
      </c>
      <c r="C201" s="17">
        <v>2</v>
      </c>
      <c r="F201" s="10" t="e">
        <f t="shared" si="2"/>
        <v>#N/A</v>
      </c>
      <c r="G201" s="10">
        <f t="shared" si="0"/>
        <v>7</v>
      </c>
      <c r="H201" s="10" t="str">
        <f t="shared" si="1"/>
        <v/>
      </c>
      <c r="I201" s="10" t="e">
        <f>IF(VLOOKUP($B201,Games!$A$1:$I$20,5,FALSE)="Texas",ROUND(((VLOOKUP(VLOOKUP($B201,Games!$A$1:$I$20,6,FALSE),Players!$B$1:$F$40,4,FALSE)+VLOOKUP(VLOOKUP($B201,Games!$A$1:$I$20,7,FALSE),Players!$B$1:$F$40,4,FALSE)))*(3/8),1),ROUND(VLOOKUP(VLOOKUP($B201,Games!$A$1:$I$20,6,FALSE),Players!$B$1:$F$40,5,FALSE),1))</f>
        <v>#N/A</v>
      </c>
      <c r="J201" s="10">
        <f>IF(VLOOKUP($B201,Games!$A$1:$I$20,5,FALSE)="Texas",ROUND((VLOOKUP(VLOOKUP($B201,Games!$A$1:$I$20,8,FALSE),Players!$B$1:$F$40,4,FALSE)+VLOOKUP(VLOOKUP($B201,Games!$A$1:$I$20,9,FALSE),Players!$B$1:$F$40,4,FALSE))*(3/8),1),ROUND(VLOOKUP(VLOOKUP($B201,Games!$A$1:$I$20,8,FALSE),Players!$B$1:$F$40,5,FALSE),1))</f>
        <v>35</v>
      </c>
      <c r="K201" s="10" t="str">
        <f>VLOOKUP(B201,Games!$A$1:$I$20,3,FALSE)</f>
        <v>Golf Resort Barbora</v>
      </c>
      <c r="L201" s="10">
        <f>VLOOKUP(CONCATENATE($K201,$C201),'Field holes'!$B$1:$I$900,6,FALSE)</f>
        <v>5</v>
      </c>
      <c r="M201" s="10">
        <f>VLOOKUP(CONCATENATE($K201,$C201),'Field holes'!$B$1:$I$900,7,FALSE)</f>
        <v>4</v>
      </c>
    </row>
    <row r="202" spans="1:13" ht="13" x14ac:dyDescent="0.15">
      <c r="A202" s="16">
        <v>201</v>
      </c>
      <c r="B202" s="16">
        <v>12</v>
      </c>
      <c r="C202" s="17">
        <v>3</v>
      </c>
      <c r="F202" s="10" t="e">
        <f t="shared" si="2"/>
        <v>#N/A</v>
      </c>
      <c r="G202" s="10">
        <f t="shared" si="0"/>
        <v>5</v>
      </c>
      <c r="H202" s="10" t="str">
        <f t="shared" si="1"/>
        <v/>
      </c>
      <c r="I202" s="10" t="e">
        <f>IF(VLOOKUP($B202,Games!$A$1:$I$20,5,FALSE)="Texas",ROUND(((VLOOKUP(VLOOKUP($B202,Games!$A$1:$I$20,6,FALSE),Players!$B$1:$F$40,4,FALSE)+VLOOKUP(VLOOKUP($B202,Games!$A$1:$I$20,7,FALSE),Players!$B$1:$F$40,4,FALSE)))*(3/8),1),ROUND(VLOOKUP(VLOOKUP($B202,Games!$A$1:$I$20,6,FALSE),Players!$B$1:$F$40,5,FALSE),1))</f>
        <v>#N/A</v>
      </c>
      <c r="J202" s="10">
        <f>IF(VLOOKUP($B202,Games!$A$1:$I$20,5,FALSE)="Texas",ROUND((VLOOKUP(VLOOKUP($B202,Games!$A$1:$I$20,8,FALSE),Players!$B$1:$F$40,4,FALSE)+VLOOKUP(VLOOKUP($B202,Games!$A$1:$I$20,9,FALSE),Players!$B$1:$F$40,4,FALSE))*(3/8),1),ROUND(VLOOKUP(VLOOKUP($B202,Games!$A$1:$I$20,8,FALSE),Players!$B$1:$F$40,5,FALSE),1))</f>
        <v>35</v>
      </c>
      <c r="K202" s="10" t="str">
        <f>VLOOKUP(B202,Games!$A$1:$I$20,3,FALSE)</f>
        <v>Golf Resort Barbora</v>
      </c>
      <c r="L202" s="10">
        <f>VLOOKUP(CONCATENATE($K202,$C202),'Field holes'!$B$1:$I$900,6,FALSE)</f>
        <v>3</v>
      </c>
      <c r="M202" s="10">
        <f>VLOOKUP(CONCATENATE($K202,$C202),'Field holes'!$B$1:$I$900,7,FALSE)</f>
        <v>12</v>
      </c>
    </row>
    <row r="203" spans="1:13" ht="13" x14ac:dyDescent="0.15">
      <c r="A203" s="16">
        <v>202</v>
      </c>
      <c r="B203" s="16">
        <v>12</v>
      </c>
      <c r="C203" s="17">
        <v>4</v>
      </c>
      <c r="F203" s="10" t="e">
        <f t="shared" si="2"/>
        <v>#N/A</v>
      </c>
      <c r="G203" s="10">
        <f t="shared" si="0"/>
        <v>6</v>
      </c>
      <c r="H203" s="10" t="str">
        <f t="shared" si="1"/>
        <v/>
      </c>
      <c r="I203" s="10" t="e">
        <f>IF(VLOOKUP($B203,Games!$A$1:$I$20,5,FALSE)="Texas",ROUND(((VLOOKUP(VLOOKUP($B203,Games!$A$1:$I$20,6,FALSE),Players!$B$1:$F$40,4,FALSE)+VLOOKUP(VLOOKUP($B203,Games!$A$1:$I$20,7,FALSE),Players!$B$1:$F$40,4,FALSE)))*(3/8),1),ROUND(VLOOKUP(VLOOKUP($B203,Games!$A$1:$I$20,6,FALSE),Players!$B$1:$F$40,5,FALSE),1))</f>
        <v>#N/A</v>
      </c>
      <c r="J203" s="10">
        <f>IF(VLOOKUP($B203,Games!$A$1:$I$20,5,FALSE)="Texas",ROUND((VLOOKUP(VLOOKUP($B203,Games!$A$1:$I$20,8,FALSE),Players!$B$1:$F$40,4,FALSE)+VLOOKUP(VLOOKUP($B203,Games!$A$1:$I$20,9,FALSE),Players!$B$1:$F$40,4,FALSE))*(3/8),1),ROUND(VLOOKUP(VLOOKUP($B203,Games!$A$1:$I$20,8,FALSE),Players!$B$1:$F$40,5,FALSE),1))</f>
        <v>35</v>
      </c>
      <c r="K203" s="10" t="str">
        <f>VLOOKUP(B203,Games!$A$1:$I$20,3,FALSE)</f>
        <v>Golf Resort Barbora</v>
      </c>
      <c r="L203" s="10">
        <f>VLOOKUP(CONCATENATE($K203,$C203),'Field holes'!$B$1:$I$900,6,FALSE)</f>
        <v>4</v>
      </c>
      <c r="M203" s="10">
        <f>VLOOKUP(CONCATENATE($K203,$C203),'Field holes'!$B$1:$I$900,7,FALSE)</f>
        <v>2</v>
      </c>
    </row>
    <row r="204" spans="1:13" ht="13" x14ac:dyDescent="0.15">
      <c r="A204" s="16">
        <v>203</v>
      </c>
      <c r="B204" s="16">
        <v>12</v>
      </c>
      <c r="C204" s="17">
        <v>5</v>
      </c>
      <c r="F204" s="10" t="e">
        <f t="shared" si="2"/>
        <v>#N/A</v>
      </c>
      <c r="G204" s="10">
        <f t="shared" si="0"/>
        <v>6</v>
      </c>
      <c r="H204" s="10" t="str">
        <f t="shared" si="1"/>
        <v/>
      </c>
      <c r="I204" s="10" t="e">
        <f>IF(VLOOKUP($B204,Games!$A$1:$I$20,5,FALSE)="Texas",ROUND(((VLOOKUP(VLOOKUP($B204,Games!$A$1:$I$20,6,FALSE),Players!$B$1:$F$40,4,FALSE)+VLOOKUP(VLOOKUP($B204,Games!$A$1:$I$20,7,FALSE),Players!$B$1:$F$40,4,FALSE)))*(3/8),1),ROUND(VLOOKUP(VLOOKUP($B204,Games!$A$1:$I$20,6,FALSE),Players!$B$1:$F$40,5,FALSE),1))</f>
        <v>#N/A</v>
      </c>
      <c r="J204" s="10">
        <f>IF(VLOOKUP($B204,Games!$A$1:$I$20,5,FALSE)="Texas",ROUND((VLOOKUP(VLOOKUP($B204,Games!$A$1:$I$20,8,FALSE),Players!$B$1:$F$40,4,FALSE)+VLOOKUP(VLOOKUP($B204,Games!$A$1:$I$20,9,FALSE),Players!$B$1:$F$40,4,FALSE))*(3/8),1),ROUND(VLOOKUP(VLOOKUP($B204,Games!$A$1:$I$20,8,FALSE),Players!$B$1:$F$40,5,FALSE),1))</f>
        <v>35</v>
      </c>
      <c r="K204" s="10" t="str">
        <f>VLOOKUP(B204,Games!$A$1:$I$20,3,FALSE)</f>
        <v>Golf Resort Barbora</v>
      </c>
      <c r="L204" s="10">
        <f>VLOOKUP(CONCATENATE($K204,$C204),'Field holes'!$B$1:$I$900,6,FALSE)</f>
        <v>4</v>
      </c>
      <c r="M204" s="10">
        <f>VLOOKUP(CONCATENATE($K204,$C204),'Field holes'!$B$1:$I$900,7,FALSE)</f>
        <v>14</v>
      </c>
    </row>
    <row r="205" spans="1:13" ht="13" x14ac:dyDescent="0.15">
      <c r="A205" s="16">
        <v>204</v>
      </c>
      <c r="B205" s="16">
        <v>12</v>
      </c>
      <c r="C205" s="17">
        <v>6</v>
      </c>
      <c r="F205" s="10" t="e">
        <f t="shared" si="2"/>
        <v>#N/A</v>
      </c>
      <c r="G205" s="10">
        <f t="shared" si="0"/>
        <v>7</v>
      </c>
      <c r="H205" s="10" t="str">
        <f t="shared" si="1"/>
        <v/>
      </c>
      <c r="I205" s="10" t="e">
        <f>IF(VLOOKUP($B205,Games!$A$1:$I$20,5,FALSE)="Texas",ROUND(((VLOOKUP(VLOOKUP($B205,Games!$A$1:$I$20,6,FALSE),Players!$B$1:$F$40,4,FALSE)+VLOOKUP(VLOOKUP($B205,Games!$A$1:$I$20,7,FALSE),Players!$B$1:$F$40,4,FALSE)))*(3/8),1),ROUND(VLOOKUP(VLOOKUP($B205,Games!$A$1:$I$20,6,FALSE),Players!$B$1:$F$40,5,FALSE),1))</f>
        <v>#N/A</v>
      </c>
      <c r="J205" s="10">
        <f>IF(VLOOKUP($B205,Games!$A$1:$I$20,5,FALSE)="Texas",ROUND((VLOOKUP(VLOOKUP($B205,Games!$A$1:$I$20,8,FALSE),Players!$B$1:$F$40,4,FALSE)+VLOOKUP(VLOOKUP($B205,Games!$A$1:$I$20,9,FALSE),Players!$B$1:$F$40,4,FALSE))*(3/8),1),ROUND(VLOOKUP(VLOOKUP($B205,Games!$A$1:$I$20,8,FALSE),Players!$B$1:$F$40,5,FALSE),1))</f>
        <v>35</v>
      </c>
      <c r="K205" s="10" t="str">
        <f>VLOOKUP(B205,Games!$A$1:$I$20,3,FALSE)</f>
        <v>Golf Resort Barbora</v>
      </c>
      <c r="L205" s="10">
        <f>VLOOKUP(CONCATENATE($K205,$C205),'Field holes'!$B$1:$I$900,6,FALSE)</f>
        <v>5</v>
      </c>
      <c r="M205" s="10">
        <f>VLOOKUP(CONCATENATE($K205,$C205),'Field holes'!$B$1:$I$900,7,FALSE)</f>
        <v>8</v>
      </c>
    </row>
    <row r="206" spans="1:13" ht="13" x14ac:dyDescent="0.15">
      <c r="A206" s="16">
        <v>205</v>
      </c>
      <c r="B206" s="16">
        <v>12</v>
      </c>
      <c r="C206" s="17">
        <v>7</v>
      </c>
      <c r="F206" s="10" t="e">
        <f t="shared" si="2"/>
        <v>#N/A</v>
      </c>
      <c r="G206" s="10">
        <f t="shared" si="0"/>
        <v>6</v>
      </c>
      <c r="H206" s="10" t="str">
        <f t="shared" si="1"/>
        <v/>
      </c>
      <c r="I206" s="10" t="e">
        <f>IF(VLOOKUP($B206,Games!$A$1:$I$20,5,FALSE)="Texas",ROUND(((VLOOKUP(VLOOKUP($B206,Games!$A$1:$I$20,6,FALSE),Players!$B$1:$F$40,4,FALSE)+VLOOKUP(VLOOKUP($B206,Games!$A$1:$I$20,7,FALSE),Players!$B$1:$F$40,4,FALSE)))*(3/8),1),ROUND(VLOOKUP(VLOOKUP($B206,Games!$A$1:$I$20,6,FALSE),Players!$B$1:$F$40,5,FALSE),1))</f>
        <v>#N/A</v>
      </c>
      <c r="J206" s="10">
        <f>IF(VLOOKUP($B206,Games!$A$1:$I$20,5,FALSE)="Texas",ROUND((VLOOKUP(VLOOKUP($B206,Games!$A$1:$I$20,8,FALSE),Players!$B$1:$F$40,4,FALSE)+VLOOKUP(VLOOKUP($B206,Games!$A$1:$I$20,9,FALSE),Players!$B$1:$F$40,4,FALSE))*(3/8),1),ROUND(VLOOKUP(VLOOKUP($B206,Games!$A$1:$I$20,8,FALSE),Players!$B$1:$F$40,5,FALSE),1))</f>
        <v>35</v>
      </c>
      <c r="K206" s="10" t="str">
        <f>VLOOKUP(B206,Games!$A$1:$I$20,3,FALSE)</f>
        <v>Golf Resort Barbora</v>
      </c>
      <c r="L206" s="10">
        <f>VLOOKUP(CONCATENATE($K206,$C206),'Field holes'!$B$1:$I$900,6,FALSE)</f>
        <v>4</v>
      </c>
      <c r="M206" s="10">
        <f>VLOOKUP(CONCATENATE($K206,$C206),'Field holes'!$B$1:$I$900,7,FALSE)</f>
        <v>16</v>
      </c>
    </row>
    <row r="207" spans="1:13" ht="13" x14ac:dyDescent="0.15">
      <c r="A207" s="16">
        <v>206</v>
      </c>
      <c r="B207" s="16">
        <v>12</v>
      </c>
      <c r="C207" s="17">
        <v>8</v>
      </c>
      <c r="F207" s="10" t="e">
        <f t="shared" si="2"/>
        <v>#N/A</v>
      </c>
      <c r="G207" s="10">
        <f t="shared" si="0"/>
        <v>6</v>
      </c>
      <c r="H207" s="10" t="str">
        <f t="shared" si="1"/>
        <v/>
      </c>
      <c r="I207" s="10" t="e">
        <f>IF(VLOOKUP($B207,Games!$A$1:$I$20,5,FALSE)="Texas",ROUND(((VLOOKUP(VLOOKUP($B207,Games!$A$1:$I$20,6,FALSE),Players!$B$1:$F$40,4,FALSE)+VLOOKUP(VLOOKUP($B207,Games!$A$1:$I$20,7,FALSE),Players!$B$1:$F$40,4,FALSE)))*(3/8),1),ROUND(VLOOKUP(VLOOKUP($B207,Games!$A$1:$I$20,6,FALSE),Players!$B$1:$F$40,5,FALSE),1))</f>
        <v>#N/A</v>
      </c>
      <c r="J207" s="10">
        <f>IF(VLOOKUP($B207,Games!$A$1:$I$20,5,FALSE)="Texas",ROUND((VLOOKUP(VLOOKUP($B207,Games!$A$1:$I$20,8,FALSE),Players!$B$1:$F$40,4,FALSE)+VLOOKUP(VLOOKUP($B207,Games!$A$1:$I$20,9,FALSE),Players!$B$1:$F$40,4,FALSE))*(3/8),1),ROUND(VLOOKUP(VLOOKUP($B207,Games!$A$1:$I$20,8,FALSE),Players!$B$1:$F$40,5,FALSE),1))</f>
        <v>35</v>
      </c>
      <c r="K207" s="10" t="str">
        <f>VLOOKUP(B207,Games!$A$1:$I$20,3,FALSE)</f>
        <v>Golf Resort Barbora</v>
      </c>
      <c r="L207" s="10">
        <f>VLOOKUP(CONCATENATE($K207,$C207),'Field holes'!$B$1:$I$900,6,FALSE)</f>
        <v>4</v>
      </c>
      <c r="M207" s="10">
        <f>VLOOKUP(CONCATENATE($K207,$C207),'Field holes'!$B$1:$I$900,7,FALSE)</f>
        <v>6</v>
      </c>
    </row>
    <row r="208" spans="1:13" ht="13" x14ac:dyDescent="0.15">
      <c r="A208" s="16">
        <v>207</v>
      </c>
      <c r="B208" s="16">
        <v>12</v>
      </c>
      <c r="C208" s="17">
        <v>9</v>
      </c>
      <c r="F208" s="10" t="e">
        <f t="shared" si="2"/>
        <v>#N/A</v>
      </c>
      <c r="G208" s="10">
        <f t="shared" si="0"/>
        <v>4</v>
      </c>
      <c r="H208" s="10" t="str">
        <f t="shared" si="1"/>
        <v/>
      </c>
      <c r="I208" s="10" t="e">
        <f>IF(VLOOKUP($B208,Games!$A$1:$I$20,5,FALSE)="Texas",ROUND(((VLOOKUP(VLOOKUP($B208,Games!$A$1:$I$20,6,FALSE),Players!$B$1:$F$40,4,FALSE)+VLOOKUP(VLOOKUP($B208,Games!$A$1:$I$20,7,FALSE),Players!$B$1:$F$40,4,FALSE)))*(3/8),1),ROUND(VLOOKUP(VLOOKUP($B208,Games!$A$1:$I$20,6,FALSE),Players!$B$1:$F$40,5,FALSE),1))</f>
        <v>#N/A</v>
      </c>
      <c r="J208" s="10">
        <f>IF(VLOOKUP($B208,Games!$A$1:$I$20,5,FALSE)="Texas",ROUND((VLOOKUP(VLOOKUP($B208,Games!$A$1:$I$20,8,FALSE),Players!$B$1:$F$40,4,FALSE)+VLOOKUP(VLOOKUP($B208,Games!$A$1:$I$20,9,FALSE),Players!$B$1:$F$40,4,FALSE))*(3/8),1),ROUND(VLOOKUP(VLOOKUP($B208,Games!$A$1:$I$20,8,FALSE),Players!$B$1:$F$40,5,FALSE),1))</f>
        <v>35</v>
      </c>
      <c r="K208" s="10" t="str">
        <f>VLOOKUP(B208,Games!$A$1:$I$20,3,FALSE)</f>
        <v>Golf Resort Barbora</v>
      </c>
      <c r="L208" s="10">
        <f>VLOOKUP(CONCATENATE($K208,$C208),'Field holes'!$B$1:$I$900,6,FALSE)</f>
        <v>3</v>
      </c>
      <c r="M208" s="10">
        <f>VLOOKUP(CONCATENATE($K208,$C208),'Field holes'!$B$1:$I$900,7,FALSE)</f>
        <v>18</v>
      </c>
    </row>
    <row r="209" spans="1:13" ht="13" x14ac:dyDescent="0.15">
      <c r="A209" s="16">
        <v>208</v>
      </c>
      <c r="B209" s="16">
        <v>12</v>
      </c>
      <c r="C209" s="17">
        <v>10</v>
      </c>
      <c r="F209" s="10" t="e">
        <f t="shared" si="2"/>
        <v>#N/A</v>
      </c>
      <c r="G209" s="10">
        <f t="shared" si="0"/>
        <v>7</v>
      </c>
      <c r="H209" s="10" t="str">
        <f t="shared" si="1"/>
        <v/>
      </c>
      <c r="I209" s="10" t="e">
        <f>IF(VLOOKUP($B209,Games!$A$1:$I$20,5,FALSE)="Texas",ROUND(((VLOOKUP(VLOOKUP($B209,Games!$A$1:$I$20,6,FALSE),Players!$B$1:$F$40,4,FALSE)+VLOOKUP(VLOOKUP($B209,Games!$A$1:$I$20,7,FALSE),Players!$B$1:$F$40,4,FALSE)))*(3/8),1),ROUND(VLOOKUP(VLOOKUP($B209,Games!$A$1:$I$20,6,FALSE),Players!$B$1:$F$40,5,FALSE),1))</f>
        <v>#N/A</v>
      </c>
      <c r="J209" s="10">
        <f>IF(VLOOKUP($B209,Games!$A$1:$I$20,5,FALSE)="Texas",ROUND((VLOOKUP(VLOOKUP($B209,Games!$A$1:$I$20,8,FALSE),Players!$B$1:$F$40,4,FALSE)+VLOOKUP(VLOOKUP($B209,Games!$A$1:$I$20,9,FALSE),Players!$B$1:$F$40,4,FALSE))*(3/8),1),ROUND(VLOOKUP(VLOOKUP($B209,Games!$A$1:$I$20,8,FALSE),Players!$B$1:$F$40,5,FALSE),1))</f>
        <v>35</v>
      </c>
      <c r="K209" s="10" t="str">
        <f>VLOOKUP(B209,Games!$A$1:$I$20,3,FALSE)</f>
        <v>Golf Resort Barbora</v>
      </c>
      <c r="L209" s="10">
        <f>VLOOKUP(CONCATENATE($K209,$C209),'Field holes'!$B$1:$I$900,6,FALSE)</f>
        <v>5</v>
      </c>
      <c r="M209" s="10">
        <f>VLOOKUP(CONCATENATE($K209,$C209),'Field holes'!$B$1:$I$900,7,FALSE)</f>
        <v>11</v>
      </c>
    </row>
    <row r="210" spans="1:13" ht="13" x14ac:dyDescent="0.15">
      <c r="A210" s="16">
        <v>209</v>
      </c>
      <c r="B210" s="16">
        <v>12</v>
      </c>
      <c r="C210" s="17">
        <v>11</v>
      </c>
      <c r="F210" s="10" t="e">
        <f t="shared" si="2"/>
        <v>#N/A</v>
      </c>
      <c r="G210" s="10">
        <f t="shared" si="0"/>
        <v>5</v>
      </c>
      <c r="H210" s="10" t="str">
        <f t="shared" si="1"/>
        <v/>
      </c>
      <c r="I210" s="10" t="e">
        <f>IF(VLOOKUP($B210,Games!$A$1:$I$20,5,FALSE)="Texas",ROUND(((VLOOKUP(VLOOKUP($B210,Games!$A$1:$I$20,6,FALSE),Players!$B$1:$F$40,4,FALSE)+VLOOKUP(VLOOKUP($B210,Games!$A$1:$I$20,7,FALSE),Players!$B$1:$F$40,4,FALSE)))*(3/8),1),ROUND(VLOOKUP(VLOOKUP($B210,Games!$A$1:$I$20,6,FALSE),Players!$B$1:$F$40,5,FALSE),1))</f>
        <v>#N/A</v>
      </c>
      <c r="J210" s="10">
        <f>IF(VLOOKUP($B210,Games!$A$1:$I$20,5,FALSE)="Texas",ROUND((VLOOKUP(VLOOKUP($B210,Games!$A$1:$I$20,8,FALSE),Players!$B$1:$F$40,4,FALSE)+VLOOKUP(VLOOKUP($B210,Games!$A$1:$I$20,9,FALSE),Players!$B$1:$F$40,4,FALSE))*(3/8),1),ROUND(VLOOKUP(VLOOKUP($B210,Games!$A$1:$I$20,8,FALSE),Players!$B$1:$F$40,5,FALSE),1))</f>
        <v>35</v>
      </c>
      <c r="K210" s="10" t="str">
        <f>VLOOKUP(B210,Games!$A$1:$I$20,3,FALSE)</f>
        <v>Golf Resort Barbora</v>
      </c>
      <c r="L210" s="10">
        <f>VLOOKUP(CONCATENATE($K210,$C210),'Field holes'!$B$1:$I$900,6,FALSE)</f>
        <v>3</v>
      </c>
      <c r="M210" s="10">
        <f>VLOOKUP(CONCATENATE($K210,$C210),'Field holes'!$B$1:$I$900,7,FALSE)</f>
        <v>7</v>
      </c>
    </row>
    <row r="211" spans="1:13" ht="13" x14ac:dyDescent="0.15">
      <c r="A211" s="16">
        <v>210</v>
      </c>
      <c r="B211" s="16">
        <v>12</v>
      </c>
      <c r="C211" s="17">
        <v>12</v>
      </c>
      <c r="F211" s="10" t="e">
        <f t="shared" si="2"/>
        <v>#N/A</v>
      </c>
      <c r="G211" s="10">
        <f t="shared" si="0"/>
        <v>6</v>
      </c>
      <c r="H211" s="10" t="str">
        <f t="shared" si="1"/>
        <v/>
      </c>
      <c r="I211" s="10" t="e">
        <f>IF(VLOOKUP($B211,Games!$A$1:$I$20,5,FALSE)="Texas",ROUND(((VLOOKUP(VLOOKUP($B211,Games!$A$1:$I$20,6,FALSE),Players!$B$1:$F$40,4,FALSE)+VLOOKUP(VLOOKUP($B211,Games!$A$1:$I$20,7,FALSE),Players!$B$1:$F$40,4,FALSE)))*(3/8),1),ROUND(VLOOKUP(VLOOKUP($B211,Games!$A$1:$I$20,6,FALSE),Players!$B$1:$F$40,5,FALSE),1))</f>
        <v>#N/A</v>
      </c>
      <c r="J211" s="10">
        <f>IF(VLOOKUP($B211,Games!$A$1:$I$20,5,FALSE)="Texas",ROUND((VLOOKUP(VLOOKUP($B211,Games!$A$1:$I$20,8,FALSE),Players!$B$1:$F$40,4,FALSE)+VLOOKUP(VLOOKUP($B211,Games!$A$1:$I$20,9,FALSE),Players!$B$1:$F$40,4,FALSE))*(3/8),1),ROUND(VLOOKUP(VLOOKUP($B211,Games!$A$1:$I$20,8,FALSE),Players!$B$1:$F$40,5,FALSE),1))</f>
        <v>35</v>
      </c>
      <c r="K211" s="10" t="str">
        <f>VLOOKUP(B211,Games!$A$1:$I$20,3,FALSE)</f>
        <v>Golf Resort Barbora</v>
      </c>
      <c r="L211" s="10">
        <f>VLOOKUP(CONCATENATE($K211,$C211),'Field holes'!$B$1:$I$900,6,FALSE)</f>
        <v>4</v>
      </c>
      <c r="M211" s="10">
        <f>VLOOKUP(CONCATENATE($K211,$C211),'Field holes'!$B$1:$I$900,7,FALSE)</f>
        <v>17</v>
      </c>
    </row>
    <row r="212" spans="1:13" ht="13" x14ac:dyDescent="0.15">
      <c r="A212" s="16">
        <v>211</v>
      </c>
      <c r="B212" s="16">
        <v>12</v>
      </c>
      <c r="C212" s="17">
        <v>13</v>
      </c>
      <c r="F212" s="10" t="e">
        <f t="shared" si="2"/>
        <v>#N/A</v>
      </c>
      <c r="G212" s="10">
        <f t="shared" si="0"/>
        <v>6</v>
      </c>
      <c r="H212" s="10" t="str">
        <f t="shared" si="1"/>
        <v/>
      </c>
      <c r="I212" s="10" t="e">
        <f>IF(VLOOKUP($B212,Games!$A$1:$I$20,5,FALSE)="Texas",ROUND(((VLOOKUP(VLOOKUP($B212,Games!$A$1:$I$20,6,FALSE),Players!$B$1:$F$40,4,FALSE)+VLOOKUP(VLOOKUP($B212,Games!$A$1:$I$20,7,FALSE),Players!$B$1:$F$40,4,FALSE)))*(3/8),1),ROUND(VLOOKUP(VLOOKUP($B212,Games!$A$1:$I$20,6,FALSE),Players!$B$1:$F$40,5,FALSE),1))</f>
        <v>#N/A</v>
      </c>
      <c r="J212" s="10">
        <f>IF(VLOOKUP($B212,Games!$A$1:$I$20,5,FALSE)="Texas",ROUND((VLOOKUP(VLOOKUP($B212,Games!$A$1:$I$20,8,FALSE),Players!$B$1:$F$40,4,FALSE)+VLOOKUP(VLOOKUP($B212,Games!$A$1:$I$20,9,FALSE),Players!$B$1:$F$40,4,FALSE))*(3/8),1),ROUND(VLOOKUP(VLOOKUP($B212,Games!$A$1:$I$20,8,FALSE),Players!$B$1:$F$40,5,FALSE),1))</f>
        <v>35</v>
      </c>
      <c r="K212" s="10" t="str">
        <f>VLOOKUP(B212,Games!$A$1:$I$20,3,FALSE)</f>
        <v>Golf Resort Barbora</v>
      </c>
      <c r="L212" s="10">
        <f>VLOOKUP(CONCATENATE($K212,$C212),'Field holes'!$B$1:$I$900,6,FALSE)</f>
        <v>4</v>
      </c>
      <c r="M212" s="10">
        <f>VLOOKUP(CONCATENATE($K212,$C212),'Field holes'!$B$1:$I$900,7,FALSE)</f>
        <v>9</v>
      </c>
    </row>
    <row r="213" spans="1:13" ht="13" x14ac:dyDescent="0.15">
      <c r="A213" s="16">
        <v>212</v>
      </c>
      <c r="B213" s="16">
        <v>12</v>
      </c>
      <c r="C213" s="17">
        <v>14</v>
      </c>
      <c r="F213" s="10" t="e">
        <f t="shared" si="2"/>
        <v>#N/A</v>
      </c>
      <c r="G213" s="10">
        <f t="shared" si="0"/>
        <v>5</v>
      </c>
      <c r="H213" s="10" t="str">
        <f t="shared" si="1"/>
        <v/>
      </c>
      <c r="I213" s="10" t="e">
        <f>IF(VLOOKUP($B213,Games!$A$1:$I$20,5,FALSE)="Texas",ROUND(((VLOOKUP(VLOOKUP($B213,Games!$A$1:$I$20,6,FALSE),Players!$B$1:$F$40,4,FALSE)+VLOOKUP(VLOOKUP($B213,Games!$A$1:$I$20,7,FALSE),Players!$B$1:$F$40,4,FALSE)))*(3/8),1),ROUND(VLOOKUP(VLOOKUP($B213,Games!$A$1:$I$20,6,FALSE),Players!$B$1:$F$40,5,FALSE),1))</f>
        <v>#N/A</v>
      </c>
      <c r="J213" s="10">
        <f>IF(VLOOKUP($B213,Games!$A$1:$I$20,5,FALSE)="Texas",ROUND((VLOOKUP(VLOOKUP($B213,Games!$A$1:$I$20,8,FALSE),Players!$B$1:$F$40,4,FALSE)+VLOOKUP(VLOOKUP($B213,Games!$A$1:$I$20,9,FALSE),Players!$B$1:$F$40,4,FALSE))*(3/8),1),ROUND(VLOOKUP(VLOOKUP($B213,Games!$A$1:$I$20,8,FALSE),Players!$B$1:$F$40,5,FALSE),1))</f>
        <v>35</v>
      </c>
      <c r="K213" s="10" t="str">
        <f>VLOOKUP(B213,Games!$A$1:$I$20,3,FALSE)</f>
        <v>Golf Resort Barbora</v>
      </c>
      <c r="L213" s="10">
        <f>VLOOKUP(CONCATENATE($K213,$C213),'Field holes'!$B$1:$I$900,6,FALSE)</f>
        <v>3</v>
      </c>
      <c r="M213" s="10">
        <f>VLOOKUP(CONCATENATE($K213,$C213),'Field holes'!$B$1:$I$900,7,FALSE)</f>
        <v>5</v>
      </c>
    </row>
    <row r="214" spans="1:13" ht="13" x14ac:dyDescent="0.15">
      <c r="A214" s="16">
        <v>213</v>
      </c>
      <c r="B214" s="16">
        <v>12</v>
      </c>
      <c r="C214" s="17">
        <v>15</v>
      </c>
      <c r="F214" s="10" t="e">
        <f t="shared" si="2"/>
        <v>#N/A</v>
      </c>
      <c r="G214" s="10">
        <f t="shared" si="0"/>
        <v>7</v>
      </c>
      <c r="H214" s="10" t="str">
        <f t="shared" si="1"/>
        <v/>
      </c>
      <c r="I214" s="10" t="e">
        <f>IF(VLOOKUP($B214,Games!$A$1:$I$20,5,FALSE)="Texas",ROUND(((VLOOKUP(VLOOKUP($B214,Games!$A$1:$I$20,6,FALSE),Players!$B$1:$F$40,4,FALSE)+VLOOKUP(VLOOKUP($B214,Games!$A$1:$I$20,7,FALSE),Players!$B$1:$F$40,4,FALSE)))*(3/8),1),ROUND(VLOOKUP(VLOOKUP($B214,Games!$A$1:$I$20,6,FALSE),Players!$B$1:$F$40,5,FALSE),1))</f>
        <v>#N/A</v>
      </c>
      <c r="J214" s="10">
        <f>IF(VLOOKUP($B214,Games!$A$1:$I$20,5,FALSE)="Texas",ROUND((VLOOKUP(VLOOKUP($B214,Games!$A$1:$I$20,8,FALSE),Players!$B$1:$F$40,4,FALSE)+VLOOKUP(VLOOKUP($B214,Games!$A$1:$I$20,9,FALSE),Players!$B$1:$F$40,4,FALSE))*(3/8),1),ROUND(VLOOKUP(VLOOKUP($B214,Games!$A$1:$I$20,8,FALSE),Players!$B$1:$F$40,5,FALSE),1))</f>
        <v>35</v>
      </c>
      <c r="K214" s="10" t="str">
        <f>VLOOKUP(B214,Games!$A$1:$I$20,3,FALSE)</f>
        <v>Golf Resort Barbora</v>
      </c>
      <c r="L214" s="10">
        <f>VLOOKUP(CONCATENATE($K214,$C214),'Field holes'!$B$1:$I$900,6,FALSE)</f>
        <v>5</v>
      </c>
      <c r="M214" s="10">
        <f>VLOOKUP(CONCATENATE($K214,$C214),'Field holes'!$B$1:$I$900,7,FALSE)</f>
        <v>1</v>
      </c>
    </row>
    <row r="215" spans="1:13" ht="13" x14ac:dyDescent="0.15">
      <c r="A215" s="16">
        <v>214</v>
      </c>
      <c r="B215" s="16">
        <v>12</v>
      </c>
      <c r="C215" s="17">
        <v>16</v>
      </c>
      <c r="F215" s="10" t="e">
        <f t="shared" si="2"/>
        <v>#N/A</v>
      </c>
      <c r="G215" s="10">
        <f t="shared" si="0"/>
        <v>5</v>
      </c>
      <c r="H215" s="10" t="str">
        <f t="shared" si="1"/>
        <v/>
      </c>
      <c r="I215" s="10" t="e">
        <f>IF(VLOOKUP($B215,Games!$A$1:$I$20,5,FALSE)="Texas",ROUND(((VLOOKUP(VLOOKUP($B215,Games!$A$1:$I$20,6,FALSE),Players!$B$1:$F$40,4,FALSE)+VLOOKUP(VLOOKUP($B215,Games!$A$1:$I$20,7,FALSE),Players!$B$1:$F$40,4,FALSE)))*(3/8),1),ROUND(VLOOKUP(VLOOKUP($B215,Games!$A$1:$I$20,6,FALSE),Players!$B$1:$F$40,5,FALSE),1))</f>
        <v>#N/A</v>
      </c>
      <c r="J215" s="10">
        <f>IF(VLOOKUP($B215,Games!$A$1:$I$20,5,FALSE)="Texas",ROUND((VLOOKUP(VLOOKUP($B215,Games!$A$1:$I$20,8,FALSE),Players!$B$1:$F$40,4,FALSE)+VLOOKUP(VLOOKUP($B215,Games!$A$1:$I$20,9,FALSE),Players!$B$1:$F$40,4,FALSE))*(3/8),1),ROUND(VLOOKUP(VLOOKUP($B215,Games!$A$1:$I$20,8,FALSE),Players!$B$1:$F$40,5,FALSE),1))</f>
        <v>35</v>
      </c>
      <c r="K215" s="10" t="str">
        <f>VLOOKUP(B215,Games!$A$1:$I$20,3,FALSE)</f>
        <v>Golf Resort Barbora</v>
      </c>
      <c r="L215" s="10">
        <f>VLOOKUP(CONCATENATE($K215,$C215),'Field holes'!$B$1:$I$900,6,FALSE)</f>
        <v>3</v>
      </c>
      <c r="M215" s="10">
        <f>VLOOKUP(CONCATENATE($K215,$C215),'Field holes'!$B$1:$I$900,7,FALSE)</f>
        <v>13</v>
      </c>
    </row>
    <row r="216" spans="1:13" ht="13" x14ac:dyDescent="0.15">
      <c r="A216" s="16">
        <v>215</v>
      </c>
      <c r="B216" s="16">
        <v>12</v>
      </c>
      <c r="C216" s="17">
        <v>17</v>
      </c>
      <c r="F216" s="10" t="e">
        <f t="shared" si="2"/>
        <v>#N/A</v>
      </c>
      <c r="G216" s="10">
        <f t="shared" si="0"/>
        <v>7</v>
      </c>
      <c r="H216" s="10" t="str">
        <f t="shared" si="1"/>
        <v/>
      </c>
      <c r="I216" s="10" t="e">
        <f>IF(VLOOKUP($B216,Games!$A$1:$I$20,5,FALSE)="Texas",ROUND(((VLOOKUP(VLOOKUP($B216,Games!$A$1:$I$20,6,FALSE),Players!$B$1:$F$40,4,FALSE)+VLOOKUP(VLOOKUP($B216,Games!$A$1:$I$20,7,FALSE),Players!$B$1:$F$40,4,FALSE)))*(3/8),1),ROUND(VLOOKUP(VLOOKUP($B216,Games!$A$1:$I$20,6,FALSE),Players!$B$1:$F$40,5,FALSE),1))</f>
        <v>#N/A</v>
      </c>
      <c r="J216" s="10">
        <f>IF(VLOOKUP($B216,Games!$A$1:$I$20,5,FALSE)="Texas",ROUND((VLOOKUP(VLOOKUP($B216,Games!$A$1:$I$20,8,FALSE),Players!$B$1:$F$40,4,FALSE)+VLOOKUP(VLOOKUP($B216,Games!$A$1:$I$20,9,FALSE),Players!$B$1:$F$40,4,FALSE))*(3/8),1),ROUND(VLOOKUP(VLOOKUP($B216,Games!$A$1:$I$20,8,FALSE),Players!$B$1:$F$40,5,FALSE),1))</f>
        <v>35</v>
      </c>
      <c r="K216" s="10" t="str">
        <f>VLOOKUP(B216,Games!$A$1:$I$20,3,FALSE)</f>
        <v>Golf Resort Barbora</v>
      </c>
      <c r="L216" s="10">
        <f>VLOOKUP(CONCATENATE($K216,$C216),'Field holes'!$B$1:$I$900,6,FALSE)</f>
        <v>5</v>
      </c>
      <c r="M216" s="10">
        <f>VLOOKUP(CONCATENATE($K216,$C216),'Field holes'!$B$1:$I$900,7,FALSE)</f>
        <v>15</v>
      </c>
    </row>
    <row r="217" spans="1:13" ht="13" x14ac:dyDescent="0.15">
      <c r="A217" s="16">
        <v>216</v>
      </c>
      <c r="B217" s="16">
        <v>12</v>
      </c>
      <c r="C217" s="17">
        <v>18</v>
      </c>
      <c r="F217" s="10" t="e">
        <f t="shared" si="2"/>
        <v>#N/A</v>
      </c>
      <c r="G217" s="10">
        <f t="shared" si="0"/>
        <v>6</v>
      </c>
      <c r="H217" s="10" t="str">
        <f t="shared" si="1"/>
        <v/>
      </c>
      <c r="I217" s="10" t="e">
        <f>IF(VLOOKUP($B217,Games!$A$1:$I$20,5,FALSE)="Texas",ROUND(((VLOOKUP(VLOOKUP($B217,Games!$A$1:$I$20,6,FALSE),Players!$B$1:$F$40,4,FALSE)+VLOOKUP(VLOOKUP($B217,Games!$A$1:$I$20,7,FALSE),Players!$B$1:$F$40,4,FALSE)))*(3/8),1),ROUND(VLOOKUP(VLOOKUP($B217,Games!$A$1:$I$20,6,FALSE),Players!$B$1:$F$40,5,FALSE),1))</f>
        <v>#N/A</v>
      </c>
      <c r="J217" s="10">
        <f>IF(VLOOKUP($B217,Games!$A$1:$I$20,5,FALSE)="Texas",ROUND((VLOOKUP(VLOOKUP($B217,Games!$A$1:$I$20,8,FALSE),Players!$B$1:$F$40,4,FALSE)+VLOOKUP(VLOOKUP($B217,Games!$A$1:$I$20,9,FALSE),Players!$B$1:$F$40,4,FALSE))*(3/8),1),ROUND(VLOOKUP(VLOOKUP($B217,Games!$A$1:$I$20,8,FALSE),Players!$B$1:$F$40,5,FALSE),1))</f>
        <v>35</v>
      </c>
      <c r="K217" s="10" t="str">
        <f>VLOOKUP(B217,Games!$A$1:$I$20,3,FALSE)</f>
        <v>Golf Resort Barbora</v>
      </c>
      <c r="L217" s="10">
        <f>VLOOKUP(CONCATENATE($K217,$C217),'Field holes'!$B$1:$I$900,6,FALSE)</f>
        <v>4</v>
      </c>
      <c r="M217" s="10">
        <f>VLOOKUP(CONCATENATE($K217,$C217),'Field holes'!$B$1:$I$900,7,FALSE)</f>
        <v>3</v>
      </c>
    </row>
    <row r="218" spans="1:13" ht="13" x14ac:dyDescent="0.15">
      <c r="C218" s="12"/>
    </row>
    <row r="219" spans="1:13" ht="13" x14ac:dyDescent="0.15">
      <c r="C219" s="12"/>
    </row>
    <row r="220" spans="1:13" ht="13" x14ac:dyDescent="0.15">
      <c r="C220" s="12"/>
    </row>
    <row r="221" spans="1:13" ht="13" x14ac:dyDescent="0.15">
      <c r="C221" s="12"/>
    </row>
    <row r="222" spans="1:13" ht="13" x14ac:dyDescent="0.15">
      <c r="C222" s="12"/>
    </row>
    <row r="223" spans="1:13" ht="13" x14ac:dyDescent="0.15">
      <c r="C223" s="12"/>
    </row>
    <row r="224" spans="1:13" ht="13" x14ac:dyDescent="0.15">
      <c r="C224" s="12"/>
    </row>
    <row r="225" spans="3:3" ht="13" x14ac:dyDescent="0.15">
      <c r="C225" s="12"/>
    </row>
    <row r="226" spans="3:3" ht="13" x14ac:dyDescent="0.15">
      <c r="C226" s="12"/>
    </row>
    <row r="227" spans="3:3" ht="13" x14ac:dyDescent="0.15">
      <c r="C227" s="12"/>
    </row>
    <row r="228" spans="3:3" ht="13" x14ac:dyDescent="0.15">
      <c r="C228" s="12"/>
    </row>
    <row r="229" spans="3:3" ht="13" x14ac:dyDescent="0.15">
      <c r="C229" s="12"/>
    </row>
    <row r="230" spans="3:3" ht="13" x14ac:dyDescent="0.15">
      <c r="C230" s="12"/>
    </row>
    <row r="231" spans="3:3" ht="13" x14ac:dyDescent="0.15">
      <c r="C231" s="12"/>
    </row>
    <row r="232" spans="3:3" ht="13" x14ac:dyDescent="0.15">
      <c r="C232" s="12"/>
    </row>
    <row r="233" spans="3:3" ht="13" x14ac:dyDescent="0.15">
      <c r="C233" s="12"/>
    </row>
    <row r="234" spans="3:3" ht="13" x14ac:dyDescent="0.15">
      <c r="C234" s="12"/>
    </row>
    <row r="235" spans="3:3" ht="13" x14ac:dyDescent="0.15">
      <c r="C235" s="12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9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cols>
    <col min="2" max="2" width="27.6640625" customWidth="1"/>
    <col min="3" max="3" width="24.1640625" customWidth="1"/>
    <col min="10" max="10" width="55.5" customWidth="1"/>
    <col min="11" max="11" width="19.1640625" customWidth="1"/>
    <col min="12" max="12" width="19.83203125" customWidth="1"/>
  </cols>
  <sheetData>
    <row r="1" spans="1:12" ht="15.75" customHeight="1" x14ac:dyDescent="0.15">
      <c r="A1" s="14" t="s">
        <v>473</v>
      </c>
      <c r="B1" s="14" t="s">
        <v>474</v>
      </c>
      <c r="C1" s="14" t="s">
        <v>113</v>
      </c>
      <c r="D1" s="14" t="s">
        <v>134</v>
      </c>
      <c r="E1" s="14" t="s">
        <v>144</v>
      </c>
      <c r="F1" s="14" t="s">
        <v>145</v>
      </c>
      <c r="G1" s="14" t="s">
        <v>142</v>
      </c>
      <c r="H1" s="14" t="s">
        <v>143</v>
      </c>
      <c r="I1" s="14" t="s">
        <v>112</v>
      </c>
      <c r="J1" s="14" t="s">
        <v>24</v>
      </c>
      <c r="K1" s="14" t="s">
        <v>146</v>
      </c>
      <c r="L1" s="14" t="s">
        <v>147</v>
      </c>
    </row>
    <row r="2" spans="1:12" ht="15.75" customHeight="1" x14ac:dyDescent="0.15">
      <c r="A2" s="15">
        <v>3</v>
      </c>
      <c r="B2" s="10" t="str">
        <f t="shared" ref="B2:B109" si="0">CONCATENATE(C2,D2)</f>
        <v>Greensgate Golf Resort Dýšina1</v>
      </c>
      <c r="C2" s="15" t="s">
        <v>148</v>
      </c>
      <c r="D2" s="15">
        <v>1</v>
      </c>
      <c r="E2" s="15" t="s">
        <v>149</v>
      </c>
      <c r="F2" s="15" t="s">
        <v>150</v>
      </c>
      <c r="G2" s="18">
        <v>4</v>
      </c>
      <c r="H2" s="18">
        <v>8</v>
      </c>
      <c r="I2" s="15">
        <v>1</v>
      </c>
      <c r="J2" s="15" t="s">
        <v>151</v>
      </c>
      <c r="K2" s="15">
        <f t="shared" ref="K2:K109" si="1">IFERROR(VALUE(LEFT($E2,SEARCH(" ",$E2)-1)),"")</f>
        <v>309</v>
      </c>
      <c r="L2" s="15">
        <f t="shared" ref="L2:L109" si="2">VALUE(LEFT($F2,SEARCH(" ",$F2)-1))</f>
        <v>287</v>
      </c>
    </row>
    <row r="3" spans="1:12" ht="15.75" customHeight="1" x14ac:dyDescent="0.15">
      <c r="A3" s="15">
        <v>3</v>
      </c>
      <c r="B3" s="10" t="str">
        <f t="shared" si="0"/>
        <v>Greensgate Golf Resort Dýšina2</v>
      </c>
      <c r="C3" s="15" t="s">
        <v>148</v>
      </c>
      <c r="D3" s="15">
        <v>2</v>
      </c>
      <c r="E3" s="15" t="s">
        <v>152</v>
      </c>
      <c r="F3" s="15" t="s">
        <v>150</v>
      </c>
      <c r="G3" s="18">
        <v>4</v>
      </c>
      <c r="H3" s="18">
        <v>18</v>
      </c>
      <c r="I3" s="15">
        <v>1</v>
      </c>
      <c r="J3" s="15" t="s">
        <v>153</v>
      </c>
      <c r="K3" s="15">
        <f t="shared" si="1"/>
        <v>407</v>
      </c>
      <c r="L3" s="15">
        <f t="shared" si="2"/>
        <v>287</v>
      </c>
    </row>
    <row r="4" spans="1:12" ht="15.75" customHeight="1" x14ac:dyDescent="0.15">
      <c r="A4" s="15">
        <v>3</v>
      </c>
      <c r="B4" s="10" t="str">
        <f t="shared" si="0"/>
        <v>Greensgate Golf Resort Dýšina3</v>
      </c>
      <c r="C4" s="15" t="s">
        <v>148</v>
      </c>
      <c r="D4" s="15">
        <v>3</v>
      </c>
      <c r="E4" s="15" t="s">
        <v>154</v>
      </c>
      <c r="F4" s="15" t="s">
        <v>155</v>
      </c>
      <c r="G4" s="18">
        <v>5</v>
      </c>
      <c r="H4" s="18">
        <v>2</v>
      </c>
      <c r="I4" s="15">
        <v>1</v>
      </c>
      <c r="J4" s="15" t="s">
        <v>156</v>
      </c>
      <c r="K4" s="15">
        <f t="shared" si="1"/>
        <v>515</v>
      </c>
      <c r="L4" s="15">
        <f t="shared" si="2"/>
        <v>466</v>
      </c>
    </row>
    <row r="5" spans="1:12" ht="15.75" customHeight="1" x14ac:dyDescent="0.15">
      <c r="A5" s="15">
        <v>3</v>
      </c>
      <c r="B5" s="10" t="str">
        <f t="shared" si="0"/>
        <v>Greensgate Golf Resort Dýšina4</v>
      </c>
      <c r="C5" s="15" t="s">
        <v>148</v>
      </c>
      <c r="D5" s="15">
        <v>4</v>
      </c>
      <c r="E5" s="15" t="s">
        <v>157</v>
      </c>
      <c r="F5" s="15" t="s">
        <v>158</v>
      </c>
      <c r="G5" s="18">
        <v>3</v>
      </c>
      <c r="H5" s="18">
        <v>10</v>
      </c>
      <c r="I5" s="15">
        <v>1</v>
      </c>
      <c r="J5" s="15" t="s">
        <v>159</v>
      </c>
      <c r="K5" s="15">
        <f t="shared" si="1"/>
        <v>168</v>
      </c>
      <c r="L5" s="15">
        <f t="shared" si="2"/>
        <v>162</v>
      </c>
    </row>
    <row r="6" spans="1:12" ht="15.75" customHeight="1" x14ac:dyDescent="0.15">
      <c r="A6" s="15">
        <v>3</v>
      </c>
      <c r="B6" s="10" t="str">
        <f t="shared" si="0"/>
        <v>Greensgate Golf Resort Dýšina5</v>
      </c>
      <c r="C6" s="15" t="s">
        <v>148</v>
      </c>
      <c r="D6" s="15">
        <v>5</v>
      </c>
      <c r="E6" s="15" t="s">
        <v>160</v>
      </c>
      <c r="F6" s="15" t="s">
        <v>161</v>
      </c>
      <c r="G6" s="18">
        <v>4</v>
      </c>
      <c r="H6" s="18">
        <v>4</v>
      </c>
      <c r="I6" s="15">
        <v>1</v>
      </c>
      <c r="J6" s="15" t="s">
        <v>162</v>
      </c>
      <c r="K6" s="15">
        <f t="shared" si="1"/>
        <v>417</v>
      </c>
      <c r="L6" s="15">
        <f t="shared" si="2"/>
        <v>373</v>
      </c>
    </row>
    <row r="7" spans="1:12" ht="15.75" customHeight="1" x14ac:dyDescent="0.15">
      <c r="A7" s="15">
        <v>3</v>
      </c>
      <c r="B7" s="10" t="str">
        <f t="shared" si="0"/>
        <v>Greensgate Golf Resort Dýšina6</v>
      </c>
      <c r="C7" s="15" t="s">
        <v>148</v>
      </c>
      <c r="D7" s="15">
        <v>6</v>
      </c>
      <c r="E7" s="15" t="s">
        <v>163</v>
      </c>
      <c r="F7" s="15" t="s">
        <v>164</v>
      </c>
      <c r="G7" s="18">
        <v>4</v>
      </c>
      <c r="H7" s="18">
        <v>14</v>
      </c>
      <c r="I7" s="15">
        <v>1</v>
      </c>
      <c r="J7" s="15" t="s">
        <v>165</v>
      </c>
      <c r="K7" s="15">
        <f t="shared" si="1"/>
        <v>279</v>
      </c>
      <c r="L7" s="15">
        <f t="shared" si="2"/>
        <v>270</v>
      </c>
    </row>
    <row r="8" spans="1:12" ht="15.75" customHeight="1" x14ac:dyDescent="0.15">
      <c r="A8" s="15">
        <v>3</v>
      </c>
      <c r="B8" s="10" t="str">
        <f t="shared" si="0"/>
        <v>Greensgate Golf Resort Dýšina7</v>
      </c>
      <c r="C8" s="15" t="s">
        <v>148</v>
      </c>
      <c r="D8" s="15">
        <v>7</v>
      </c>
      <c r="E8" s="15" t="s">
        <v>166</v>
      </c>
      <c r="F8" s="15" t="s">
        <v>167</v>
      </c>
      <c r="G8" s="18">
        <v>3</v>
      </c>
      <c r="H8" s="18">
        <v>16</v>
      </c>
      <c r="I8" s="15">
        <v>1</v>
      </c>
      <c r="J8" s="15" t="s">
        <v>168</v>
      </c>
      <c r="K8" s="15">
        <f t="shared" si="1"/>
        <v>192</v>
      </c>
      <c r="L8" s="15">
        <f t="shared" si="2"/>
        <v>101</v>
      </c>
    </row>
    <row r="9" spans="1:12" ht="15.75" customHeight="1" x14ac:dyDescent="0.15">
      <c r="A9" s="15">
        <v>3</v>
      </c>
      <c r="B9" s="10" t="str">
        <f t="shared" si="0"/>
        <v>Greensgate Golf Resort Dýšina8</v>
      </c>
      <c r="C9" s="15" t="s">
        <v>148</v>
      </c>
      <c r="D9" s="15">
        <v>8</v>
      </c>
      <c r="E9" s="15" t="s">
        <v>169</v>
      </c>
      <c r="F9" s="15" t="s">
        <v>169</v>
      </c>
      <c r="G9" s="18">
        <v>4</v>
      </c>
      <c r="H9" s="18">
        <v>6</v>
      </c>
      <c r="I9" s="15">
        <v>1</v>
      </c>
      <c r="J9" s="15" t="s">
        <v>170</v>
      </c>
      <c r="K9" s="15">
        <f t="shared" si="1"/>
        <v>366</v>
      </c>
      <c r="L9" s="15">
        <f t="shared" si="2"/>
        <v>366</v>
      </c>
    </row>
    <row r="10" spans="1:12" ht="15.75" customHeight="1" x14ac:dyDescent="0.15">
      <c r="A10" s="15">
        <v>3</v>
      </c>
      <c r="B10" s="10" t="str">
        <f t="shared" si="0"/>
        <v>Greensgate Golf Resort Dýšina9</v>
      </c>
      <c r="C10" s="15" t="s">
        <v>148</v>
      </c>
      <c r="D10" s="15">
        <v>9</v>
      </c>
      <c r="E10" s="15" t="s">
        <v>171</v>
      </c>
      <c r="F10" s="15" t="s">
        <v>172</v>
      </c>
      <c r="G10" s="18">
        <v>5</v>
      </c>
      <c r="H10" s="18">
        <v>12</v>
      </c>
      <c r="I10" s="15">
        <v>1</v>
      </c>
      <c r="J10" s="15" t="s">
        <v>173</v>
      </c>
      <c r="K10" s="15">
        <f t="shared" si="1"/>
        <v>495</v>
      </c>
      <c r="L10" s="15">
        <f t="shared" si="2"/>
        <v>439</v>
      </c>
    </row>
    <row r="11" spans="1:12" ht="15.75" customHeight="1" x14ac:dyDescent="0.15">
      <c r="A11" s="15">
        <v>3</v>
      </c>
      <c r="B11" s="10" t="str">
        <f t="shared" si="0"/>
        <v>Greensgate Golf Resort Dýšina10</v>
      </c>
      <c r="C11" s="15" t="s">
        <v>148</v>
      </c>
      <c r="D11" s="15">
        <v>10</v>
      </c>
      <c r="E11" s="15" t="s">
        <v>174</v>
      </c>
      <c r="F11" s="15" t="s">
        <v>175</v>
      </c>
      <c r="G11" s="18">
        <v>5</v>
      </c>
      <c r="H11" s="18">
        <v>5</v>
      </c>
      <c r="I11" s="15">
        <v>1</v>
      </c>
      <c r="J11" s="15" t="s">
        <v>176</v>
      </c>
      <c r="K11" s="15">
        <f t="shared" si="1"/>
        <v>513</v>
      </c>
      <c r="L11" s="15">
        <f t="shared" si="2"/>
        <v>482</v>
      </c>
    </row>
    <row r="12" spans="1:12" ht="15.75" customHeight="1" x14ac:dyDescent="0.15">
      <c r="A12" s="15">
        <v>3</v>
      </c>
      <c r="B12" s="10" t="str">
        <f t="shared" si="0"/>
        <v>Greensgate Golf Resort Dýšina11</v>
      </c>
      <c r="C12" s="15" t="s">
        <v>148</v>
      </c>
      <c r="D12" s="15">
        <v>11</v>
      </c>
      <c r="E12" s="15" t="s">
        <v>177</v>
      </c>
      <c r="F12" s="15" t="s">
        <v>178</v>
      </c>
      <c r="G12" s="18">
        <v>3</v>
      </c>
      <c r="H12" s="18">
        <v>13</v>
      </c>
      <c r="I12" s="15">
        <v>1</v>
      </c>
      <c r="J12" s="15" t="s">
        <v>179</v>
      </c>
      <c r="K12" s="15">
        <f t="shared" si="1"/>
        <v>144</v>
      </c>
      <c r="L12" s="15">
        <f t="shared" si="2"/>
        <v>123</v>
      </c>
    </row>
    <row r="13" spans="1:12" ht="15.75" customHeight="1" x14ac:dyDescent="0.15">
      <c r="A13" s="15">
        <v>3</v>
      </c>
      <c r="B13" s="10" t="str">
        <f t="shared" si="0"/>
        <v>Greensgate Golf Resort Dýšina12</v>
      </c>
      <c r="C13" s="15" t="s">
        <v>148</v>
      </c>
      <c r="D13" s="15">
        <v>12</v>
      </c>
      <c r="E13" s="15" t="s">
        <v>180</v>
      </c>
      <c r="F13" s="15" t="s">
        <v>181</v>
      </c>
      <c r="G13" s="18">
        <v>4</v>
      </c>
      <c r="H13" s="18">
        <v>17</v>
      </c>
      <c r="I13" s="15">
        <v>1</v>
      </c>
      <c r="J13" s="15" t="s">
        <v>182</v>
      </c>
      <c r="K13" s="15">
        <f t="shared" si="1"/>
        <v>333</v>
      </c>
      <c r="L13" s="15">
        <f t="shared" si="2"/>
        <v>307</v>
      </c>
    </row>
    <row r="14" spans="1:12" ht="15.75" customHeight="1" x14ac:dyDescent="0.15">
      <c r="A14" s="15">
        <v>3</v>
      </c>
      <c r="B14" s="10" t="str">
        <f t="shared" si="0"/>
        <v>Greensgate Golf Resort Dýšina13</v>
      </c>
      <c r="C14" s="15" t="s">
        <v>148</v>
      </c>
      <c r="D14" s="15">
        <v>13</v>
      </c>
      <c r="E14" s="15" t="s">
        <v>183</v>
      </c>
      <c r="F14" s="15" t="s">
        <v>184</v>
      </c>
      <c r="G14" s="18">
        <v>3</v>
      </c>
      <c r="H14" s="18">
        <v>3</v>
      </c>
      <c r="I14" s="15">
        <v>1</v>
      </c>
      <c r="J14" s="15" t="s">
        <v>185</v>
      </c>
      <c r="K14" s="15">
        <f t="shared" si="1"/>
        <v>183</v>
      </c>
      <c r="L14" s="15">
        <f t="shared" si="2"/>
        <v>148</v>
      </c>
    </row>
    <row r="15" spans="1:12" ht="15.75" customHeight="1" x14ac:dyDescent="0.15">
      <c r="A15" s="15">
        <v>3</v>
      </c>
      <c r="B15" s="10" t="str">
        <f t="shared" si="0"/>
        <v>Greensgate Golf Resort Dýšina14</v>
      </c>
      <c r="C15" s="15" t="s">
        <v>148</v>
      </c>
      <c r="D15" s="15">
        <v>14</v>
      </c>
      <c r="E15" s="15" t="s">
        <v>186</v>
      </c>
      <c r="F15" s="15" t="s">
        <v>186</v>
      </c>
      <c r="G15" s="18">
        <v>5</v>
      </c>
      <c r="H15" s="18">
        <v>11</v>
      </c>
      <c r="I15" s="15">
        <v>1</v>
      </c>
      <c r="J15" s="15" t="s">
        <v>187</v>
      </c>
      <c r="K15" s="15">
        <f t="shared" si="1"/>
        <v>444</v>
      </c>
      <c r="L15" s="15">
        <f t="shared" si="2"/>
        <v>444</v>
      </c>
    </row>
    <row r="16" spans="1:12" ht="15.75" customHeight="1" x14ac:dyDescent="0.15">
      <c r="A16" s="15">
        <v>3</v>
      </c>
      <c r="B16" s="10" t="str">
        <f t="shared" si="0"/>
        <v>Greensgate Golf Resort Dýšina15</v>
      </c>
      <c r="C16" s="15" t="s">
        <v>148</v>
      </c>
      <c r="D16" s="15">
        <v>15</v>
      </c>
      <c r="E16" s="15" t="s">
        <v>188</v>
      </c>
      <c r="F16" s="15" t="s">
        <v>189</v>
      </c>
      <c r="G16" s="18">
        <v>3</v>
      </c>
      <c r="H16" s="18">
        <v>7</v>
      </c>
      <c r="I16" s="15">
        <v>1</v>
      </c>
      <c r="J16" s="15" t="s">
        <v>190</v>
      </c>
      <c r="K16" s="15">
        <f t="shared" si="1"/>
        <v>357</v>
      </c>
      <c r="L16" s="15">
        <f t="shared" si="2"/>
        <v>339</v>
      </c>
    </row>
    <row r="17" spans="1:12" ht="15.75" customHeight="1" x14ac:dyDescent="0.15">
      <c r="A17" s="15">
        <v>3</v>
      </c>
      <c r="B17" s="10" t="str">
        <f t="shared" si="0"/>
        <v>Greensgate Golf Resort Dýšina16</v>
      </c>
      <c r="C17" s="15" t="s">
        <v>148</v>
      </c>
      <c r="D17" s="15">
        <v>16</v>
      </c>
      <c r="E17" s="15" t="s">
        <v>191</v>
      </c>
      <c r="F17" s="15" t="s">
        <v>192</v>
      </c>
      <c r="G17" s="18">
        <v>4</v>
      </c>
      <c r="H17" s="18">
        <v>15</v>
      </c>
      <c r="I17" s="15">
        <v>1</v>
      </c>
      <c r="J17" s="15" t="s">
        <v>193</v>
      </c>
      <c r="K17" s="15">
        <f t="shared" si="1"/>
        <v>348</v>
      </c>
      <c r="L17" s="15">
        <f t="shared" si="2"/>
        <v>328</v>
      </c>
    </row>
    <row r="18" spans="1:12" ht="15.75" customHeight="1" x14ac:dyDescent="0.15">
      <c r="A18" s="15">
        <v>3</v>
      </c>
      <c r="B18" s="10" t="str">
        <f t="shared" si="0"/>
        <v>Greensgate Golf Resort Dýšina17</v>
      </c>
      <c r="C18" s="15" t="s">
        <v>148</v>
      </c>
      <c r="D18" s="15">
        <v>17</v>
      </c>
      <c r="E18" s="15" t="s">
        <v>194</v>
      </c>
      <c r="F18" s="15" t="s">
        <v>161</v>
      </c>
      <c r="G18" s="18">
        <v>4</v>
      </c>
      <c r="H18" s="18">
        <v>1</v>
      </c>
      <c r="I18" s="15">
        <v>1</v>
      </c>
      <c r="J18" s="15" t="s">
        <v>195</v>
      </c>
      <c r="K18" s="15">
        <f t="shared" si="1"/>
        <v>383</v>
      </c>
      <c r="L18" s="15">
        <f t="shared" si="2"/>
        <v>373</v>
      </c>
    </row>
    <row r="19" spans="1:12" ht="15.75" customHeight="1" x14ac:dyDescent="0.15">
      <c r="A19" s="15">
        <v>3</v>
      </c>
      <c r="B19" s="10" t="str">
        <f t="shared" si="0"/>
        <v>Greensgate Golf Resort Dýšina18</v>
      </c>
      <c r="C19" s="15" t="s">
        <v>148</v>
      </c>
      <c r="D19" s="15">
        <v>18</v>
      </c>
      <c r="E19" s="15" t="s">
        <v>196</v>
      </c>
      <c r="F19" s="15" t="s">
        <v>197</v>
      </c>
      <c r="G19" s="18">
        <v>4</v>
      </c>
      <c r="H19" s="18">
        <v>9</v>
      </c>
      <c r="I19" s="15">
        <v>1</v>
      </c>
      <c r="J19" s="15" t="s">
        <v>198</v>
      </c>
      <c r="K19" s="15">
        <f t="shared" si="1"/>
        <v>391</v>
      </c>
      <c r="L19" s="15">
        <f t="shared" si="2"/>
        <v>342</v>
      </c>
    </row>
    <row r="20" spans="1:12" ht="15.75" customHeight="1" x14ac:dyDescent="0.15">
      <c r="A20" s="15">
        <v>4</v>
      </c>
      <c r="B20" s="10" t="str">
        <f t="shared" si="0"/>
        <v>Golf &amp; Wellness resort Alfrédov1</v>
      </c>
      <c r="C20" s="15" t="s">
        <v>199</v>
      </c>
      <c r="D20" s="15">
        <v>1</v>
      </c>
      <c r="E20" s="15" t="s">
        <v>200</v>
      </c>
      <c r="F20" s="15" t="s">
        <v>201</v>
      </c>
      <c r="G20" s="18">
        <v>5</v>
      </c>
      <c r="H20" s="18">
        <v>9</v>
      </c>
      <c r="I20" s="15">
        <v>2</v>
      </c>
      <c r="J20" s="15" t="s">
        <v>202</v>
      </c>
      <c r="K20" s="15">
        <f t="shared" si="1"/>
        <v>493</v>
      </c>
      <c r="L20" s="15">
        <f t="shared" si="2"/>
        <v>479</v>
      </c>
    </row>
    <row r="21" spans="1:12" ht="15.75" customHeight="1" x14ac:dyDescent="0.15">
      <c r="A21" s="15">
        <v>4</v>
      </c>
      <c r="B21" s="10" t="str">
        <f t="shared" si="0"/>
        <v>Golf &amp; Wellness resort Alfrédov2</v>
      </c>
      <c r="C21" s="15" t="s">
        <v>199</v>
      </c>
      <c r="D21" s="15">
        <v>2</v>
      </c>
      <c r="E21" s="15" t="s">
        <v>172</v>
      </c>
      <c r="F21" s="15" t="s">
        <v>203</v>
      </c>
      <c r="G21" s="18">
        <v>4</v>
      </c>
      <c r="H21" s="18">
        <v>13</v>
      </c>
      <c r="I21" s="15">
        <v>2</v>
      </c>
      <c r="J21" s="15" t="s">
        <v>204</v>
      </c>
      <c r="K21" s="15">
        <f t="shared" si="1"/>
        <v>439</v>
      </c>
      <c r="L21" s="15">
        <f t="shared" si="2"/>
        <v>393</v>
      </c>
    </row>
    <row r="22" spans="1:12" ht="15.75" customHeight="1" x14ac:dyDescent="0.15">
      <c r="A22" s="15">
        <v>4</v>
      </c>
      <c r="B22" s="10" t="str">
        <f t="shared" si="0"/>
        <v>Golf &amp; Wellness resort Alfrédov3</v>
      </c>
      <c r="C22" s="15" t="s">
        <v>199</v>
      </c>
      <c r="D22" s="15">
        <v>3</v>
      </c>
      <c r="E22" s="15" t="s">
        <v>205</v>
      </c>
      <c r="F22" s="15" t="s">
        <v>206</v>
      </c>
      <c r="G22" s="18">
        <v>5</v>
      </c>
      <c r="H22" s="18">
        <v>1</v>
      </c>
      <c r="I22" s="15">
        <v>2</v>
      </c>
      <c r="J22" s="15" t="s">
        <v>207</v>
      </c>
      <c r="K22" s="15">
        <f t="shared" si="1"/>
        <v>522</v>
      </c>
      <c r="L22" s="15">
        <f t="shared" si="2"/>
        <v>512</v>
      </c>
    </row>
    <row r="23" spans="1:12" ht="15.75" customHeight="1" x14ac:dyDescent="0.15">
      <c r="A23" s="15">
        <v>4</v>
      </c>
      <c r="B23" s="10" t="str">
        <f t="shared" si="0"/>
        <v>Golf &amp; Wellness resort Alfrédov4</v>
      </c>
      <c r="C23" s="15" t="s">
        <v>199</v>
      </c>
      <c r="D23" s="15">
        <v>4</v>
      </c>
      <c r="E23" s="15" t="s">
        <v>208</v>
      </c>
      <c r="F23" s="15" t="s">
        <v>209</v>
      </c>
      <c r="G23" s="18">
        <v>3</v>
      </c>
      <c r="H23" s="18">
        <v>7</v>
      </c>
      <c r="I23" s="15">
        <v>2</v>
      </c>
      <c r="J23" s="15" t="s">
        <v>210</v>
      </c>
      <c r="K23" s="15">
        <f t="shared" si="1"/>
        <v>147</v>
      </c>
      <c r="L23" s="15">
        <f t="shared" si="2"/>
        <v>140</v>
      </c>
    </row>
    <row r="24" spans="1:12" ht="15.75" customHeight="1" x14ac:dyDescent="0.15">
      <c r="A24" s="15">
        <v>4</v>
      </c>
      <c r="B24" s="10" t="str">
        <f t="shared" si="0"/>
        <v>Golf &amp; Wellness resort Alfrédov5</v>
      </c>
      <c r="C24" s="15" t="s">
        <v>199</v>
      </c>
      <c r="D24" s="15">
        <v>5</v>
      </c>
      <c r="E24" s="15" t="s">
        <v>211</v>
      </c>
      <c r="F24" s="15" t="s">
        <v>212</v>
      </c>
      <c r="G24" s="18">
        <v>4</v>
      </c>
      <c r="H24" s="18">
        <v>17</v>
      </c>
      <c r="I24" s="15">
        <v>2</v>
      </c>
      <c r="J24" s="15" t="s">
        <v>213</v>
      </c>
      <c r="K24" s="15">
        <f t="shared" si="1"/>
        <v>326</v>
      </c>
      <c r="L24" s="15">
        <f t="shared" si="2"/>
        <v>319</v>
      </c>
    </row>
    <row r="25" spans="1:12" ht="15.75" customHeight="1" x14ac:dyDescent="0.15">
      <c r="A25" s="15">
        <v>4</v>
      </c>
      <c r="B25" s="10" t="str">
        <f t="shared" si="0"/>
        <v>Golf &amp; Wellness resort Alfrédov6</v>
      </c>
      <c r="C25" s="15" t="s">
        <v>199</v>
      </c>
      <c r="D25" s="15">
        <v>6</v>
      </c>
      <c r="E25" s="15" t="s">
        <v>214</v>
      </c>
      <c r="F25" s="15" t="s">
        <v>192</v>
      </c>
      <c r="G25" s="18">
        <v>4</v>
      </c>
      <c r="H25" s="18">
        <v>5</v>
      </c>
      <c r="I25" s="15">
        <v>2</v>
      </c>
      <c r="J25" s="15" t="s">
        <v>215</v>
      </c>
      <c r="K25" s="15">
        <f t="shared" si="1"/>
        <v>388</v>
      </c>
      <c r="L25" s="15">
        <f t="shared" si="2"/>
        <v>328</v>
      </c>
    </row>
    <row r="26" spans="1:12" ht="15.75" customHeight="1" x14ac:dyDescent="0.15">
      <c r="A26" s="15">
        <v>4</v>
      </c>
      <c r="B26" s="10" t="str">
        <f t="shared" si="0"/>
        <v>Golf &amp; Wellness resort Alfrédov7</v>
      </c>
      <c r="C26" s="15" t="s">
        <v>199</v>
      </c>
      <c r="D26" s="15">
        <v>7</v>
      </c>
      <c r="E26" s="15" t="s">
        <v>216</v>
      </c>
      <c r="F26" s="15" t="s">
        <v>216</v>
      </c>
      <c r="G26" s="18">
        <v>3</v>
      </c>
      <c r="H26" s="18">
        <v>15</v>
      </c>
      <c r="I26" s="15">
        <v>2</v>
      </c>
      <c r="J26" s="15" t="s">
        <v>217</v>
      </c>
      <c r="K26" s="15">
        <f t="shared" si="1"/>
        <v>154</v>
      </c>
      <c r="L26" s="15">
        <f t="shared" si="2"/>
        <v>154</v>
      </c>
    </row>
    <row r="27" spans="1:12" ht="15.75" customHeight="1" x14ac:dyDescent="0.15">
      <c r="A27" s="15">
        <v>4</v>
      </c>
      <c r="B27" s="10" t="str">
        <f t="shared" si="0"/>
        <v>Golf &amp; Wellness resort Alfrédov8</v>
      </c>
      <c r="C27" s="15" t="s">
        <v>199</v>
      </c>
      <c r="D27" s="15">
        <v>8</v>
      </c>
      <c r="E27" s="15" t="s">
        <v>218</v>
      </c>
      <c r="F27" s="15" t="s">
        <v>161</v>
      </c>
      <c r="G27" s="18">
        <v>4</v>
      </c>
      <c r="H27" s="18">
        <v>3</v>
      </c>
      <c r="I27" s="15">
        <v>2</v>
      </c>
      <c r="J27" s="15" t="s">
        <v>219</v>
      </c>
      <c r="K27" s="15">
        <f t="shared" si="1"/>
        <v>418</v>
      </c>
      <c r="L27" s="15">
        <f t="shared" si="2"/>
        <v>373</v>
      </c>
    </row>
    <row r="28" spans="1:12" ht="15.75" customHeight="1" x14ac:dyDescent="0.15">
      <c r="A28" s="15">
        <v>4</v>
      </c>
      <c r="B28" s="10" t="str">
        <f t="shared" si="0"/>
        <v>Golf &amp; Wellness resort Alfrédov9</v>
      </c>
      <c r="C28" s="15" t="s">
        <v>199</v>
      </c>
      <c r="D28" s="15">
        <v>9</v>
      </c>
      <c r="E28" s="15" t="s">
        <v>218</v>
      </c>
      <c r="F28" s="15" t="s">
        <v>220</v>
      </c>
      <c r="G28" s="18">
        <v>4</v>
      </c>
      <c r="H28" s="18">
        <v>11</v>
      </c>
      <c r="I28" s="15">
        <v>2</v>
      </c>
      <c r="J28" s="15" t="s">
        <v>221</v>
      </c>
      <c r="K28" s="15">
        <f t="shared" si="1"/>
        <v>418</v>
      </c>
      <c r="L28" s="15">
        <f t="shared" si="2"/>
        <v>360</v>
      </c>
    </row>
    <row r="29" spans="1:12" ht="15.75" customHeight="1" x14ac:dyDescent="0.15">
      <c r="A29" s="15">
        <v>4</v>
      </c>
      <c r="B29" s="10" t="str">
        <f t="shared" si="0"/>
        <v>Golf &amp; Wellness resort Alfrédov10</v>
      </c>
      <c r="C29" s="15" t="s">
        <v>199</v>
      </c>
      <c r="D29" s="15">
        <v>10</v>
      </c>
      <c r="E29" s="15" t="s">
        <v>222</v>
      </c>
      <c r="F29" s="15" t="s">
        <v>223</v>
      </c>
      <c r="G29" s="18">
        <v>5</v>
      </c>
      <c r="H29" s="18">
        <v>12</v>
      </c>
      <c r="I29" s="15">
        <v>2</v>
      </c>
      <c r="J29" s="15" t="s">
        <v>224</v>
      </c>
      <c r="K29" s="15">
        <f t="shared" si="1"/>
        <v>191</v>
      </c>
      <c r="L29" s="15">
        <f t="shared" si="2"/>
        <v>431</v>
      </c>
    </row>
    <row r="30" spans="1:12" ht="15.75" customHeight="1" x14ac:dyDescent="0.15">
      <c r="A30" s="15">
        <v>4</v>
      </c>
      <c r="B30" s="10" t="str">
        <f t="shared" si="0"/>
        <v>Golf &amp; Wellness resort Alfrédov11</v>
      </c>
      <c r="C30" s="15" t="s">
        <v>199</v>
      </c>
      <c r="D30" s="15">
        <v>11</v>
      </c>
      <c r="E30" s="15" t="s">
        <v>225</v>
      </c>
      <c r="F30" s="15" t="s">
        <v>226</v>
      </c>
      <c r="G30" s="18">
        <v>4</v>
      </c>
      <c r="H30" s="18">
        <v>8</v>
      </c>
      <c r="I30" s="15">
        <v>2</v>
      </c>
      <c r="J30" s="15" t="s">
        <v>227</v>
      </c>
      <c r="K30" s="15">
        <f t="shared" si="1"/>
        <v>283</v>
      </c>
      <c r="L30" s="15">
        <f t="shared" si="2"/>
        <v>268</v>
      </c>
    </row>
    <row r="31" spans="1:12" ht="15.75" customHeight="1" x14ac:dyDescent="0.15">
      <c r="A31" s="15">
        <v>4</v>
      </c>
      <c r="B31" s="10" t="str">
        <f t="shared" si="0"/>
        <v>Golf &amp; Wellness resort Alfrédov12</v>
      </c>
      <c r="C31" s="15" t="s">
        <v>199</v>
      </c>
      <c r="D31" s="15">
        <v>12</v>
      </c>
      <c r="E31" s="15" t="s">
        <v>228</v>
      </c>
      <c r="F31" s="15" t="s">
        <v>229</v>
      </c>
      <c r="G31" s="18">
        <v>4</v>
      </c>
      <c r="H31" s="18">
        <v>16</v>
      </c>
      <c r="I31" s="15">
        <v>2</v>
      </c>
      <c r="J31" s="15" t="s">
        <v>230</v>
      </c>
      <c r="K31" s="15">
        <f t="shared" si="1"/>
        <v>253</v>
      </c>
      <c r="L31" s="15">
        <f t="shared" si="2"/>
        <v>241</v>
      </c>
    </row>
    <row r="32" spans="1:12" ht="15.75" customHeight="1" x14ac:dyDescent="0.15">
      <c r="A32" s="15">
        <v>4</v>
      </c>
      <c r="B32" s="10" t="str">
        <f t="shared" si="0"/>
        <v>Golf &amp; Wellness resort Alfrédov13</v>
      </c>
      <c r="C32" s="15" t="s">
        <v>199</v>
      </c>
      <c r="D32" s="15">
        <v>13</v>
      </c>
      <c r="E32" s="15" t="s">
        <v>231</v>
      </c>
      <c r="F32" s="15" t="s">
        <v>232</v>
      </c>
      <c r="G32" s="18">
        <v>4</v>
      </c>
      <c r="H32" s="18">
        <v>2</v>
      </c>
      <c r="I32" s="15">
        <v>2</v>
      </c>
      <c r="J32" s="15" t="s">
        <v>233</v>
      </c>
      <c r="K32" s="15">
        <f t="shared" si="1"/>
        <v>386</v>
      </c>
      <c r="L32" s="15">
        <f t="shared" si="2"/>
        <v>377</v>
      </c>
    </row>
    <row r="33" spans="1:12" ht="15.75" customHeight="1" x14ac:dyDescent="0.15">
      <c r="A33" s="15">
        <v>4</v>
      </c>
      <c r="B33" s="10" t="str">
        <f t="shared" si="0"/>
        <v>Golf &amp; Wellness resort Alfrédov14</v>
      </c>
      <c r="C33" s="15" t="s">
        <v>199</v>
      </c>
      <c r="D33" s="15">
        <v>14</v>
      </c>
      <c r="E33" s="15" t="s">
        <v>234</v>
      </c>
      <c r="F33" s="15" t="s">
        <v>235</v>
      </c>
      <c r="G33" s="18">
        <v>4</v>
      </c>
      <c r="H33" s="18">
        <v>14</v>
      </c>
      <c r="I33" s="15">
        <v>2</v>
      </c>
      <c r="J33" s="15" t="s">
        <v>236</v>
      </c>
      <c r="K33" s="15">
        <f t="shared" si="1"/>
        <v>249</v>
      </c>
      <c r="L33" s="15">
        <f t="shared" si="2"/>
        <v>243</v>
      </c>
    </row>
    <row r="34" spans="1:12" ht="15.75" customHeight="1" x14ac:dyDescent="0.15">
      <c r="A34" s="15">
        <v>4</v>
      </c>
      <c r="B34" s="10" t="str">
        <f t="shared" si="0"/>
        <v>Golf &amp; Wellness resort Alfrédov15</v>
      </c>
      <c r="C34" s="15" t="s">
        <v>199</v>
      </c>
      <c r="D34" s="15">
        <v>15</v>
      </c>
      <c r="E34" s="15" t="s">
        <v>237</v>
      </c>
      <c r="F34" s="15" t="s">
        <v>238</v>
      </c>
      <c r="G34" s="18">
        <v>3</v>
      </c>
      <c r="H34" s="18">
        <v>4</v>
      </c>
      <c r="I34" s="15">
        <v>2</v>
      </c>
      <c r="J34" s="15" t="s">
        <v>239</v>
      </c>
      <c r="K34" s="15">
        <f t="shared" si="1"/>
        <v>164</v>
      </c>
      <c r="L34" s="15">
        <f t="shared" si="2"/>
        <v>131</v>
      </c>
    </row>
    <row r="35" spans="1:12" ht="15.75" customHeight="1" x14ac:dyDescent="0.15">
      <c r="A35" s="15">
        <v>4</v>
      </c>
      <c r="B35" s="10" t="str">
        <f t="shared" si="0"/>
        <v>Golf &amp; Wellness resort Alfrédov16</v>
      </c>
      <c r="C35" s="15" t="s">
        <v>199</v>
      </c>
      <c r="D35" s="15">
        <v>16</v>
      </c>
      <c r="E35" s="15" t="s">
        <v>240</v>
      </c>
      <c r="F35" s="15" t="s">
        <v>241</v>
      </c>
      <c r="G35" s="18">
        <v>5</v>
      </c>
      <c r="H35" s="18">
        <v>6</v>
      </c>
      <c r="I35" s="15">
        <v>2</v>
      </c>
      <c r="J35" s="15" t="s">
        <v>242</v>
      </c>
      <c r="K35" s="15">
        <f t="shared" si="1"/>
        <v>454</v>
      </c>
      <c r="L35" s="15">
        <f t="shared" si="2"/>
        <v>440</v>
      </c>
    </row>
    <row r="36" spans="1:12" ht="15.75" customHeight="1" x14ac:dyDescent="0.15">
      <c r="A36" s="15">
        <v>4</v>
      </c>
      <c r="B36" s="10" t="str">
        <f t="shared" si="0"/>
        <v>Golf &amp; Wellness resort Alfrédov17</v>
      </c>
      <c r="C36" s="15" t="s">
        <v>199</v>
      </c>
      <c r="D36" s="15">
        <v>17</v>
      </c>
      <c r="E36" s="15" t="s">
        <v>243</v>
      </c>
      <c r="F36" s="15" t="s">
        <v>244</v>
      </c>
      <c r="G36" s="18">
        <v>4</v>
      </c>
      <c r="H36" s="18">
        <v>18</v>
      </c>
      <c r="I36" s="15">
        <v>2</v>
      </c>
      <c r="J36" s="15" t="s">
        <v>245</v>
      </c>
      <c r="K36" s="15">
        <f t="shared" si="1"/>
        <v>298</v>
      </c>
      <c r="L36" s="15">
        <f t="shared" si="2"/>
        <v>259</v>
      </c>
    </row>
    <row r="37" spans="1:12" ht="15.75" customHeight="1" x14ac:dyDescent="0.15">
      <c r="A37" s="15">
        <v>4</v>
      </c>
      <c r="B37" s="10" t="str">
        <f t="shared" si="0"/>
        <v>Golf &amp; Wellness resort Alfrédov18</v>
      </c>
      <c r="C37" s="15" t="s">
        <v>199</v>
      </c>
      <c r="D37" s="15">
        <v>18</v>
      </c>
      <c r="E37" s="15" t="s">
        <v>246</v>
      </c>
      <c r="F37" s="15" t="s">
        <v>247</v>
      </c>
      <c r="G37" s="18">
        <v>3</v>
      </c>
      <c r="H37" s="18">
        <v>10</v>
      </c>
      <c r="I37" s="15">
        <v>2</v>
      </c>
      <c r="J37" s="15" t="s">
        <v>248</v>
      </c>
      <c r="K37" s="15">
        <f t="shared" si="1"/>
        <v>135</v>
      </c>
      <c r="L37" s="15">
        <f t="shared" si="2"/>
        <v>124</v>
      </c>
    </row>
    <row r="38" spans="1:12" ht="15.75" customHeight="1" x14ac:dyDescent="0.15">
      <c r="A38" s="15">
        <v>1</v>
      </c>
      <c r="B38" s="10" t="str">
        <f t="shared" si="0"/>
        <v>Kestřany Golf1</v>
      </c>
      <c r="C38" s="15" t="s">
        <v>249</v>
      </c>
      <c r="D38" s="15">
        <v>1</v>
      </c>
      <c r="E38" s="15" t="s">
        <v>250</v>
      </c>
      <c r="F38" s="15" t="s">
        <v>251</v>
      </c>
      <c r="G38" s="18">
        <v>3</v>
      </c>
      <c r="H38" s="18">
        <v>16</v>
      </c>
      <c r="I38" s="15">
        <v>1</v>
      </c>
      <c r="J38" s="15" t="s">
        <v>252</v>
      </c>
      <c r="K38" s="15">
        <f t="shared" si="1"/>
        <v>117</v>
      </c>
      <c r="L38" s="15">
        <f t="shared" si="2"/>
        <v>113</v>
      </c>
    </row>
    <row r="39" spans="1:12" ht="15.75" customHeight="1" x14ac:dyDescent="0.15">
      <c r="A39" s="15">
        <v>1</v>
      </c>
      <c r="B39" s="10" t="str">
        <f t="shared" si="0"/>
        <v>Kestřany Golf2</v>
      </c>
      <c r="C39" s="15" t="s">
        <v>249</v>
      </c>
      <c r="D39" s="15">
        <v>2</v>
      </c>
      <c r="E39" s="15" t="s">
        <v>253</v>
      </c>
      <c r="F39" s="15" t="s">
        <v>231</v>
      </c>
      <c r="G39" s="18">
        <v>4</v>
      </c>
      <c r="H39" s="18">
        <v>4</v>
      </c>
      <c r="I39" s="15">
        <v>1</v>
      </c>
      <c r="J39" s="15" t="s">
        <v>254</v>
      </c>
      <c r="K39" s="15">
        <f t="shared" si="1"/>
        <v>394</v>
      </c>
      <c r="L39" s="15">
        <f t="shared" si="2"/>
        <v>386</v>
      </c>
    </row>
    <row r="40" spans="1:12" ht="15.75" customHeight="1" x14ac:dyDescent="0.15">
      <c r="A40" s="15">
        <v>1</v>
      </c>
      <c r="B40" s="10" t="str">
        <f t="shared" si="0"/>
        <v>Kestřany Golf3</v>
      </c>
      <c r="C40" s="15" t="s">
        <v>249</v>
      </c>
      <c r="D40" s="15">
        <v>3</v>
      </c>
      <c r="E40" s="15" t="s">
        <v>255</v>
      </c>
      <c r="F40" s="15" t="s">
        <v>256</v>
      </c>
      <c r="G40" s="18">
        <v>4</v>
      </c>
      <c r="H40" s="18">
        <v>14</v>
      </c>
      <c r="I40" s="15">
        <v>1</v>
      </c>
      <c r="J40" s="15" t="s">
        <v>257</v>
      </c>
      <c r="K40" s="15">
        <f t="shared" si="1"/>
        <v>252</v>
      </c>
      <c r="L40" s="15">
        <f t="shared" si="2"/>
        <v>247</v>
      </c>
    </row>
    <row r="41" spans="1:12" ht="15.75" customHeight="1" x14ac:dyDescent="0.15">
      <c r="A41" s="15">
        <v>1</v>
      </c>
      <c r="B41" s="10" t="str">
        <f t="shared" si="0"/>
        <v>Kestřany Golf4</v>
      </c>
      <c r="C41" s="15" t="s">
        <v>249</v>
      </c>
      <c r="D41" s="15">
        <v>4</v>
      </c>
      <c r="E41" s="15" t="s">
        <v>258</v>
      </c>
      <c r="F41" s="15" t="s">
        <v>228</v>
      </c>
      <c r="G41" s="18">
        <v>4</v>
      </c>
      <c r="H41" s="18">
        <v>18</v>
      </c>
      <c r="I41" s="15">
        <v>1</v>
      </c>
      <c r="J41" s="15" t="s">
        <v>259</v>
      </c>
      <c r="K41" s="15">
        <f t="shared" si="1"/>
        <v>261</v>
      </c>
      <c r="L41" s="15">
        <f t="shared" si="2"/>
        <v>253</v>
      </c>
    </row>
    <row r="42" spans="1:12" ht="15.75" customHeight="1" x14ac:dyDescent="0.15">
      <c r="A42" s="15">
        <v>1</v>
      </c>
      <c r="B42" s="10" t="str">
        <f t="shared" si="0"/>
        <v>Kestřany Golf5</v>
      </c>
      <c r="C42" s="15" t="s">
        <v>249</v>
      </c>
      <c r="D42" s="15">
        <v>5</v>
      </c>
      <c r="E42" s="15" t="s">
        <v>260</v>
      </c>
      <c r="F42" s="15" t="s">
        <v>261</v>
      </c>
      <c r="G42" s="18">
        <v>4</v>
      </c>
      <c r="H42" s="18">
        <v>10</v>
      </c>
      <c r="I42" s="15">
        <v>1</v>
      </c>
      <c r="J42" s="15" t="s">
        <v>262</v>
      </c>
      <c r="K42" s="15">
        <f t="shared" si="1"/>
        <v>338</v>
      </c>
      <c r="L42" s="15">
        <f t="shared" si="2"/>
        <v>329</v>
      </c>
    </row>
    <row r="43" spans="1:12" ht="15.75" customHeight="1" x14ac:dyDescent="0.15">
      <c r="A43" s="15">
        <v>1</v>
      </c>
      <c r="B43" s="10" t="str">
        <f t="shared" si="0"/>
        <v>Kestřany Golf6</v>
      </c>
      <c r="C43" s="15" t="s">
        <v>249</v>
      </c>
      <c r="D43" s="15">
        <v>6</v>
      </c>
      <c r="E43" s="15" t="s">
        <v>263</v>
      </c>
      <c r="F43" s="15" t="s">
        <v>264</v>
      </c>
      <c r="G43" s="18">
        <v>3</v>
      </c>
      <c r="H43" s="18">
        <v>6</v>
      </c>
      <c r="I43" s="15">
        <v>1</v>
      </c>
      <c r="J43" s="15" t="s">
        <v>265</v>
      </c>
      <c r="K43" s="15">
        <f t="shared" si="1"/>
        <v>179</v>
      </c>
      <c r="L43" s="15">
        <f t="shared" si="2"/>
        <v>175</v>
      </c>
    </row>
    <row r="44" spans="1:12" ht="15.75" customHeight="1" x14ac:dyDescent="0.15">
      <c r="A44" s="15">
        <v>1</v>
      </c>
      <c r="B44" s="10" t="str">
        <f t="shared" si="0"/>
        <v>Kestřany Golf7</v>
      </c>
      <c r="C44" s="15" t="s">
        <v>249</v>
      </c>
      <c r="D44" s="15">
        <v>7</v>
      </c>
      <c r="E44" s="15" t="s">
        <v>266</v>
      </c>
      <c r="F44" s="15" t="s">
        <v>196</v>
      </c>
      <c r="G44" s="18">
        <v>4</v>
      </c>
      <c r="H44" s="18">
        <v>2</v>
      </c>
      <c r="I44" s="15">
        <v>1</v>
      </c>
      <c r="J44" s="15" t="s">
        <v>267</v>
      </c>
      <c r="K44" s="15">
        <f t="shared" si="1"/>
        <v>396</v>
      </c>
      <c r="L44" s="15">
        <f t="shared" si="2"/>
        <v>391</v>
      </c>
    </row>
    <row r="45" spans="1:12" ht="15.75" customHeight="1" x14ac:dyDescent="0.15">
      <c r="A45" s="15">
        <v>1</v>
      </c>
      <c r="B45" s="10" t="str">
        <f t="shared" si="0"/>
        <v>Kestřany Golf8</v>
      </c>
      <c r="C45" s="15" t="s">
        <v>249</v>
      </c>
      <c r="D45" s="15">
        <v>8</v>
      </c>
      <c r="E45" s="15" t="s">
        <v>268</v>
      </c>
      <c r="F45" s="15" t="s">
        <v>208</v>
      </c>
      <c r="G45" s="18">
        <v>3</v>
      </c>
      <c r="H45" s="18">
        <v>12</v>
      </c>
      <c r="I45" s="15">
        <v>1</v>
      </c>
      <c r="J45" s="15" t="s">
        <v>269</v>
      </c>
      <c r="K45" s="15">
        <f t="shared" si="1"/>
        <v>152</v>
      </c>
      <c r="L45" s="15">
        <f t="shared" si="2"/>
        <v>147</v>
      </c>
    </row>
    <row r="46" spans="1:12" ht="15.75" customHeight="1" x14ac:dyDescent="0.15">
      <c r="A46" s="15">
        <v>1</v>
      </c>
      <c r="B46" s="10" t="str">
        <f t="shared" si="0"/>
        <v>Kestřany Golf9</v>
      </c>
      <c r="C46" s="15" t="s">
        <v>249</v>
      </c>
      <c r="D46" s="15">
        <v>9</v>
      </c>
      <c r="E46" s="15" t="s">
        <v>270</v>
      </c>
      <c r="F46" s="15" t="s">
        <v>271</v>
      </c>
      <c r="G46" s="18">
        <v>5</v>
      </c>
      <c r="H46" s="18">
        <v>8</v>
      </c>
      <c r="I46" s="15">
        <v>1</v>
      </c>
      <c r="J46" s="15" t="s">
        <v>272</v>
      </c>
      <c r="K46" s="15">
        <f t="shared" si="1"/>
        <v>551</v>
      </c>
      <c r="L46" s="15">
        <f t="shared" si="2"/>
        <v>480</v>
      </c>
    </row>
    <row r="47" spans="1:12" ht="15.75" customHeight="1" x14ac:dyDescent="0.15">
      <c r="A47" s="15">
        <v>1</v>
      </c>
      <c r="B47" s="10" t="str">
        <f t="shared" si="0"/>
        <v>Kestřany Golf10</v>
      </c>
      <c r="C47" s="15" t="s">
        <v>249</v>
      </c>
      <c r="D47" s="15">
        <v>10</v>
      </c>
      <c r="E47" s="15" t="s">
        <v>273</v>
      </c>
      <c r="F47" s="15" t="s">
        <v>270</v>
      </c>
      <c r="G47" s="18">
        <v>5</v>
      </c>
      <c r="H47" s="18">
        <v>9</v>
      </c>
      <c r="I47" s="15">
        <v>1</v>
      </c>
      <c r="J47" s="15" t="s">
        <v>274</v>
      </c>
      <c r="K47" s="15">
        <f t="shared" si="1"/>
        <v>556</v>
      </c>
      <c r="L47" s="15">
        <f t="shared" si="2"/>
        <v>551</v>
      </c>
    </row>
    <row r="48" spans="1:12" ht="15.75" customHeight="1" x14ac:dyDescent="0.15">
      <c r="A48" s="15">
        <v>1</v>
      </c>
      <c r="B48" s="10" t="str">
        <f t="shared" si="0"/>
        <v>Kestřany Golf11</v>
      </c>
      <c r="C48" s="15" t="s">
        <v>249</v>
      </c>
      <c r="D48" s="15">
        <v>11</v>
      </c>
      <c r="E48" s="15" t="s">
        <v>275</v>
      </c>
      <c r="F48" s="15" t="s">
        <v>276</v>
      </c>
      <c r="G48" s="18">
        <v>4</v>
      </c>
      <c r="H48" s="18">
        <v>13</v>
      </c>
      <c r="I48" s="15">
        <v>1</v>
      </c>
      <c r="J48" s="15" t="s">
        <v>277</v>
      </c>
      <c r="K48" s="15">
        <f t="shared" si="1"/>
        <v>350</v>
      </c>
      <c r="L48" s="15">
        <f t="shared" si="2"/>
        <v>344</v>
      </c>
    </row>
    <row r="49" spans="1:12" ht="15.75" customHeight="1" x14ac:dyDescent="0.15">
      <c r="A49" s="15">
        <v>1</v>
      </c>
      <c r="B49" s="10" t="str">
        <f t="shared" si="0"/>
        <v>Kestřany Golf12</v>
      </c>
      <c r="C49" s="15" t="s">
        <v>249</v>
      </c>
      <c r="D49" s="15">
        <v>12</v>
      </c>
      <c r="E49" s="15" t="s">
        <v>161</v>
      </c>
      <c r="F49" s="15" t="s">
        <v>169</v>
      </c>
      <c r="G49" s="18">
        <v>4</v>
      </c>
      <c r="H49" s="18">
        <v>3</v>
      </c>
      <c r="I49" s="15">
        <v>1</v>
      </c>
      <c r="J49" s="15" t="s">
        <v>278</v>
      </c>
      <c r="K49" s="15">
        <f t="shared" si="1"/>
        <v>373</v>
      </c>
      <c r="L49" s="15">
        <f t="shared" si="2"/>
        <v>366</v>
      </c>
    </row>
    <row r="50" spans="1:12" ht="15.75" customHeight="1" x14ac:dyDescent="0.15">
      <c r="A50" s="15">
        <v>1</v>
      </c>
      <c r="B50" s="10" t="str">
        <f t="shared" si="0"/>
        <v>Kestřany Golf13</v>
      </c>
      <c r="C50" s="15" t="s">
        <v>249</v>
      </c>
      <c r="D50" s="15">
        <v>13</v>
      </c>
      <c r="E50" s="15" t="s">
        <v>225</v>
      </c>
      <c r="F50" s="15" t="s">
        <v>279</v>
      </c>
      <c r="G50" s="18">
        <v>4</v>
      </c>
      <c r="H50" s="18">
        <v>17</v>
      </c>
      <c r="I50" s="15">
        <v>1</v>
      </c>
      <c r="J50" s="15" t="s">
        <v>280</v>
      </c>
      <c r="K50" s="15">
        <f t="shared" si="1"/>
        <v>283</v>
      </c>
      <c r="L50" s="15">
        <f t="shared" si="2"/>
        <v>274</v>
      </c>
    </row>
    <row r="51" spans="1:12" ht="15.75" customHeight="1" x14ac:dyDescent="0.15">
      <c r="A51" s="15">
        <v>1</v>
      </c>
      <c r="B51" s="10" t="str">
        <f t="shared" si="0"/>
        <v>Kestřany Golf14</v>
      </c>
      <c r="C51" s="15" t="s">
        <v>249</v>
      </c>
      <c r="D51" s="15">
        <v>14</v>
      </c>
      <c r="E51" s="15" t="s">
        <v>281</v>
      </c>
      <c r="F51" s="15" t="s">
        <v>282</v>
      </c>
      <c r="G51" s="18">
        <v>5</v>
      </c>
      <c r="H51" s="18">
        <v>5</v>
      </c>
      <c r="I51" s="15">
        <v>1</v>
      </c>
      <c r="J51" s="15" t="s">
        <v>283</v>
      </c>
      <c r="K51" s="15">
        <f t="shared" si="1"/>
        <v>489</v>
      </c>
      <c r="L51" s="15">
        <f t="shared" si="2"/>
        <v>427</v>
      </c>
    </row>
    <row r="52" spans="1:12" ht="15.75" customHeight="1" x14ac:dyDescent="0.15">
      <c r="A52" s="15">
        <v>1</v>
      </c>
      <c r="B52" s="10" t="str">
        <f t="shared" si="0"/>
        <v>Kestřany Golf15</v>
      </c>
      <c r="C52" s="15" t="s">
        <v>249</v>
      </c>
      <c r="D52" s="15">
        <v>15</v>
      </c>
      <c r="E52" s="15" t="s">
        <v>284</v>
      </c>
      <c r="F52" s="15" t="s">
        <v>285</v>
      </c>
      <c r="G52" s="18">
        <v>3</v>
      </c>
      <c r="H52" s="18">
        <v>15</v>
      </c>
      <c r="I52" s="15">
        <v>1</v>
      </c>
      <c r="J52" s="15" t="s">
        <v>286</v>
      </c>
      <c r="K52" s="15">
        <f t="shared" si="1"/>
        <v>186</v>
      </c>
      <c r="L52" s="15">
        <f t="shared" si="2"/>
        <v>115</v>
      </c>
    </row>
    <row r="53" spans="1:12" ht="15.75" customHeight="1" x14ac:dyDescent="0.15">
      <c r="A53" s="15">
        <v>1</v>
      </c>
      <c r="B53" s="10" t="str">
        <f t="shared" si="0"/>
        <v>Kestřany Golf16</v>
      </c>
      <c r="C53" s="15" t="s">
        <v>249</v>
      </c>
      <c r="D53" s="15">
        <v>16</v>
      </c>
      <c r="E53" s="15" t="s">
        <v>287</v>
      </c>
      <c r="F53" s="15" t="s">
        <v>288</v>
      </c>
      <c r="G53" s="18">
        <v>5</v>
      </c>
      <c r="H53" s="18">
        <v>1</v>
      </c>
      <c r="I53" s="15">
        <v>1</v>
      </c>
      <c r="J53" s="15" t="s">
        <v>289</v>
      </c>
      <c r="K53" s="15">
        <f t="shared" si="1"/>
        <v>443</v>
      </c>
      <c r="L53" s="15">
        <f t="shared" si="2"/>
        <v>436</v>
      </c>
    </row>
    <row r="54" spans="1:12" ht="15.75" customHeight="1" x14ac:dyDescent="0.15">
      <c r="A54" s="15">
        <v>1</v>
      </c>
      <c r="B54" s="10" t="str">
        <f t="shared" si="0"/>
        <v>Kestřany Golf17</v>
      </c>
      <c r="C54" s="15" t="s">
        <v>249</v>
      </c>
      <c r="D54" s="15">
        <v>17</v>
      </c>
      <c r="E54" s="15" t="s">
        <v>166</v>
      </c>
      <c r="F54" s="15" t="s">
        <v>284</v>
      </c>
      <c r="G54" s="18">
        <v>3</v>
      </c>
      <c r="H54" s="18">
        <v>7</v>
      </c>
      <c r="I54" s="15">
        <v>1</v>
      </c>
      <c r="J54" s="15" t="s">
        <v>290</v>
      </c>
      <c r="K54" s="15">
        <f t="shared" si="1"/>
        <v>192</v>
      </c>
      <c r="L54" s="15">
        <f t="shared" si="2"/>
        <v>186</v>
      </c>
    </row>
    <row r="55" spans="1:12" ht="15.75" customHeight="1" x14ac:dyDescent="0.15">
      <c r="A55" s="15">
        <v>1</v>
      </c>
      <c r="B55" s="10" t="str">
        <f t="shared" si="0"/>
        <v>Kestřany Golf18</v>
      </c>
      <c r="C55" s="15" t="s">
        <v>249</v>
      </c>
      <c r="D55" s="15">
        <v>18</v>
      </c>
      <c r="E55" s="15" t="s">
        <v>291</v>
      </c>
      <c r="F55" s="15" t="s">
        <v>292</v>
      </c>
      <c r="G55" s="18">
        <v>5</v>
      </c>
      <c r="H55" s="18">
        <v>11</v>
      </c>
      <c r="I55" s="15">
        <v>1</v>
      </c>
      <c r="J55" s="15" t="s">
        <v>293</v>
      </c>
      <c r="K55" s="15">
        <f t="shared" si="1"/>
        <v>492</v>
      </c>
      <c r="L55" s="15">
        <f t="shared" si="2"/>
        <v>424</v>
      </c>
    </row>
    <row r="56" spans="1:12" ht="15.75" customHeight="1" x14ac:dyDescent="0.15">
      <c r="A56" s="15">
        <v>2</v>
      </c>
      <c r="B56" s="10" t="str">
        <f t="shared" si="0"/>
        <v>Golf Český Krumlov1</v>
      </c>
      <c r="C56" s="15" t="s">
        <v>294</v>
      </c>
      <c r="D56" s="15">
        <v>1</v>
      </c>
      <c r="E56" s="15" t="s">
        <v>295</v>
      </c>
      <c r="F56" s="15" t="s">
        <v>295</v>
      </c>
      <c r="G56" s="18">
        <v>4</v>
      </c>
      <c r="H56" s="18">
        <v>13</v>
      </c>
      <c r="I56" s="15">
        <v>2</v>
      </c>
      <c r="J56" s="15" t="s">
        <v>296</v>
      </c>
      <c r="K56" s="15">
        <f t="shared" si="1"/>
        <v>304</v>
      </c>
      <c r="L56" s="15">
        <f t="shared" si="2"/>
        <v>304</v>
      </c>
    </row>
    <row r="57" spans="1:12" ht="15.75" customHeight="1" x14ac:dyDescent="0.15">
      <c r="A57" s="15">
        <v>2</v>
      </c>
      <c r="B57" s="10" t="str">
        <f t="shared" si="0"/>
        <v>Golf Český Krumlov2</v>
      </c>
      <c r="C57" s="15" t="s">
        <v>294</v>
      </c>
      <c r="D57" s="15">
        <v>2</v>
      </c>
      <c r="E57" s="15" t="s">
        <v>297</v>
      </c>
      <c r="F57" s="15" t="s">
        <v>297</v>
      </c>
      <c r="G57" s="18">
        <v>3</v>
      </c>
      <c r="H57" s="18">
        <v>15</v>
      </c>
      <c r="I57" s="15">
        <v>2</v>
      </c>
      <c r="J57" s="15" t="s">
        <v>298</v>
      </c>
      <c r="K57" s="15">
        <f t="shared" si="1"/>
        <v>99</v>
      </c>
      <c r="L57" s="15">
        <f t="shared" si="2"/>
        <v>99</v>
      </c>
    </row>
    <row r="58" spans="1:12" ht="15.75" customHeight="1" x14ac:dyDescent="0.15">
      <c r="A58" s="15">
        <v>2</v>
      </c>
      <c r="B58" s="10" t="str">
        <f t="shared" si="0"/>
        <v>Golf Český Krumlov3</v>
      </c>
      <c r="C58" s="15" t="s">
        <v>294</v>
      </c>
      <c r="D58" s="15">
        <v>3</v>
      </c>
      <c r="E58" s="15" t="s">
        <v>299</v>
      </c>
      <c r="F58" s="15" t="s">
        <v>299</v>
      </c>
      <c r="G58" s="18">
        <v>4</v>
      </c>
      <c r="H58" s="18">
        <v>11</v>
      </c>
      <c r="I58" s="15">
        <v>2</v>
      </c>
      <c r="J58" s="15" t="s">
        <v>300</v>
      </c>
      <c r="K58" s="15">
        <f t="shared" si="1"/>
        <v>239</v>
      </c>
      <c r="L58" s="15">
        <f t="shared" si="2"/>
        <v>239</v>
      </c>
    </row>
    <row r="59" spans="1:12" ht="15.75" customHeight="1" x14ac:dyDescent="0.15">
      <c r="A59" s="15">
        <v>2</v>
      </c>
      <c r="B59" s="10" t="str">
        <f t="shared" si="0"/>
        <v>Golf Český Krumlov4</v>
      </c>
      <c r="C59" s="15" t="s">
        <v>294</v>
      </c>
      <c r="D59" s="15">
        <v>4</v>
      </c>
      <c r="E59" s="15" t="s">
        <v>301</v>
      </c>
      <c r="F59" s="15" t="s">
        <v>301</v>
      </c>
      <c r="G59" s="18">
        <v>5</v>
      </c>
      <c r="H59" s="18">
        <v>3</v>
      </c>
      <c r="I59" s="15">
        <v>2</v>
      </c>
      <c r="J59" s="15" t="s">
        <v>302</v>
      </c>
      <c r="K59" s="15">
        <f t="shared" si="1"/>
        <v>404</v>
      </c>
      <c r="L59" s="15">
        <f t="shared" si="2"/>
        <v>404</v>
      </c>
    </row>
    <row r="60" spans="1:12" ht="15.75" customHeight="1" x14ac:dyDescent="0.15">
      <c r="A60" s="15">
        <v>2</v>
      </c>
      <c r="B60" s="10" t="str">
        <f t="shared" si="0"/>
        <v>Golf Český Krumlov5</v>
      </c>
      <c r="C60" s="15" t="s">
        <v>294</v>
      </c>
      <c r="D60" s="15">
        <v>5</v>
      </c>
      <c r="E60" s="15" t="s">
        <v>303</v>
      </c>
      <c r="F60" s="15" t="s">
        <v>303</v>
      </c>
      <c r="G60" s="18">
        <v>4</v>
      </c>
      <c r="H60" s="18">
        <v>5</v>
      </c>
      <c r="I60" s="15">
        <v>2</v>
      </c>
      <c r="J60" s="15" t="s">
        <v>304</v>
      </c>
      <c r="K60" s="15">
        <f t="shared" si="1"/>
        <v>311</v>
      </c>
      <c r="L60" s="15">
        <f t="shared" si="2"/>
        <v>311</v>
      </c>
    </row>
    <row r="61" spans="1:12" ht="15.75" customHeight="1" x14ac:dyDescent="0.15">
      <c r="A61" s="15">
        <v>2</v>
      </c>
      <c r="B61" s="10" t="str">
        <f t="shared" si="0"/>
        <v>Golf Český Krumlov6</v>
      </c>
      <c r="C61" s="15" t="s">
        <v>294</v>
      </c>
      <c r="D61" s="15">
        <v>6</v>
      </c>
      <c r="E61" s="15" t="s">
        <v>305</v>
      </c>
      <c r="F61" s="15" t="s">
        <v>305</v>
      </c>
      <c r="G61" s="18">
        <v>3</v>
      </c>
      <c r="H61" s="18">
        <v>17</v>
      </c>
      <c r="I61" s="15">
        <v>2</v>
      </c>
      <c r="J61" s="15" t="s">
        <v>306</v>
      </c>
      <c r="K61" s="15">
        <f t="shared" si="1"/>
        <v>111</v>
      </c>
      <c r="L61" s="15">
        <f t="shared" si="2"/>
        <v>111</v>
      </c>
    </row>
    <row r="62" spans="1:12" ht="15.75" customHeight="1" x14ac:dyDescent="0.15">
      <c r="A62" s="15">
        <v>2</v>
      </c>
      <c r="B62" s="10" t="str">
        <f t="shared" si="0"/>
        <v>Golf Český Krumlov7</v>
      </c>
      <c r="C62" s="15" t="s">
        <v>294</v>
      </c>
      <c r="D62" s="15">
        <v>7</v>
      </c>
      <c r="E62" s="15" t="s">
        <v>307</v>
      </c>
      <c r="F62" s="15" t="s">
        <v>307</v>
      </c>
      <c r="G62" s="18">
        <v>3</v>
      </c>
      <c r="H62" s="18">
        <v>7</v>
      </c>
      <c r="I62" s="15">
        <v>2</v>
      </c>
      <c r="J62" s="15" t="s">
        <v>308</v>
      </c>
      <c r="K62" s="15">
        <f t="shared" si="1"/>
        <v>133</v>
      </c>
      <c r="L62" s="15">
        <f t="shared" si="2"/>
        <v>133</v>
      </c>
    </row>
    <row r="63" spans="1:12" ht="15.75" customHeight="1" x14ac:dyDescent="0.15">
      <c r="A63" s="15">
        <v>2</v>
      </c>
      <c r="B63" s="10" t="str">
        <f t="shared" si="0"/>
        <v>Golf Český Krumlov8</v>
      </c>
      <c r="C63" s="15" t="s">
        <v>294</v>
      </c>
      <c r="D63" s="15">
        <v>8</v>
      </c>
      <c r="E63" s="15" t="s">
        <v>309</v>
      </c>
      <c r="F63" s="15" t="s">
        <v>309</v>
      </c>
      <c r="G63" s="18">
        <v>4</v>
      </c>
      <c r="H63" s="18">
        <v>1</v>
      </c>
      <c r="I63" s="15">
        <v>2</v>
      </c>
      <c r="J63" s="15" t="s">
        <v>310</v>
      </c>
      <c r="K63" s="15">
        <f t="shared" si="1"/>
        <v>322</v>
      </c>
      <c r="L63" s="15">
        <f t="shared" si="2"/>
        <v>322</v>
      </c>
    </row>
    <row r="64" spans="1:12" ht="15.75" customHeight="1" x14ac:dyDescent="0.15">
      <c r="A64" s="15">
        <v>2</v>
      </c>
      <c r="B64" s="10" t="str">
        <f t="shared" si="0"/>
        <v>Golf Český Krumlov9</v>
      </c>
      <c r="C64" s="15" t="s">
        <v>294</v>
      </c>
      <c r="D64" s="15">
        <v>9</v>
      </c>
      <c r="E64" s="15" t="s">
        <v>311</v>
      </c>
      <c r="F64" s="15" t="s">
        <v>311</v>
      </c>
      <c r="G64" s="18">
        <v>5</v>
      </c>
      <c r="H64" s="18">
        <v>9</v>
      </c>
      <c r="I64" s="15">
        <v>2</v>
      </c>
      <c r="J64" s="15" t="s">
        <v>312</v>
      </c>
      <c r="K64" s="15">
        <f t="shared" si="1"/>
        <v>447</v>
      </c>
      <c r="L64" s="15">
        <f t="shared" si="2"/>
        <v>447</v>
      </c>
    </row>
    <row r="65" spans="1:12" ht="15.75" customHeight="1" x14ac:dyDescent="0.15">
      <c r="A65" s="15">
        <v>2</v>
      </c>
      <c r="B65" s="10" t="str">
        <f t="shared" si="0"/>
        <v>Golf Český Krumlov10</v>
      </c>
      <c r="C65" s="15" t="s">
        <v>294</v>
      </c>
      <c r="D65" s="15">
        <v>10</v>
      </c>
      <c r="E65" s="15" t="s">
        <v>313</v>
      </c>
      <c r="F65" s="15" t="s">
        <v>313</v>
      </c>
      <c r="G65" s="18">
        <v>4</v>
      </c>
      <c r="H65" s="18">
        <v>10</v>
      </c>
      <c r="I65" s="15">
        <v>2</v>
      </c>
      <c r="J65" s="15" t="s">
        <v>314</v>
      </c>
      <c r="K65" s="15">
        <f t="shared" si="1"/>
        <v>315</v>
      </c>
      <c r="L65" s="15">
        <f t="shared" si="2"/>
        <v>315</v>
      </c>
    </row>
    <row r="66" spans="1:12" ht="15.75" customHeight="1" x14ac:dyDescent="0.15">
      <c r="A66" s="15">
        <v>2</v>
      </c>
      <c r="B66" s="10" t="str">
        <f t="shared" si="0"/>
        <v>Golf Český Krumlov11</v>
      </c>
      <c r="C66" s="15" t="s">
        <v>294</v>
      </c>
      <c r="D66" s="15">
        <v>11</v>
      </c>
      <c r="E66" s="15" t="s">
        <v>315</v>
      </c>
      <c r="F66" s="15" t="s">
        <v>315</v>
      </c>
      <c r="G66" s="18">
        <v>5</v>
      </c>
      <c r="H66" s="18">
        <v>8</v>
      </c>
      <c r="I66" s="15">
        <v>2</v>
      </c>
      <c r="J66" s="15" t="s">
        <v>316</v>
      </c>
      <c r="K66" s="15">
        <f t="shared" si="1"/>
        <v>468</v>
      </c>
      <c r="L66" s="15">
        <f t="shared" si="2"/>
        <v>468</v>
      </c>
    </row>
    <row r="67" spans="1:12" ht="15.75" customHeight="1" x14ac:dyDescent="0.15">
      <c r="A67" s="15">
        <v>2</v>
      </c>
      <c r="B67" s="10" t="str">
        <f t="shared" si="0"/>
        <v>Golf Český Krumlov12</v>
      </c>
      <c r="C67" s="15" t="s">
        <v>294</v>
      </c>
      <c r="D67" s="15">
        <v>12</v>
      </c>
      <c r="E67" s="15" t="s">
        <v>299</v>
      </c>
      <c r="F67" s="15" t="s">
        <v>299</v>
      </c>
      <c r="G67" s="18">
        <v>4</v>
      </c>
      <c r="H67" s="18">
        <v>18</v>
      </c>
      <c r="I67" s="15">
        <v>2</v>
      </c>
      <c r="J67" s="15" t="s">
        <v>317</v>
      </c>
      <c r="K67" s="15">
        <f t="shared" si="1"/>
        <v>239</v>
      </c>
      <c r="L67" s="15">
        <f t="shared" si="2"/>
        <v>239</v>
      </c>
    </row>
    <row r="68" spans="1:12" ht="15.75" customHeight="1" x14ac:dyDescent="0.15">
      <c r="A68" s="15">
        <v>2</v>
      </c>
      <c r="B68" s="10" t="str">
        <f t="shared" si="0"/>
        <v>Golf Český Krumlov13</v>
      </c>
      <c r="C68" s="15" t="s">
        <v>294</v>
      </c>
      <c r="D68" s="15">
        <v>13</v>
      </c>
      <c r="E68" s="15" t="s">
        <v>237</v>
      </c>
      <c r="F68" s="15" t="s">
        <v>237</v>
      </c>
      <c r="G68" s="18">
        <v>3</v>
      </c>
      <c r="H68" s="18">
        <v>6</v>
      </c>
      <c r="I68" s="15">
        <v>2</v>
      </c>
      <c r="J68" s="15" t="s">
        <v>318</v>
      </c>
      <c r="K68" s="15">
        <f t="shared" si="1"/>
        <v>164</v>
      </c>
      <c r="L68" s="15">
        <f t="shared" si="2"/>
        <v>164</v>
      </c>
    </row>
    <row r="69" spans="1:12" ht="15.75" customHeight="1" x14ac:dyDescent="0.15">
      <c r="A69" s="15">
        <v>2</v>
      </c>
      <c r="B69" s="10" t="str">
        <f t="shared" si="0"/>
        <v>Golf Český Krumlov14</v>
      </c>
      <c r="C69" s="15" t="s">
        <v>294</v>
      </c>
      <c r="D69" s="15">
        <v>14</v>
      </c>
      <c r="E69" s="15" t="s">
        <v>232</v>
      </c>
      <c r="F69" s="15" t="s">
        <v>232</v>
      </c>
      <c r="G69" s="18">
        <v>4</v>
      </c>
      <c r="H69" s="18">
        <v>2</v>
      </c>
      <c r="I69" s="15">
        <v>2</v>
      </c>
      <c r="J69" s="15" t="s">
        <v>319</v>
      </c>
      <c r="K69" s="15">
        <f t="shared" si="1"/>
        <v>377</v>
      </c>
      <c r="L69" s="15">
        <f t="shared" si="2"/>
        <v>377</v>
      </c>
    </row>
    <row r="70" spans="1:12" ht="15.75" customHeight="1" x14ac:dyDescent="0.15">
      <c r="A70" s="15">
        <v>2</v>
      </c>
      <c r="B70" s="10" t="str">
        <f t="shared" si="0"/>
        <v>Golf Český Krumlov15</v>
      </c>
      <c r="C70" s="15" t="s">
        <v>294</v>
      </c>
      <c r="D70" s="15">
        <v>15</v>
      </c>
      <c r="E70" s="15" t="s">
        <v>320</v>
      </c>
      <c r="F70" s="15" t="s">
        <v>320</v>
      </c>
      <c r="G70" s="18">
        <v>4</v>
      </c>
      <c r="H70" s="18">
        <v>14</v>
      </c>
      <c r="I70" s="15">
        <v>2</v>
      </c>
      <c r="J70" s="15" t="s">
        <v>321</v>
      </c>
      <c r="K70" s="15">
        <f t="shared" si="1"/>
        <v>325</v>
      </c>
      <c r="L70" s="15">
        <f t="shared" si="2"/>
        <v>325</v>
      </c>
    </row>
    <row r="71" spans="1:12" ht="15.75" customHeight="1" x14ac:dyDescent="0.15">
      <c r="A71" s="15">
        <v>2</v>
      </c>
      <c r="B71" s="10" t="str">
        <f t="shared" si="0"/>
        <v>Golf Český Krumlov16</v>
      </c>
      <c r="C71" s="15" t="s">
        <v>294</v>
      </c>
      <c r="D71" s="15">
        <v>16</v>
      </c>
      <c r="E71" s="15" t="s">
        <v>322</v>
      </c>
      <c r="F71" s="15" t="s">
        <v>322</v>
      </c>
      <c r="G71" s="18">
        <v>5</v>
      </c>
      <c r="H71" s="18">
        <v>4</v>
      </c>
      <c r="I71" s="15">
        <v>2</v>
      </c>
      <c r="J71" s="15" t="s">
        <v>323</v>
      </c>
      <c r="K71" s="15">
        <f t="shared" si="1"/>
        <v>429</v>
      </c>
      <c r="L71" s="15">
        <f t="shared" si="2"/>
        <v>429</v>
      </c>
    </row>
    <row r="72" spans="1:12" ht="15.75" customHeight="1" x14ac:dyDescent="0.15">
      <c r="A72" s="15">
        <v>2</v>
      </c>
      <c r="B72" s="10" t="str">
        <f t="shared" si="0"/>
        <v>Golf Český Krumlov17</v>
      </c>
      <c r="C72" s="15" t="s">
        <v>294</v>
      </c>
      <c r="D72" s="15">
        <v>17</v>
      </c>
      <c r="E72" s="15" t="s">
        <v>324</v>
      </c>
      <c r="F72" s="15" t="s">
        <v>324</v>
      </c>
      <c r="G72" s="18">
        <v>4</v>
      </c>
      <c r="H72" s="18">
        <v>16</v>
      </c>
      <c r="I72" s="15">
        <v>2</v>
      </c>
      <c r="J72" s="15" t="s">
        <v>325</v>
      </c>
      <c r="K72" s="15">
        <f t="shared" si="1"/>
        <v>211</v>
      </c>
      <c r="L72" s="15">
        <f t="shared" si="2"/>
        <v>211</v>
      </c>
    </row>
    <row r="73" spans="1:12" ht="15.75" customHeight="1" x14ac:dyDescent="0.15">
      <c r="A73" s="15">
        <v>2</v>
      </c>
      <c r="B73" s="10" t="str">
        <f t="shared" si="0"/>
        <v>Golf Český Krumlov18</v>
      </c>
      <c r="C73" s="15" t="s">
        <v>294</v>
      </c>
      <c r="D73" s="15">
        <v>18</v>
      </c>
      <c r="E73" s="15" t="s">
        <v>326</v>
      </c>
      <c r="F73" s="15" t="s">
        <v>326</v>
      </c>
      <c r="G73" s="18">
        <v>3</v>
      </c>
      <c r="H73" s="18">
        <v>12</v>
      </c>
      <c r="I73" s="15">
        <v>2</v>
      </c>
      <c r="J73" s="15" t="s">
        <v>327</v>
      </c>
      <c r="K73" s="15">
        <f t="shared" si="1"/>
        <v>110</v>
      </c>
      <c r="L73" s="15">
        <f t="shared" si="2"/>
        <v>110</v>
      </c>
    </row>
    <row r="74" spans="1:12" ht="15.75" customHeight="1" x14ac:dyDescent="0.15">
      <c r="A74" s="15">
        <v>5</v>
      </c>
      <c r="B74" s="10" t="str">
        <f t="shared" si="0"/>
        <v>Terasy Ústí n. Labem1</v>
      </c>
      <c r="C74" s="15" t="s">
        <v>471</v>
      </c>
      <c r="D74" s="15">
        <v>1</v>
      </c>
      <c r="E74" s="15" t="s">
        <v>192</v>
      </c>
      <c r="F74" s="15" t="s">
        <v>329</v>
      </c>
      <c r="G74" s="18">
        <v>4</v>
      </c>
      <c r="H74" s="18">
        <v>12</v>
      </c>
      <c r="I74" s="15">
        <v>1</v>
      </c>
      <c r="J74" s="15" t="s">
        <v>330</v>
      </c>
      <c r="K74" s="15">
        <f t="shared" si="1"/>
        <v>328</v>
      </c>
      <c r="L74" s="15">
        <f t="shared" si="2"/>
        <v>301</v>
      </c>
    </row>
    <row r="75" spans="1:12" ht="15.75" customHeight="1" x14ac:dyDescent="0.15">
      <c r="A75" s="15">
        <v>5</v>
      </c>
      <c r="B75" s="10" t="str">
        <f t="shared" si="0"/>
        <v>Terasy Ústí n. Labem2</v>
      </c>
      <c r="C75" s="15" t="s">
        <v>471</v>
      </c>
      <c r="D75" s="15">
        <v>2</v>
      </c>
      <c r="E75" s="15" t="s">
        <v>261</v>
      </c>
      <c r="F75" s="15" t="s">
        <v>331</v>
      </c>
      <c r="G75" s="18">
        <v>4</v>
      </c>
      <c r="H75" s="18">
        <v>6</v>
      </c>
      <c r="I75" s="15">
        <v>1</v>
      </c>
      <c r="J75" s="15" t="s">
        <v>332</v>
      </c>
      <c r="K75" s="15">
        <f t="shared" si="1"/>
        <v>329</v>
      </c>
      <c r="L75" s="15">
        <f t="shared" si="2"/>
        <v>297</v>
      </c>
    </row>
    <row r="76" spans="1:12" ht="15.75" customHeight="1" x14ac:dyDescent="0.15">
      <c r="A76" s="15">
        <v>5</v>
      </c>
      <c r="B76" s="10" t="str">
        <f t="shared" si="0"/>
        <v>Terasy Ústí n. Labem3</v>
      </c>
      <c r="C76" s="15" t="s">
        <v>471</v>
      </c>
      <c r="D76" s="15">
        <v>3</v>
      </c>
      <c r="E76" s="15" t="s">
        <v>333</v>
      </c>
      <c r="F76" s="15" t="s">
        <v>334</v>
      </c>
      <c r="G76" s="18">
        <v>4</v>
      </c>
      <c r="H76" s="18">
        <v>16</v>
      </c>
      <c r="I76" s="15">
        <v>1</v>
      </c>
      <c r="J76" s="15" t="s">
        <v>335</v>
      </c>
      <c r="K76" s="15">
        <f t="shared" si="1"/>
        <v>379</v>
      </c>
      <c r="L76" s="15">
        <f t="shared" si="2"/>
        <v>367</v>
      </c>
    </row>
    <row r="77" spans="1:12" ht="15.75" customHeight="1" x14ac:dyDescent="0.15">
      <c r="A77" s="15">
        <v>5</v>
      </c>
      <c r="B77" s="10" t="str">
        <f t="shared" si="0"/>
        <v>Terasy Ústí n. Labem4</v>
      </c>
      <c r="C77" s="15" t="s">
        <v>471</v>
      </c>
      <c r="D77" s="15">
        <v>4</v>
      </c>
      <c r="E77" s="15" t="s">
        <v>336</v>
      </c>
      <c r="F77" s="15" t="s">
        <v>264</v>
      </c>
      <c r="G77" s="18">
        <v>3</v>
      </c>
      <c r="H77" s="18">
        <v>2</v>
      </c>
      <c r="I77" s="15">
        <v>1</v>
      </c>
      <c r="J77" s="15" t="s">
        <v>337</v>
      </c>
      <c r="K77" s="15">
        <f t="shared" si="1"/>
        <v>197</v>
      </c>
      <c r="L77" s="15">
        <f t="shared" si="2"/>
        <v>175</v>
      </c>
    </row>
    <row r="78" spans="1:12" ht="15.75" customHeight="1" x14ac:dyDescent="0.15">
      <c r="A78" s="15">
        <v>5</v>
      </c>
      <c r="B78" s="10" t="str">
        <f t="shared" si="0"/>
        <v>Terasy Ústí n. Labem5</v>
      </c>
      <c r="C78" s="15" t="s">
        <v>471</v>
      </c>
      <c r="D78" s="15">
        <v>5</v>
      </c>
      <c r="E78" s="15" t="s">
        <v>338</v>
      </c>
      <c r="F78" s="15" t="s">
        <v>275</v>
      </c>
      <c r="G78" s="18">
        <v>4</v>
      </c>
      <c r="H78" s="18">
        <v>8</v>
      </c>
      <c r="I78" s="15">
        <v>1</v>
      </c>
      <c r="J78" s="15" t="s">
        <v>339</v>
      </c>
      <c r="K78" s="15">
        <f t="shared" si="1"/>
        <v>356</v>
      </c>
      <c r="L78" s="15">
        <f t="shared" si="2"/>
        <v>350</v>
      </c>
    </row>
    <row r="79" spans="1:12" ht="15.75" customHeight="1" x14ac:dyDescent="0.15">
      <c r="A79" s="15">
        <v>5</v>
      </c>
      <c r="B79" s="10" t="str">
        <f t="shared" si="0"/>
        <v>Terasy Ústí n. Labem6</v>
      </c>
      <c r="C79" s="15" t="s">
        <v>471</v>
      </c>
      <c r="D79" s="15">
        <v>6</v>
      </c>
      <c r="E79" s="15" t="s">
        <v>340</v>
      </c>
      <c r="F79" s="15" t="s">
        <v>341</v>
      </c>
      <c r="G79" s="18">
        <v>3</v>
      </c>
      <c r="H79" s="18">
        <v>14</v>
      </c>
      <c r="I79" s="15">
        <v>1</v>
      </c>
      <c r="J79" s="15" t="s">
        <v>342</v>
      </c>
      <c r="K79" s="15">
        <f t="shared" si="1"/>
        <v>146</v>
      </c>
      <c r="L79" s="15">
        <f t="shared" si="2"/>
        <v>122</v>
      </c>
    </row>
    <row r="80" spans="1:12" ht="15.75" customHeight="1" x14ac:dyDescent="0.15">
      <c r="A80" s="15">
        <v>5</v>
      </c>
      <c r="B80" s="10" t="str">
        <f t="shared" si="0"/>
        <v>Terasy Ústí n. Labem7</v>
      </c>
      <c r="C80" s="15" t="s">
        <v>471</v>
      </c>
      <c r="D80" s="15">
        <v>7</v>
      </c>
      <c r="E80" s="15" t="s">
        <v>343</v>
      </c>
      <c r="F80" s="15" t="s">
        <v>225</v>
      </c>
      <c r="G80" s="18">
        <v>4</v>
      </c>
      <c r="H80" s="18">
        <v>18</v>
      </c>
      <c r="I80" s="15">
        <v>1</v>
      </c>
      <c r="J80" s="15" t="s">
        <v>344</v>
      </c>
      <c r="K80" s="15">
        <f t="shared" si="1"/>
        <v>293</v>
      </c>
      <c r="L80" s="15">
        <f t="shared" si="2"/>
        <v>283</v>
      </c>
    </row>
    <row r="81" spans="1:12" ht="15.75" customHeight="1" x14ac:dyDescent="0.15">
      <c r="A81" s="15">
        <v>5</v>
      </c>
      <c r="B81" s="10" t="str">
        <f t="shared" si="0"/>
        <v>Terasy Ústí n. Labem8</v>
      </c>
      <c r="C81" s="15" t="s">
        <v>471</v>
      </c>
      <c r="D81" s="15">
        <v>8</v>
      </c>
      <c r="E81" s="15" t="s">
        <v>345</v>
      </c>
      <c r="F81" s="15" t="s">
        <v>346</v>
      </c>
      <c r="G81" s="18">
        <v>5</v>
      </c>
      <c r="H81" s="18">
        <v>4</v>
      </c>
      <c r="I81" s="15">
        <v>1</v>
      </c>
      <c r="J81" s="15" t="s">
        <v>347</v>
      </c>
      <c r="K81" s="15">
        <f t="shared" si="1"/>
        <v>458</v>
      </c>
      <c r="L81" s="15">
        <f t="shared" si="2"/>
        <v>452</v>
      </c>
    </row>
    <row r="82" spans="1:12" ht="15.75" customHeight="1" x14ac:dyDescent="0.15">
      <c r="A82" s="15">
        <v>5</v>
      </c>
      <c r="B82" s="10" t="str">
        <f t="shared" si="0"/>
        <v>Terasy Ústí n. Labem9</v>
      </c>
      <c r="C82" s="15" t="s">
        <v>471</v>
      </c>
      <c r="D82" s="15">
        <v>9</v>
      </c>
      <c r="E82" s="15" t="s">
        <v>348</v>
      </c>
      <c r="F82" s="15" t="s">
        <v>295</v>
      </c>
      <c r="G82" s="18">
        <v>4</v>
      </c>
      <c r="H82" s="18">
        <v>10</v>
      </c>
      <c r="I82" s="15">
        <v>1</v>
      </c>
      <c r="J82" s="15" t="s">
        <v>349</v>
      </c>
      <c r="K82" s="15">
        <f t="shared" si="1"/>
        <v>310</v>
      </c>
      <c r="L82" s="15">
        <f t="shared" si="2"/>
        <v>304</v>
      </c>
    </row>
    <row r="83" spans="1:12" ht="13" x14ac:dyDescent="0.15">
      <c r="A83" s="15">
        <v>5</v>
      </c>
      <c r="B83" s="10" t="str">
        <f t="shared" si="0"/>
        <v>Terasy Ústí n. Labem10</v>
      </c>
      <c r="C83" s="15" t="s">
        <v>471</v>
      </c>
      <c r="D83" s="15">
        <v>10</v>
      </c>
      <c r="E83" s="15" t="s">
        <v>350</v>
      </c>
      <c r="F83" s="15" t="s">
        <v>351</v>
      </c>
      <c r="G83" s="18">
        <v>4</v>
      </c>
      <c r="H83" s="18">
        <v>11</v>
      </c>
      <c r="I83" s="15">
        <v>1</v>
      </c>
      <c r="J83" s="15" t="s">
        <v>352</v>
      </c>
      <c r="K83" s="15">
        <f t="shared" si="1"/>
        <v>300</v>
      </c>
      <c r="L83" s="15">
        <f t="shared" si="2"/>
        <v>289</v>
      </c>
    </row>
    <row r="84" spans="1:12" ht="13" x14ac:dyDescent="0.15">
      <c r="A84" s="15">
        <v>5</v>
      </c>
      <c r="B84" s="10" t="str">
        <f t="shared" si="0"/>
        <v>Terasy Ústí n. Labem11</v>
      </c>
      <c r="C84" s="15" t="s">
        <v>471</v>
      </c>
      <c r="D84" s="15">
        <v>11</v>
      </c>
      <c r="E84" s="15" t="s">
        <v>353</v>
      </c>
      <c r="F84" s="15" t="s">
        <v>354</v>
      </c>
      <c r="G84" s="18">
        <v>4</v>
      </c>
      <c r="H84" s="18">
        <v>5</v>
      </c>
      <c r="I84" s="15">
        <v>1</v>
      </c>
      <c r="J84" s="15" t="s">
        <v>355</v>
      </c>
      <c r="K84" s="15">
        <f t="shared" si="1"/>
        <v>365</v>
      </c>
      <c r="L84" s="15">
        <f t="shared" si="2"/>
        <v>351</v>
      </c>
    </row>
    <row r="85" spans="1:12" ht="13" x14ac:dyDescent="0.15">
      <c r="A85" s="15">
        <v>5</v>
      </c>
      <c r="B85" s="10" t="str">
        <f t="shared" si="0"/>
        <v>Terasy Ústí n. Labem12</v>
      </c>
      <c r="C85" s="15" t="s">
        <v>471</v>
      </c>
      <c r="D85" s="15">
        <v>12</v>
      </c>
      <c r="E85" s="15" t="s">
        <v>356</v>
      </c>
      <c r="F85" s="15" t="s">
        <v>357</v>
      </c>
      <c r="G85" s="18">
        <v>5</v>
      </c>
      <c r="H85" s="18">
        <v>1</v>
      </c>
      <c r="I85" s="15">
        <v>1</v>
      </c>
      <c r="J85" s="15" t="s">
        <v>358</v>
      </c>
      <c r="K85" s="15">
        <f t="shared" si="1"/>
        <v>539</v>
      </c>
      <c r="L85" s="15">
        <f t="shared" si="2"/>
        <v>517</v>
      </c>
    </row>
    <row r="86" spans="1:12" ht="13" x14ac:dyDescent="0.15">
      <c r="A86" s="15">
        <v>5</v>
      </c>
      <c r="B86" s="10" t="str">
        <f t="shared" si="0"/>
        <v>Terasy Ústí n. Labem13</v>
      </c>
      <c r="C86" s="15" t="s">
        <v>471</v>
      </c>
      <c r="D86" s="15">
        <v>13</v>
      </c>
      <c r="E86" s="15" t="s">
        <v>359</v>
      </c>
      <c r="F86" s="15" t="s">
        <v>256</v>
      </c>
      <c r="G86" s="18">
        <v>4</v>
      </c>
      <c r="H86" s="18">
        <v>15</v>
      </c>
      <c r="I86" s="15">
        <v>1</v>
      </c>
      <c r="J86" s="15" t="s">
        <v>360</v>
      </c>
      <c r="K86" s="15">
        <f t="shared" si="1"/>
        <v>257</v>
      </c>
      <c r="L86" s="15">
        <f t="shared" si="2"/>
        <v>247</v>
      </c>
    </row>
    <row r="87" spans="1:12" ht="13" x14ac:dyDescent="0.15">
      <c r="A87" s="15">
        <v>5</v>
      </c>
      <c r="B87" s="10" t="str">
        <f t="shared" si="0"/>
        <v>Terasy Ústí n. Labem14</v>
      </c>
      <c r="C87" s="15" t="s">
        <v>471</v>
      </c>
      <c r="D87" s="15">
        <v>14</v>
      </c>
      <c r="E87" s="15" t="s">
        <v>208</v>
      </c>
      <c r="F87" s="15" t="s">
        <v>361</v>
      </c>
      <c r="G87" s="18">
        <v>3</v>
      </c>
      <c r="H87" s="18">
        <v>7</v>
      </c>
      <c r="I87" s="15">
        <v>1</v>
      </c>
      <c r="J87" s="15" t="s">
        <v>362</v>
      </c>
      <c r="K87" s="15">
        <f t="shared" si="1"/>
        <v>147</v>
      </c>
      <c r="L87" s="15">
        <f t="shared" si="2"/>
        <v>126</v>
      </c>
    </row>
    <row r="88" spans="1:12" ht="13" x14ac:dyDescent="0.15">
      <c r="A88" s="15">
        <v>5</v>
      </c>
      <c r="B88" s="10" t="str">
        <f t="shared" si="0"/>
        <v>Terasy Ústí n. Labem15</v>
      </c>
      <c r="C88" s="15" t="s">
        <v>471</v>
      </c>
      <c r="D88" s="15">
        <v>15</v>
      </c>
      <c r="E88" s="15" t="s">
        <v>363</v>
      </c>
      <c r="F88" s="15" t="s">
        <v>189</v>
      </c>
      <c r="G88" s="18">
        <v>4</v>
      </c>
      <c r="H88" s="18">
        <v>3</v>
      </c>
      <c r="I88" s="15">
        <v>1</v>
      </c>
      <c r="J88" s="15" t="s">
        <v>364</v>
      </c>
      <c r="K88" s="15">
        <f t="shared" si="1"/>
        <v>364</v>
      </c>
      <c r="L88" s="15">
        <f t="shared" si="2"/>
        <v>339</v>
      </c>
    </row>
    <row r="89" spans="1:12" ht="13" x14ac:dyDescent="0.15">
      <c r="A89" s="15">
        <v>5</v>
      </c>
      <c r="B89" s="10" t="str">
        <f t="shared" si="0"/>
        <v>Terasy Ústí n. Labem16</v>
      </c>
      <c r="C89" s="15" t="s">
        <v>471</v>
      </c>
      <c r="D89" s="15">
        <v>16</v>
      </c>
      <c r="E89" s="15" t="s">
        <v>365</v>
      </c>
      <c r="F89" s="15" t="s">
        <v>366</v>
      </c>
      <c r="G89" s="18">
        <v>3</v>
      </c>
      <c r="H89" s="18">
        <v>17</v>
      </c>
      <c r="I89" s="15">
        <v>1</v>
      </c>
      <c r="J89" s="15" t="s">
        <v>367</v>
      </c>
      <c r="K89" s="15">
        <f t="shared" si="1"/>
        <v>128</v>
      </c>
      <c r="L89" s="15">
        <f t="shared" si="2"/>
        <v>118</v>
      </c>
    </row>
    <row r="90" spans="1:12" ht="13" x14ac:dyDescent="0.15">
      <c r="A90" s="15">
        <v>5</v>
      </c>
      <c r="B90" s="10" t="str">
        <f t="shared" si="0"/>
        <v>Terasy Ústí n. Labem17</v>
      </c>
      <c r="C90" s="15" t="s">
        <v>471</v>
      </c>
      <c r="D90" s="15">
        <v>17</v>
      </c>
      <c r="E90" s="15" t="s">
        <v>368</v>
      </c>
      <c r="F90" s="15" t="s">
        <v>311</v>
      </c>
      <c r="G90" s="18">
        <v>5</v>
      </c>
      <c r="H90" s="18">
        <v>13</v>
      </c>
      <c r="I90" s="15">
        <v>1</v>
      </c>
      <c r="J90" s="15" t="s">
        <v>369</v>
      </c>
      <c r="K90" s="15">
        <f t="shared" si="1"/>
        <v>455</v>
      </c>
      <c r="L90" s="15">
        <f t="shared" si="2"/>
        <v>447</v>
      </c>
    </row>
    <row r="91" spans="1:12" ht="13" x14ac:dyDescent="0.15">
      <c r="A91" s="15">
        <v>5</v>
      </c>
      <c r="B91" s="10" t="str">
        <f t="shared" si="0"/>
        <v>Terasy Ústí n. Labem18</v>
      </c>
      <c r="C91" s="15" t="s">
        <v>471</v>
      </c>
      <c r="D91" s="15">
        <v>18</v>
      </c>
      <c r="E91" s="15" t="s">
        <v>370</v>
      </c>
      <c r="F91" s="15" t="s">
        <v>371</v>
      </c>
      <c r="G91" s="18">
        <v>4</v>
      </c>
      <c r="H91" s="18">
        <v>9</v>
      </c>
      <c r="I91" s="15">
        <v>1</v>
      </c>
      <c r="J91" s="15" t="s">
        <v>372</v>
      </c>
      <c r="K91" s="15">
        <f t="shared" si="1"/>
        <v>336</v>
      </c>
      <c r="L91" s="15">
        <f t="shared" si="2"/>
        <v>323</v>
      </c>
    </row>
    <row r="92" spans="1:12" ht="13" x14ac:dyDescent="0.15">
      <c r="A92" s="15">
        <v>6</v>
      </c>
      <c r="B92" s="10" t="str">
        <f t="shared" si="0"/>
        <v>Golf Resort Barbora1</v>
      </c>
      <c r="C92" s="15" t="s">
        <v>15</v>
      </c>
      <c r="D92" s="15">
        <v>1</v>
      </c>
      <c r="E92" s="15" t="s">
        <v>212</v>
      </c>
      <c r="F92" s="15" t="s">
        <v>373</v>
      </c>
      <c r="G92" s="18">
        <v>4</v>
      </c>
      <c r="H92" s="18">
        <v>10</v>
      </c>
      <c r="I92" s="15">
        <v>2</v>
      </c>
      <c r="J92" s="15" t="s">
        <v>374</v>
      </c>
      <c r="K92" s="15">
        <f t="shared" si="1"/>
        <v>319</v>
      </c>
      <c r="L92" s="15">
        <f t="shared" si="2"/>
        <v>282</v>
      </c>
    </row>
    <row r="93" spans="1:12" ht="13" x14ac:dyDescent="0.15">
      <c r="A93" s="15">
        <v>6</v>
      </c>
      <c r="B93" s="10" t="str">
        <f t="shared" si="0"/>
        <v>Golf Resort Barbora2</v>
      </c>
      <c r="C93" s="15" t="s">
        <v>15</v>
      </c>
      <c r="D93" s="15">
        <v>2</v>
      </c>
      <c r="E93" s="15" t="s">
        <v>375</v>
      </c>
      <c r="F93" s="15" t="s">
        <v>311</v>
      </c>
      <c r="G93" s="18">
        <v>5</v>
      </c>
      <c r="H93" s="18">
        <v>4</v>
      </c>
      <c r="I93" s="15">
        <v>2</v>
      </c>
      <c r="J93" s="15" t="s">
        <v>376</v>
      </c>
      <c r="K93" s="15">
        <f t="shared" si="1"/>
        <v>467</v>
      </c>
      <c r="L93" s="15">
        <f t="shared" si="2"/>
        <v>447</v>
      </c>
    </row>
    <row r="94" spans="1:12" ht="13" x14ac:dyDescent="0.15">
      <c r="A94" s="15">
        <v>6</v>
      </c>
      <c r="B94" s="10" t="str">
        <f t="shared" si="0"/>
        <v>Golf Resort Barbora3</v>
      </c>
      <c r="C94" s="15" t="s">
        <v>15</v>
      </c>
      <c r="D94" s="15">
        <v>3</v>
      </c>
      <c r="E94" s="15" t="s">
        <v>377</v>
      </c>
      <c r="F94" s="15" t="s">
        <v>378</v>
      </c>
      <c r="G94" s="18">
        <v>3</v>
      </c>
      <c r="H94" s="18">
        <v>12</v>
      </c>
      <c r="I94" s="15">
        <v>2</v>
      </c>
      <c r="J94" s="15" t="s">
        <v>379</v>
      </c>
      <c r="K94" s="15">
        <f t="shared" si="1"/>
        <v>151</v>
      </c>
      <c r="L94" s="15">
        <f t="shared" si="2"/>
        <v>142</v>
      </c>
    </row>
    <row r="95" spans="1:12" ht="13" x14ac:dyDescent="0.15">
      <c r="A95" s="15">
        <v>6</v>
      </c>
      <c r="B95" s="10" t="str">
        <f t="shared" si="0"/>
        <v>Golf Resort Barbora4</v>
      </c>
      <c r="C95" s="15" t="s">
        <v>15</v>
      </c>
      <c r="D95" s="15">
        <v>4</v>
      </c>
      <c r="E95" s="15" t="s">
        <v>380</v>
      </c>
      <c r="F95" s="15" t="s">
        <v>381</v>
      </c>
      <c r="G95" s="18">
        <v>4</v>
      </c>
      <c r="H95" s="18">
        <v>2</v>
      </c>
      <c r="I95" s="15">
        <v>2</v>
      </c>
      <c r="J95" s="15" t="s">
        <v>382</v>
      </c>
      <c r="K95" s="15">
        <f t="shared" si="1"/>
        <v>369</v>
      </c>
      <c r="L95" s="15">
        <f t="shared" si="2"/>
        <v>355</v>
      </c>
    </row>
    <row r="96" spans="1:12" ht="13" x14ac:dyDescent="0.15">
      <c r="A96" s="15">
        <v>6</v>
      </c>
      <c r="B96" s="10" t="str">
        <f t="shared" si="0"/>
        <v>Golf Resort Barbora5</v>
      </c>
      <c r="C96" s="15" t="s">
        <v>15</v>
      </c>
      <c r="D96" s="15">
        <v>5</v>
      </c>
      <c r="E96" s="15" t="s">
        <v>192</v>
      </c>
      <c r="F96" s="15" t="s">
        <v>383</v>
      </c>
      <c r="G96" s="18">
        <v>4</v>
      </c>
      <c r="H96" s="18">
        <v>14</v>
      </c>
      <c r="I96" s="15">
        <v>2</v>
      </c>
      <c r="J96" s="15" t="s">
        <v>384</v>
      </c>
      <c r="K96" s="15">
        <f t="shared" si="1"/>
        <v>328</v>
      </c>
      <c r="L96" s="15">
        <f t="shared" si="2"/>
        <v>316</v>
      </c>
    </row>
    <row r="97" spans="1:12" ht="13" x14ac:dyDescent="0.15">
      <c r="A97" s="15">
        <v>6</v>
      </c>
      <c r="B97" s="10" t="str">
        <f t="shared" si="0"/>
        <v>Golf Resort Barbora6</v>
      </c>
      <c r="C97" s="15" t="s">
        <v>15</v>
      </c>
      <c r="D97" s="15">
        <v>6</v>
      </c>
      <c r="E97" s="15" t="s">
        <v>385</v>
      </c>
      <c r="F97" s="15" t="s">
        <v>386</v>
      </c>
      <c r="G97" s="18">
        <v>5</v>
      </c>
      <c r="H97" s="18">
        <v>8</v>
      </c>
      <c r="I97" s="15">
        <v>2</v>
      </c>
      <c r="J97" s="15" t="s">
        <v>387</v>
      </c>
      <c r="K97" s="15">
        <f t="shared" si="1"/>
        <v>525</v>
      </c>
      <c r="L97" s="15">
        <f t="shared" si="2"/>
        <v>464</v>
      </c>
    </row>
    <row r="98" spans="1:12" ht="13" x14ac:dyDescent="0.15">
      <c r="A98" s="15">
        <v>6</v>
      </c>
      <c r="B98" s="10" t="str">
        <f t="shared" si="0"/>
        <v>Golf Resort Barbora7</v>
      </c>
      <c r="C98" s="15" t="s">
        <v>15</v>
      </c>
      <c r="D98" s="15">
        <v>7</v>
      </c>
      <c r="E98" s="15" t="s">
        <v>373</v>
      </c>
      <c r="F98" s="15" t="s">
        <v>388</v>
      </c>
      <c r="G98" s="18">
        <v>4</v>
      </c>
      <c r="H98" s="18">
        <v>16</v>
      </c>
      <c r="I98" s="15">
        <v>2</v>
      </c>
      <c r="J98" s="15" t="s">
        <v>389</v>
      </c>
      <c r="K98" s="15">
        <f t="shared" si="1"/>
        <v>282</v>
      </c>
      <c r="L98" s="15">
        <f t="shared" si="2"/>
        <v>277</v>
      </c>
    </row>
    <row r="99" spans="1:12" ht="13" x14ac:dyDescent="0.15">
      <c r="A99" s="15">
        <v>6</v>
      </c>
      <c r="B99" s="10" t="str">
        <f t="shared" si="0"/>
        <v>Golf Resort Barbora8</v>
      </c>
      <c r="C99" s="15" t="s">
        <v>15</v>
      </c>
      <c r="D99" s="15">
        <v>8</v>
      </c>
      <c r="E99" s="15" t="s">
        <v>390</v>
      </c>
      <c r="F99" s="15" t="s">
        <v>380</v>
      </c>
      <c r="G99" s="18">
        <v>4</v>
      </c>
      <c r="H99" s="18">
        <v>6</v>
      </c>
      <c r="I99" s="15">
        <v>2</v>
      </c>
      <c r="J99" s="15" t="s">
        <v>391</v>
      </c>
      <c r="K99" s="15">
        <f t="shared" si="1"/>
        <v>380</v>
      </c>
      <c r="L99" s="15">
        <f t="shared" si="2"/>
        <v>369</v>
      </c>
    </row>
    <row r="100" spans="1:12" ht="13" x14ac:dyDescent="0.15">
      <c r="A100" s="15">
        <v>6</v>
      </c>
      <c r="B100" s="10" t="str">
        <f t="shared" si="0"/>
        <v>Golf Resort Barbora9</v>
      </c>
      <c r="C100" s="15" t="s">
        <v>15</v>
      </c>
      <c r="D100" s="15">
        <v>9</v>
      </c>
      <c r="E100" s="15" t="s">
        <v>392</v>
      </c>
      <c r="F100" s="15" t="s">
        <v>393</v>
      </c>
      <c r="G100" s="18">
        <v>3</v>
      </c>
      <c r="H100" s="18">
        <v>18</v>
      </c>
      <c r="I100" s="15">
        <v>2</v>
      </c>
      <c r="J100" s="15" t="s">
        <v>394</v>
      </c>
      <c r="K100" s="15">
        <f t="shared" si="1"/>
        <v>155</v>
      </c>
      <c r="L100" s="15">
        <f t="shared" si="2"/>
        <v>141</v>
      </c>
    </row>
    <row r="101" spans="1:12" ht="13" x14ac:dyDescent="0.15">
      <c r="A101" s="15">
        <v>6</v>
      </c>
      <c r="B101" s="10" t="str">
        <f t="shared" si="0"/>
        <v>Golf Resort Barbora10</v>
      </c>
      <c r="C101" s="15" t="s">
        <v>15</v>
      </c>
      <c r="D101" s="15">
        <v>10</v>
      </c>
      <c r="E101" s="15" t="s">
        <v>395</v>
      </c>
      <c r="F101" s="15" t="s">
        <v>396</v>
      </c>
      <c r="G101" s="18">
        <v>5</v>
      </c>
      <c r="H101" s="18">
        <v>11</v>
      </c>
      <c r="I101" s="15">
        <v>2</v>
      </c>
      <c r="J101" s="15" t="s">
        <v>397</v>
      </c>
      <c r="K101" s="15">
        <f t="shared" si="1"/>
        <v>473</v>
      </c>
      <c r="L101" s="15">
        <f t="shared" si="2"/>
        <v>461</v>
      </c>
    </row>
    <row r="102" spans="1:12" ht="13" x14ac:dyDescent="0.15">
      <c r="A102" s="15">
        <v>6</v>
      </c>
      <c r="B102" s="10" t="str">
        <f t="shared" si="0"/>
        <v>Golf Resort Barbora11</v>
      </c>
      <c r="C102" s="15" t="s">
        <v>15</v>
      </c>
      <c r="D102" s="15">
        <v>11</v>
      </c>
      <c r="E102" s="15" t="s">
        <v>398</v>
      </c>
      <c r="F102" s="15" t="s">
        <v>264</v>
      </c>
      <c r="G102" s="18">
        <v>3</v>
      </c>
      <c r="H102" s="18">
        <v>7</v>
      </c>
      <c r="I102" s="15">
        <v>2</v>
      </c>
      <c r="J102" s="15" t="s">
        <v>399</v>
      </c>
      <c r="K102" s="15">
        <f t="shared" si="1"/>
        <v>193</v>
      </c>
      <c r="L102" s="15">
        <f t="shared" si="2"/>
        <v>175</v>
      </c>
    </row>
    <row r="103" spans="1:12" ht="13" x14ac:dyDescent="0.15">
      <c r="A103" s="15">
        <v>6</v>
      </c>
      <c r="B103" s="10" t="str">
        <f t="shared" si="0"/>
        <v>Golf Resort Barbora12</v>
      </c>
      <c r="C103" s="15" t="s">
        <v>15</v>
      </c>
      <c r="D103" s="15">
        <v>12</v>
      </c>
      <c r="E103" s="15" t="s">
        <v>400</v>
      </c>
      <c r="F103" s="15" t="s">
        <v>180</v>
      </c>
      <c r="G103" s="18">
        <v>4</v>
      </c>
      <c r="H103" s="18">
        <v>17</v>
      </c>
      <c r="I103" s="15">
        <v>2</v>
      </c>
      <c r="J103" s="15" t="s">
        <v>401</v>
      </c>
      <c r="K103" s="15">
        <f t="shared" si="1"/>
        <v>372</v>
      </c>
      <c r="L103" s="15">
        <f t="shared" si="2"/>
        <v>333</v>
      </c>
    </row>
    <row r="104" spans="1:12" ht="13" x14ac:dyDescent="0.15">
      <c r="A104" s="15">
        <v>6</v>
      </c>
      <c r="B104" s="10" t="str">
        <f t="shared" si="0"/>
        <v>Golf Resort Barbora13</v>
      </c>
      <c r="C104" s="15" t="s">
        <v>15</v>
      </c>
      <c r="D104" s="15">
        <v>13</v>
      </c>
      <c r="E104" s="15" t="s">
        <v>402</v>
      </c>
      <c r="F104" s="15" t="s">
        <v>403</v>
      </c>
      <c r="G104" s="18">
        <v>4</v>
      </c>
      <c r="H104" s="18">
        <v>9</v>
      </c>
      <c r="I104" s="15">
        <v>2</v>
      </c>
      <c r="J104" s="15" t="s">
        <v>404</v>
      </c>
      <c r="K104" s="15">
        <f t="shared" si="1"/>
        <v>371</v>
      </c>
      <c r="L104" s="15">
        <f t="shared" si="2"/>
        <v>343</v>
      </c>
    </row>
    <row r="105" spans="1:12" ht="13" x14ac:dyDescent="0.15">
      <c r="A105" s="15">
        <v>6</v>
      </c>
      <c r="B105" s="10" t="str">
        <f t="shared" si="0"/>
        <v>Golf Resort Barbora14</v>
      </c>
      <c r="C105" s="15" t="s">
        <v>15</v>
      </c>
      <c r="D105" s="15">
        <v>14</v>
      </c>
      <c r="E105" s="15" t="s">
        <v>405</v>
      </c>
      <c r="F105" s="15" t="s">
        <v>157</v>
      </c>
      <c r="G105" s="18">
        <v>3</v>
      </c>
      <c r="H105" s="18">
        <v>5</v>
      </c>
      <c r="I105" s="15">
        <v>2</v>
      </c>
      <c r="J105" s="15" t="s">
        <v>406</v>
      </c>
      <c r="K105" s="15">
        <f t="shared" si="1"/>
        <v>182</v>
      </c>
      <c r="L105" s="15">
        <f t="shared" si="2"/>
        <v>168</v>
      </c>
    </row>
    <row r="106" spans="1:12" ht="13" x14ac:dyDescent="0.15">
      <c r="A106" s="15">
        <v>6</v>
      </c>
      <c r="B106" s="10" t="str">
        <f t="shared" si="0"/>
        <v>Golf Resort Barbora15</v>
      </c>
      <c r="C106" s="15" t="s">
        <v>15</v>
      </c>
      <c r="D106" s="15">
        <v>15</v>
      </c>
      <c r="E106" s="15" t="s">
        <v>281</v>
      </c>
      <c r="F106" s="15" t="s">
        <v>407</v>
      </c>
      <c r="G106" s="18">
        <v>5</v>
      </c>
      <c r="H106" s="18">
        <v>1</v>
      </c>
      <c r="I106" s="15">
        <v>2</v>
      </c>
      <c r="J106" s="15" t="s">
        <v>408</v>
      </c>
      <c r="K106" s="15">
        <f t="shared" si="1"/>
        <v>489</v>
      </c>
      <c r="L106" s="15">
        <f t="shared" si="2"/>
        <v>435</v>
      </c>
    </row>
    <row r="107" spans="1:12" ht="13" x14ac:dyDescent="0.15">
      <c r="A107" s="15">
        <v>6</v>
      </c>
      <c r="B107" s="10" t="str">
        <f t="shared" si="0"/>
        <v>Golf Resort Barbora16</v>
      </c>
      <c r="C107" s="15" t="s">
        <v>15</v>
      </c>
      <c r="D107" s="15">
        <v>16</v>
      </c>
      <c r="E107" s="15" t="s">
        <v>409</v>
      </c>
      <c r="F107" s="15" t="s">
        <v>410</v>
      </c>
      <c r="G107" s="18">
        <v>3</v>
      </c>
      <c r="H107" s="18">
        <v>13</v>
      </c>
      <c r="I107" s="15">
        <v>2</v>
      </c>
      <c r="J107" s="15" t="s">
        <v>411</v>
      </c>
      <c r="K107" s="15">
        <f t="shared" si="1"/>
        <v>201</v>
      </c>
      <c r="L107" s="15">
        <f t="shared" si="2"/>
        <v>180</v>
      </c>
    </row>
    <row r="108" spans="1:12" ht="13" x14ac:dyDescent="0.15">
      <c r="A108" s="15">
        <v>6</v>
      </c>
      <c r="B108" s="10" t="str">
        <f t="shared" si="0"/>
        <v>Golf Resort Barbora17</v>
      </c>
      <c r="C108" s="15" t="s">
        <v>15</v>
      </c>
      <c r="D108" s="15">
        <v>17</v>
      </c>
      <c r="E108" s="15" t="s">
        <v>311</v>
      </c>
      <c r="F108" s="15" t="s">
        <v>287</v>
      </c>
      <c r="G108" s="18">
        <v>5</v>
      </c>
      <c r="H108" s="18">
        <v>15</v>
      </c>
      <c r="I108" s="15">
        <v>2</v>
      </c>
      <c r="J108" s="15" t="s">
        <v>412</v>
      </c>
      <c r="K108" s="15">
        <f t="shared" si="1"/>
        <v>447</v>
      </c>
      <c r="L108" s="15">
        <f t="shared" si="2"/>
        <v>443</v>
      </c>
    </row>
    <row r="109" spans="1:12" ht="13" x14ac:dyDescent="0.15">
      <c r="A109" s="15">
        <v>6</v>
      </c>
      <c r="B109" s="10" t="str">
        <f t="shared" si="0"/>
        <v>Golf Resort Barbora18</v>
      </c>
      <c r="C109" s="15" t="s">
        <v>15</v>
      </c>
      <c r="D109" s="15">
        <v>18</v>
      </c>
      <c r="E109" s="15" t="s">
        <v>413</v>
      </c>
      <c r="F109" s="15" t="s">
        <v>414</v>
      </c>
      <c r="G109" s="18">
        <v>4</v>
      </c>
      <c r="H109" s="18">
        <v>3</v>
      </c>
      <c r="I109" s="15">
        <v>2</v>
      </c>
      <c r="J109" s="15" t="s">
        <v>415</v>
      </c>
      <c r="K109" s="15">
        <f t="shared" si="1"/>
        <v>428</v>
      </c>
      <c r="L109" s="15">
        <f t="shared" si="2"/>
        <v>413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7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3" max="3" width="12.83203125" customWidth="1"/>
    <col min="4" max="4" width="24.1640625" customWidth="1"/>
    <col min="8" max="8" width="24.1640625" customWidth="1"/>
  </cols>
  <sheetData>
    <row r="1" spans="1:8" ht="15.75" customHeight="1" x14ac:dyDescent="0.15">
      <c r="A1" s="14" t="s">
        <v>473</v>
      </c>
      <c r="B1" s="14" t="s">
        <v>112</v>
      </c>
      <c r="C1" s="14" t="s">
        <v>416</v>
      </c>
      <c r="D1" s="14" t="s">
        <v>113</v>
      </c>
      <c r="E1" s="19" t="s">
        <v>417</v>
      </c>
      <c r="F1" s="19" t="s">
        <v>418</v>
      </c>
      <c r="G1" s="19" t="s">
        <v>419</v>
      </c>
      <c r="H1" s="14" t="s">
        <v>420</v>
      </c>
    </row>
    <row r="2" spans="1:8" ht="15.75" customHeight="1" x14ac:dyDescent="0.15">
      <c r="A2" s="15">
        <v>1</v>
      </c>
      <c r="B2" s="15">
        <v>1</v>
      </c>
      <c r="C2" s="15" t="s">
        <v>421</v>
      </c>
      <c r="D2" s="15" t="s">
        <v>249</v>
      </c>
      <c r="E2" s="20">
        <v>137</v>
      </c>
      <c r="F2" s="20">
        <v>74.2</v>
      </c>
      <c r="G2" s="20">
        <v>72</v>
      </c>
      <c r="H2" s="15" t="s">
        <v>422</v>
      </c>
    </row>
    <row r="3" spans="1:8" ht="15.75" customHeight="1" x14ac:dyDescent="0.15">
      <c r="A3" s="15">
        <v>2</v>
      </c>
      <c r="B3" s="15">
        <v>2</v>
      </c>
      <c r="C3" s="15" t="s">
        <v>132</v>
      </c>
      <c r="D3" s="15" t="s">
        <v>294</v>
      </c>
      <c r="E3" s="20">
        <v>119</v>
      </c>
      <c r="F3" s="20">
        <v>68</v>
      </c>
      <c r="G3" s="20">
        <v>71</v>
      </c>
      <c r="H3" s="15" t="s">
        <v>294</v>
      </c>
    </row>
    <row r="4" spans="1:8" ht="15.75" customHeight="1" x14ac:dyDescent="0.15">
      <c r="A4" s="20">
        <v>3</v>
      </c>
      <c r="B4" s="20">
        <v>1</v>
      </c>
      <c r="C4" s="21" t="s">
        <v>421</v>
      </c>
      <c r="D4" s="21" t="s">
        <v>148</v>
      </c>
      <c r="E4" s="20">
        <v>137</v>
      </c>
      <c r="F4" s="20">
        <v>71.400000000000006</v>
      </c>
      <c r="G4" s="20">
        <v>72</v>
      </c>
      <c r="H4" s="21" t="s">
        <v>148</v>
      </c>
    </row>
    <row r="5" spans="1:8" ht="15.75" customHeight="1" x14ac:dyDescent="0.15">
      <c r="A5" s="20">
        <v>4</v>
      </c>
      <c r="B5" s="20">
        <v>2</v>
      </c>
      <c r="C5" s="21" t="s">
        <v>132</v>
      </c>
      <c r="D5" s="21" t="s">
        <v>199</v>
      </c>
      <c r="E5" s="20">
        <v>132</v>
      </c>
      <c r="F5" s="20">
        <v>70.900000000000006</v>
      </c>
      <c r="G5" s="20">
        <v>72</v>
      </c>
      <c r="H5" s="21" t="s">
        <v>199</v>
      </c>
    </row>
    <row r="6" spans="1:8" ht="15.75" customHeight="1" x14ac:dyDescent="0.15">
      <c r="A6" s="1">
        <v>5</v>
      </c>
      <c r="B6" s="1">
        <v>1</v>
      </c>
      <c r="C6" s="21" t="s">
        <v>421</v>
      </c>
      <c r="D6" s="31" t="s">
        <v>471</v>
      </c>
      <c r="E6" s="1">
        <v>137</v>
      </c>
      <c r="F6" s="1">
        <v>69.5</v>
      </c>
      <c r="G6" s="1">
        <v>71</v>
      </c>
      <c r="H6" s="1" t="s">
        <v>328</v>
      </c>
    </row>
    <row r="7" spans="1:8" ht="15.75" customHeight="1" x14ac:dyDescent="0.15">
      <c r="A7" s="1">
        <v>6</v>
      </c>
      <c r="B7" s="1">
        <v>2</v>
      </c>
      <c r="C7" s="21" t="s">
        <v>132</v>
      </c>
      <c r="D7" s="1" t="s">
        <v>15</v>
      </c>
      <c r="E7" s="1">
        <v>138</v>
      </c>
      <c r="F7" s="1">
        <v>70.7</v>
      </c>
      <c r="G7" s="1">
        <v>72</v>
      </c>
      <c r="H7" s="1" t="s">
        <v>15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3"/>
  <sheetViews>
    <sheetView workbookViewId="0"/>
  </sheetViews>
  <sheetFormatPr baseColWidth="10" defaultColWidth="12.6640625" defaultRowHeight="15.75" customHeight="1" x14ac:dyDescent="0.15"/>
  <cols>
    <col min="3" max="3" width="28.6640625" customWidth="1"/>
  </cols>
  <sheetData>
    <row r="1" spans="1:3" ht="15.75" customHeight="1" x14ac:dyDescent="0.15">
      <c r="A1" s="14" t="s">
        <v>112</v>
      </c>
      <c r="B1" s="14" t="s">
        <v>114</v>
      </c>
      <c r="C1" s="14" t="s">
        <v>423</v>
      </c>
    </row>
    <row r="2" spans="1:3" ht="15.75" customHeight="1" x14ac:dyDescent="0.15">
      <c r="A2" s="22">
        <v>1</v>
      </c>
      <c r="B2" s="15">
        <v>5</v>
      </c>
      <c r="C2" s="10" t="str">
        <f>VLOOKUP(B2,'Field difficulty'!$A$1:$H$50,4,FALSE)</f>
        <v>Terasy Ústí n. Labem</v>
      </c>
    </row>
    <row r="3" spans="1:3" ht="15.75" customHeight="1" x14ac:dyDescent="0.15">
      <c r="A3" s="22">
        <v>2</v>
      </c>
      <c r="B3" s="15">
        <v>6</v>
      </c>
      <c r="C3" s="10" t="str">
        <f>VLOOKUP(B3,'Field difficulty'!$A$1:$H$50,4,FALSE)</f>
        <v>Golf Resort Barbora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22C2-F70C-164C-9F34-83767DDCF80C}">
  <sheetPr>
    <outlinePr summaryBelow="0" summaryRight="0"/>
    <pageSetUpPr fitToPage="1"/>
  </sheetPr>
  <dimension ref="A1:T34"/>
  <sheetViews>
    <sheetView showGridLines="0" zoomScale="162" workbookViewId="0">
      <selection activeCell="S22" sqref="S22"/>
    </sheetView>
  </sheetViews>
  <sheetFormatPr baseColWidth="10" defaultColWidth="12.6640625" defaultRowHeight="15.75" customHeight="1" x14ac:dyDescent="0.15"/>
  <cols>
    <col min="1" max="1" width="6.33203125" customWidth="1"/>
    <col min="2" max="2" width="5.1640625" customWidth="1"/>
    <col min="3" max="3" width="4.83203125" customWidth="1"/>
    <col min="4" max="4" width="3.1640625" customWidth="1"/>
    <col min="5" max="5" width="4.83203125" customWidth="1"/>
    <col min="6" max="6" width="3.1640625" customWidth="1"/>
    <col min="7" max="12" width="5.6640625" customWidth="1"/>
    <col min="13" max="13" width="7.1640625" customWidth="1"/>
    <col min="14" max="14" width="6.33203125" customWidth="1"/>
  </cols>
  <sheetData>
    <row r="1" spans="1:20" ht="22.5" customHeight="1" thickBot="1" x14ac:dyDescent="0.2">
      <c r="A1" s="8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20" ht="27.75" customHeight="1" thickBot="1" x14ac:dyDescent="0.2">
      <c r="A2" s="8"/>
      <c r="B2" s="115" t="s">
        <v>472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7"/>
    </row>
    <row r="3" spans="1:20" ht="14" thickBot="1" x14ac:dyDescent="0.2">
      <c r="A3" s="24"/>
      <c r="B3" s="118" t="s">
        <v>424</v>
      </c>
      <c r="C3" s="102"/>
      <c r="D3" s="102"/>
      <c r="E3" s="119" t="str">
        <f>VLOOKUP(R6,'Field difficulty'!$A$1:$H$30,4,FALSE)</f>
        <v>Golf Resort Barbora</v>
      </c>
      <c r="F3" s="102"/>
      <c r="G3" s="102"/>
      <c r="H3" s="102"/>
      <c r="I3" s="118" t="s">
        <v>425</v>
      </c>
      <c r="J3" s="102"/>
      <c r="K3" s="33">
        <f>VLOOKUP($R$6,'Field difficulty'!$A$1:$H$30,6,FALSE)</f>
        <v>70.7</v>
      </c>
      <c r="L3" s="32" t="s">
        <v>426</v>
      </c>
      <c r="M3" s="33">
        <f>VLOOKUP($R$6,'Field difficulty'!$A$1:$H$30,5,FALSE)</f>
        <v>138</v>
      </c>
      <c r="Q3" s="1" t="s">
        <v>427</v>
      </c>
      <c r="R3" s="1">
        <v>12</v>
      </c>
      <c r="T3" s="1" t="s">
        <v>428</v>
      </c>
    </row>
    <row r="4" spans="1:20" ht="14" thickBot="1" x14ac:dyDescent="0.2">
      <c r="A4" s="8"/>
      <c r="B4" s="120" t="s">
        <v>429</v>
      </c>
      <c r="C4" s="102"/>
      <c r="D4" s="100"/>
      <c r="E4" s="121" t="str">
        <f>IFERROR(VLOOKUP(R3,Games!A1:U13,16,FALSE),"")</f>
        <v>Ledecký</v>
      </c>
      <c r="F4" s="102"/>
      <c r="G4" s="102"/>
      <c r="H4" s="122"/>
      <c r="I4" s="123" t="s">
        <v>430</v>
      </c>
      <c r="J4" s="122"/>
      <c r="K4" s="124" t="str">
        <f>IFERROR(VLOOKUP(R3,Games!A1:U13,15,FALSE),"")</f>
        <v/>
      </c>
      <c r="L4" s="102"/>
      <c r="M4" s="122"/>
      <c r="Q4" s="16" t="s">
        <v>115</v>
      </c>
      <c r="R4" s="16" t="str">
        <f>VLOOKUP(R3,Games!A2:U13,5,FALSE)</f>
        <v>Singles</v>
      </c>
      <c r="T4" s="1" t="s">
        <v>431</v>
      </c>
    </row>
    <row r="5" spans="1:20" ht="14" thickBot="1" x14ac:dyDescent="0.2">
      <c r="A5" s="8"/>
      <c r="B5" s="25" t="s">
        <v>432</v>
      </c>
      <c r="C5" s="99">
        <f t="array" ref="C5">IFERROR(INDEX(Results!$J$1:$J$2000, MATCH(1,(Results!$B$1:$B$2000=$R$3)*(Results!$C$1:$C$2000=$B8),0)),"")</f>
        <v>35</v>
      </c>
      <c r="D5" s="100"/>
      <c r="E5" s="101" t="s">
        <v>433</v>
      </c>
      <c r="F5" s="102"/>
      <c r="G5" s="100"/>
      <c r="H5" s="34">
        <f>IF(I29="","",I29)</f>
        <v>107</v>
      </c>
      <c r="I5" s="26" t="s">
        <v>432</v>
      </c>
      <c r="J5" s="27" t="str">
        <f t="array" ref="J5">IFERROR(INDEX(Results!$I$1:$I$2000, MATCH(1,(Results!$B$1:$B$2000=$R$3)*(Results!$C$1:$C$2000=$B8),0)),"")</f>
        <v/>
      </c>
      <c r="K5" s="103" t="s">
        <v>433</v>
      </c>
      <c r="L5" s="100"/>
      <c r="M5" s="35" t="str">
        <f>J29</f>
        <v/>
      </c>
      <c r="Q5" s="16"/>
      <c r="R5" s="16"/>
      <c r="T5" s="1" t="s">
        <v>434</v>
      </c>
    </row>
    <row r="6" spans="1:20" ht="13" x14ac:dyDescent="0.15">
      <c r="A6" s="8"/>
      <c r="B6" s="104" t="s">
        <v>134</v>
      </c>
      <c r="C6" s="106" t="s">
        <v>435</v>
      </c>
      <c r="D6" s="107"/>
      <c r="E6" s="106" t="s">
        <v>436</v>
      </c>
      <c r="F6" s="107"/>
      <c r="G6" s="110" t="s">
        <v>437</v>
      </c>
      <c r="H6" s="112" t="s">
        <v>438</v>
      </c>
      <c r="I6" s="113" t="s">
        <v>439</v>
      </c>
      <c r="J6" s="114"/>
      <c r="K6" s="113" t="s">
        <v>440</v>
      </c>
      <c r="L6" s="114"/>
      <c r="M6" s="97" t="s">
        <v>441</v>
      </c>
      <c r="Q6" s="16" t="s">
        <v>114</v>
      </c>
      <c r="R6" s="28">
        <v>6</v>
      </c>
      <c r="T6" s="1" t="s">
        <v>442</v>
      </c>
    </row>
    <row r="7" spans="1:20" ht="14" thickBot="1" x14ac:dyDescent="0.2">
      <c r="A7" s="11"/>
      <c r="B7" s="105"/>
      <c r="C7" s="108"/>
      <c r="D7" s="109"/>
      <c r="E7" s="108"/>
      <c r="F7" s="109"/>
      <c r="G7" s="111"/>
      <c r="H7" s="111"/>
      <c r="I7" s="36" t="s">
        <v>30</v>
      </c>
      <c r="J7" s="37" t="s">
        <v>33</v>
      </c>
      <c r="K7" s="36" t="s">
        <v>30</v>
      </c>
      <c r="L7" s="37" t="s">
        <v>33</v>
      </c>
      <c r="M7" s="98"/>
      <c r="T7" s="1" t="s">
        <v>443</v>
      </c>
    </row>
    <row r="8" spans="1:20" ht="18" customHeight="1" x14ac:dyDescent="0.15">
      <c r="A8" s="8"/>
      <c r="B8" s="38">
        <v>1</v>
      </c>
      <c r="C8" s="39">
        <f t="array" ref="C8">INDEX('Field holes'!$K$1:$K$2000, MATCH(1,('Field holes'!$A$1:$A$2000=$R$6)*('Field holes'!$D$1:$D$2000=$B8),0))</f>
        <v>319</v>
      </c>
      <c r="D8" s="40" t="s">
        <v>444</v>
      </c>
      <c r="E8" s="39">
        <f t="array" ref="E8">INDEX('Field holes'!$L$1:$L$2000, MATCH(1,('Field holes'!$A$1:$A$2000=$R$6)*('Field holes'!$D$1:$D$2000=$B8),0))</f>
        <v>282</v>
      </c>
      <c r="F8" s="40" t="s">
        <v>444</v>
      </c>
      <c r="G8" s="41">
        <f t="array" ref="G8">INDEX('Field holes'!$G$1:$G$2000, MATCH(1,('Field holes'!$A$1:$A$2000=$R$6)*('Field holes'!$D$1:$D$2000=$B8),0))</f>
        <v>4</v>
      </c>
      <c r="H8" s="41">
        <f t="array" ref="H8">INDEX('Field holes'!$H$1:$H$2000, MATCH(1,('Field holes'!$A$1:$A$2000=$R$6)*('Field holes'!$D$1:$D$2000=$B8),0))</f>
        <v>10</v>
      </c>
      <c r="I8" s="42" cm="1">
        <f t="array" ref="I8">IFERROR(INDEX(Results!$G$1:$G$2000, MATCH(1,(Results!$B$1:$B$2000=$R$3)*(Results!$C$1:$C$2000=$B8),0)),"")</f>
        <v>6</v>
      </c>
      <c r="J8" s="43" t="str">
        <f t="array" ref="J8">IFERROR(INDEX(Results!$F$1:$F$2000, MATCH(1,(Results!$B$1:$B$2000=$R$3)*(Results!$C$1:$C$2000=$B8),0)),"")</f>
        <v/>
      </c>
      <c r="K8" s="44"/>
      <c r="L8" s="45"/>
      <c r="M8" s="46"/>
      <c r="T8" s="1" t="s">
        <v>445</v>
      </c>
    </row>
    <row r="9" spans="1:20" ht="18" customHeight="1" x14ac:dyDescent="0.15">
      <c r="A9" s="8"/>
      <c r="B9" s="47">
        <v>2</v>
      </c>
      <c r="C9" s="39">
        <f t="array" ref="C9">INDEX('Field holes'!$K$1:$K$2000, MATCH(1,('Field holes'!$A$1:$A$2000=$R$6)*('Field holes'!$D$1:$D$2000=$B9),0))</f>
        <v>467</v>
      </c>
      <c r="D9" s="40" t="s">
        <v>444</v>
      </c>
      <c r="E9" s="39">
        <f t="array" ref="E9">INDEX('Field holes'!$L$1:$L$2000, MATCH(1,('Field holes'!$A$1:$A$2000=$R$6)*('Field holes'!$D$1:$D$2000=$B9),0))</f>
        <v>447</v>
      </c>
      <c r="F9" s="40" t="s">
        <v>444</v>
      </c>
      <c r="G9" s="41">
        <f t="array" ref="G9">INDEX('Field holes'!$G$1:$G$2000, MATCH(1,('Field holes'!$A$1:$A$2000=$R$6)*('Field holes'!$D$1:$D$2000=$B9),0))</f>
        <v>5</v>
      </c>
      <c r="H9" s="41">
        <f t="array" ref="H9">INDEX('Field holes'!$H$1:$H$2000, MATCH(1,('Field holes'!$A$1:$A$2000=$R$6)*('Field holes'!$D$1:$D$2000=$B9),0))</f>
        <v>4</v>
      </c>
      <c r="I9" s="42" cm="1">
        <f t="array" ref="I9">IFERROR(INDEX(Results!$G$1:$G$2000, MATCH(1,(Results!$B$1:$B$2000=$R$3)*(Results!$C$1:$C$2000=$B9),0)),"")</f>
        <v>7</v>
      </c>
      <c r="J9" s="43" t="str">
        <f t="array" ref="J9">IFERROR(INDEX(Results!$F$1:$F$2000, MATCH(1,(Results!$B$1:$B$2000=$R$3)*(Results!$C$1:$C$2000=$B9),0)),"")</f>
        <v/>
      </c>
      <c r="K9" s="48"/>
      <c r="L9" s="49"/>
      <c r="M9" s="50"/>
    </row>
    <row r="10" spans="1:20" ht="18" customHeight="1" x14ac:dyDescent="0.15">
      <c r="A10" s="8"/>
      <c r="B10" s="47">
        <v>3</v>
      </c>
      <c r="C10" s="39">
        <f t="array" ref="C10">INDEX('Field holes'!$K$1:$K$2000, MATCH(1,('Field holes'!$A$1:$A$2000=$R$6)*('Field holes'!$D$1:$D$2000=$B10),0))</f>
        <v>151</v>
      </c>
      <c r="D10" s="40" t="s">
        <v>444</v>
      </c>
      <c r="E10" s="39">
        <f t="array" ref="E10">INDEX('Field holes'!$L$1:$L$2000, MATCH(1,('Field holes'!$A$1:$A$2000=$R$6)*('Field holes'!$D$1:$D$2000=$B10),0))</f>
        <v>142</v>
      </c>
      <c r="F10" s="40" t="s">
        <v>444</v>
      </c>
      <c r="G10" s="41">
        <f t="array" ref="G10">INDEX('Field holes'!$G$1:$G$2000, MATCH(1,('Field holes'!$A$1:$A$2000=$R$6)*('Field holes'!$D$1:$D$2000=$B10),0))</f>
        <v>3</v>
      </c>
      <c r="H10" s="41">
        <f t="array" ref="H10">INDEX('Field holes'!$H$1:$H$2000, MATCH(1,('Field holes'!$A$1:$A$2000=$R$6)*('Field holes'!$D$1:$D$2000=$B10),0))</f>
        <v>12</v>
      </c>
      <c r="I10" s="42">
        <f t="array" ref="I10">IFERROR(INDEX(Results!$G$1:$G$2000, MATCH(1,(Results!$B$1:$B$2000=$R$3)*(Results!$C$1:$C$2000=$B10),0)),"")</f>
        <v>5</v>
      </c>
      <c r="J10" s="43" t="str">
        <f t="array" ref="J10">IFERROR(INDEX(Results!$F$1:$F$2000, MATCH(1,(Results!$B$1:$B$2000=$R$3)*(Results!$C$1:$C$2000=$B10),0)),"")</f>
        <v/>
      </c>
      <c r="K10" s="48"/>
      <c r="L10" s="49"/>
      <c r="M10" s="50"/>
    </row>
    <row r="11" spans="1:20" ht="18" customHeight="1" x14ac:dyDescent="0.15">
      <c r="A11" s="8"/>
      <c r="B11" s="47">
        <v>4</v>
      </c>
      <c r="C11" s="39">
        <f t="array" ref="C11">INDEX('Field holes'!$K$1:$K$2000, MATCH(1,('Field holes'!$A$1:$A$2000=$R$6)*('Field holes'!$D$1:$D$2000=$B11),0))</f>
        <v>369</v>
      </c>
      <c r="D11" s="40" t="s">
        <v>444</v>
      </c>
      <c r="E11" s="39">
        <f t="array" ref="E11">INDEX('Field holes'!$L$1:$L$2000, MATCH(1,('Field holes'!$A$1:$A$2000=$R$6)*('Field holes'!$D$1:$D$2000=$B11),0))</f>
        <v>355</v>
      </c>
      <c r="F11" s="40" t="s">
        <v>444</v>
      </c>
      <c r="G11" s="41">
        <f t="array" ref="G11">INDEX('Field holes'!$G$1:$G$2000, MATCH(1,('Field holes'!$A$1:$A$2000=$R$6)*('Field holes'!$D$1:$D$2000=$B11),0))</f>
        <v>4</v>
      </c>
      <c r="H11" s="41">
        <f t="array" ref="H11">INDEX('Field holes'!$H$1:$H$2000, MATCH(1,('Field holes'!$A$1:$A$2000=$R$6)*('Field holes'!$D$1:$D$2000=$B11),0))</f>
        <v>2</v>
      </c>
      <c r="I11" s="42">
        <f t="array" ref="I11">IFERROR(INDEX(Results!$G$1:$G$2000, MATCH(1,(Results!$B$1:$B$2000=$R$3)*(Results!$C$1:$C$2000=$B11),0)),"")</f>
        <v>6</v>
      </c>
      <c r="J11" s="43" t="str">
        <f t="array" ref="J11">IFERROR(INDEX(Results!$F$1:$F$2000, MATCH(1,(Results!$B$1:$B$2000=$R$3)*(Results!$C$1:$C$2000=$B11),0)),"")</f>
        <v/>
      </c>
      <c r="K11" s="48"/>
      <c r="L11" s="49"/>
      <c r="M11" s="50"/>
    </row>
    <row r="12" spans="1:20" ht="18" customHeight="1" x14ac:dyDescent="0.15">
      <c r="A12" s="8"/>
      <c r="B12" s="47">
        <v>5</v>
      </c>
      <c r="C12" s="39">
        <f t="array" ref="C12">INDEX('Field holes'!$K$1:$K$2000, MATCH(1,('Field holes'!$A$1:$A$2000=$R$6)*('Field holes'!$D$1:$D$2000=$B12),0))</f>
        <v>328</v>
      </c>
      <c r="D12" s="40" t="s">
        <v>444</v>
      </c>
      <c r="E12" s="39">
        <f t="array" ref="E12">INDEX('Field holes'!$L$1:$L$2000, MATCH(1,('Field holes'!$A$1:$A$2000=$R$6)*('Field holes'!$D$1:$D$2000=$B12),0))</f>
        <v>316</v>
      </c>
      <c r="F12" s="40" t="s">
        <v>444</v>
      </c>
      <c r="G12" s="41">
        <f t="array" ref="G12">INDEX('Field holes'!$G$1:$G$2000, MATCH(1,('Field holes'!$A$1:$A$2000=$R$6)*('Field holes'!$D$1:$D$2000=$B12),0))</f>
        <v>4</v>
      </c>
      <c r="H12" s="41">
        <f t="array" ref="H12">INDEX('Field holes'!$H$1:$H$2000, MATCH(1,('Field holes'!$A$1:$A$2000=$R$6)*('Field holes'!$D$1:$D$2000=$B12),0))</f>
        <v>14</v>
      </c>
      <c r="I12" s="42">
        <f t="array" ref="I12">IFERROR(INDEX(Results!$G$1:$G$2000, MATCH(1,(Results!$B$1:$B$2000=$R$3)*(Results!$C$1:$C$2000=$B12),0)),"")</f>
        <v>6</v>
      </c>
      <c r="J12" s="43" t="str">
        <f t="array" ref="J12">IFERROR(INDEX(Results!$F$1:$F$2000, MATCH(1,(Results!$B$1:$B$2000=$R$3)*(Results!$C$1:$C$2000=$B12),0)),"")</f>
        <v/>
      </c>
      <c r="K12" s="48"/>
      <c r="L12" s="49"/>
      <c r="M12" s="50"/>
    </row>
    <row r="13" spans="1:20" ht="18" customHeight="1" x14ac:dyDescent="0.15">
      <c r="A13" s="8"/>
      <c r="B13" s="47">
        <v>6</v>
      </c>
      <c r="C13" s="39">
        <f t="array" ref="C13">INDEX('Field holes'!$K$1:$K$2000, MATCH(1,('Field holes'!$A$1:$A$2000=$R$6)*('Field holes'!$D$1:$D$2000=$B13),0))</f>
        <v>525</v>
      </c>
      <c r="D13" s="40" t="s">
        <v>444</v>
      </c>
      <c r="E13" s="39">
        <f t="array" ref="E13">INDEX('Field holes'!$L$1:$L$2000, MATCH(1,('Field holes'!$A$1:$A$2000=$R$6)*('Field holes'!$D$1:$D$2000=$B13),0))</f>
        <v>464</v>
      </c>
      <c r="F13" s="40" t="s">
        <v>444</v>
      </c>
      <c r="G13" s="41">
        <f t="array" ref="G13">INDEX('Field holes'!$G$1:$G$2000, MATCH(1,('Field holes'!$A$1:$A$2000=$R$6)*('Field holes'!$D$1:$D$2000=$B13),0))</f>
        <v>5</v>
      </c>
      <c r="H13" s="41">
        <f t="array" ref="H13">INDEX('Field holes'!$H$1:$H$2000, MATCH(1,('Field holes'!$A$1:$A$2000=$R$6)*('Field holes'!$D$1:$D$2000=$B13),0))</f>
        <v>8</v>
      </c>
      <c r="I13" s="42">
        <f t="array" ref="I13">IFERROR(INDEX(Results!$G$1:$G$2000, MATCH(1,(Results!$B$1:$B$2000=$R$3)*(Results!$C$1:$C$2000=$B13),0)),"")</f>
        <v>7</v>
      </c>
      <c r="J13" s="43" t="str">
        <f t="array" ref="J13">IFERROR(INDEX(Results!$F$1:$F$2000, MATCH(1,(Results!$B$1:$B$2000=$R$3)*(Results!$C$1:$C$2000=$B13),0)),"")</f>
        <v/>
      </c>
      <c r="K13" s="48"/>
      <c r="L13" s="49"/>
      <c r="M13" s="50"/>
    </row>
    <row r="14" spans="1:20" ht="18" customHeight="1" x14ac:dyDescent="0.15">
      <c r="A14" s="8"/>
      <c r="B14" s="47">
        <v>7</v>
      </c>
      <c r="C14" s="39">
        <f t="array" ref="C14">INDEX('Field holes'!$K$1:$K$2000, MATCH(1,('Field holes'!$A$1:$A$2000=$R$6)*('Field holes'!$D$1:$D$2000=$B14),0))</f>
        <v>282</v>
      </c>
      <c r="D14" s="40" t="s">
        <v>444</v>
      </c>
      <c r="E14" s="39">
        <f t="array" ref="E14">INDEX('Field holes'!$L$1:$L$2000, MATCH(1,('Field holes'!$A$1:$A$2000=$R$6)*('Field holes'!$D$1:$D$2000=$B14),0))</f>
        <v>277</v>
      </c>
      <c r="F14" s="40" t="s">
        <v>444</v>
      </c>
      <c r="G14" s="41">
        <f t="array" ref="G14">INDEX('Field holes'!$G$1:$G$2000, MATCH(1,('Field holes'!$A$1:$A$2000=$R$6)*('Field holes'!$D$1:$D$2000=$B14),0))</f>
        <v>4</v>
      </c>
      <c r="H14" s="41">
        <f t="array" ref="H14">INDEX('Field holes'!$H$1:$H$2000, MATCH(1,('Field holes'!$A$1:$A$2000=$R$6)*('Field holes'!$D$1:$D$2000=$B14),0))</f>
        <v>16</v>
      </c>
      <c r="I14" s="42">
        <f t="array" ref="I14">IFERROR(INDEX(Results!$G$1:$G$2000, MATCH(1,(Results!$B$1:$B$2000=$R$3)*(Results!$C$1:$C$2000=$B14),0)),"")</f>
        <v>6</v>
      </c>
      <c r="J14" s="43" t="str">
        <f t="array" ref="J14">IFERROR(INDEX(Results!$F$1:$F$2000, MATCH(1,(Results!$B$1:$B$2000=$R$3)*(Results!$C$1:$C$2000=$B14),0)),"")</f>
        <v/>
      </c>
      <c r="K14" s="48"/>
      <c r="L14" s="49"/>
      <c r="M14" s="50"/>
    </row>
    <row r="15" spans="1:20" ht="18" customHeight="1" x14ac:dyDescent="0.15">
      <c r="A15" s="8"/>
      <c r="B15" s="47">
        <v>8</v>
      </c>
      <c r="C15" s="39">
        <f t="array" ref="C15">INDEX('Field holes'!$K$1:$K$2000, MATCH(1,('Field holes'!$A$1:$A$2000=$R$6)*('Field holes'!$D$1:$D$2000=$B15),0))</f>
        <v>380</v>
      </c>
      <c r="D15" s="40" t="s">
        <v>444</v>
      </c>
      <c r="E15" s="39">
        <f t="array" ref="E15">INDEX('Field holes'!$L$1:$L$2000, MATCH(1,('Field holes'!$A$1:$A$2000=$R$6)*('Field holes'!$D$1:$D$2000=$B15),0))</f>
        <v>369</v>
      </c>
      <c r="F15" s="40" t="s">
        <v>444</v>
      </c>
      <c r="G15" s="41">
        <f t="array" ref="G15">INDEX('Field holes'!$G$1:$G$2000, MATCH(1,('Field holes'!$A$1:$A$2000=$R$6)*('Field holes'!$D$1:$D$2000=$B15),0))</f>
        <v>4</v>
      </c>
      <c r="H15" s="41">
        <f t="array" ref="H15">INDEX('Field holes'!$H$1:$H$2000, MATCH(1,('Field holes'!$A$1:$A$2000=$R$6)*('Field holes'!$D$1:$D$2000=$B15),0))</f>
        <v>6</v>
      </c>
      <c r="I15" s="42">
        <f t="array" ref="I15">IFERROR(INDEX(Results!$G$1:$G$2000, MATCH(1,(Results!$B$1:$B$2000=$R$3)*(Results!$C$1:$C$2000=$B15),0)),"")</f>
        <v>6</v>
      </c>
      <c r="J15" s="43" t="str">
        <f t="array" ref="J15">IFERROR(INDEX(Results!$F$1:$F$2000, MATCH(1,(Results!$B$1:$B$2000=$R$3)*(Results!$C$1:$C$2000=$B15),0)),"")</f>
        <v/>
      </c>
      <c r="K15" s="48"/>
      <c r="L15" s="49"/>
      <c r="M15" s="50"/>
    </row>
    <row r="16" spans="1:20" ht="18" customHeight="1" thickBot="1" x14ac:dyDescent="0.2">
      <c r="A16" s="8"/>
      <c r="B16" s="51">
        <v>9</v>
      </c>
      <c r="C16" s="52">
        <f t="array" ref="C16">INDEX('Field holes'!$K$1:$K$2000, MATCH(1,('Field holes'!$A$1:$A$2000=$R$6)*('Field holes'!$D$1:$D$2000=$B16),0))</f>
        <v>155</v>
      </c>
      <c r="D16" s="53" t="s">
        <v>444</v>
      </c>
      <c r="E16" s="52">
        <f t="array" ref="E16">INDEX('Field holes'!$L$1:$L$2000, MATCH(1,('Field holes'!$A$1:$A$2000=$R$6)*('Field holes'!$D$1:$D$2000=$B16),0))</f>
        <v>141</v>
      </c>
      <c r="F16" s="53" t="s">
        <v>444</v>
      </c>
      <c r="G16" s="54">
        <f t="array" ref="G16">INDEX('Field holes'!$G$1:$G$2000, MATCH(1,('Field holes'!$A$1:$A$2000=$R$6)*('Field holes'!$D$1:$D$2000=$B16),0))</f>
        <v>3</v>
      </c>
      <c r="H16" s="54">
        <f t="array" ref="H16">INDEX('Field holes'!$H$1:$H$2000, MATCH(1,('Field holes'!$A$1:$A$2000=$R$6)*('Field holes'!$D$1:$D$2000=$B16),0))</f>
        <v>18</v>
      </c>
      <c r="I16" s="55">
        <f t="array" ref="I16">IFERROR(INDEX(Results!$G$1:$G$2000, MATCH(1,(Results!$B$1:$B$2000=$R$3)*(Results!$C$1:$C$2000=$B16),0)),"")</f>
        <v>4</v>
      </c>
      <c r="J16" s="56" t="str">
        <f t="array" ref="J16">IFERROR(INDEX(Results!$F$1:$F$2000, MATCH(1,(Results!$B$1:$B$2000=$R$3)*(Results!$C$1:$C$2000=$B16),0)),"")</f>
        <v/>
      </c>
      <c r="K16" s="57"/>
      <c r="L16" s="58"/>
      <c r="M16" s="59"/>
    </row>
    <row r="17" spans="1:13" ht="18" customHeight="1" thickBot="1" x14ac:dyDescent="0.2">
      <c r="A17" s="8"/>
      <c r="B17" s="60" t="s">
        <v>446</v>
      </c>
      <c r="C17" s="61">
        <f>SUM(C8:C16)</f>
        <v>2976</v>
      </c>
      <c r="D17" s="62" t="s">
        <v>444</v>
      </c>
      <c r="E17" s="61">
        <f>SUM(E8:E16)</f>
        <v>2793</v>
      </c>
      <c r="F17" s="62" t="s">
        <v>444</v>
      </c>
      <c r="G17" s="63">
        <f t="shared" ref="G17:H17" si="0">SUM(G8:G16)</f>
        <v>36</v>
      </c>
      <c r="H17" s="63">
        <f t="shared" si="0"/>
        <v>90</v>
      </c>
      <c r="I17" s="34">
        <f t="shared" ref="I17:J17" si="1">IF(SUM(I8:I16)=0,"",SUM(I8:I16))</f>
        <v>53</v>
      </c>
      <c r="J17" s="64" t="str">
        <f t="shared" si="1"/>
        <v/>
      </c>
      <c r="K17" s="65"/>
      <c r="L17" s="66"/>
      <c r="M17" s="67"/>
    </row>
    <row r="18" spans="1:13" ht="26.25" customHeight="1" thickBot="1" x14ac:dyDescent="0.2">
      <c r="A18" s="8"/>
      <c r="B18" s="23"/>
      <c r="C18" s="68"/>
      <c r="D18" s="68"/>
      <c r="E18" s="68"/>
      <c r="F18" s="68"/>
      <c r="G18" s="23"/>
      <c r="H18" s="68"/>
      <c r="I18" s="68"/>
      <c r="J18" s="68"/>
      <c r="K18" s="69"/>
      <c r="L18" s="69"/>
      <c r="M18" s="69"/>
    </row>
    <row r="19" spans="1:13" ht="18" customHeight="1" x14ac:dyDescent="0.15">
      <c r="A19" s="8"/>
      <c r="B19" s="70">
        <v>10</v>
      </c>
      <c r="C19" s="71">
        <f t="array" ref="C19">INDEX('Field holes'!$K$1:$K$2000, MATCH(1,('Field holes'!$A$1:$A$2000=$R$6)*('Field holes'!$D$1:$D$2000=$B19),0))</f>
        <v>473</v>
      </c>
      <c r="D19" s="72" t="s">
        <v>444</v>
      </c>
      <c r="E19" s="71">
        <f t="array" ref="E19">INDEX('Field holes'!$L$1:$L$2000, MATCH(1,('Field holes'!$A$1:$A$2000=$R$6)*('Field holes'!$D$1:$D$2000=$B19),0))</f>
        <v>461</v>
      </c>
      <c r="F19" s="72" t="s">
        <v>444</v>
      </c>
      <c r="G19" s="73">
        <f t="array" ref="G19">INDEX('Field holes'!$G$1:$G$2000, MATCH(1,('Field holes'!$A$1:$A$2000=$R$6)*('Field holes'!$D$1:$D$2000=$B19),0))</f>
        <v>5</v>
      </c>
      <c r="H19" s="73">
        <f t="array" ref="H19">INDEX('Field holes'!$H$1:$H$2000, MATCH(1,('Field holes'!$A$1:$A$2000=$R$6)*('Field holes'!$D$1:$D$2000=$B19),0))</f>
        <v>11</v>
      </c>
      <c r="I19" s="74">
        <f t="array" ref="I19">IFERROR(INDEX(Results!$G$1:$G$2000, MATCH(1,(Results!$B$1:$B$2000=$R$3)*(Results!$C$1:$C$2000=$B19),0)),"")</f>
        <v>7</v>
      </c>
      <c r="J19" s="75" t="str">
        <f t="array" ref="J19">IFERROR(INDEX(Results!$F$1:$F$2000, MATCH(1,(Results!$B$1:$B$2000=$R$3)*(Results!$C$1:$C$2000=$B19),0)),"")</f>
        <v/>
      </c>
      <c r="K19" s="76"/>
      <c r="L19" s="77"/>
      <c r="M19" s="78"/>
    </row>
    <row r="20" spans="1:13" ht="18" customHeight="1" x14ac:dyDescent="0.15">
      <c r="A20" s="8"/>
      <c r="B20" s="47">
        <v>11</v>
      </c>
      <c r="C20" s="39">
        <f t="array" ref="C20">INDEX('Field holes'!$K$1:$K$2000, MATCH(1,('Field holes'!$A$1:$A$2000=$R$6)*('Field holes'!$D$1:$D$2000=$B20),0))</f>
        <v>193</v>
      </c>
      <c r="D20" s="40" t="s">
        <v>444</v>
      </c>
      <c r="E20" s="39">
        <f t="array" ref="E20">INDEX('Field holes'!$L$1:$L$2000, MATCH(1,('Field holes'!$A$1:$A$2000=$R$6)*('Field holes'!$D$1:$D$2000=$B20),0))</f>
        <v>175</v>
      </c>
      <c r="F20" s="40" t="s">
        <v>444</v>
      </c>
      <c r="G20" s="41">
        <f t="array" ref="G20">INDEX('Field holes'!$G$1:$G$2000, MATCH(1,('Field holes'!$A$1:$A$2000=$R$6)*('Field holes'!$D$1:$D$2000=$B20),0))</f>
        <v>3</v>
      </c>
      <c r="H20" s="79">
        <f t="array" ref="H20">INDEX('Field holes'!$H$1:$H$2000, MATCH(1,('Field holes'!$A$1:$A$2000=$R$6)*('Field holes'!$D$1:$D$2000=$B20),0))</f>
        <v>7</v>
      </c>
      <c r="I20" s="42">
        <f t="array" ref="I20">IFERROR(INDEX(Results!$G$1:$G$2000, MATCH(1,(Results!$B$1:$B$2000=$R$3)*(Results!$C$1:$C$2000=$B20),0)),"")</f>
        <v>5</v>
      </c>
      <c r="J20" s="80" t="str">
        <f t="array" ref="J20">IFERROR(INDEX(Results!$F$1:$F$2000, MATCH(1,(Results!$B$1:$B$2000=$R$3)*(Results!$C$1:$C$2000=$B20),0)),"")</f>
        <v/>
      </c>
      <c r="K20" s="48"/>
      <c r="L20" s="49"/>
      <c r="M20" s="50"/>
    </row>
    <row r="21" spans="1:13" ht="18" customHeight="1" x14ac:dyDescent="0.15">
      <c r="A21" s="8"/>
      <c r="B21" s="47">
        <v>12</v>
      </c>
      <c r="C21" s="39">
        <f t="array" ref="C21">INDEX('Field holes'!$K$1:$K$2000, MATCH(1,('Field holes'!$A$1:$A$2000=$R$6)*('Field holes'!$D$1:$D$2000=$B21),0))</f>
        <v>372</v>
      </c>
      <c r="D21" s="40" t="s">
        <v>444</v>
      </c>
      <c r="E21" s="39">
        <f t="array" ref="E21">INDEX('Field holes'!$L$1:$L$2000, MATCH(1,('Field holes'!$A$1:$A$2000=$R$6)*('Field holes'!$D$1:$D$2000=$B21),0))</f>
        <v>333</v>
      </c>
      <c r="F21" s="40" t="s">
        <v>444</v>
      </c>
      <c r="G21" s="41">
        <f t="array" ref="G21">INDEX('Field holes'!$G$1:$G$2000, MATCH(1,('Field holes'!$A$1:$A$2000=$R$6)*('Field holes'!$D$1:$D$2000=$B21),0))</f>
        <v>4</v>
      </c>
      <c r="H21" s="79">
        <f t="array" ref="H21">INDEX('Field holes'!$H$1:$H$2000, MATCH(1,('Field holes'!$A$1:$A$2000=$R$6)*('Field holes'!$D$1:$D$2000=$B21),0))</f>
        <v>17</v>
      </c>
      <c r="I21" s="42">
        <f t="array" ref="I21">IFERROR(INDEX(Results!$G$1:$G$2000, MATCH(1,(Results!$B$1:$B$2000=$R$3)*(Results!$C$1:$C$2000=$B21),0)),"")</f>
        <v>6</v>
      </c>
      <c r="J21" s="80" t="str">
        <f t="array" ref="J21">IFERROR(INDEX(Results!$F$1:$F$2000, MATCH(1,(Results!$B$1:$B$2000=$R$3)*(Results!$C$1:$C$2000=$B21),0)),"")</f>
        <v/>
      </c>
      <c r="K21" s="48"/>
      <c r="L21" s="49"/>
      <c r="M21" s="50"/>
    </row>
    <row r="22" spans="1:13" ht="18" customHeight="1" x14ac:dyDescent="0.15">
      <c r="A22" s="8"/>
      <c r="B22" s="47">
        <v>13</v>
      </c>
      <c r="C22" s="39">
        <f t="array" ref="C22">INDEX('Field holes'!$K$1:$K$2000, MATCH(1,('Field holes'!$A$1:$A$2000=$R$6)*('Field holes'!$D$1:$D$2000=$B22),0))</f>
        <v>371</v>
      </c>
      <c r="D22" s="40" t="s">
        <v>444</v>
      </c>
      <c r="E22" s="39">
        <f t="array" ref="E22">INDEX('Field holes'!$L$1:$L$2000, MATCH(1,('Field holes'!$A$1:$A$2000=$R$6)*('Field holes'!$D$1:$D$2000=$B22),0))</f>
        <v>343</v>
      </c>
      <c r="F22" s="40" t="s">
        <v>444</v>
      </c>
      <c r="G22" s="41">
        <f t="array" ref="G22">INDEX('Field holes'!$G$1:$G$2000, MATCH(1,('Field holes'!$A$1:$A$2000=$R$6)*('Field holes'!$D$1:$D$2000=$B22),0))</f>
        <v>4</v>
      </c>
      <c r="H22" s="79">
        <f t="array" ref="H22">INDEX('Field holes'!$H$1:$H$2000, MATCH(1,('Field holes'!$A$1:$A$2000=$R$6)*('Field holes'!$D$1:$D$2000=$B22),0))</f>
        <v>9</v>
      </c>
      <c r="I22" s="42">
        <f t="array" ref="I22">IFERROR(INDEX(Results!$G$1:$G$2000, MATCH(1,(Results!$B$1:$B$2000=$R$3)*(Results!$C$1:$C$2000=$B22),0)),"")</f>
        <v>6</v>
      </c>
      <c r="J22" s="80" t="str">
        <f t="array" ref="J22">IFERROR(INDEX(Results!$F$1:$F$2000, MATCH(1,(Results!$B$1:$B$2000=$R$3)*(Results!$C$1:$C$2000=$B22),0)),"")</f>
        <v/>
      </c>
      <c r="K22" s="48"/>
      <c r="L22" s="49"/>
      <c r="M22" s="50"/>
    </row>
    <row r="23" spans="1:13" ht="18" customHeight="1" x14ac:dyDescent="0.15">
      <c r="A23" s="8"/>
      <c r="B23" s="47">
        <v>14</v>
      </c>
      <c r="C23" s="39">
        <f t="array" ref="C23">INDEX('Field holes'!$K$1:$K$2000, MATCH(1,('Field holes'!$A$1:$A$2000=$R$6)*('Field holes'!$D$1:$D$2000=$B23),0))</f>
        <v>182</v>
      </c>
      <c r="D23" s="40" t="s">
        <v>444</v>
      </c>
      <c r="E23" s="39">
        <f t="array" ref="E23">INDEX('Field holes'!$L$1:$L$2000, MATCH(1,('Field holes'!$A$1:$A$2000=$R$6)*('Field holes'!$D$1:$D$2000=$B23),0))</f>
        <v>168</v>
      </c>
      <c r="F23" s="40" t="s">
        <v>444</v>
      </c>
      <c r="G23" s="41">
        <f t="array" ref="G23">INDEX('Field holes'!$G$1:$G$2000, MATCH(1,('Field holes'!$A$1:$A$2000=$R$6)*('Field holes'!$D$1:$D$2000=$B23),0))</f>
        <v>3</v>
      </c>
      <c r="H23" s="79">
        <f t="array" ref="H23">INDEX('Field holes'!$H$1:$H$2000, MATCH(1,('Field holes'!$A$1:$A$2000=$R$6)*('Field holes'!$D$1:$D$2000=$B23),0))</f>
        <v>5</v>
      </c>
      <c r="I23" s="42">
        <f t="array" ref="I23">IFERROR(INDEX(Results!$G$1:$G$2000, MATCH(1,(Results!$B$1:$B$2000=$R$3)*(Results!$C$1:$C$2000=$B23),0)),"")</f>
        <v>5</v>
      </c>
      <c r="J23" s="80" t="str">
        <f t="array" ref="J23">IFERROR(INDEX(Results!$F$1:$F$2000, MATCH(1,(Results!$B$1:$B$2000=$R$3)*(Results!$C$1:$C$2000=$B23),0)),"")</f>
        <v/>
      </c>
      <c r="K23" s="48"/>
      <c r="L23" s="49"/>
      <c r="M23" s="50"/>
    </row>
    <row r="24" spans="1:13" ht="18" customHeight="1" x14ac:dyDescent="0.15">
      <c r="A24" s="8"/>
      <c r="B24" s="47">
        <v>15</v>
      </c>
      <c r="C24" s="39">
        <f t="array" ref="C24">INDEX('Field holes'!$K$1:$K$2000, MATCH(1,('Field holes'!$A$1:$A$2000=$R$6)*('Field holes'!$D$1:$D$2000=$B24),0))</f>
        <v>489</v>
      </c>
      <c r="D24" s="40" t="s">
        <v>444</v>
      </c>
      <c r="E24" s="39">
        <f t="array" ref="E24">INDEX('Field holes'!$L$1:$L$2000, MATCH(1,('Field holes'!$A$1:$A$2000=$R$6)*('Field holes'!$D$1:$D$2000=$B24),0))</f>
        <v>435</v>
      </c>
      <c r="F24" s="40" t="s">
        <v>444</v>
      </c>
      <c r="G24" s="41">
        <f t="array" ref="G24">INDEX('Field holes'!$G$1:$G$2000, MATCH(1,('Field holes'!$A$1:$A$2000=$R$6)*('Field holes'!$D$1:$D$2000=$B24),0))</f>
        <v>5</v>
      </c>
      <c r="H24" s="79">
        <f t="array" ref="H24">INDEX('Field holes'!$H$1:$H$2000, MATCH(1,('Field holes'!$A$1:$A$2000=$R$6)*('Field holes'!$D$1:$D$2000=$B24),0))</f>
        <v>1</v>
      </c>
      <c r="I24" s="42">
        <f t="array" ref="I24">IFERROR(INDEX(Results!$G$1:$G$2000, MATCH(1,(Results!$B$1:$B$2000=$R$3)*(Results!$C$1:$C$2000=$B24),0)),"")</f>
        <v>7</v>
      </c>
      <c r="J24" s="80" t="str">
        <f t="array" ref="J24">IFERROR(INDEX(Results!$F$1:$F$2000, MATCH(1,(Results!$B$1:$B$2000=$R$3)*(Results!$C$1:$C$2000=$B24),0)),"")</f>
        <v/>
      </c>
      <c r="K24" s="48"/>
      <c r="L24" s="49"/>
      <c r="M24" s="50"/>
    </row>
    <row r="25" spans="1:13" ht="18" customHeight="1" x14ac:dyDescent="0.15">
      <c r="A25" s="8"/>
      <c r="B25" s="47">
        <v>16</v>
      </c>
      <c r="C25" s="39">
        <f t="array" ref="C25">INDEX('Field holes'!$K$1:$K$2000, MATCH(1,('Field holes'!$A$1:$A$2000=$R$6)*('Field holes'!$D$1:$D$2000=$B25),0))</f>
        <v>201</v>
      </c>
      <c r="D25" s="40" t="s">
        <v>444</v>
      </c>
      <c r="E25" s="39">
        <f t="array" ref="E25">INDEX('Field holes'!$L$1:$L$2000, MATCH(1,('Field holes'!$A$1:$A$2000=$R$6)*('Field holes'!$D$1:$D$2000=$B25),0))</f>
        <v>180</v>
      </c>
      <c r="F25" s="40" t="s">
        <v>444</v>
      </c>
      <c r="G25" s="41">
        <f t="array" ref="G25">INDEX('Field holes'!$G$1:$G$2000, MATCH(1,('Field holes'!$A$1:$A$2000=$R$6)*('Field holes'!$D$1:$D$2000=$B25),0))</f>
        <v>3</v>
      </c>
      <c r="H25" s="79">
        <f t="array" ref="H25">INDEX('Field holes'!$H$1:$H$2000, MATCH(1,('Field holes'!$A$1:$A$2000=$R$6)*('Field holes'!$D$1:$D$2000=$B25),0))</f>
        <v>13</v>
      </c>
      <c r="I25" s="42">
        <f t="array" ref="I25">IFERROR(INDEX(Results!$G$1:$G$2000, MATCH(1,(Results!$B$1:$B$2000=$R$3)*(Results!$C$1:$C$2000=$B25),0)),"")</f>
        <v>5</v>
      </c>
      <c r="J25" s="80" t="str">
        <f t="array" ref="J25">IFERROR(INDEX(Results!$F$1:$F$2000, MATCH(1,(Results!$B$1:$B$2000=$R$3)*(Results!$C$1:$C$2000=$B25),0)),"")</f>
        <v/>
      </c>
      <c r="K25" s="48"/>
      <c r="L25" s="49"/>
      <c r="M25" s="50"/>
    </row>
    <row r="26" spans="1:13" ht="18" customHeight="1" x14ac:dyDescent="0.15">
      <c r="A26" s="8"/>
      <c r="B26" s="47">
        <v>17</v>
      </c>
      <c r="C26" s="39">
        <f t="array" ref="C26">INDEX('Field holes'!$K$1:$K$2000, MATCH(1,('Field holes'!$A$1:$A$2000=$R$6)*('Field holes'!$D$1:$D$2000=$B26),0))</f>
        <v>447</v>
      </c>
      <c r="D26" s="40" t="s">
        <v>444</v>
      </c>
      <c r="E26" s="39">
        <f t="array" ref="E26">INDEX('Field holes'!$L$1:$L$2000, MATCH(1,('Field holes'!$A$1:$A$2000=$R$6)*('Field holes'!$D$1:$D$2000=$B26),0))</f>
        <v>443</v>
      </c>
      <c r="F26" s="40" t="s">
        <v>444</v>
      </c>
      <c r="G26" s="41">
        <f t="array" ref="G26">INDEX('Field holes'!$G$1:$G$2000, MATCH(1,('Field holes'!$A$1:$A$2000=$R$6)*('Field holes'!$D$1:$D$2000=$B26),0))</f>
        <v>5</v>
      </c>
      <c r="H26" s="79">
        <f t="array" ref="H26">INDEX('Field holes'!$H$1:$H$2000, MATCH(1,('Field holes'!$A$1:$A$2000=$R$6)*('Field holes'!$D$1:$D$2000=$B26),0))</f>
        <v>15</v>
      </c>
      <c r="I26" s="42">
        <f t="array" ref="I26">IFERROR(INDEX(Results!$G$1:$G$2000, MATCH(1,(Results!$B$1:$B$2000=$R$3)*(Results!$C$1:$C$2000=$B26),0)),"")</f>
        <v>7</v>
      </c>
      <c r="J26" s="80" t="str">
        <f t="array" ref="J26">IFERROR(INDEX(Results!$F$1:$F$2000, MATCH(1,(Results!$B$1:$B$2000=$R$3)*(Results!$C$1:$C$2000=$B26),0)),"")</f>
        <v/>
      </c>
      <c r="K26" s="48"/>
      <c r="L26" s="49"/>
      <c r="M26" s="50"/>
    </row>
    <row r="27" spans="1:13" ht="18" customHeight="1" x14ac:dyDescent="0.15">
      <c r="A27" s="8"/>
      <c r="B27" s="47">
        <v>18</v>
      </c>
      <c r="C27" s="39">
        <f t="array" ref="C27">INDEX('Field holes'!$K$1:$K$2000, MATCH(1,('Field holes'!$A$1:$A$2000=$R$6)*('Field holes'!$D$1:$D$2000=$B27),0))</f>
        <v>428</v>
      </c>
      <c r="D27" s="40" t="s">
        <v>444</v>
      </c>
      <c r="E27" s="39">
        <f t="array" ref="E27">INDEX('Field holes'!$L$1:$L$2000, MATCH(1,('Field holes'!$A$1:$A$2000=$R$6)*('Field holes'!$D$1:$D$2000=$B27),0))</f>
        <v>413</v>
      </c>
      <c r="F27" s="40" t="s">
        <v>444</v>
      </c>
      <c r="G27" s="41">
        <f t="array" ref="G27">INDEX('Field holes'!$G$1:$G$2000, MATCH(1,('Field holes'!$A$1:$A$2000=$R$6)*('Field holes'!$D$1:$D$2000=$B27),0))</f>
        <v>4</v>
      </c>
      <c r="H27" s="79">
        <f t="array" ref="H27">INDEX('Field holes'!$H$1:$H$2000, MATCH(1,('Field holes'!$A$1:$A$2000=$R$6)*('Field holes'!$D$1:$D$2000=$B27),0))</f>
        <v>3</v>
      </c>
      <c r="I27" s="42">
        <f t="array" ref="I27">IFERROR(INDEX(Results!$G$1:$G$2000, MATCH(1,(Results!$B$1:$B$2000=$R$3)*(Results!$C$1:$C$2000=$B27),0)),"")</f>
        <v>6</v>
      </c>
      <c r="J27" s="80" t="str">
        <f t="array" ref="J27">IFERROR(INDEX(Results!$F$1:$F$2000, MATCH(1,(Results!$B$1:$B$2000=$R$3)*(Results!$C$1:$C$2000=$B27),0)),"")</f>
        <v/>
      </c>
      <c r="K27" s="48"/>
      <c r="L27" s="49"/>
      <c r="M27" s="50"/>
    </row>
    <row r="28" spans="1:13" ht="18" customHeight="1" thickBot="1" x14ac:dyDescent="0.2">
      <c r="A28" s="8"/>
      <c r="B28" s="51" t="s">
        <v>447</v>
      </c>
      <c r="C28" s="52">
        <f>SUM(C19:C27)</f>
        <v>3156</v>
      </c>
      <c r="D28" s="53" t="s">
        <v>444</v>
      </c>
      <c r="E28" s="52">
        <f>SUM(E19:E27)</f>
        <v>2951</v>
      </c>
      <c r="F28" s="53" t="s">
        <v>444</v>
      </c>
      <c r="G28" s="81">
        <f t="shared" ref="G28:H28" si="2">SUM(G19:G27)</f>
        <v>36</v>
      </c>
      <c r="H28" s="81">
        <f t="shared" si="2"/>
        <v>81</v>
      </c>
      <c r="I28" s="55">
        <f t="shared" ref="I28:J28" si="3">IF(SUM(I19:I27)=0,"",SUM(I19:I27))</f>
        <v>54</v>
      </c>
      <c r="J28" s="82" t="str">
        <f t="shared" si="3"/>
        <v/>
      </c>
      <c r="K28" s="57"/>
      <c r="L28" s="58"/>
      <c r="M28" s="59"/>
    </row>
    <row r="29" spans="1:13" ht="18" customHeight="1" thickBot="1" x14ac:dyDescent="0.2">
      <c r="A29" s="8"/>
      <c r="B29" s="60" t="s">
        <v>448</v>
      </c>
      <c r="C29" s="61">
        <f>C17+C28</f>
        <v>6132</v>
      </c>
      <c r="D29" s="62" t="s">
        <v>444</v>
      </c>
      <c r="E29" s="61">
        <f>E17+E28</f>
        <v>5744</v>
      </c>
      <c r="F29" s="62" t="s">
        <v>444</v>
      </c>
      <c r="G29" s="83">
        <f t="shared" ref="G29:H29" si="4">G17+G28</f>
        <v>72</v>
      </c>
      <c r="H29" s="63">
        <f t="shared" si="4"/>
        <v>171</v>
      </c>
      <c r="I29" s="34">
        <f>IF(I17="","",I17+I28)</f>
        <v>107</v>
      </c>
      <c r="J29" s="64" t="str">
        <f>IF(J17="","",J17+J28)</f>
        <v/>
      </c>
      <c r="K29" s="84"/>
      <c r="L29" s="85"/>
      <c r="M29" s="67"/>
    </row>
    <row r="30" spans="1:13" ht="14" thickBot="1" x14ac:dyDescent="0.2">
      <c r="B30" s="69"/>
      <c r="C30" s="69"/>
      <c r="D30" s="69"/>
      <c r="E30" s="69"/>
      <c r="F30" s="69"/>
      <c r="G30" s="86"/>
      <c r="H30" s="87"/>
      <c r="I30" s="69"/>
      <c r="J30" s="69"/>
      <c r="K30" s="69"/>
      <c r="L30" s="69"/>
      <c r="M30" s="69"/>
    </row>
    <row r="31" spans="1:13" ht="18.75" customHeight="1" x14ac:dyDescent="0.15">
      <c r="B31" s="88" t="s">
        <v>449</v>
      </c>
      <c r="C31" s="89"/>
      <c r="D31" s="89"/>
      <c r="E31" s="89"/>
      <c r="F31" s="89"/>
      <c r="G31" s="89"/>
      <c r="H31" s="89" t="s">
        <v>450</v>
      </c>
      <c r="I31" s="89"/>
      <c r="J31" s="89"/>
      <c r="K31" s="89"/>
      <c r="L31" s="89"/>
      <c r="M31" s="90"/>
    </row>
    <row r="32" spans="1:13" ht="13.5" customHeight="1" x14ac:dyDescent="0.15">
      <c r="B32" s="91"/>
      <c r="C32" s="69"/>
      <c r="D32" s="69"/>
      <c r="E32" s="69"/>
      <c r="F32" s="69"/>
      <c r="G32" s="69"/>
      <c r="H32" s="92"/>
      <c r="I32" s="69"/>
      <c r="J32" s="69"/>
      <c r="K32" s="69"/>
      <c r="L32" s="69"/>
      <c r="M32" s="93"/>
    </row>
    <row r="33" spans="2:13" ht="18.75" customHeight="1" thickBot="1" x14ac:dyDescent="0.2">
      <c r="B33" s="94"/>
      <c r="C33" s="95"/>
      <c r="D33" s="95"/>
      <c r="E33" s="95"/>
      <c r="F33" s="95"/>
      <c r="G33" s="95"/>
      <c r="H33" s="95" t="s">
        <v>451</v>
      </c>
      <c r="I33" s="95"/>
      <c r="J33" s="95"/>
      <c r="K33" s="95"/>
      <c r="L33" s="95"/>
      <c r="M33" s="96"/>
    </row>
    <row r="34" spans="2:13" ht="22.5" customHeight="1" x14ac:dyDescent="0.15"/>
  </sheetData>
  <mergeCells count="19">
    <mergeCell ref="B2:M2"/>
    <mergeCell ref="B3:D3"/>
    <mergeCell ref="E3:H3"/>
    <mergeCell ref="I3:J3"/>
    <mergeCell ref="B4:D4"/>
    <mergeCell ref="E4:H4"/>
    <mergeCell ref="I4:J4"/>
    <mergeCell ref="K4:M4"/>
    <mergeCell ref="M6:M7"/>
    <mergeCell ref="C5:D5"/>
    <mergeCell ref="E5:G5"/>
    <mergeCell ref="K5:L5"/>
    <mergeCell ref="B6:B7"/>
    <mergeCell ref="C6:D7"/>
    <mergeCell ref="E6:F7"/>
    <mergeCell ref="G6:G7"/>
    <mergeCell ref="H6:H7"/>
    <mergeCell ref="I6:J6"/>
    <mergeCell ref="K6:L6"/>
  </mergeCells>
  <printOptions horizontalCentered="1" verticalCentered="1"/>
  <pageMargins left="0" right="0" top="0" bottom="0" header="0" footer="0"/>
  <pageSetup paperSize="9" scale="50" pageOrder="overThenDown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98818988-D3F4-6845-BF7B-AAB7185A9CBC}">
          <x14:formula1>
            <xm:f>Games!$A$2:$A$13</xm:f>
          </x14:formula1>
          <xm:sqref>R3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N21"/>
  <sheetViews>
    <sheetView workbookViewId="0"/>
  </sheetViews>
  <sheetFormatPr baseColWidth="10" defaultColWidth="12.6640625" defaultRowHeight="15.75" customHeight="1" x14ac:dyDescent="0.15"/>
  <cols>
    <col min="1" max="2" width="15.33203125" customWidth="1"/>
  </cols>
  <sheetData>
    <row r="1" spans="1:14" ht="15.75" customHeight="1" x14ac:dyDescent="0.15">
      <c r="A1" s="1" t="s">
        <v>134</v>
      </c>
      <c r="B1" s="1" t="s">
        <v>452</v>
      </c>
      <c r="C1" s="1" t="s">
        <v>440</v>
      </c>
      <c r="D1" s="1" t="s">
        <v>453</v>
      </c>
      <c r="E1" s="1" t="s">
        <v>454</v>
      </c>
      <c r="G1" s="1" t="s">
        <v>440</v>
      </c>
      <c r="H1" s="1" t="s">
        <v>142</v>
      </c>
      <c r="I1" s="1" t="s">
        <v>453</v>
      </c>
      <c r="J1" s="1" t="s">
        <v>455</v>
      </c>
      <c r="L1" s="29" t="s">
        <v>17</v>
      </c>
      <c r="M1" s="29"/>
      <c r="N1" s="29" t="s">
        <v>456</v>
      </c>
    </row>
    <row r="2" spans="1:14" ht="15.75" customHeight="1" x14ac:dyDescent="0.15">
      <c r="A2" s="8">
        <v>1</v>
      </c>
      <c r="B2" s="12">
        <v>7</v>
      </c>
      <c r="C2" s="12">
        <v>5</v>
      </c>
      <c r="D2" s="8">
        <f t="shared" ref="D2:D19" si="0">C2-B2</f>
        <v>-2</v>
      </c>
      <c r="E2" s="8">
        <f t="shared" ref="E2:E19" si="1">IFERROR(VLOOKUP($D2,$I$1:$J$10,2,FALSE),0)</f>
        <v>4</v>
      </c>
      <c r="G2" s="1">
        <v>9</v>
      </c>
      <c r="H2" s="1">
        <v>8</v>
      </c>
      <c r="I2" s="1">
        <f t="shared" ref="I2:I10" si="2">G2-H2</f>
        <v>1</v>
      </c>
      <c r="J2" s="1">
        <v>1</v>
      </c>
      <c r="L2" s="29" t="s">
        <v>457</v>
      </c>
      <c r="M2" s="29">
        <v>24</v>
      </c>
    </row>
    <row r="3" spans="1:14" ht="15.75" customHeight="1" x14ac:dyDescent="0.15">
      <c r="A3" s="8">
        <v>2</v>
      </c>
      <c r="B3" s="12">
        <v>5</v>
      </c>
      <c r="C3" s="12">
        <v>7</v>
      </c>
      <c r="D3" s="8">
        <f t="shared" si="0"/>
        <v>2</v>
      </c>
      <c r="E3" s="8">
        <f t="shared" si="1"/>
        <v>0</v>
      </c>
      <c r="G3" s="1">
        <v>8</v>
      </c>
      <c r="H3" s="1">
        <v>8</v>
      </c>
      <c r="I3" s="1">
        <f t="shared" si="2"/>
        <v>0</v>
      </c>
      <c r="J3" s="1">
        <v>2</v>
      </c>
      <c r="L3" s="29" t="s">
        <v>458</v>
      </c>
      <c r="M3" s="29">
        <f>ROUND(M2-(E21-36)/3,1)</f>
        <v>25.3</v>
      </c>
    </row>
    <row r="4" spans="1:14" ht="15.75" customHeight="1" x14ac:dyDescent="0.15">
      <c r="A4" s="8">
        <v>3</v>
      </c>
      <c r="B4" s="12">
        <v>7</v>
      </c>
      <c r="C4" s="12">
        <v>9</v>
      </c>
      <c r="D4" s="8">
        <f t="shared" si="0"/>
        <v>2</v>
      </c>
      <c r="E4" s="8">
        <f t="shared" si="1"/>
        <v>0</v>
      </c>
      <c r="G4" s="1">
        <v>7</v>
      </c>
      <c r="H4" s="1">
        <v>8</v>
      </c>
      <c r="I4" s="1">
        <f t="shared" si="2"/>
        <v>-1</v>
      </c>
      <c r="J4" s="1">
        <v>3</v>
      </c>
    </row>
    <row r="5" spans="1:14" ht="15.75" customHeight="1" x14ac:dyDescent="0.15">
      <c r="A5" s="8">
        <v>4</v>
      </c>
      <c r="B5" s="12">
        <v>5</v>
      </c>
      <c r="C5" s="12">
        <v>5</v>
      </c>
      <c r="D5" s="8">
        <f t="shared" si="0"/>
        <v>0</v>
      </c>
      <c r="E5" s="8">
        <f t="shared" si="1"/>
        <v>2</v>
      </c>
      <c r="G5" s="1">
        <v>6</v>
      </c>
      <c r="H5" s="1">
        <v>8</v>
      </c>
      <c r="I5" s="1">
        <f t="shared" si="2"/>
        <v>-2</v>
      </c>
      <c r="J5" s="1">
        <v>4</v>
      </c>
    </row>
    <row r="6" spans="1:14" ht="15.75" customHeight="1" x14ac:dyDescent="0.15">
      <c r="A6" s="8">
        <v>5</v>
      </c>
      <c r="B6" s="12">
        <v>5</v>
      </c>
      <c r="C6" s="12">
        <v>5</v>
      </c>
      <c r="D6" s="8">
        <f t="shared" si="0"/>
        <v>0</v>
      </c>
      <c r="E6" s="8">
        <f t="shared" si="1"/>
        <v>2</v>
      </c>
      <c r="G6" s="1">
        <v>5</v>
      </c>
      <c r="H6" s="1">
        <v>8</v>
      </c>
      <c r="I6" s="1">
        <f t="shared" si="2"/>
        <v>-3</v>
      </c>
      <c r="J6" s="1">
        <v>5</v>
      </c>
    </row>
    <row r="7" spans="1:14" ht="15.75" customHeight="1" x14ac:dyDescent="0.15">
      <c r="A7" s="8">
        <v>6</v>
      </c>
      <c r="B7" s="12">
        <v>6</v>
      </c>
      <c r="C7" s="12">
        <v>5</v>
      </c>
      <c r="D7" s="8">
        <f t="shared" si="0"/>
        <v>-1</v>
      </c>
      <c r="E7" s="8">
        <f t="shared" si="1"/>
        <v>3</v>
      </c>
      <c r="G7" s="1">
        <v>4</v>
      </c>
      <c r="H7" s="1">
        <v>8</v>
      </c>
      <c r="I7" s="1">
        <f t="shared" si="2"/>
        <v>-4</v>
      </c>
      <c r="J7" s="1">
        <v>6</v>
      </c>
    </row>
    <row r="8" spans="1:14" ht="15.75" customHeight="1" x14ac:dyDescent="0.15">
      <c r="A8" s="8">
        <v>7</v>
      </c>
      <c r="B8" s="12">
        <v>4</v>
      </c>
      <c r="C8" s="12">
        <v>3</v>
      </c>
      <c r="D8" s="8">
        <f t="shared" si="0"/>
        <v>-1</v>
      </c>
      <c r="E8" s="8">
        <f t="shared" si="1"/>
        <v>3</v>
      </c>
      <c r="G8" s="1">
        <v>3</v>
      </c>
      <c r="H8" s="1">
        <v>8</v>
      </c>
      <c r="I8" s="1">
        <f t="shared" si="2"/>
        <v>-5</v>
      </c>
      <c r="J8" s="1">
        <v>7</v>
      </c>
    </row>
    <row r="9" spans="1:14" ht="15.75" customHeight="1" x14ac:dyDescent="0.15">
      <c r="A9" s="8">
        <v>8</v>
      </c>
      <c r="B9" s="12">
        <v>6</v>
      </c>
      <c r="C9" s="12">
        <v>8</v>
      </c>
      <c r="D9" s="8">
        <f t="shared" si="0"/>
        <v>2</v>
      </c>
      <c r="E9" s="8">
        <f t="shared" si="1"/>
        <v>0</v>
      </c>
      <c r="G9" s="1">
        <v>2</v>
      </c>
      <c r="H9" s="1">
        <v>8</v>
      </c>
      <c r="I9" s="1">
        <f t="shared" si="2"/>
        <v>-6</v>
      </c>
      <c r="J9" s="1">
        <v>8</v>
      </c>
    </row>
    <row r="10" spans="1:14" ht="15.75" customHeight="1" x14ac:dyDescent="0.15">
      <c r="A10" s="8">
        <v>9</v>
      </c>
      <c r="B10" s="12">
        <v>5</v>
      </c>
      <c r="C10" s="12">
        <v>5</v>
      </c>
      <c r="D10" s="8">
        <f t="shared" si="0"/>
        <v>0</v>
      </c>
      <c r="E10" s="8">
        <f t="shared" si="1"/>
        <v>2</v>
      </c>
      <c r="G10" s="1">
        <v>1</v>
      </c>
      <c r="H10" s="1">
        <v>8</v>
      </c>
      <c r="I10" s="1">
        <f t="shared" si="2"/>
        <v>-7</v>
      </c>
      <c r="J10" s="1">
        <v>9</v>
      </c>
    </row>
    <row r="11" spans="1:14" ht="15.75" customHeight="1" x14ac:dyDescent="0.15">
      <c r="A11" s="8">
        <v>10</v>
      </c>
      <c r="B11" s="12">
        <v>6</v>
      </c>
      <c r="C11" s="12">
        <v>7</v>
      </c>
      <c r="D11" s="8">
        <f t="shared" si="0"/>
        <v>1</v>
      </c>
      <c r="E11" s="8">
        <f t="shared" si="1"/>
        <v>1</v>
      </c>
    </row>
    <row r="12" spans="1:14" ht="15.75" customHeight="1" x14ac:dyDescent="0.15">
      <c r="A12" s="8">
        <v>11</v>
      </c>
      <c r="B12" s="12">
        <v>6</v>
      </c>
      <c r="C12" s="12">
        <v>6</v>
      </c>
      <c r="D12" s="8">
        <f t="shared" si="0"/>
        <v>0</v>
      </c>
      <c r="E12" s="8">
        <f t="shared" si="1"/>
        <v>2</v>
      </c>
    </row>
    <row r="13" spans="1:14" ht="15.75" customHeight="1" x14ac:dyDescent="0.15">
      <c r="A13" s="8">
        <v>12</v>
      </c>
      <c r="B13" s="12">
        <v>5</v>
      </c>
      <c r="C13" s="12">
        <v>6</v>
      </c>
      <c r="D13" s="8">
        <f t="shared" si="0"/>
        <v>1</v>
      </c>
      <c r="E13" s="8">
        <f t="shared" si="1"/>
        <v>1</v>
      </c>
    </row>
    <row r="14" spans="1:14" ht="15.75" customHeight="1" x14ac:dyDescent="0.15">
      <c r="A14" s="8">
        <v>13</v>
      </c>
      <c r="B14" s="12">
        <v>6</v>
      </c>
      <c r="C14" s="12">
        <v>5</v>
      </c>
      <c r="D14" s="8">
        <f t="shared" si="0"/>
        <v>-1</v>
      </c>
      <c r="E14" s="8">
        <f t="shared" si="1"/>
        <v>3</v>
      </c>
    </row>
    <row r="15" spans="1:14" ht="15.75" customHeight="1" x14ac:dyDescent="0.15">
      <c r="A15" s="8">
        <v>14</v>
      </c>
      <c r="B15" s="12">
        <v>5</v>
      </c>
      <c r="C15" s="12">
        <v>5</v>
      </c>
      <c r="D15" s="8">
        <f t="shared" si="0"/>
        <v>0</v>
      </c>
      <c r="E15" s="8">
        <f t="shared" si="1"/>
        <v>2</v>
      </c>
    </row>
    <row r="16" spans="1:14" ht="15.75" customHeight="1" x14ac:dyDescent="0.15">
      <c r="A16" s="8">
        <v>15</v>
      </c>
      <c r="B16" s="12">
        <v>5</v>
      </c>
      <c r="C16" s="12">
        <v>3</v>
      </c>
      <c r="D16" s="8">
        <f t="shared" si="0"/>
        <v>-2</v>
      </c>
      <c r="E16" s="8">
        <f t="shared" si="1"/>
        <v>4</v>
      </c>
    </row>
    <row r="17" spans="1:5" ht="15.75" customHeight="1" x14ac:dyDescent="0.15">
      <c r="A17" s="8">
        <v>16</v>
      </c>
      <c r="B17" s="12">
        <v>7</v>
      </c>
      <c r="C17" s="12">
        <v>9</v>
      </c>
      <c r="D17" s="8">
        <f t="shared" si="0"/>
        <v>2</v>
      </c>
      <c r="E17" s="8">
        <f t="shared" si="1"/>
        <v>0</v>
      </c>
    </row>
    <row r="18" spans="1:5" ht="15.75" customHeight="1" x14ac:dyDescent="0.15">
      <c r="A18" s="8">
        <v>17</v>
      </c>
      <c r="B18" s="12">
        <v>5</v>
      </c>
      <c r="C18" s="12">
        <v>6</v>
      </c>
      <c r="D18" s="8">
        <f t="shared" si="0"/>
        <v>1</v>
      </c>
      <c r="E18" s="8">
        <f t="shared" si="1"/>
        <v>1</v>
      </c>
    </row>
    <row r="19" spans="1:5" ht="15.75" customHeight="1" x14ac:dyDescent="0.15">
      <c r="A19" s="8">
        <v>18</v>
      </c>
      <c r="B19" s="12">
        <v>4</v>
      </c>
      <c r="C19" s="12">
        <v>4</v>
      </c>
      <c r="D19" s="8">
        <f t="shared" si="0"/>
        <v>0</v>
      </c>
      <c r="E19" s="8">
        <f t="shared" si="1"/>
        <v>2</v>
      </c>
    </row>
    <row r="21" spans="1:5" ht="15.75" customHeight="1" x14ac:dyDescent="0.15">
      <c r="D21" s="1" t="s">
        <v>459</v>
      </c>
      <c r="E21" s="8">
        <f>SUM(E2:E19)</f>
        <v>32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4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3" t="s">
        <v>460</v>
      </c>
      <c r="B1" s="13"/>
      <c r="C1" s="13"/>
      <c r="D1" s="13"/>
    </row>
    <row r="3" spans="1:4" ht="15.75" customHeight="1" x14ac:dyDescent="0.15">
      <c r="A3" s="30" t="s">
        <v>461</v>
      </c>
    </row>
    <row r="4" spans="1:4" ht="15.75" customHeight="1" x14ac:dyDescent="0.15">
      <c r="A4" s="13" t="s">
        <v>462</v>
      </c>
    </row>
    <row r="5" spans="1:4" ht="15.75" customHeight="1" x14ac:dyDescent="0.15">
      <c r="A5" s="13" t="s">
        <v>463</v>
      </c>
    </row>
    <row r="6" spans="1:4" ht="15.75" customHeight="1" x14ac:dyDescent="0.15">
      <c r="A6" s="1" t="s">
        <v>464</v>
      </c>
    </row>
    <row r="7" spans="1:4" ht="15.75" customHeight="1" x14ac:dyDescent="0.15">
      <c r="A7" s="1" t="s">
        <v>465</v>
      </c>
    </row>
    <row r="9" spans="1:4" ht="15.75" customHeight="1" x14ac:dyDescent="0.15">
      <c r="A9" s="1" t="s">
        <v>466</v>
      </c>
    </row>
    <row r="10" spans="1:4" ht="15.75" customHeight="1" x14ac:dyDescent="0.15">
      <c r="A10" s="2" t="s">
        <v>467</v>
      </c>
    </row>
    <row r="12" spans="1:4" ht="15.75" customHeight="1" x14ac:dyDescent="0.15">
      <c r="A12" s="29" t="s">
        <v>468</v>
      </c>
    </row>
    <row r="13" spans="1:4" ht="15.75" customHeight="1" x14ac:dyDescent="0.15">
      <c r="A13" s="1" t="s">
        <v>469</v>
      </c>
    </row>
    <row r="14" spans="1:4" ht="15.75" customHeight="1" x14ac:dyDescent="0.15">
      <c r="A14" s="1" t="s">
        <v>470</v>
      </c>
    </row>
  </sheetData>
  <hyperlinks>
    <hyperlink ref="A10" r:id="rId1" xr:uid="{00000000-0004-0000-0A00-000000000000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Information</vt:lpstr>
      <vt:lpstr>Players</vt:lpstr>
      <vt:lpstr>Leaderboard</vt:lpstr>
      <vt:lpstr>Games</vt:lpstr>
      <vt:lpstr>Results</vt:lpstr>
      <vt:lpstr>Field holes</vt:lpstr>
      <vt:lpstr>Field difficulty</vt:lpstr>
      <vt:lpstr>This_year_field</vt:lpstr>
      <vt:lpstr>Scorecard_classic (2)</vt:lpstr>
      <vt:lpstr>HCP_calculator</vt:lpstr>
      <vt:lpstr>Dev_Notes</vt:lpstr>
      <vt:lpstr>Games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Herold</cp:lastModifiedBy>
  <cp:lastPrinted>2025-09-15T15:38:54Z</cp:lastPrinted>
  <dcterms:modified xsi:type="dcterms:W3CDTF">2025-10-31T15:40:04Z</dcterms:modified>
</cp:coreProperties>
</file>