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_Repos\building_plan_excel\HUS\"/>
    </mc:Choice>
  </mc:AlternateContent>
  <bookViews>
    <workbookView xWindow="0" yWindow="0" windowWidth="25200" windowHeight="11850" tabRatio="692" firstSheet="1" activeTab="3"/>
  </bookViews>
  <sheets>
    <sheet name="GeneralNotes" sheetId="12" r:id="rId1"/>
    <sheet name="Translations" sheetId="29" r:id="rId2"/>
    <sheet name="Orientation" sheetId="15" r:id="rId3"/>
    <sheet name="Konstanten" sheetId="14" r:id="rId4"/>
    <sheet name="Windows" sheetId="25" r:id="rId5"/>
    <sheet name="Zones" sheetId="24" r:id="rId6"/>
    <sheet name="TK01_3" sheetId="23" r:id="rId7"/>
    <sheet name="TK02_3" sheetId="30" r:id="rId8"/>
    <sheet name="TK03_3" sheetId="31" r:id="rId9"/>
    <sheet name="TK31_3" sheetId="32" r:id="rId10"/>
  </sheets>
  <externalReferences>
    <externalReference r:id="rId11"/>
    <externalReference r:id="rId1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3" i="32" l="1"/>
  <c r="AH4" i="32"/>
  <c r="AH5" i="32"/>
  <c r="AH6" i="32"/>
  <c r="AH7" i="32"/>
  <c r="AH8" i="32"/>
  <c r="AH2" i="32"/>
  <c r="AH3" i="31"/>
  <c r="AH4" i="31"/>
  <c r="AH5" i="31"/>
  <c r="AH6" i="31"/>
  <c r="AH7" i="31"/>
  <c r="AH8" i="31"/>
  <c r="AH9" i="31"/>
  <c r="AH10" i="31"/>
  <c r="AH11" i="31"/>
  <c r="AH12" i="31"/>
  <c r="AH13" i="31"/>
  <c r="AH14" i="31"/>
  <c r="AH15" i="31"/>
  <c r="AH16" i="31"/>
  <c r="AH17" i="31"/>
  <c r="AH18" i="31"/>
  <c r="AH19" i="31"/>
  <c r="AH20" i="31"/>
  <c r="AH21" i="31"/>
  <c r="AH22" i="31"/>
  <c r="AH23" i="31"/>
  <c r="AH24" i="31"/>
  <c r="AH25" i="31"/>
  <c r="AH26" i="31"/>
  <c r="AH27" i="31"/>
  <c r="AH28" i="31"/>
  <c r="AH29" i="31"/>
  <c r="AH30" i="31"/>
  <c r="AH31" i="31"/>
  <c r="AH32" i="31"/>
  <c r="AH33" i="31"/>
  <c r="AH34" i="31"/>
  <c r="AH35" i="31"/>
  <c r="AH36" i="31"/>
  <c r="AH37" i="31"/>
  <c r="AH38" i="31"/>
  <c r="AH39" i="31"/>
  <c r="AH40" i="31"/>
  <c r="AH41" i="31"/>
  <c r="AH2" i="31"/>
  <c r="AH2" i="30"/>
  <c r="AH3" i="30"/>
  <c r="AH4" i="30"/>
  <c r="AH5" i="30"/>
  <c r="AH6" i="30"/>
  <c r="AH7" i="30"/>
  <c r="AH8" i="30"/>
  <c r="AH9" i="30"/>
  <c r="AH10" i="30"/>
  <c r="AH11" i="30"/>
  <c r="AH12" i="30"/>
  <c r="AH13" i="30"/>
  <c r="AH14" i="30"/>
  <c r="AH15" i="30"/>
  <c r="AH16" i="30"/>
  <c r="AH17" i="30"/>
  <c r="AH18" i="30"/>
  <c r="AH19" i="30"/>
  <c r="AH20" i="30"/>
  <c r="AH21" i="30"/>
  <c r="AH22" i="30"/>
  <c r="AH23" i="30"/>
  <c r="AH24" i="30"/>
  <c r="AH25" i="30"/>
  <c r="AH26" i="30"/>
  <c r="AH27" i="30"/>
  <c r="AH28" i="30"/>
  <c r="AH29" i="30"/>
  <c r="AH30" i="30"/>
  <c r="AH31" i="30"/>
  <c r="AH32" i="30"/>
  <c r="AH34" i="30"/>
  <c r="AH35" i="30"/>
  <c r="AH36" i="30"/>
  <c r="AH37" i="30"/>
  <c r="AH38" i="30"/>
  <c r="AH39" i="30"/>
  <c r="AH40" i="30"/>
  <c r="AH41" i="30"/>
  <c r="AH42" i="30"/>
  <c r="AH43" i="30"/>
  <c r="AH44" i="30"/>
  <c r="AH45" i="30"/>
  <c r="AH46" i="30"/>
  <c r="AH47" i="30"/>
  <c r="AH48" i="30"/>
  <c r="AH49" i="30"/>
  <c r="AH50" i="30"/>
  <c r="AH51" i="30"/>
  <c r="AH52" i="30"/>
  <c r="AH53" i="30"/>
  <c r="AH54" i="30"/>
  <c r="AH55" i="30"/>
  <c r="AH56" i="30"/>
  <c r="AH57" i="30"/>
  <c r="AH58" i="30"/>
  <c r="AH59" i="30"/>
  <c r="AH60" i="30"/>
  <c r="AH61" i="30"/>
  <c r="AH62" i="30"/>
  <c r="AH63" i="30"/>
  <c r="AH64" i="30"/>
  <c r="AH65" i="30"/>
  <c r="AH66" i="30"/>
  <c r="AH67" i="30"/>
  <c r="AH68" i="30"/>
  <c r="AH69" i="30"/>
  <c r="AH70" i="30"/>
  <c r="AH71" i="30"/>
  <c r="AH72" i="30"/>
  <c r="AH73" i="30"/>
  <c r="AH74" i="30"/>
  <c r="AH33" i="30"/>
  <c r="AH3" i="23"/>
  <c r="AH4" i="23"/>
  <c r="AH5" i="23"/>
  <c r="AH6" i="23"/>
  <c r="AH7" i="23"/>
  <c r="AH8" i="23"/>
  <c r="AH9" i="23"/>
  <c r="AH10" i="23"/>
  <c r="AH11" i="23"/>
  <c r="AH12" i="23"/>
  <c r="AH2" i="23"/>
  <c r="M72" i="30" l="1"/>
  <c r="R72" i="30" s="1"/>
  <c r="N72" i="30"/>
  <c r="O72" i="30" s="1"/>
  <c r="P72" i="30"/>
  <c r="M73" i="30"/>
  <c r="R73" i="30" s="1"/>
  <c r="N73" i="30"/>
  <c r="O73" i="30"/>
  <c r="Q73" i="30" s="1"/>
  <c r="P73" i="30"/>
  <c r="M74" i="30"/>
  <c r="N74" i="30"/>
  <c r="O74" i="30" s="1"/>
  <c r="R74" i="30"/>
  <c r="S74" i="30" s="1"/>
  <c r="V74" i="30"/>
  <c r="W74" i="30" s="1"/>
  <c r="Z74" i="30"/>
  <c r="AA74" i="30" s="1"/>
  <c r="T72" i="30" l="1"/>
  <c r="S72" i="30"/>
  <c r="T73" i="30"/>
  <c r="S73" i="30"/>
  <c r="Q72" i="30"/>
  <c r="Z73" i="30"/>
  <c r="V73" i="30"/>
  <c r="Z72" i="30"/>
  <c r="V72" i="30"/>
  <c r="AB74" i="30"/>
  <c r="AC74" i="30" s="1"/>
  <c r="X74" i="30"/>
  <c r="Y74" i="30" s="1"/>
  <c r="T74" i="30"/>
  <c r="U74" i="30" s="1"/>
  <c r="P74" i="30"/>
  <c r="Q74" i="30" s="1"/>
  <c r="M3" i="32"/>
  <c r="M4" i="32"/>
  <c r="M5" i="32"/>
  <c r="M6" i="32"/>
  <c r="M2" i="32"/>
  <c r="AB73" i="30" l="1"/>
  <c r="AA73" i="30"/>
  <c r="X72" i="30"/>
  <c r="W72" i="30"/>
  <c r="U72" i="30"/>
  <c r="AB72" i="30"/>
  <c r="AC72" i="30" s="1"/>
  <c r="AA72" i="30"/>
  <c r="X73" i="30"/>
  <c r="Y73" i="30" s="1"/>
  <c r="W73" i="30"/>
  <c r="U73" i="30"/>
  <c r="J7" i="32"/>
  <c r="N5" i="32"/>
  <c r="P5" i="32" s="1"/>
  <c r="R5" i="32"/>
  <c r="T5" i="32" s="1"/>
  <c r="S5" i="32"/>
  <c r="V5" i="32"/>
  <c r="X5" i="32" s="1"/>
  <c r="Z5" i="32"/>
  <c r="AB5" i="32" s="1"/>
  <c r="AA5" i="32"/>
  <c r="N6" i="32"/>
  <c r="O6" i="32" s="1"/>
  <c r="R6" i="32"/>
  <c r="S6" i="32" s="1"/>
  <c r="V6" i="32"/>
  <c r="X6" i="32" s="1"/>
  <c r="Z6" i="32"/>
  <c r="AA6" i="32" s="1"/>
  <c r="J5" i="32"/>
  <c r="J4" i="32"/>
  <c r="H4" i="32"/>
  <c r="J3" i="32"/>
  <c r="J2" i="32"/>
  <c r="Y72" i="30" l="1"/>
  <c r="AC73" i="30"/>
  <c r="AB6" i="32"/>
  <c r="AC6" i="32" s="1"/>
  <c r="T6" i="32"/>
  <c r="U6" i="32" s="1"/>
  <c r="U5" i="32"/>
  <c r="W6" i="32"/>
  <c r="Y6" i="32" s="1"/>
  <c r="W5" i="32"/>
  <c r="Y5" i="32" s="1"/>
  <c r="P6" i="32"/>
  <c r="Q6" i="32" s="1"/>
  <c r="AC5" i="32"/>
  <c r="O5" i="32"/>
  <c r="Q5" i="32" s="1"/>
  <c r="L7" i="32" l="1"/>
  <c r="P7" i="32"/>
  <c r="Q7" i="32" s="1"/>
  <c r="R7" i="32"/>
  <c r="T7" i="32"/>
  <c r="U7" i="32" s="1"/>
  <c r="V7" i="32"/>
  <c r="X7" i="32"/>
  <c r="Y7" i="32" s="1"/>
  <c r="Z7" i="32"/>
  <c r="AB7" i="32"/>
  <c r="AC7" i="32" s="1"/>
  <c r="AD7" i="32"/>
  <c r="AG7" i="32"/>
  <c r="AJ7" i="32"/>
  <c r="AK7" i="32" s="1"/>
  <c r="AM7" i="32"/>
  <c r="AN7" i="32"/>
  <c r="L8" i="32"/>
  <c r="P8" i="32"/>
  <c r="Q8" i="32" s="1"/>
  <c r="R8" i="32"/>
  <c r="T8" i="32"/>
  <c r="U8" i="32" s="1"/>
  <c r="V8" i="32"/>
  <c r="X8" i="32"/>
  <c r="Y8" i="32" s="1"/>
  <c r="Z8" i="32"/>
  <c r="AB8" i="32"/>
  <c r="AC8" i="32" s="1"/>
  <c r="AD8" i="32"/>
  <c r="AG8" i="32"/>
  <c r="AJ8" i="32"/>
  <c r="AK8" i="32" s="1"/>
  <c r="AM8" i="32"/>
  <c r="AN8" i="32"/>
  <c r="L6" i="32"/>
  <c r="AD6" i="32"/>
  <c r="AG6" i="32"/>
  <c r="AJ6" i="32"/>
  <c r="AK6" i="32" s="1"/>
  <c r="AM6" i="32"/>
  <c r="AN6" i="32"/>
  <c r="AN5" i="32"/>
  <c r="AM5" i="32"/>
  <c r="AG5" i="32"/>
  <c r="AD5" i="32"/>
  <c r="L5" i="32"/>
  <c r="AJ5" i="32"/>
  <c r="AK5" i="32" s="1"/>
  <c r="AN4" i="32"/>
  <c r="AM4" i="32"/>
  <c r="AG4" i="32"/>
  <c r="N4" i="32"/>
  <c r="O4" i="32" s="1"/>
  <c r="Z4" i="32"/>
  <c r="L4" i="32"/>
  <c r="AJ4" i="32"/>
  <c r="AK4" i="32" s="1"/>
  <c r="AN3" i="32"/>
  <c r="AM3" i="32"/>
  <c r="AG3" i="32"/>
  <c r="N3" i="32"/>
  <c r="P3" i="32" s="1"/>
  <c r="AD3" i="32"/>
  <c r="L3" i="32"/>
  <c r="AJ3" i="32"/>
  <c r="AK3" i="32" s="1"/>
  <c r="AN2" i="32"/>
  <c r="AM2" i="32"/>
  <c r="AG2" i="32"/>
  <c r="N2" i="32"/>
  <c r="P2" i="32" s="1"/>
  <c r="V2" i="32"/>
  <c r="L2" i="32"/>
  <c r="AJ2" i="32"/>
  <c r="AK2" i="32" s="1"/>
  <c r="AE5" i="32" l="1"/>
  <c r="AI5" i="32" s="1"/>
  <c r="AE8" i="32"/>
  <c r="AI8" i="32" s="1"/>
  <c r="AE6" i="32"/>
  <c r="AI6" i="32" s="1"/>
  <c r="AE7" i="32"/>
  <c r="AI7" i="32" s="1"/>
  <c r="P4" i="32"/>
  <c r="Q4" i="32" s="1"/>
  <c r="Z3" i="32"/>
  <c r="AB3" i="32" s="1"/>
  <c r="R2" i="32"/>
  <c r="T2" i="32" s="1"/>
  <c r="AD2" i="32"/>
  <c r="O2" i="32"/>
  <c r="Q2" i="32" s="1"/>
  <c r="AA4" i="32"/>
  <c r="AB4" i="32"/>
  <c r="W2" i="32"/>
  <c r="X2" i="32"/>
  <c r="V4" i="32"/>
  <c r="O3" i="32"/>
  <c r="Q3" i="32" s="1"/>
  <c r="Z2" i="32"/>
  <c r="V3" i="32"/>
  <c r="R4" i="32"/>
  <c r="AD4" i="32"/>
  <c r="R3" i="32"/>
  <c r="AA3" i="32" l="1"/>
  <c r="AC3" i="32" s="1"/>
  <c r="Y2" i="32"/>
  <c r="S2" i="32"/>
  <c r="U2" i="32" s="1"/>
  <c r="T4" i="32"/>
  <c r="S4" i="32"/>
  <c r="X4" i="32"/>
  <c r="W4" i="32"/>
  <c r="S3" i="32"/>
  <c r="T3" i="32"/>
  <c r="W3" i="32"/>
  <c r="X3" i="32"/>
  <c r="AA2" i="32"/>
  <c r="AB2" i="32"/>
  <c r="AC4" i="32"/>
  <c r="U3" i="32" l="1"/>
  <c r="AC2" i="32"/>
  <c r="AE2" i="32" s="1"/>
  <c r="AI2" i="32" s="1"/>
  <c r="Y3" i="32"/>
  <c r="AE3" i="32" s="1"/>
  <c r="AI3" i="32" s="1"/>
  <c r="Y4" i="32"/>
  <c r="U4" i="32"/>
  <c r="AE4" i="32" l="1"/>
  <c r="AI4" i="32" s="1"/>
  <c r="J41" i="31"/>
  <c r="J40" i="31"/>
  <c r="J39" i="31"/>
  <c r="J38" i="31"/>
  <c r="J37" i="31"/>
  <c r="J36" i="31"/>
  <c r="J35" i="31" l="1"/>
  <c r="J34" i="31"/>
  <c r="J33" i="31" l="1"/>
  <c r="J32" i="31"/>
  <c r="J31" i="31"/>
  <c r="J30" i="31"/>
  <c r="H30" i="31"/>
  <c r="J29" i="31"/>
  <c r="J28" i="31" l="1"/>
  <c r="J27" i="31"/>
  <c r="J25" i="31"/>
  <c r="H25" i="31"/>
  <c r="J24" i="31"/>
  <c r="H24" i="31"/>
  <c r="J23" i="31"/>
  <c r="H23" i="31"/>
  <c r="J21" i="31" l="1"/>
  <c r="J20" i="31"/>
  <c r="J19" i="31"/>
  <c r="J18" i="31"/>
  <c r="J17" i="31"/>
  <c r="H17" i="31"/>
  <c r="AG17" i="31" s="1"/>
  <c r="J16" i="31"/>
  <c r="J15" i="31"/>
  <c r="J14" i="31"/>
  <c r="J13" i="31"/>
  <c r="J12" i="31"/>
  <c r="J11" i="31"/>
  <c r="AJ11" i="31" s="1"/>
  <c r="AK11" i="31" s="1"/>
  <c r="J10" i="31"/>
  <c r="J9" i="31"/>
  <c r="J8" i="31"/>
  <c r="J7" i="31"/>
  <c r="AJ7" i="31" s="1"/>
  <c r="AK7" i="31" s="1"/>
  <c r="J6" i="31"/>
  <c r="J5" i="31"/>
  <c r="J4" i="31"/>
  <c r="J3" i="31"/>
  <c r="J2" i="31"/>
  <c r="L7" i="31"/>
  <c r="M7" i="31"/>
  <c r="Z7" i="31" s="1"/>
  <c r="N7" i="31"/>
  <c r="O7" i="31" s="1"/>
  <c r="AG7" i="31"/>
  <c r="AM7" i="31"/>
  <c r="AN7" i="31"/>
  <c r="L8" i="31"/>
  <c r="M8" i="31"/>
  <c r="Z8" i="31" s="1"/>
  <c r="N8" i="31"/>
  <c r="O8" i="31" s="1"/>
  <c r="AG8" i="31"/>
  <c r="AJ8" i="31"/>
  <c r="AK8" i="31" s="1"/>
  <c r="AM8" i="31"/>
  <c r="AN8" i="31"/>
  <c r="L9" i="31"/>
  <c r="M9" i="31"/>
  <c r="R9" i="31" s="1"/>
  <c r="T9" i="31" s="1"/>
  <c r="N9" i="31"/>
  <c r="O9" i="31" s="1"/>
  <c r="AG9" i="31"/>
  <c r="AJ9" i="31"/>
  <c r="AK9" i="31" s="1"/>
  <c r="AM9" i="31"/>
  <c r="AN9" i="31"/>
  <c r="L10" i="31"/>
  <c r="M10" i="31"/>
  <c r="N10" i="31"/>
  <c r="AG10" i="31"/>
  <c r="AJ10" i="31"/>
  <c r="AK10" i="31"/>
  <c r="AM10" i="31"/>
  <c r="AN10" i="31"/>
  <c r="L11" i="31"/>
  <c r="M11" i="31"/>
  <c r="V11" i="31" s="1"/>
  <c r="N11" i="31"/>
  <c r="O11" i="31" s="1"/>
  <c r="P11" i="31"/>
  <c r="AG11" i="31"/>
  <c r="AM11" i="31"/>
  <c r="AN11" i="31"/>
  <c r="L12" i="31"/>
  <c r="M12" i="31"/>
  <c r="Z12" i="31" s="1"/>
  <c r="AA12" i="31" s="1"/>
  <c r="N12" i="31"/>
  <c r="O12" i="31" s="1"/>
  <c r="AG12" i="31"/>
  <c r="AJ12" i="31"/>
  <c r="AK12" i="31" s="1"/>
  <c r="AM12" i="31"/>
  <c r="AN12" i="31"/>
  <c r="L13" i="31"/>
  <c r="M13" i="31"/>
  <c r="N13" i="31"/>
  <c r="O13" i="31" s="1"/>
  <c r="AG13" i="31"/>
  <c r="AJ13" i="31"/>
  <c r="AK13" i="31" s="1"/>
  <c r="AM13" i="31"/>
  <c r="AN13" i="31"/>
  <c r="L14" i="31"/>
  <c r="M14" i="31"/>
  <c r="N14" i="31"/>
  <c r="AG14" i="31"/>
  <c r="AJ14" i="31"/>
  <c r="AK14" i="31" s="1"/>
  <c r="AM14" i="31"/>
  <c r="AN14" i="31"/>
  <c r="L15" i="31"/>
  <c r="M15" i="31"/>
  <c r="V15" i="31" s="1"/>
  <c r="N15" i="31"/>
  <c r="O15" i="31" s="1"/>
  <c r="AG15" i="31"/>
  <c r="AJ15" i="31"/>
  <c r="AK15" i="31" s="1"/>
  <c r="AM15" i="31"/>
  <c r="AN15" i="31"/>
  <c r="L16" i="31"/>
  <c r="M16" i="31"/>
  <c r="N16" i="31"/>
  <c r="O16" i="31" s="1"/>
  <c r="AG16" i="31"/>
  <c r="AJ16" i="31"/>
  <c r="AK16" i="31" s="1"/>
  <c r="AM16" i="31"/>
  <c r="AN16" i="31"/>
  <c r="L17" i="31"/>
  <c r="M17" i="31"/>
  <c r="N17" i="31"/>
  <c r="O17" i="31" s="1"/>
  <c r="AJ17" i="31"/>
  <c r="AK17" i="31" s="1"/>
  <c r="AM17" i="31"/>
  <c r="AN17" i="31"/>
  <c r="L18" i="31"/>
  <c r="M18" i="31"/>
  <c r="Z18" i="31" s="1"/>
  <c r="N18" i="31"/>
  <c r="O18" i="31" s="1"/>
  <c r="AG18" i="31"/>
  <c r="AJ18" i="31"/>
  <c r="AK18" i="31"/>
  <c r="AM18" i="31"/>
  <c r="AN18" i="31"/>
  <c r="L19" i="31"/>
  <c r="M19" i="31"/>
  <c r="Z19" i="31" s="1"/>
  <c r="AA19" i="31" s="1"/>
  <c r="N19" i="31"/>
  <c r="O19" i="31" s="1"/>
  <c r="AG19" i="31"/>
  <c r="AJ19" i="31"/>
  <c r="AK19" i="31" s="1"/>
  <c r="AM19" i="31"/>
  <c r="AN19" i="31"/>
  <c r="L20" i="31"/>
  <c r="M20" i="31"/>
  <c r="Z20" i="31" s="1"/>
  <c r="N20" i="31"/>
  <c r="O20" i="31" s="1"/>
  <c r="AG20" i="31"/>
  <c r="AJ20" i="31"/>
  <c r="AK20" i="31" s="1"/>
  <c r="AM20" i="31"/>
  <c r="AN20" i="31"/>
  <c r="L21" i="31"/>
  <c r="N21" i="31"/>
  <c r="Z21" i="31" s="1"/>
  <c r="AG21" i="31"/>
  <c r="AJ21" i="31"/>
  <c r="AK21" i="31" s="1"/>
  <c r="AM21" i="31"/>
  <c r="AN21" i="31"/>
  <c r="L22" i="31"/>
  <c r="N22" i="31"/>
  <c r="AG22" i="31"/>
  <c r="AJ22" i="31"/>
  <c r="AK22" i="31" s="1"/>
  <c r="AM22" i="31"/>
  <c r="AN22" i="31"/>
  <c r="L23" i="31"/>
  <c r="M23" i="31"/>
  <c r="Z23" i="31" s="1"/>
  <c r="AA23" i="31" s="1"/>
  <c r="N23" i="31"/>
  <c r="O23" i="31" s="1"/>
  <c r="AG23" i="31"/>
  <c r="AJ23" i="31"/>
  <c r="AK23" i="31" s="1"/>
  <c r="AM23" i="31"/>
  <c r="AN23" i="31"/>
  <c r="L24" i="31"/>
  <c r="M24" i="31"/>
  <c r="Z24" i="31" s="1"/>
  <c r="N24" i="31"/>
  <c r="O24" i="31" s="1"/>
  <c r="AG24" i="31"/>
  <c r="AJ24" i="31"/>
  <c r="AK24" i="31" s="1"/>
  <c r="AM24" i="31"/>
  <c r="AN24" i="31"/>
  <c r="L25" i="31"/>
  <c r="M25" i="31"/>
  <c r="V25" i="31" s="1"/>
  <c r="N25" i="31"/>
  <c r="P25" i="31" s="1"/>
  <c r="AG25" i="31"/>
  <c r="AJ25" i="31"/>
  <c r="AK25" i="31" s="1"/>
  <c r="AM25" i="31"/>
  <c r="AN25" i="31"/>
  <c r="L26" i="31"/>
  <c r="M26" i="31"/>
  <c r="N26" i="31"/>
  <c r="AG26" i="31"/>
  <c r="AJ26" i="31"/>
  <c r="AK26" i="31" s="1"/>
  <c r="AM26" i="31"/>
  <c r="AN26" i="31"/>
  <c r="L27" i="31"/>
  <c r="M27" i="31"/>
  <c r="Z27" i="31" s="1"/>
  <c r="AA27" i="31" s="1"/>
  <c r="N27" i="31"/>
  <c r="O27" i="31" s="1"/>
  <c r="AG27" i="31"/>
  <c r="AJ27" i="31"/>
  <c r="AK27" i="31" s="1"/>
  <c r="AM27" i="31"/>
  <c r="AN27" i="31"/>
  <c r="L28" i="31"/>
  <c r="M28" i="31"/>
  <c r="Z28" i="31" s="1"/>
  <c r="N28" i="31"/>
  <c r="O28" i="31" s="1"/>
  <c r="AG28" i="31"/>
  <c r="AJ28" i="31"/>
  <c r="AK28" i="31" s="1"/>
  <c r="AM28" i="31"/>
  <c r="AN28" i="31"/>
  <c r="L29" i="31"/>
  <c r="M29" i="31"/>
  <c r="V29" i="31" s="1"/>
  <c r="N29" i="31"/>
  <c r="O29" i="31" s="1"/>
  <c r="AG29" i="31"/>
  <c r="AJ29" i="31"/>
  <c r="AK29" i="31" s="1"/>
  <c r="AM29" i="31"/>
  <c r="AN29" i="31"/>
  <c r="L30" i="31"/>
  <c r="M30" i="31"/>
  <c r="N30" i="31"/>
  <c r="AG30" i="31"/>
  <c r="AJ30" i="31"/>
  <c r="AK30" i="31"/>
  <c r="AM30" i="31"/>
  <c r="AN30" i="31"/>
  <c r="L31" i="31"/>
  <c r="M31" i="31"/>
  <c r="N31" i="31"/>
  <c r="O31" i="31" s="1"/>
  <c r="AG31" i="31"/>
  <c r="AJ31" i="31"/>
  <c r="AK31" i="31" s="1"/>
  <c r="AM31" i="31"/>
  <c r="AN31" i="31"/>
  <c r="L32" i="31"/>
  <c r="M32" i="31"/>
  <c r="Z32" i="31" s="1"/>
  <c r="N32" i="31"/>
  <c r="O32" i="31" s="1"/>
  <c r="AG32" i="31"/>
  <c r="AJ32" i="31"/>
  <c r="AK32" i="31" s="1"/>
  <c r="AM32" i="31"/>
  <c r="AN32" i="31"/>
  <c r="L33" i="31"/>
  <c r="M33" i="31"/>
  <c r="V33" i="31" s="1"/>
  <c r="N33" i="31"/>
  <c r="P33" i="31" s="1"/>
  <c r="AG33" i="31"/>
  <c r="AJ33" i="31"/>
  <c r="AK33" i="31" s="1"/>
  <c r="AM33" i="31"/>
  <c r="AN33" i="31"/>
  <c r="L34" i="31"/>
  <c r="M34" i="31"/>
  <c r="N34" i="31"/>
  <c r="AG34" i="31"/>
  <c r="AJ34" i="31"/>
  <c r="AK34" i="31" s="1"/>
  <c r="AM34" i="31"/>
  <c r="AN34" i="31"/>
  <c r="L35" i="31"/>
  <c r="M35" i="31"/>
  <c r="N35" i="31"/>
  <c r="O35" i="31" s="1"/>
  <c r="AG35" i="31"/>
  <c r="AJ35" i="31"/>
  <c r="AK35" i="31" s="1"/>
  <c r="AM35" i="31"/>
  <c r="AN35" i="31"/>
  <c r="L36" i="31"/>
  <c r="M36" i="31"/>
  <c r="Z36" i="31" s="1"/>
  <c r="N36" i="31"/>
  <c r="O36" i="31" s="1"/>
  <c r="AG36" i="31"/>
  <c r="AJ36" i="31"/>
  <c r="AK36" i="31" s="1"/>
  <c r="AM36" i="31"/>
  <c r="AN36" i="31"/>
  <c r="L37" i="31"/>
  <c r="M37" i="31"/>
  <c r="V37" i="31" s="1"/>
  <c r="N37" i="31"/>
  <c r="P37" i="31" s="1"/>
  <c r="AG37" i="31"/>
  <c r="AJ37" i="31"/>
  <c r="AK37" i="31" s="1"/>
  <c r="AM37" i="31"/>
  <c r="AN37" i="31"/>
  <c r="L38" i="31"/>
  <c r="M38" i="31"/>
  <c r="N38" i="31"/>
  <c r="AG38" i="31"/>
  <c r="AJ38" i="31"/>
  <c r="AK38" i="31"/>
  <c r="AM38" i="31"/>
  <c r="AN38" i="31"/>
  <c r="L39" i="31"/>
  <c r="M39" i="31"/>
  <c r="N39" i="31"/>
  <c r="O39" i="31" s="1"/>
  <c r="AG39" i="31"/>
  <c r="AJ39" i="31"/>
  <c r="AK39" i="31" s="1"/>
  <c r="AM39" i="31"/>
  <c r="AN39" i="31"/>
  <c r="L40" i="31"/>
  <c r="M40" i="31"/>
  <c r="Z40" i="31" s="1"/>
  <c r="N40" i="31"/>
  <c r="O40" i="31" s="1"/>
  <c r="AG40" i="31"/>
  <c r="AJ40" i="31"/>
  <c r="AK40" i="31" s="1"/>
  <c r="AM40" i="31"/>
  <c r="AN40" i="31"/>
  <c r="L41" i="31"/>
  <c r="M41" i="31"/>
  <c r="N41" i="31"/>
  <c r="O41" i="31" s="1"/>
  <c r="AG41" i="31"/>
  <c r="AJ41" i="31"/>
  <c r="AK41" i="31" s="1"/>
  <c r="AM41" i="31"/>
  <c r="AN41" i="31"/>
  <c r="J74" i="30"/>
  <c r="J73" i="30"/>
  <c r="J72" i="30"/>
  <c r="J71" i="30"/>
  <c r="J70" i="30"/>
  <c r="J69" i="30"/>
  <c r="J68" i="30"/>
  <c r="J67" i="30"/>
  <c r="X15" i="31" l="1"/>
  <c r="W15" i="31"/>
  <c r="AD20" i="31"/>
  <c r="AD8" i="31"/>
  <c r="V20" i="31"/>
  <c r="X20" i="31" s="1"/>
  <c r="V8" i="31"/>
  <c r="R8" i="31"/>
  <c r="S8" i="31" s="1"/>
  <c r="V9" i="31"/>
  <c r="S9" i="31"/>
  <c r="P41" i="31"/>
  <c r="Q41" i="31" s="1"/>
  <c r="V40" i="31"/>
  <c r="W40" i="31" s="1"/>
  <c r="P39" i="31"/>
  <c r="Q39" i="31" s="1"/>
  <c r="O37" i="31"/>
  <c r="Q37" i="31" s="1"/>
  <c r="Z37" i="31"/>
  <c r="V36" i="31"/>
  <c r="X36" i="31" s="1"/>
  <c r="P35" i="31"/>
  <c r="Q35" i="31" s="1"/>
  <c r="O33" i="31"/>
  <c r="Q33" i="31" s="1"/>
  <c r="V32" i="31"/>
  <c r="P31" i="31"/>
  <c r="Q31" i="31" s="1"/>
  <c r="Z29" i="31"/>
  <c r="AA29" i="31" s="1"/>
  <c r="P29" i="31"/>
  <c r="Q29" i="31" s="1"/>
  <c r="V28" i="31"/>
  <c r="P27" i="31"/>
  <c r="Q27" i="31" s="1"/>
  <c r="O25" i="31"/>
  <c r="Q25" i="31" s="1"/>
  <c r="Z25" i="31"/>
  <c r="V24" i="31"/>
  <c r="W24" i="31" s="1"/>
  <c r="P23" i="31"/>
  <c r="Q23" i="31" s="1"/>
  <c r="Z33" i="31"/>
  <c r="O21" i="31"/>
  <c r="V21" i="31"/>
  <c r="P19" i="31"/>
  <c r="Q19" i="31" s="1"/>
  <c r="V18" i="31"/>
  <c r="W18" i="31" s="1"/>
  <c r="P17" i="31"/>
  <c r="Q17" i="31" s="1"/>
  <c r="P16" i="31"/>
  <c r="Q16" i="31" s="1"/>
  <c r="V13" i="31"/>
  <c r="P13" i="31"/>
  <c r="Q13" i="31" s="1"/>
  <c r="P12" i="31"/>
  <c r="Q12" i="31" s="1"/>
  <c r="Z11" i="31"/>
  <c r="P9" i="31"/>
  <c r="Q9" i="31" s="1"/>
  <c r="V7" i="31"/>
  <c r="X7" i="31" s="1"/>
  <c r="AA20" i="31"/>
  <c r="AB20" i="31"/>
  <c r="O14" i="31"/>
  <c r="P14" i="31"/>
  <c r="Q14" i="31" s="1"/>
  <c r="AA33" i="31"/>
  <c r="AB33" i="31"/>
  <c r="R30" i="31"/>
  <c r="AD30" i="31"/>
  <c r="V30" i="31"/>
  <c r="Z30" i="31"/>
  <c r="X29" i="31"/>
  <c r="W29" i="31"/>
  <c r="O10" i="31"/>
  <c r="P10" i="31"/>
  <c r="AA32" i="31"/>
  <c r="AB32" i="31"/>
  <c r="AC32" i="31" s="1"/>
  <c r="AA25" i="31"/>
  <c r="AB25" i="31"/>
  <c r="X24" i="31"/>
  <c r="O22" i="31"/>
  <c r="P22" i="31"/>
  <c r="Q22" i="31" s="1"/>
  <c r="AA11" i="31"/>
  <c r="AB11" i="31"/>
  <c r="R41" i="31"/>
  <c r="AD41" i="31"/>
  <c r="V41" i="31"/>
  <c r="X37" i="31"/>
  <c r="W37" i="31"/>
  <c r="X32" i="31"/>
  <c r="W32" i="31"/>
  <c r="W36" i="31"/>
  <c r="O34" i="31"/>
  <c r="P34" i="31"/>
  <c r="Q34" i="31" s="1"/>
  <c r="X33" i="31"/>
  <c r="W33" i="31"/>
  <c r="AA24" i="31"/>
  <c r="AB24" i="31"/>
  <c r="AC24" i="31" s="1"/>
  <c r="Z16" i="31"/>
  <c r="R16" i="31"/>
  <c r="V16" i="31"/>
  <c r="AD16" i="31"/>
  <c r="X11" i="31"/>
  <c r="W11" i="31"/>
  <c r="R34" i="31"/>
  <c r="AD34" i="31"/>
  <c r="V34" i="31"/>
  <c r="Z34" i="31"/>
  <c r="AB29" i="31"/>
  <c r="X28" i="31"/>
  <c r="W28" i="31"/>
  <c r="X40" i="31"/>
  <c r="O26" i="31"/>
  <c r="P26" i="31"/>
  <c r="O30" i="31"/>
  <c r="P30" i="31"/>
  <c r="Q30" i="31" s="1"/>
  <c r="R26" i="31"/>
  <c r="AD26" i="31"/>
  <c r="V26" i="31"/>
  <c r="Z26" i="31"/>
  <c r="X25" i="31"/>
  <c r="W25" i="31"/>
  <c r="Z41" i="31"/>
  <c r="AA28" i="31"/>
  <c r="AB28" i="31"/>
  <c r="W20" i="31"/>
  <c r="R38" i="31"/>
  <c r="AD38" i="31"/>
  <c r="V38" i="31"/>
  <c r="Z38" i="31"/>
  <c r="AA36" i="31"/>
  <c r="AB36" i="31"/>
  <c r="AC36" i="31" s="1"/>
  <c r="AA40" i="31"/>
  <c r="AB40" i="31"/>
  <c r="AC40" i="31" s="1"/>
  <c r="O38" i="31"/>
  <c r="P38" i="31"/>
  <c r="Q38" i="31" s="1"/>
  <c r="AA18" i="31"/>
  <c r="AB18" i="31"/>
  <c r="R22" i="31"/>
  <c r="AD22" i="31"/>
  <c r="R10" i="31"/>
  <c r="AD10" i="31"/>
  <c r="W9" i="31"/>
  <c r="X9" i="31"/>
  <c r="R14" i="31"/>
  <c r="AD14" i="31"/>
  <c r="W13" i="31"/>
  <c r="X13" i="31"/>
  <c r="R40" i="31"/>
  <c r="R36" i="31"/>
  <c r="R32" i="31"/>
  <c r="R28" i="31"/>
  <c r="R24" i="31"/>
  <c r="Z22" i="31"/>
  <c r="R20" i="31"/>
  <c r="R35" i="31"/>
  <c r="AD35" i="31"/>
  <c r="R27" i="31"/>
  <c r="AD27" i="31"/>
  <c r="R19" i="31"/>
  <c r="AD19" i="31"/>
  <c r="P15" i="31"/>
  <c r="Q15" i="31" s="1"/>
  <c r="AD12" i="31"/>
  <c r="R39" i="31"/>
  <c r="AD39" i="31"/>
  <c r="R31" i="31"/>
  <c r="AD31" i="31"/>
  <c r="R23" i="31"/>
  <c r="AD23" i="31"/>
  <c r="P40" i="31"/>
  <c r="Q40" i="31" s="1"/>
  <c r="P36" i="31"/>
  <c r="Q36" i="31" s="1"/>
  <c r="P32" i="31"/>
  <c r="Q32" i="31" s="1"/>
  <c r="P28" i="31"/>
  <c r="Q28" i="31" s="1"/>
  <c r="AB27" i="31"/>
  <c r="AC27" i="31" s="1"/>
  <c r="P24" i="31"/>
  <c r="Q24" i="31" s="1"/>
  <c r="AB23" i="31"/>
  <c r="AC23" i="31" s="1"/>
  <c r="P20" i="31"/>
  <c r="Q20" i="31" s="1"/>
  <c r="AB19" i="31"/>
  <c r="AC19" i="31" s="1"/>
  <c r="X18" i="31"/>
  <c r="Y18" i="31" s="1"/>
  <c r="Z14" i="31"/>
  <c r="AB12" i="31"/>
  <c r="AC12" i="31" s="1"/>
  <c r="W8" i="31"/>
  <c r="X8" i="31"/>
  <c r="Y8" i="31" s="1"/>
  <c r="AD40" i="31"/>
  <c r="Z39" i="31"/>
  <c r="AD36" i="31"/>
  <c r="Z35" i="31"/>
  <c r="AD32" i="31"/>
  <c r="Z31" i="31"/>
  <c r="AD28" i="31"/>
  <c r="AD24" i="31"/>
  <c r="R17" i="31"/>
  <c r="AD17" i="31"/>
  <c r="Z17" i="31"/>
  <c r="R15" i="31"/>
  <c r="AD15" i="31"/>
  <c r="Q11" i="31"/>
  <c r="Z10" i="31"/>
  <c r="T8" i="31"/>
  <c r="U8" i="31" s="1"/>
  <c r="U9" i="31"/>
  <c r="W7" i="31"/>
  <c r="V22" i="31"/>
  <c r="V14" i="31"/>
  <c r="R11" i="31"/>
  <c r="AD11" i="31"/>
  <c r="R13" i="31"/>
  <c r="AD13" i="31"/>
  <c r="Z13" i="31"/>
  <c r="V12" i="31"/>
  <c r="V39" i="31"/>
  <c r="V35" i="31"/>
  <c r="V31" i="31"/>
  <c r="V27" i="31"/>
  <c r="V23" i="31"/>
  <c r="V19" i="31"/>
  <c r="P18" i="31"/>
  <c r="Q18" i="31" s="1"/>
  <c r="V10" i="31"/>
  <c r="R33" i="31"/>
  <c r="AD33" i="31"/>
  <c r="R25" i="31"/>
  <c r="AD25" i="31"/>
  <c r="R21" i="31"/>
  <c r="AD21" i="31"/>
  <c r="Z15" i="31"/>
  <c r="AA8" i="31"/>
  <c r="AB8" i="31"/>
  <c r="AA7" i="31"/>
  <c r="AB7" i="31"/>
  <c r="R37" i="31"/>
  <c r="AD37" i="31"/>
  <c r="R29" i="31"/>
  <c r="AD29" i="31"/>
  <c r="R18" i="31"/>
  <c r="AD18" i="31"/>
  <c r="V17" i="31"/>
  <c r="R12" i="31"/>
  <c r="Z9" i="31"/>
  <c r="P8" i="31"/>
  <c r="Q8" i="31" s="1"/>
  <c r="AD7" i="31"/>
  <c r="R7" i="31"/>
  <c r="P7" i="31"/>
  <c r="Q7" i="31" s="1"/>
  <c r="AD9" i="31"/>
  <c r="L74" i="30"/>
  <c r="AG74" i="30"/>
  <c r="AJ74" i="30"/>
  <c r="AK74" i="30" s="1"/>
  <c r="AM74" i="30"/>
  <c r="AN74" i="30"/>
  <c r="L69" i="30"/>
  <c r="M69" i="30"/>
  <c r="Z69" i="30" s="1"/>
  <c r="N69" i="30"/>
  <c r="O69" i="30" s="1"/>
  <c r="AG69" i="30"/>
  <c r="AJ69" i="30"/>
  <c r="AK69" i="30" s="1"/>
  <c r="AM69" i="30"/>
  <c r="AN69" i="30"/>
  <c r="L70" i="30"/>
  <c r="M70" i="30"/>
  <c r="V70" i="30" s="1"/>
  <c r="N70" i="30"/>
  <c r="O70" i="30" s="1"/>
  <c r="AG70" i="30"/>
  <c r="AJ70" i="30"/>
  <c r="AK70" i="30" s="1"/>
  <c r="AM70" i="30"/>
  <c r="AN70" i="30"/>
  <c r="L71" i="30"/>
  <c r="M71" i="30"/>
  <c r="R71" i="30" s="1"/>
  <c r="N71" i="30"/>
  <c r="O71" i="30" s="1"/>
  <c r="AG71" i="30"/>
  <c r="AJ71" i="30"/>
  <c r="AK71" i="30" s="1"/>
  <c r="AM71" i="30"/>
  <c r="AN71" i="30"/>
  <c r="L72" i="30"/>
  <c r="AG72" i="30"/>
  <c r="AJ72" i="30"/>
  <c r="AK72" i="30" s="1"/>
  <c r="AM72" i="30"/>
  <c r="AN72" i="30"/>
  <c r="L73" i="30"/>
  <c r="AG73" i="30"/>
  <c r="AJ73" i="30"/>
  <c r="AK73" i="30" s="1"/>
  <c r="AM73" i="30"/>
  <c r="AN73" i="30"/>
  <c r="J65" i="30"/>
  <c r="J64" i="30"/>
  <c r="J63" i="30"/>
  <c r="AJ63" i="30" s="1"/>
  <c r="AK63" i="30" s="1"/>
  <c r="J62" i="30"/>
  <c r="AJ62" i="30" s="1"/>
  <c r="AK62" i="30" s="1"/>
  <c r="J61" i="30"/>
  <c r="AJ61" i="30" s="1"/>
  <c r="AK61" i="30" s="1"/>
  <c r="H61" i="30"/>
  <c r="J60" i="30"/>
  <c r="AJ60" i="30" s="1"/>
  <c r="AK60" i="30" s="1"/>
  <c r="J59" i="30"/>
  <c r="J58" i="30"/>
  <c r="J57" i="30"/>
  <c r="AJ57" i="30" s="1"/>
  <c r="AK57" i="30" s="1"/>
  <c r="J56" i="30"/>
  <c r="J55" i="30"/>
  <c r="J54" i="30"/>
  <c r="J53" i="30"/>
  <c r="P52" i="30"/>
  <c r="O52" i="30"/>
  <c r="J52" i="30"/>
  <c r="J51" i="30"/>
  <c r="L66" i="30"/>
  <c r="Z66" i="30"/>
  <c r="O66" i="30"/>
  <c r="AG66" i="30"/>
  <c r="AJ66" i="30"/>
  <c r="AK66" i="30" s="1"/>
  <c r="AM66" i="30"/>
  <c r="AN66" i="30"/>
  <c r="L67" i="30"/>
  <c r="M67" i="30"/>
  <c r="V67" i="30" s="1"/>
  <c r="N67" i="30"/>
  <c r="O67" i="30" s="1"/>
  <c r="AG67" i="30"/>
  <c r="AJ67" i="30"/>
  <c r="AK67" i="30" s="1"/>
  <c r="AM67" i="30"/>
  <c r="AN67" i="30"/>
  <c r="L68" i="30"/>
  <c r="M68" i="30"/>
  <c r="R68" i="30" s="1"/>
  <c r="N68" i="30"/>
  <c r="P68" i="30" s="1"/>
  <c r="AG68" i="30"/>
  <c r="AJ68" i="30"/>
  <c r="AK68" i="30" s="1"/>
  <c r="AM68" i="30"/>
  <c r="AN68" i="30"/>
  <c r="L56" i="30"/>
  <c r="M56" i="30"/>
  <c r="Z56" i="30" s="1"/>
  <c r="N56" i="30"/>
  <c r="O56" i="30" s="1"/>
  <c r="AG56" i="30"/>
  <c r="AJ56" i="30"/>
  <c r="AK56" i="30" s="1"/>
  <c r="AM56" i="30"/>
  <c r="AN56" i="30"/>
  <c r="L57" i="30"/>
  <c r="M57" i="30"/>
  <c r="V57" i="30" s="1"/>
  <c r="N57" i="30"/>
  <c r="O57" i="30" s="1"/>
  <c r="AG57" i="30"/>
  <c r="AM57" i="30"/>
  <c r="AN57" i="30"/>
  <c r="L58" i="30"/>
  <c r="M58" i="30"/>
  <c r="R58" i="30" s="1"/>
  <c r="N58" i="30"/>
  <c r="P58" i="30" s="1"/>
  <c r="AG58" i="30"/>
  <c r="AJ58" i="30"/>
  <c r="AK58" i="30" s="1"/>
  <c r="AM58" i="30"/>
  <c r="AN58" i="30"/>
  <c r="L59" i="30"/>
  <c r="M59" i="30"/>
  <c r="R59" i="30" s="1"/>
  <c r="N59" i="30"/>
  <c r="O59" i="30" s="1"/>
  <c r="AG59" i="30"/>
  <c r="AJ59" i="30"/>
  <c r="AK59" i="30"/>
  <c r="AM59" i="30"/>
  <c r="AN59" i="30"/>
  <c r="L60" i="30"/>
  <c r="M60" i="30"/>
  <c r="Z60" i="30" s="1"/>
  <c r="N60" i="30"/>
  <c r="O60" i="30" s="1"/>
  <c r="AG60" i="30"/>
  <c r="AM60" i="30"/>
  <c r="AN60" i="30"/>
  <c r="L61" i="30"/>
  <c r="M61" i="30"/>
  <c r="Z61" i="30" s="1"/>
  <c r="N61" i="30"/>
  <c r="O61" i="30" s="1"/>
  <c r="AG61" i="30"/>
  <c r="AM61" i="30"/>
  <c r="AN61" i="30"/>
  <c r="L62" i="30"/>
  <c r="M62" i="30"/>
  <c r="N62" i="30"/>
  <c r="O62" i="30" s="1"/>
  <c r="AG62" i="30"/>
  <c r="AM62" i="30"/>
  <c r="AN62" i="30"/>
  <c r="L63" i="30"/>
  <c r="M63" i="30"/>
  <c r="N63" i="30"/>
  <c r="O63" i="30" s="1"/>
  <c r="AG63" i="30"/>
  <c r="AM63" i="30"/>
  <c r="AN63" i="30"/>
  <c r="L64" i="30"/>
  <c r="M64" i="30"/>
  <c r="Z64" i="30" s="1"/>
  <c r="N64" i="30"/>
  <c r="O64" i="30" s="1"/>
  <c r="AG64" i="30"/>
  <c r="AJ64" i="30"/>
  <c r="AK64" i="30" s="1"/>
  <c r="AM64" i="30"/>
  <c r="AN64" i="30"/>
  <c r="L65" i="30"/>
  <c r="M65" i="30"/>
  <c r="Z65" i="30" s="1"/>
  <c r="N65" i="30"/>
  <c r="O65" i="30" s="1"/>
  <c r="AG65" i="30"/>
  <c r="AJ65" i="30"/>
  <c r="AK65" i="30" s="1"/>
  <c r="AM65" i="30"/>
  <c r="AN65" i="30"/>
  <c r="J50" i="30"/>
  <c r="J49" i="30"/>
  <c r="J48" i="30"/>
  <c r="AC11" i="31" l="1"/>
  <c r="AC33" i="31"/>
  <c r="Y7" i="31"/>
  <c r="AC29" i="31"/>
  <c r="Y15" i="31"/>
  <c r="AA37" i="31"/>
  <c r="AB37" i="31"/>
  <c r="AC37" i="31" s="1"/>
  <c r="Y25" i="31"/>
  <c r="Y33" i="31"/>
  <c r="Y21" i="31"/>
  <c r="Q21" i="31"/>
  <c r="Q10" i="31"/>
  <c r="Y9" i="31"/>
  <c r="X19" i="31"/>
  <c r="Y19" i="31" s="1"/>
  <c r="W19" i="31"/>
  <c r="S40" i="31"/>
  <c r="T40" i="31"/>
  <c r="S38" i="31"/>
  <c r="T38" i="31"/>
  <c r="U38" i="31" s="1"/>
  <c r="X16" i="31"/>
  <c r="W16" i="31"/>
  <c r="AC8" i="31"/>
  <c r="AE8" i="31" s="1"/>
  <c r="AI8" i="31" s="1"/>
  <c r="X23" i="31"/>
  <c r="Y23" i="31" s="1"/>
  <c r="W23" i="31"/>
  <c r="W14" i="31"/>
  <c r="X14" i="31"/>
  <c r="T19" i="31"/>
  <c r="S19" i="31"/>
  <c r="Y13" i="31"/>
  <c r="AC18" i="31"/>
  <c r="AA41" i="31"/>
  <c r="AB41" i="31"/>
  <c r="S16" i="31"/>
  <c r="T16" i="31"/>
  <c r="U16" i="31" s="1"/>
  <c r="Y32" i="31"/>
  <c r="S30" i="31"/>
  <c r="T30" i="31"/>
  <c r="U30" i="31" s="1"/>
  <c r="AA14" i="31"/>
  <c r="AB14" i="31"/>
  <c r="W34" i="31"/>
  <c r="X34" i="31"/>
  <c r="Y34" i="31" s="1"/>
  <c r="W17" i="31"/>
  <c r="X17" i="31"/>
  <c r="X35" i="31"/>
  <c r="W35" i="31"/>
  <c r="T14" i="31"/>
  <c r="S14" i="31"/>
  <c r="AC21" i="31"/>
  <c r="Q26" i="31"/>
  <c r="Y37" i="31"/>
  <c r="X27" i="31"/>
  <c r="W27" i="31"/>
  <c r="S21" i="31"/>
  <c r="U21" i="31" s="1"/>
  <c r="X39" i="31"/>
  <c r="W39" i="31"/>
  <c r="AA35" i="31"/>
  <c r="AB35" i="31"/>
  <c r="T23" i="31"/>
  <c r="S23" i="31"/>
  <c r="T35" i="31"/>
  <c r="U35" i="31" s="1"/>
  <c r="S35" i="31"/>
  <c r="S34" i="31"/>
  <c r="T34" i="31"/>
  <c r="X41" i="31"/>
  <c r="W41" i="31"/>
  <c r="T11" i="31"/>
  <c r="S11" i="31"/>
  <c r="AA34" i="31"/>
  <c r="AB34" i="31"/>
  <c r="X31" i="31"/>
  <c r="Y31" i="31" s="1"/>
  <c r="W31" i="31"/>
  <c r="T18" i="31"/>
  <c r="S18" i="31"/>
  <c r="AA10" i="31"/>
  <c r="AB10" i="31"/>
  <c r="AC10" i="31" s="1"/>
  <c r="S20" i="31"/>
  <c r="T20" i="31"/>
  <c r="AC28" i="31"/>
  <c r="Y24" i="31"/>
  <c r="S12" i="31"/>
  <c r="T12" i="31"/>
  <c r="T41" i="31"/>
  <c r="S41" i="31"/>
  <c r="AC25" i="31"/>
  <c r="AC20" i="31"/>
  <c r="AA15" i="31"/>
  <c r="AB15" i="31"/>
  <c r="AC15" i="31" s="1"/>
  <c r="AA31" i="31"/>
  <c r="AB31" i="31"/>
  <c r="T27" i="31"/>
  <c r="U27" i="31" s="1"/>
  <c r="S27" i="31"/>
  <c r="X12" i="31"/>
  <c r="W12" i="31"/>
  <c r="AA13" i="31"/>
  <c r="AB13" i="31"/>
  <c r="S24" i="31"/>
  <c r="T24" i="31"/>
  <c r="T10" i="31"/>
  <c r="S10" i="31"/>
  <c r="AA26" i="31"/>
  <c r="AB26" i="31"/>
  <c r="Y40" i="31"/>
  <c r="Y11" i="31"/>
  <c r="AA22" i="31"/>
  <c r="AB22" i="31"/>
  <c r="AC22" i="31" s="1"/>
  <c r="S33" i="31"/>
  <c r="T33" i="31"/>
  <c r="T15" i="31"/>
  <c r="S15" i="31"/>
  <c r="T39" i="31"/>
  <c r="S39" i="31"/>
  <c r="S28" i="31"/>
  <c r="T28" i="31"/>
  <c r="AA38" i="31"/>
  <c r="AB38" i="31"/>
  <c r="W26" i="31"/>
  <c r="X26" i="31"/>
  <c r="Y26" i="31" s="1"/>
  <c r="Y29" i="31"/>
  <c r="W22" i="31"/>
  <c r="X22" i="31"/>
  <c r="AA16" i="31"/>
  <c r="AB16" i="31"/>
  <c r="T31" i="31"/>
  <c r="S31" i="31"/>
  <c r="S29" i="31"/>
  <c r="T29" i="31"/>
  <c r="S37" i="31"/>
  <c r="T37" i="31"/>
  <c r="W10" i="31"/>
  <c r="X10" i="31"/>
  <c r="S13" i="31"/>
  <c r="T13" i="31"/>
  <c r="AA17" i="31"/>
  <c r="AB17" i="31"/>
  <c r="S32" i="31"/>
  <c r="T32" i="31"/>
  <c r="S22" i="31"/>
  <c r="T22" i="31"/>
  <c r="W38" i="31"/>
  <c r="X38" i="31"/>
  <c r="AA30" i="31"/>
  <c r="AB30" i="31"/>
  <c r="S17" i="31"/>
  <c r="T17" i="31"/>
  <c r="AA9" i="31"/>
  <c r="AB9" i="31"/>
  <c r="Y20" i="31"/>
  <c r="S25" i="31"/>
  <c r="T25" i="31"/>
  <c r="AA39" i="31"/>
  <c r="AB39" i="31"/>
  <c r="S7" i="31"/>
  <c r="T7" i="31"/>
  <c r="U7" i="31" s="1"/>
  <c r="AE7" i="31" s="1"/>
  <c r="AI7" i="31" s="1"/>
  <c r="AC7" i="31"/>
  <c r="S36" i="31"/>
  <c r="T36" i="31"/>
  <c r="S26" i="31"/>
  <c r="T26" i="31"/>
  <c r="U26" i="31" s="1"/>
  <c r="Y28" i="31"/>
  <c r="Y36" i="31"/>
  <c r="W30" i="31"/>
  <c r="X30" i="31"/>
  <c r="Y30" i="31" s="1"/>
  <c r="P63" i="30"/>
  <c r="Q63" i="30" s="1"/>
  <c r="P64" i="30"/>
  <c r="Q64" i="30" s="1"/>
  <c r="AD74" i="30"/>
  <c r="W70" i="30"/>
  <c r="X70" i="30"/>
  <c r="AA69" i="30"/>
  <c r="AB69" i="30"/>
  <c r="S71" i="30"/>
  <c r="T71" i="30"/>
  <c r="P71" i="30"/>
  <c r="Q71" i="30" s="1"/>
  <c r="V69" i="30"/>
  <c r="AD70" i="30"/>
  <c r="R70" i="30"/>
  <c r="P70" i="30"/>
  <c r="Q70" i="30" s="1"/>
  <c r="AD73" i="30"/>
  <c r="AD69" i="30"/>
  <c r="R69" i="30"/>
  <c r="Z71" i="30"/>
  <c r="Z70" i="30"/>
  <c r="V71" i="30"/>
  <c r="P69" i="30"/>
  <c r="Q69" i="30" s="1"/>
  <c r="AD72" i="30"/>
  <c r="AD71" i="30"/>
  <c r="P65" i="30"/>
  <c r="Q65" i="30" s="1"/>
  <c r="R63" i="30"/>
  <c r="S63" i="30" s="1"/>
  <c r="P62" i="30"/>
  <c r="Q62" i="30" s="1"/>
  <c r="R62" i="30"/>
  <c r="T62" i="30" s="1"/>
  <c r="O58" i="30"/>
  <c r="Q58" i="30" s="1"/>
  <c r="W67" i="30"/>
  <c r="X67" i="30"/>
  <c r="S68" i="30"/>
  <c r="T68" i="30"/>
  <c r="AA66" i="30"/>
  <c r="AB66" i="30"/>
  <c r="Z68" i="30"/>
  <c r="O68" i="30"/>
  <c r="Q68" i="30" s="1"/>
  <c r="V66" i="30"/>
  <c r="P67" i="30"/>
  <c r="Q67" i="30" s="1"/>
  <c r="AD66" i="30"/>
  <c r="R66" i="30"/>
  <c r="P66" i="30"/>
  <c r="Q66" i="30" s="1"/>
  <c r="R67" i="30"/>
  <c r="Z67" i="30"/>
  <c r="V68" i="30"/>
  <c r="AD67" i="30"/>
  <c r="AD68" i="30"/>
  <c r="W57" i="30"/>
  <c r="X57" i="30"/>
  <c r="Y57" i="30" s="1"/>
  <c r="AA60" i="30"/>
  <c r="AB60" i="30"/>
  <c r="AB64" i="30"/>
  <c r="AA64" i="30"/>
  <c r="AA61" i="30"/>
  <c r="AB61" i="30"/>
  <c r="AC61" i="30" s="1"/>
  <c r="S58" i="30"/>
  <c r="T58" i="30"/>
  <c r="AB65" i="30"/>
  <c r="AA65" i="30"/>
  <c r="AA56" i="30"/>
  <c r="AB56" i="30"/>
  <c r="AC56" i="30" s="1"/>
  <c r="S59" i="30"/>
  <c r="T59" i="30"/>
  <c r="U59" i="30" s="1"/>
  <c r="V65" i="30"/>
  <c r="V61" i="30"/>
  <c r="Z63" i="30"/>
  <c r="V56" i="30"/>
  <c r="Z59" i="30"/>
  <c r="V64" i="30"/>
  <c r="AD65" i="30"/>
  <c r="AD61" i="30"/>
  <c r="AD57" i="30"/>
  <c r="R57" i="30"/>
  <c r="Z62" i="30"/>
  <c r="Z58" i="30"/>
  <c r="P57" i="30"/>
  <c r="Q57" i="30" s="1"/>
  <c r="P61" i="30"/>
  <c r="Q61" i="30" s="1"/>
  <c r="V59" i="30"/>
  <c r="AD64" i="30"/>
  <c r="R64" i="30"/>
  <c r="AD60" i="30"/>
  <c r="R60" i="30"/>
  <c r="AD56" i="30"/>
  <c r="R56" i="30"/>
  <c r="V60" i="30"/>
  <c r="R65" i="30"/>
  <c r="R61" i="30"/>
  <c r="V63" i="30"/>
  <c r="Z57" i="30"/>
  <c r="P56" i="30"/>
  <c r="Q56" i="30" s="1"/>
  <c r="P60" i="30"/>
  <c r="Q60" i="30" s="1"/>
  <c r="V58" i="30"/>
  <c r="AD63" i="30"/>
  <c r="AD59" i="30"/>
  <c r="V62" i="30"/>
  <c r="P59" i="30"/>
  <c r="Q59" i="30" s="1"/>
  <c r="AD62" i="30"/>
  <c r="AD58" i="30"/>
  <c r="J47" i="30"/>
  <c r="J46" i="30"/>
  <c r="J45" i="30"/>
  <c r="J44" i="30"/>
  <c r="J43" i="30"/>
  <c r="AC26" i="31" l="1"/>
  <c r="U20" i="31"/>
  <c r="AE20" i="31" s="1"/>
  <c r="AI20" i="31" s="1"/>
  <c r="AC30" i="31"/>
  <c r="U40" i="31"/>
  <c r="U19" i="31"/>
  <c r="AE19" i="31" s="1"/>
  <c r="AI19" i="31" s="1"/>
  <c r="AC38" i="31"/>
  <c r="U24" i="31"/>
  <c r="AE24" i="31" s="1"/>
  <c r="AI24" i="31" s="1"/>
  <c r="AC41" i="31"/>
  <c r="Y14" i="31"/>
  <c r="AE30" i="31"/>
  <c r="AI30" i="31" s="1"/>
  <c r="Y41" i="31"/>
  <c r="AE40" i="31"/>
  <c r="AI40" i="31" s="1"/>
  <c r="U37" i="31"/>
  <c r="AE37" i="31" s="1"/>
  <c r="AI37" i="31" s="1"/>
  <c r="Y35" i="31"/>
  <c r="AC35" i="31"/>
  <c r="AC31" i="31"/>
  <c r="U28" i="31"/>
  <c r="AE28" i="31" s="1"/>
  <c r="AI28" i="31" s="1"/>
  <c r="Y27" i="31"/>
  <c r="AE27" i="31" s="1"/>
  <c r="AI27" i="31" s="1"/>
  <c r="Y22" i="31"/>
  <c r="AE21" i="31"/>
  <c r="AI21" i="31" s="1"/>
  <c r="AC16" i="31"/>
  <c r="U15" i="31"/>
  <c r="AE15" i="31" s="1"/>
  <c r="AI15" i="31" s="1"/>
  <c r="AC14" i="31"/>
  <c r="Y10" i="31"/>
  <c r="U32" i="31"/>
  <c r="AE32" i="31" s="1"/>
  <c r="AI32" i="31" s="1"/>
  <c r="U29" i="31"/>
  <c r="AE29" i="31" s="1"/>
  <c r="AI29" i="31" s="1"/>
  <c r="U39" i="31"/>
  <c r="AC13" i="31"/>
  <c r="AC34" i="31"/>
  <c r="Y39" i="31"/>
  <c r="AC39" i="31"/>
  <c r="AC17" i="31"/>
  <c r="U31" i="31"/>
  <c r="Y12" i="31"/>
  <c r="U11" i="31"/>
  <c r="AE11" i="31" s="1"/>
  <c r="AI11" i="31" s="1"/>
  <c r="U36" i="31"/>
  <c r="AE36" i="31" s="1"/>
  <c r="AI36" i="31" s="1"/>
  <c r="U25" i="31"/>
  <c r="AE25" i="31" s="1"/>
  <c r="AI25" i="31" s="1"/>
  <c r="U13" i="31"/>
  <c r="U33" i="31"/>
  <c r="AE33" i="31" s="1"/>
  <c r="AI33" i="31" s="1"/>
  <c r="U12" i="31"/>
  <c r="Y17" i="31"/>
  <c r="U41" i="31"/>
  <c r="U14" i="31"/>
  <c r="U18" i="31"/>
  <c r="AE18" i="31" s="1"/>
  <c r="AI18" i="31" s="1"/>
  <c r="AC9" i="31"/>
  <c r="AE9" i="31" s="1"/>
  <c r="AI9" i="31" s="1"/>
  <c r="Y38" i="31"/>
  <c r="AE38" i="31" s="1"/>
  <c r="AI38" i="31" s="1"/>
  <c r="U10" i="31"/>
  <c r="AE10" i="31" s="1"/>
  <c r="AI10" i="31" s="1"/>
  <c r="U23" i="31"/>
  <c r="AE23" i="31" s="1"/>
  <c r="AI23" i="31" s="1"/>
  <c r="AE26" i="31"/>
  <c r="AI26" i="31" s="1"/>
  <c r="U17" i="31"/>
  <c r="U22" i="31"/>
  <c r="U34" i="31"/>
  <c r="Y16" i="31"/>
  <c r="AE16" i="31" s="1"/>
  <c r="AI16" i="31" s="1"/>
  <c r="U71" i="30"/>
  <c r="AC69" i="30"/>
  <c r="Y70" i="30"/>
  <c r="U68" i="30"/>
  <c r="T70" i="30"/>
  <c r="S70" i="30"/>
  <c r="W71" i="30"/>
  <c r="X71" i="30"/>
  <c r="Y71" i="30" s="1"/>
  <c r="S69" i="30"/>
  <c r="T69" i="30"/>
  <c r="U69" i="30" s="1"/>
  <c r="AA70" i="30"/>
  <c r="AB70" i="30"/>
  <c r="X69" i="30"/>
  <c r="W69" i="30"/>
  <c r="AA71" i="30"/>
  <c r="AB71" i="30"/>
  <c r="T63" i="30"/>
  <c r="U63" i="30" s="1"/>
  <c r="S62" i="30"/>
  <c r="AA68" i="30"/>
  <c r="AB68" i="30"/>
  <c r="AC68" i="30" s="1"/>
  <c r="AC66" i="30"/>
  <c r="W68" i="30"/>
  <c r="X68" i="30"/>
  <c r="AA67" i="30"/>
  <c r="AB67" i="30"/>
  <c r="S67" i="30"/>
  <c r="T67" i="30"/>
  <c r="S66" i="30"/>
  <c r="T66" i="30"/>
  <c r="Y67" i="30"/>
  <c r="X66" i="30"/>
  <c r="W66" i="30"/>
  <c r="X56" i="30"/>
  <c r="W56" i="30"/>
  <c r="X59" i="30"/>
  <c r="W59" i="30"/>
  <c r="AA63" i="30"/>
  <c r="AB63" i="30"/>
  <c r="AC63" i="30" s="1"/>
  <c r="U58" i="30"/>
  <c r="AC60" i="30"/>
  <c r="S65" i="30"/>
  <c r="T65" i="30"/>
  <c r="AB62" i="30"/>
  <c r="AA62" i="30"/>
  <c r="W63" i="30"/>
  <c r="X63" i="30"/>
  <c r="X60" i="30"/>
  <c r="Y60" i="30" s="1"/>
  <c r="W60" i="30"/>
  <c r="S57" i="30"/>
  <c r="T57" i="30"/>
  <c r="U57" i="30" s="1"/>
  <c r="W61" i="30"/>
  <c r="X61" i="30"/>
  <c r="S56" i="30"/>
  <c r="T56" i="30"/>
  <c r="W62" i="30"/>
  <c r="X62" i="30"/>
  <c r="S61" i="30"/>
  <c r="T61" i="30"/>
  <c r="U61" i="30" s="1"/>
  <c r="S60" i="30"/>
  <c r="T60" i="30"/>
  <c r="X64" i="30"/>
  <c r="W64" i="30"/>
  <c r="AC64" i="30"/>
  <c r="U62" i="30"/>
  <c r="AA57" i="30"/>
  <c r="AB57" i="30"/>
  <c r="AC57" i="30" s="1"/>
  <c r="W65" i="30"/>
  <c r="X65" i="30"/>
  <c r="AA58" i="30"/>
  <c r="AB58" i="30"/>
  <c r="W58" i="30"/>
  <c r="X58" i="30"/>
  <c r="S64" i="30"/>
  <c r="T64" i="30"/>
  <c r="AA59" i="30"/>
  <c r="AB59" i="30"/>
  <c r="AC65" i="30"/>
  <c r="J42" i="30"/>
  <c r="AJ42" i="30" s="1"/>
  <c r="AK42" i="30" s="1"/>
  <c r="J41" i="30"/>
  <c r="J40" i="30"/>
  <c r="AJ40" i="30" s="1"/>
  <c r="AK40" i="30" s="1"/>
  <c r="J39" i="30"/>
  <c r="J38" i="30"/>
  <c r="J37" i="30"/>
  <c r="L43" i="30"/>
  <c r="M43" i="30"/>
  <c r="V43" i="30" s="1"/>
  <c r="N43" i="30"/>
  <c r="P43" i="30" s="1"/>
  <c r="AG43" i="30"/>
  <c r="AJ43" i="30"/>
  <c r="AK43" i="30" s="1"/>
  <c r="AM43" i="30"/>
  <c r="AN43" i="30"/>
  <c r="L44" i="30"/>
  <c r="M44" i="30"/>
  <c r="R44" i="30" s="1"/>
  <c r="N44" i="30"/>
  <c r="O44" i="30" s="1"/>
  <c r="AG44" i="30"/>
  <c r="AJ44" i="30"/>
  <c r="AK44" i="30"/>
  <c r="AM44" i="30"/>
  <c r="AN44" i="30"/>
  <c r="L45" i="30"/>
  <c r="M45" i="30"/>
  <c r="N45" i="30"/>
  <c r="O45" i="30" s="1"/>
  <c r="AG45" i="30"/>
  <c r="AJ45" i="30"/>
  <c r="AK45" i="30"/>
  <c r="AM45" i="30"/>
  <c r="AN45" i="30"/>
  <c r="L46" i="30"/>
  <c r="M46" i="30"/>
  <c r="AD46" i="30" s="1"/>
  <c r="N46" i="30"/>
  <c r="AG46" i="30"/>
  <c r="AJ46" i="30"/>
  <c r="AK46" i="30"/>
  <c r="AM46" i="30"/>
  <c r="AN46" i="30"/>
  <c r="L47" i="30"/>
  <c r="M47" i="30"/>
  <c r="R47" i="30" s="1"/>
  <c r="N47" i="30"/>
  <c r="P47" i="30" s="1"/>
  <c r="AG47" i="30"/>
  <c r="AJ47" i="30"/>
  <c r="AK47" i="30" s="1"/>
  <c r="AM47" i="30"/>
  <c r="AN47" i="30"/>
  <c r="L48" i="30"/>
  <c r="M48" i="30"/>
  <c r="AD48" i="30" s="1"/>
  <c r="N48" i="30"/>
  <c r="O48" i="30" s="1"/>
  <c r="AG48" i="30"/>
  <c r="AJ48" i="30"/>
  <c r="AK48" i="30"/>
  <c r="AM48" i="30"/>
  <c r="AN48" i="30"/>
  <c r="L49" i="30"/>
  <c r="M49" i="30"/>
  <c r="N49" i="30"/>
  <c r="O49" i="30" s="1"/>
  <c r="AG49" i="30"/>
  <c r="AJ49" i="30"/>
  <c r="AK49" i="30"/>
  <c r="AM49" i="30"/>
  <c r="AN49" i="30"/>
  <c r="L50" i="30"/>
  <c r="M50" i="30"/>
  <c r="R50" i="30" s="1"/>
  <c r="N50" i="30"/>
  <c r="AG50" i="30"/>
  <c r="AJ50" i="30"/>
  <c r="AK50" i="30" s="1"/>
  <c r="AM50" i="30"/>
  <c r="AN50" i="30"/>
  <c r="L51" i="30"/>
  <c r="M51" i="30"/>
  <c r="R51" i="30" s="1"/>
  <c r="N51" i="30"/>
  <c r="P51" i="30" s="1"/>
  <c r="O51" i="30"/>
  <c r="AG51" i="30"/>
  <c r="AJ51" i="30"/>
  <c r="AK51" i="30" s="1"/>
  <c r="AM51" i="30"/>
  <c r="AN51" i="30"/>
  <c r="L52" i="30"/>
  <c r="R52" i="30"/>
  <c r="AG52" i="30"/>
  <c r="AJ52" i="30"/>
  <c r="AK52" i="30" s="1"/>
  <c r="AM52" i="30"/>
  <c r="AN52" i="30"/>
  <c r="L53" i="30"/>
  <c r="M53" i="30"/>
  <c r="N53" i="30"/>
  <c r="O53" i="30" s="1"/>
  <c r="AG53" i="30"/>
  <c r="AJ53" i="30"/>
  <c r="AK53" i="30" s="1"/>
  <c r="AM53" i="30"/>
  <c r="AN53" i="30"/>
  <c r="L54" i="30"/>
  <c r="M54" i="30"/>
  <c r="V54" i="30" s="1"/>
  <c r="N54" i="30"/>
  <c r="AG54" i="30"/>
  <c r="AJ54" i="30"/>
  <c r="AK54" i="30" s="1"/>
  <c r="AM54" i="30"/>
  <c r="AN54" i="30"/>
  <c r="L55" i="30"/>
  <c r="M55" i="30"/>
  <c r="AD55" i="30" s="1"/>
  <c r="N55" i="30"/>
  <c r="P55" i="30" s="1"/>
  <c r="AG55" i="30"/>
  <c r="AJ55" i="30"/>
  <c r="AK55" i="30" s="1"/>
  <c r="AM55" i="30"/>
  <c r="AN55" i="30"/>
  <c r="J36" i="30"/>
  <c r="AJ36" i="30" s="1"/>
  <c r="AK36" i="30" s="1"/>
  <c r="J35" i="30"/>
  <c r="AJ35" i="30" s="1"/>
  <c r="AK35" i="30" s="1"/>
  <c r="J34" i="30"/>
  <c r="AJ34" i="30" s="1"/>
  <c r="AK34" i="30" s="1"/>
  <c r="J33" i="30"/>
  <c r="AJ33" i="30" s="1"/>
  <c r="AK33" i="30" s="1"/>
  <c r="J32" i="30"/>
  <c r="J31" i="30"/>
  <c r="AJ31" i="30" s="1"/>
  <c r="AK31" i="30" s="1"/>
  <c r="H31" i="30"/>
  <c r="J30" i="30"/>
  <c r="AJ30" i="30" s="1"/>
  <c r="AK30" i="30" s="1"/>
  <c r="J29" i="30"/>
  <c r="AJ29" i="30" s="1"/>
  <c r="AK29" i="30" s="1"/>
  <c r="J28" i="30"/>
  <c r="J27" i="30"/>
  <c r="AJ27" i="30" s="1"/>
  <c r="AK27" i="30" s="1"/>
  <c r="J26" i="30"/>
  <c r="J25" i="30"/>
  <c r="AJ25" i="30" s="1"/>
  <c r="AK25" i="30" s="1"/>
  <c r="J24" i="30"/>
  <c r="J23" i="30"/>
  <c r="AJ23" i="30" s="1"/>
  <c r="AK23" i="30" s="1"/>
  <c r="J22" i="30"/>
  <c r="AJ22" i="30" s="1"/>
  <c r="AK22" i="30" s="1"/>
  <c r="H22" i="30"/>
  <c r="AG22" i="30" s="1"/>
  <c r="J21" i="30"/>
  <c r="J20" i="30"/>
  <c r="J19" i="30"/>
  <c r="AJ19" i="30" s="1"/>
  <c r="AK19" i="30" s="1"/>
  <c r="J18" i="30"/>
  <c r="J17" i="30"/>
  <c r="AJ17" i="30" s="1"/>
  <c r="AK17" i="30" s="1"/>
  <c r="J16" i="30"/>
  <c r="J15" i="30"/>
  <c r="AJ15" i="30" s="1"/>
  <c r="AK15" i="30" s="1"/>
  <c r="J14" i="30"/>
  <c r="AJ14" i="30" s="1"/>
  <c r="AK14" i="30" s="1"/>
  <c r="J13" i="30"/>
  <c r="AJ13" i="30" s="1"/>
  <c r="AK13" i="30" s="1"/>
  <c r="J12" i="30"/>
  <c r="J11" i="30"/>
  <c r="J10" i="30"/>
  <c r="J9" i="30"/>
  <c r="J8" i="30"/>
  <c r="J12" i="23"/>
  <c r="AN12" i="23"/>
  <c r="AM12" i="23"/>
  <c r="AJ12" i="23"/>
  <c r="AK12" i="23" s="1"/>
  <c r="AG12" i="23"/>
  <c r="N12" i="23"/>
  <c r="P12" i="23" s="1"/>
  <c r="M12" i="23"/>
  <c r="Z12" i="23" s="1"/>
  <c r="L12" i="23"/>
  <c r="L35" i="30"/>
  <c r="M35" i="30"/>
  <c r="R35" i="30" s="1"/>
  <c r="N35" i="30"/>
  <c r="P35" i="30" s="1"/>
  <c r="AG35" i="30"/>
  <c r="AM35" i="30"/>
  <c r="AN35" i="30"/>
  <c r="L36" i="30"/>
  <c r="M36" i="30"/>
  <c r="V36" i="30" s="1"/>
  <c r="N36" i="30"/>
  <c r="P36" i="30" s="1"/>
  <c r="O36" i="30"/>
  <c r="AG36" i="30"/>
  <c r="AM36" i="30"/>
  <c r="AN36" i="30"/>
  <c r="L37" i="30"/>
  <c r="M37" i="30"/>
  <c r="R37" i="30" s="1"/>
  <c r="N37" i="30"/>
  <c r="O37" i="30" s="1"/>
  <c r="AG37" i="30"/>
  <c r="AJ37" i="30"/>
  <c r="AK37" i="30" s="1"/>
  <c r="AM37" i="30"/>
  <c r="AN37" i="30"/>
  <c r="L38" i="30"/>
  <c r="M38" i="30"/>
  <c r="R38" i="30" s="1"/>
  <c r="S38" i="30" s="1"/>
  <c r="N38" i="30"/>
  <c r="O38" i="30" s="1"/>
  <c r="AD38" i="30"/>
  <c r="AG38" i="30"/>
  <c r="AJ38" i="30"/>
  <c r="AK38" i="30" s="1"/>
  <c r="AM38" i="30"/>
  <c r="AN38" i="30"/>
  <c r="L39" i="30"/>
  <c r="M39" i="30"/>
  <c r="R39" i="30" s="1"/>
  <c r="N39" i="30"/>
  <c r="P39" i="30" s="1"/>
  <c r="AG39" i="30"/>
  <c r="AJ39" i="30"/>
  <c r="AK39" i="30" s="1"/>
  <c r="AM39" i="30"/>
  <c r="AN39" i="30"/>
  <c r="L40" i="30"/>
  <c r="M40" i="30"/>
  <c r="V40" i="30" s="1"/>
  <c r="N40" i="30"/>
  <c r="P40" i="30" s="1"/>
  <c r="AG40" i="30"/>
  <c r="AM40" i="30"/>
  <c r="AN40" i="30"/>
  <c r="L41" i="30"/>
  <c r="M41" i="30"/>
  <c r="R41" i="30" s="1"/>
  <c r="N41" i="30"/>
  <c r="O41" i="30" s="1"/>
  <c r="AG41" i="30"/>
  <c r="AJ41" i="30"/>
  <c r="AK41" i="30" s="1"/>
  <c r="AM41" i="30"/>
  <c r="AN41" i="30"/>
  <c r="L42" i="30"/>
  <c r="M42" i="30"/>
  <c r="R42" i="30" s="1"/>
  <c r="S42" i="30" s="1"/>
  <c r="N42" i="30"/>
  <c r="O42" i="30" s="1"/>
  <c r="AG42" i="30"/>
  <c r="AM42" i="30"/>
  <c r="AN42" i="30"/>
  <c r="L13" i="30"/>
  <c r="M13" i="30"/>
  <c r="R13" i="30" s="1"/>
  <c r="T13" i="30" s="1"/>
  <c r="N13" i="30"/>
  <c r="O13" i="30" s="1"/>
  <c r="AG13" i="30"/>
  <c r="AM13" i="30"/>
  <c r="AN13" i="30"/>
  <c r="L14" i="30"/>
  <c r="M14" i="30"/>
  <c r="R14" i="30" s="1"/>
  <c r="N14" i="30"/>
  <c r="O14" i="30" s="1"/>
  <c r="AG14" i="30"/>
  <c r="AM14" i="30"/>
  <c r="AN14" i="30"/>
  <c r="L15" i="30"/>
  <c r="M15" i="30"/>
  <c r="N15" i="30"/>
  <c r="P15" i="30" s="1"/>
  <c r="AG15" i="30"/>
  <c r="AM15" i="30"/>
  <c r="AN15" i="30"/>
  <c r="L16" i="30"/>
  <c r="M16" i="30"/>
  <c r="R16" i="30" s="1"/>
  <c r="N16" i="30"/>
  <c r="AG16" i="30"/>
  <c r="AJ16" i="30"/>
  <c r="AK16" i="30" s="1"/>
  <c r="AM16" i="30"/>
  <c r="AN16" i="30"/>
  <c r="L17" i="30"/>
  <c r="M17" i="30"/>
  <c r="R17" i="30" s="1"/>
  <c r="T17" i="30" s="1"/>
  <c r="N17" i="30"/>
  <c r="P17" i="30" s="1"/>
  <c r="AG17" i="30"/>
  <c r="AM17" i="30"/>
  <c r="AN17" i="30"/>
  <c r="L18" i="30"/>
  <c r="M18" i="30"/>
  <c r="R18" i="30" s="1"/>
  <c r="N18" i="30"/>
  <c r="O18" i="30" s="1"/>
  <c r="AG18" i="30"/>
  <c r="AJ18" i="30"/>
  <c r="AK18" i="30" s="1"/>
  <c r="AM18" i="30"/>
  <c r="AN18" i="30"/>
  <c r="L19" i="30"/>
  <c r="M19" i="30"/>
  <c r="N19" i="30"/>
  <c r="P19" i="30" s="1"/>
  <c r="AG19" i="30"/>
  <c r="AM19" i="30"/>
  <c r="AN19" i="30"/>
  <c r="L20" i="30"/>
  <c r="M20" i="30"/>
  <c r="V20" i="30" s="1"/>
  <c r="N20" i="30"/>
  <c r="AG20" i="30"/>
  <c r="AJ20" i="30"/>
  <c r="AK20" i="30" s="1"/>
  <c r="AM20" i="30"/>
  <c r="AN20" i="30"/>
  <c r="L21" i="30"/>
  <c r="M21" i="30"/>
  <c r="N21" i="30"/>
  <c r="P21" i="30" s="1"/>
  <c r="AG21" i="30"/>
  <c r="AJ21" i="30"/>
  <c r="AK21" i="30" s="1"/>
  <c r="AM21" i="30"/>
  <c r="AN21" i="30"/>
  <c r="L22" i="30"/>
  <c r="M22" i="30"/>
  <c r="N22" i="30"/>
  <c r="O22" i="30" s="1"/>
  <c r="AM22" i="30"/>
  <c r="AN22" i="30"/>
  <c r="L23" i="30"/>
  <c r="M23" i="30"/>
  <c r="N23" i="30"/>
  <c r="P23" i="30" s="1"/>
  <c r="AG23" i="30"/>
  <c r="AM23" i="30"/>
  <c r="AN23" i="30"/>
  <c r="L24" i="30"/>
  <c r="M24" i="30"/>
  <c r="R24" i="30" s="1"/>
  <c r="N24" i="30"/>
  <c r="AG24" i="30"/>
  <c r="AJ24" i="30"/>
  <c r="AK24" i="30" s="1"/>
  <c r="AM24" i="30"/>
  <c r="AN24" i="30"/>
  <c r="L25" i="30"/>
  <c r="M25" i="30"/>
  <c r="R25" i="30" s="1"/>
  <c r="T25" i="30" s="1"/>
  <c r="N25" i="30"/>
  <c r="P25" i="30" s="1"/>
  <c r="AG25" i="30"/>
  <c r="AM25" i="30"/>
  <c r="AN25" i="30"/>
  <c r="L26" i="30"/>
  <c r="M26" i="30"/>
  <c r="AD26" i="30" s="1"/>
  <c r="N26" i="30"/>
  <c r="O26" i="30" s="1"/>
  <c r="R26" i="30"/>
  <c r="S26" i="30" s="1"/>
  <c r="T26" i="30"/>
  <c r="U26" i="30" s="1"/>
  <c r="V26" i="30"/>
  <c r="W26" i="30" s="1"/>
  <c r="Z26" i="30"/>
  <c r="AA26" i="30" s="1"/>
  <c r="AG26" i="30"/>
  <c r="AJ26" i="30"/>
  <c r="AK26" i="30"/>
  <c r="AM26" i="30"/>
  <c r="AN26" i="30"/>
  <c r="L27" i="30"/>
  <c r="M27" i="30"/>
  <c r="N27" i="30"/>
  <c r="P27" i="30" s="1"/>
  <c r="AG27" i="30"/>
  <c r="AM27" i="30"/>
  <c r="AN27" i="30"/>
  <c r="L28" i="30"/>
  <c r="M28" i="30"/>
  <c r="N28" i="30"/>
  <c r="AG28" i="30"/>
  <c r="AJ28" i="30"/>
  <c r="AK28" i="30" s="1"/>
  <c r="AM28" i="30"/>
  <c r="AN28" i="30"/>
  <c r="L29" i="30"/>
  <c r="M29" i="30"/>
  <c r="N29" i="30"/>
  <c r="P29" i="30" s="1"/>
  <c r="AG29" i="30"/>
  <c r="AM29" i="30"/>
  <c r="AN29" i="30"/>
  <c r="L30" i="30"/>
  <c r="M30" i="30"/>
  <c r="AD30" i="30" s="1"/>
  <c r="N30" i="30"/>
  <c r="O30" i="30" s="1"/>
  <c r="AG30" i="30"/>
  <c r="AM30" i="30"/>
  <c r="AN30" i="30"/>
  <c r="L31" i="30"/>
  <c r="M31" i="30"/>
  <c r="V31" i="30" s="1"/>
  <c r="W31" i="30" s="1"/>
  <c r="N31" i="30"/>
  <c r="O31" i="30" s="1"/>
  <c r="AG31" i="30"/>
  <c r="AM31" i="30"/>
  <c r="AN31" i="30"/>
  <c r="L32" i="30"/>
  <c r="M32" i="30"/>
  <c r="R32" i="30" s="1"/>
  <c r="N32" i="30"/>
  <c r="P32" i="30" s="1"/>
  <c r="AG32" i="30"/>
  <c r="AJ32" i="30"/>
  <c r="AK32" i="30" s="1"/>
  <c r="AM32" i="30"/>
  <c r="AN32" i="30"/>
  <c r="L33" i="30"/>
  <c r="M33" i="30"/>
  <c r="Z33" i="30" s="1"/>
  <c r="N33" i="30"/>
  <c r="O33" i="30" s="1"/>
  <c r="AG33" i="30"/>
  <c r="AM33" i="30"/>
  <c r="AN33" i="30"/>
  <c r="L34" i="30"/>
  <c r="M34" i="30"/>
  <c r="N34" i="30"/>
  <c r="O34" i="30" s="1"/>
  <c r="AG34" i="30"/>
  <c r="AM34" i="30"/>
  <c r="AN34" i="30"/>
  <c r="J11" i="23"/>
  <c r="J10" i="23"/>
  <c r="H9" i="23"/>
  <c r="AG9" i="23" s="1"/>
  <c r="J7" i="23"/>
  <c r="AJ7" i="23" s="1"/>
  <c r="AK7" i="23" s="1"/>
  <c r="H7" i="23"/>
  <c r="J6" i="23"/>
  <c r="AJ6" i="23" s="1"/>
  <c r="AK6" i="23" s="1"/>
  <c r="J5" i="23"/>
  <c r="AN7" i="30"/>
  <c r="AM7" i="30"/>
  <c r="AG7" i="30"/>
  <c r="N7" i="30"/>
  <c r="P7" i="30" s="1"/>
  <c r="M7" i="30"/>
  <c r="AD7" i="30" s="1"/>
  <c r="L7" i="30"/>
  <c r="J7" i="30"/>
  <c r="AJ7" i="30" s="1"/>
  <c r="AK7" i="30" s="1"/>
  <c r="AN6" i="30"/>
  <c r="AM6" i="30"/>
  <c r="AG6" i="30"/>
  <c r="P6" i="30"/>
  <c r="N6" i="30"/>
  <c r="O6" i="30" s="1"/>
  <c r="M6" i="30"/>
  <c r="AD6" i="30" s="1"/>
  <c r="L6" i="30"/>
  <c r="J6" i="30"/>
  <c r="AJ6" i="30" s="1"/>
  <c r="AK6" i="30" s="1"/>
  <c r="AN5" i="30"/>
  <c r="AM5" i="30"/>
  <c r="AG5" i="30"/>
  <c r="N5" i="30"/>
  <c r="P5" i="30" s="1"/>
  <c r="M5" i="30"/>
  <c r="AD5" i="30" s="1"/>
  <c r="L5" i="30"/>
  <c r="J5" i="30"/>
  <c r="AJ5" i="30" s="1"/>
  <c r="AK5" i="30" s="1"/>
  <c r="AN4" i="30"/>
  <c r="AM4" i="30"/>
  <c r="AG4" i="30"/>
  <c r="N4" i="30"/>
  <c r="P4" i="30" s="1"/>
  <c r="M4" i="30"/>
  <c r="AD4" i="30" s="1"/>
  <c r="L4" i="30"/>
  <c r="J4" i="30"/>
  <c r="AJ4" i="30" s="1"/>
  <c r="AK4" i="30" s="1"/>
  <c r="AN3" i="30"/>
  <c r="AM3" i="30"/>
  <c r="AJ3" i="30"/>
  <c r="AK3" i="30" s="1"/>
  <c r="AG3" i="30"/>
  <c r="AD3" i="30"/>
  <c r="Z3" i="30"/>
  <c r="AB3" i="30" s="1"/>
  <c r="V3" i="30"/>
  <c r="X3" i="30" s="1"/>
  <c r="T3" i="30"/>
  <c r="R3" i="30"/>
  <c r="S3" i="30" s="1"/>
  <c r="P3" i="30"/>
  <c r="Q3" i="30" s="1"/>
  <c r="O3" i="30"/>
  <c r="L3" i="30"/>
  <c r="AN2" i="30"/>
  <c r="AM2" i="30"/>
  <c r="N2" i="30"/>
  <c r="O2" i="30" s="1"/>
  <c r="M2" i="30"/>
  <c r="Z2" i="30" s="1"/>
  <c r="L2" i="30"/>
  <c r="J2" i="30"/>
  <c r="AJ2" i="30" s="1"/>
  <c r="AK2" i="30" s="1"/>
  <c r="H2" i="30"/>
  <c r="AG2" i="30" s="1"/>
  <c r="J4" i="23"/>
  <c r="J3" i="23"/>
  <c r="J2" i="23"/>
  <c r="L5" i="23"/>
  <c r="M5" i="23"/>
  <c r="Z5" i="23" s="1"/>
  <c r="N5" i="23"/>
  <c r="P5" i="23" s="1"/>
  <c r="AG5" i="23"/>
  <c r="AJ5" i="23"/>
  <c r="AK5" i="23" s="1"/>
  <c r="AM5" i="23"/>
  <c r="AN5" i="23"/>
  <c r="L6" i="23"/>
  <c r="M6" i="23"/>
  <c r="N6" i="23"/>
  <c r="O6" i="23" s="1"/>
  <c r="AG6" i="23"/>
  <c r="AM6" i="23"/>
  <c r="AN6" i="23"/>
  <c r="L7" i="23"/>
  <c r="M7" i="23"/>
  <c r="V7" i="23" s="1"/>
  <c r="N7" i="23"/>
  <c r="O7" i="23" s="1"/>
  <c r="AG7" i="23"/>
  <c r="AM7" i="23"/>
  <c r="AN7" i="23"/>
  <c r="L8" i="23"/>
  <c r="M8" i="23"/>
  <c r="V8" i="23" s="1"/>
  <c r="N8" i="23"/>
  <c r="P8" i="23" s="1"/>
  <c r="AG8" i="23"/>
  <c r="AJ8" i="23"/>
  <c r="AK8" i="23" s="1"/>
  <c r="AM8" i="23"/>
  <c r="AN8" i="23"/>
  <c r="L9" i="23"/>
  <c r="M9" i="23"/>
  <c r="V9" i="23" s="1"/>
  <c r="N9" i="23"/>
  <c r="O9" i="23" s="1"/>
  <c r="AJ9" i="23"/>
  <c r="AK9" i="23" s="1"/>
  <c r="AM9" i="23"/>
  <c r="AN9" i="23"/>
  <c r="L10" i="23"/>
  <c r="M10" i="23"/>
  <c r="N10" i="23"/>
  <c r="P10" i="23" s="1"/>
  <c r="AG10" i="23"/>
  <c r="AJ10" i="23"/>
  <c r="AK10" i="23" s="1"/>
  <c r="AM10" i="23"/>
  <c r="AN10" i="23"/>
  <c r="L11" i="23"/>
  <c r="M11" i="23"/>
  <c r="V11" i="23" s="1"/>
  <c r="N11" i="23"/>
  <c r="O11" i="23" s="1"/>
  <c r="AG11" i="23"/>
  <c r="AJ11" i="23"/>
  <c r="AK11" i="23"/>
  <c r="AM11" i="23"/>
  <c r="AN11" i="23"/>
  <c r="AE14" i="31" l="1"/>
  <c r="AI14" i="31" s="1"/>
  <c r="AE41" i="31"/>
  <c r="AI41" i="31" s="1"/>
  <c r="AE31" i="31"/>
  <c r="AI31" i="31" s="1"/>
  <c r="AE35" i="31"/>
  <c r="AI35" i="31" s="1"/>
  <c r="AE22" i="31"/>
  <c r="AI22" i="31" s="1"/>
  <c r="AE13" i="31"/>
  <c r="AI13" i="31" s="1"/>
  <c r="AE12" i="31"/>
  <c r="AI12" i="31" s="1"/>
  <c r="AE17" i="31"/>
  <c r="AI17" i="31" s="1"/>
  <c r="AE39" i="31"/>
  <c r="AI39" i="31" s="1"/>
  <c r="AE34" i="31"/>
  <c r="AI34" i="31" s="1"/>
  <c r="Y3" i="30"/>
  <c r="AA3" i="30"/>
  <c r="AC3" i="30" s="1"/>
  <c r="O4" i="30"/>
  <c r="Q4" i="30" s="1"/>
  <c r="P26" i="30"/>
  <c r="Q26" i="30" s="1"/>
  <c r="R29" i="30"/>
  <c r="T29" i="30" s="1"/>
  <c r="Q36" i="30"/>
  <c r="O7" i="30"/>
  <c r="Q7" i="30" s="1"/>
  <c r="R34" i="30"/>
  <c r="S34" i="30" s="1"/>
  <c r="AE57" i="30"/>
  <c r="AI57" i="30" s="1"/>
  <c r="W3" i="30"/>
  <c r="O5" i="30"/>
  <c r="Q5" i="30" s="1"/>
  <c r="V28" i="30"/>
  <c r="R22" i="30"/>
  <c r="U3" i="30"/>
  <c r="AE3" i="30" s="1"/>
  <c r="AI3" i="30" s="1"/>
  <c r="Q6" i="30"/>
  <c r="AB26" i="30"/>
  <c r="AC26" i="30" s="1"/>
  <c r="O40" i="30"/>
  <c r="Q40" i="30" s="1"/>
  <c r="O47" i="30"/>
  <c r="Q47" i="30" s="1"/>
  <c r="Y68" i="30"/>
  <c r="AE68" i="30" s="1"/>
  <c r="AI68" i="30" s="1"/>
  <c r="O29" i="30"/>
  <c r="AC70" i="30"/>
  <c r="AE74" i="30"/>
  <c r="AI74" i="30" s="1"/>
  <c r="AC71" i="30"/>
  <c r="AE71" i="30" s="1"/>
  <c r="AI71" i="30" s="1"/>
  <c r="Y69" i="30"/>
  <c r="AE69" i="30" s="1"/>
  <c r="AI69" i="30" s="1"/>
  <c r="U70" i="30"/>
  <c r="AE70" i="30" s="1"/>
  <c r="AI70" i="30" s="1"/>
  <c r="AE72" i="30"/>
  <c r="AI72" i="30" s="1"/>
  <c r="Y65" i="30"/>
  <c r="U65" i="30"/>
  <c r="U64" i="30"/>
  <c r="Y62" i="30"/>
  <c r="Y61" i="30"/>
  <c r="AE61" i="30" s="1"/>
  <c r="AI61" i="30" s="1"/>
  <c r="Y59" i="30"/>
  <c r="Y58" i="30"/>
  <c r="Y56" i="30"/>
  <c r="Z55" i="30"/>
  <c r="V55" i="30"/>
  <c r="R55" i="30"/>
  <c r="O55" i="30"/>
  <c r="Q55" i="30" s="1"/>
  <c r="P53" i="30"/>
  <c r="Q53" i="30" s="1"/>
  <c r="S52" i="30"/>
  <c r="T52" i="30"/>
  <c r="Q52" i="30"/>
  <c r="Z52" i="30"/>
  <c r="V52" i="30"/>
  <c r="AD52" i="30"/>
  <c r="T51" i="30"/>
  <c r="S51" i="30"/>
  <c r="AD51" i="30"/>
  <c r="Z51" i="30"/>
  <c r="V51" i="30"/>
  <c r="U67" i="30"/>
  <c r="AE67" i="30" s="1"/>
  <c r="AI67" i="30" s="1"/>
  <c r="AC67" i="30"/>
  <c r="Y66" i="30"/>
  <c r="U66" i="30"/>
  <c r="AE66" i="30" s="1"/>
  <c r="AI66" i="30" s="1"/>
  <c r="AC62" i="30"/>
  <c r="AE62" i="30" s="1"/>
  <c r="AI62" i="30" s="1"/>
  <c r="Y64" i="30"/>
  <c r="AC58" i="30"/>
  <c r="U60" i="30"/>
  <c r="AE60" i="30" s="1"/>
  <c r="AI60" i="30" s="1"/>
  <c r="AE58" i="30"/>
  <c r="AI58" i="30" s="1"/>
  <c r="AE64" i="30"/>
  <c r="AI64" i="30" s="1"/>
  <c r="AC59" i="30"/>
  <c r="AE59" i="30" s="1"/>
  <c r="AI59" i="30" s="1"/>
  <c r="Y63" i="30"/>
  <c r="AE63" i="30" s="1"/>
  <c r="AI63" i="30" s="1"/>
  <c r="U56" i="30"/>
  <c r="AE56" i="30" s="1"/>
  <c r="AI56" i="30" s="1"/>
  <c r="P49" i="30"/>
  <c r="Q49" i="30" s="1"/>
  <c r="V48" i="30"/>
  <c r="R48" i="30"/>
  <c r="P48" i="30"/>
  <c r="Q48" i="30" s="1"/>
  <c r="Z48" i="30"/>
  <c r="T47" i="30"/>
  <c r="S47" i="30"/>
  <c r="Z47" i="30"/>
  <c r="V47" i="30"/>
  <c r="AD47" i="30"/>
  <c r="Z46" i="30"/>
  <c r="AA46" i="30" s="1"/>
  <c r="V46" i="30"/>
  <c r="W46" i="30" s="1"/>
  <c r="R46" i="30"/>
  <c r="T46" i="30" s="1"/>
  <c r="P45" i="30"/>
  <c r="Q45" i="30" s="1"/>
  <c r="T44" i="30"/>
  <c r="S44" i="30"/>
  <c r="P44" i="30"/>
  <c r="Q44" i="30" s="1"/>
  <c r="AD44" i="30"/>
  <c r="V44" i="30"/>
  <c r="Z44" i="30"/>
  <c r="X43" i="30"/>
  <c r="Y43" i="30" s="1"/>
  <c r="W43" i="30"/>
  <c r="AD43" i="30"/>
  <c r="R43" i="30"/>
  <c r="O43" i="30"/>
  <c r="Z43" i="30"/>
  <c r="V42" i="30"/>
  <c r="W42" i="30" s="1"/>
  <c r="AD42" i="30"/>
  <c r="Z42" i="30"/>
  <c r="AA42" i="30" s="1"/>
  <c r="P41" i="30"/>
  <c r="Q41" i="30" s="1"/>
  <c r="W40" i="30"/>
  <c r="X40" i="30"/>
  <c r="Z40" i="30"/>
  <c r="AD40" i="30"/>
  <c r="R40" i="30"/>
  <c r="T39" i="30"/>
  <c r="S39" i="30"/>
  <c r="O39" i="30"/>
  <c r="Q39" i="30" s="1"/>
  <c r="AD39" i="30"/>
  <c r="V39" i="30"/>
  <c r="Z39" i="30"/>
  <c r="V38" i="30"/>
  <c r="W38" i="30" s="1"/>
  <c r="Z38" i="30"/>
  <c r="AA38" i="30" s="1"/>
  <c r="P37" i="30"/>
  <c r="Q37" i="30" s="1"/>
  <c r="W54" i="30"/>
  <c r="X54" i="30"/>
  <c r="S50" i="30"/>
  <c r="T50" i="30"/>
  <c r="R53" i="30"/>
  <c r="V53" i="30"/>
  <c r="Z53" i="30"/>
  <c r="AD53" i="30"/>
  <c r="U51" i="30"/>
  <c r="AD50" i="30"/>
  <c r="V50" i="30"/>
  <c r="O50" i="30"/>
  <c r="P50" i="30"/>
  <c r="Q50" i="30" s="1"/>
  <c r="O46" i="30"/>
  <c r="P46" i="30"/>
  <c r="R45" i="30"/>
  <c r="V45" i="30"/>
  <c r="Z45" i="30"/>
  <c r="AD45" i="30"/>
  <c r="Q43" i="30"/>
  <c r="Z54" i="30"/>
  <c r="R54" i="30"/>
  <c r="S46" i="30"/>
  <c r="AD54" i="30"/>
  <c r="O54" i="30"/>
  <c r="P54" i="30"/>
  <c r="AB46" i="30"/>
  <c r="Q51" i="30"/>
  <c r="Z50" i="30"/>
  <c r="R49" i="30"/>
  <c r="V49" i="30"/>
  <c r="Z49" i="30"/>
  <c r="AD49" i="30"/>
  <c r="X46" i="30"/>
  <c r="W36" i="30"/>
  <c r="X36" i="30"/>
  <c r="AD36" i="30"/>
  <c r="Z36" i="30"/>
  <c r="R36" i="30"/>
  <c r="T35" i="30"/>
  <c r="S35" i="30"/>
  <c r="AD35" i="30"/>
  <c r="V35" i="30"/>
  <c r="Z35" i="30"/>
  <c r="O35" i="30"/>
  <c r="Q35" i="30" s="1"/>
  <c r="P34" i="30"/>
  <c r="Q34" i="30" s="1"/>
  <c r="AB33" i="30"/>
  <c r="AA33" i="30"/>
  <c r="V33" i="30"/>
  <c r="P33" i="30"/>
  <c r="Q33" i="30" s="1"/>
  <c r="AD33" i="30"/>
  <c r="R33" i="30"/>
  <c r="T32" i="30"/>
  <c r="U32" i="30" s="1"/>
  <c r="S32" i="30"/>
  <c r="AD32" i="30"/>
  <c r="V32" i="30"/>
  <c r="Z32" i="30"/>
  <c r="O32" i="30"/>
  <c r="Q32" i="30" s="1"/>
  <c r="R31" i="30"/>
  <c r="S31" i="30" s="1"/>
  <c r="AD31" i="30"/>
  <c r="Z31" i="30"/>
  <c r="AA31" i="30" s="1"/>
  <c r="Z30" i="30"/>
  <c r="V30" i="30"/>
  <c r="R30" i="30"/>
  <c r="S30" i="30" s="1"/>
  <c r="P30" i="30"/>
  <c r="Q30" i="30" s="1"/>
  <c r="Q29" i="30"/>
  <c r="S29" i="30"/>
  <c r="U29" i="30" s="1"/>
  <c r="R28" i="30"/>
  <c r="S28" i="30" s="1"/>
  <c r="AD28" i="30"/>
  <c r="Z28" i="30"/>
  <c r="AB28" i="30" s="1"/>
  <c r="O27" i="30"/>
  <c r="Q27" i="30" s="1"/>
  <c r="X26" i="30"/>
  <c r="Y26" i="30" s="1"/>
  <c r="O25" i="30"/>
  <c r="Q25" i="30" s="1"/>
  <c r="V24" i="30"/>
  <c r="W24" i="30" s="1"/>
  <c r="AD24" i="30"/>
  <c r="Z24" i="30"/>
  <c r="AB24" i="30" s="1"/>
  <c r="O23" i="30"/>
  <c r="Q23" i="30" s="1"/>
  <c r="S22" i="30"/>
  <c r="T22" i="30"/>
  <c r="P22" i="30"/>
  <c r="Q22" i="30" s="1"/>
  <c r="AD22" i="30"/>
  <c r="V22" i="30"/>
  <c r="Z22" i="30"/>
  <c r="O21" i="30"/>
  <c r="Q21" i="30" s="1"/>
  <c r="R21" i="30"/>
  <c r="T21" i="30" s="1"/>
  <c r="R20" i="30"/>
  <c r="S20" i="30" s="1"/>
  <c r="AD20" i="30"/>
  <c r="Z20" i="30"/>
  <c r="AB20" i="30" s="1"/>
  <c r="O19" i="30"/>
  <c r="Q19" i="30" s="1"/>
  <c r="S18" i="30"/>
  <c r="T18" i="30"/>
  <c r="P18" i="30"/>
  <c r="Q18" i="30" s="1"/>
  <c r="AD18" i="30"/>
  <c r="V18" i="30"/>
  <c r="Z18" i="30"/>
  <c r="O17" i="30"/>
  <c r="Q17" i="30"/>
  <c r="AD16" i="30"/>
  <c r="Z16" i="30"/>
  <c r="V16" i="30"/>
  <c r="X16" i="30" s="1"/>
  <c r="O15" i="30"/>
  <c r="Q15" i="30" s="1"/>
  <c r="S14" i="30"/>
  <c r="T14" i="30"/>
  <c r="P14" i="30"/>
  <c r="Q14" i="30" s="1"/>
  <c r="AD14" i="30"/>
  <c r="V14" i="30"/>
  <c r="Z14" i="30"/>
  <c r="S13" i="30"/>
  <c r="P13" i="30"/>
  <c r="Q13" i="30" s="1"/>
  <c r="AB12" i="23"/>
  <c r="AC12" i="23" s="1"/>
  <c r="AA12" i="23"/>
  <c r="R12" i="23"/>
  <c r="O12" i="23"/>
  <c r="Q12" i="23" s="1"/>
  <c r="V12" i="23"/>
  <c r="AD12" i="23"/>
  <c r="S41" i="30"/>
  <c r="T41" i="30"/>
  <c r="T37" i="30"/>
  <c r="S37" i="30"/>
  <c r="AB38" i="30"/>
  <c r="AC38" i="30" s="1"/>
  <c r="T38" i="30"/>
  <c r="U38" i="30" s="1"/>
  <c r="P38" i="30"/>
  <c r="Q38" i="30" s="1"/>
  <c r="AB42" i="30"/>
  <c r="AC42" i="30" s="1"/>
  <c r="X42" i="30"/>
  <c r="Y42" i="30" s="1"/>
  <c r="T42" i="30"/>
  <c r="U42" i="30" s="1"/>
  <c r="P42" i="30"/>
  <c r="Q42" i="30" s="1"/>
  <c r="AD41" i="30"/>
  <c r="Z41" i="30"/>
  <c r="V41" i="30"/>
  <c r="AD37" i="30"/>
  <c r="Z37" i="30"/>
  <c r="V37" i="30"/>
  <c r="W28" i="30"/>
  <c r="X28" i="30"/>
  <c r="Y28" i="30" s="1"/>
  <c r="R23" i="30"/>
  <c r="V23" i="30"/>
  <c r="Z23" i="30"/>
  <c r="AD23" i="30"/>
  <c r="W20" i="30"/>
  <c r="X20" i="30"/>
  <c r="R15" i="30"/>
  <c r="V15" i="30"/>
  <c r="Z15" i="30"/>
  <c r="AD15" i="30"/>
  <c r="AB31" i="30"/>
  <c r="AC31" i="30" s="1"/>
  <c r="X31" i="30"/>
  <c r="Y31" i="30" s="1"/>
  <c r="P31" i="30"/>
  <c r="Q31" i="30" s="1"/>
  <c r="O28" i="30"/>
  <c r="P28" i="30"/>
  <c r="Q28" i="30" s="1"/>
  <c r="AE26" i="30"/>
  <c r="AI26" i="30" s="1"/>
  <c r="S25" i="30"/>
  <c r="O24" i="30"/>
  <c r="P24" i="30"/>
  <c r="S21" i="30"/>
  <c r="U21" i="30" s="1"/>
  <c r="O20" i="30"/>
  <c r="P20" i="30"/>
  <c r="S17" i="30"/>
  <c r="O16" i="30"/>
  <c r="P16" i="30"/>
  <c r="U13" i="30"/>
  <c r="R27" i="30"/>
  <c r="V27" i="30"/>
  <c r="Z27" i="30"/>
  <c r="AD27" i="30"/>
  <c r="X24" i="30"/>
  <c r="R19" i="30"/>
  <c r="V19" i="30"/>
  <c r="Z19" i="30"/>
  <c r="AD19" i="30"/>
  <c r="W16" i="30"/>
  <c r="T28" i="30"/>
  <c r="U25" i="30"/>
  <c r="S24" i="30"/>
  <c r="T24" i="30"/>
  <c r="U17" i="30"/>
  <c r="S16" i="30"/>
  <c r="T16" i="30"/>
  <c r="U16" i="30" s="1"/>
  <c r="AD34" i="30"/>
  <c r="Z34" i="30"/>
  <c r="V34" i="30"/>
  <c r="AA24" i="30"/>
  <c r="AA20" i="30"/>
  <c r="AA16" i="30"/>
  <c r="AB16" i="30"/>
  <c r="AD29" i="30"/>
  <c r="Z29" i="30"/>
  <c r="V29" i="30"/>
  <c r="AD25" i="30"/>
  <c r="Z25" i="30"/>
  <c r="V25" i="30"/>
  <c r="AD21" i="30"/>
  <c r="Z21" i="30"/>
  <c r="V21" i="30"/>
  <c r="AD17" i="30"/>
  <c r="Z17" i="30"/>
  <c r="V17" i="30"/>
  <c r="AD13" i="30"/>
  <c r="Z13" i="30"/>
  <c r="V13" i="30"/>
  <c r="P11" i="23"/>
  <c r="Q11" i="23" s="1"/>
  <c r="O10" i="23"/>
  <c r="Q10" i="23" s="1"/>
  <c r="R9" i="23"/>
  <c r="T9" i="23" s="1"/>
  <c r="P9" i="23"/>
  <c r="Q9" i="23" s="1"/>
  <c r="Z9" i="23"/>
  <c r="AA9" i="23" s="1"/>
  <c r="AD9" i="23"/>
  <c r="AD8" i="23"/>
  <c r="O8" i="23"/>
  <c r="Q8" i="23" s="1"/>
  <c r="O5" i="23"/>
  <c r="Q5" i="23" s="1"/>
  <c r="AD5" i="23"/>
  <c r="R5" i="23"/>
  <c r="T5" i="23" s="1"/>
  <c r="W7" i="23"/>
  <c r="X7" i="23"/>
  <c r="W11" i="23"/>
  <c r="X11" i="23"/>
  <c r="X9" i="23"/>
  <c r="W9" i="23"/>
  <c r="AA5" i="23"/>
  <c r="AB5" i="23"/>
  <c r="R11" i="23"/>
  <c r="T11" i="23" s="1"/>
  <c r="P7" i="23"/>
  <c r="Q7" i="23" s="1"/>
  <c r="V5" i="23"/>
  <c r="R7" i="23"/>
  <c r="S7" i="23" s="1"/>
  <c r="Z8" i="23"/>
  <c r="AB8" i="23" s="1"/>
  <c r="P6" i="23"/>
  <c r="Q6" i="23" s="1"/>
  <c r="AA2" i="30"/>
  <c r="AB2" i="30"/>
  <c r="AC2" i="30" s="1"/>
  <c r="P2" i="30"/>
  <c r="Q2" i="30" s="1"/>
  <c r="V2" i="30"/>
  <c r="AD2" i="30"/>
  <c r="R2" i="30"/>
  <c r="R4" i="30"/>
  <c r="V4" i="30"/>
  <c r="Z4" i="30"/>
  <c r="R5" i="30"/>
  <c r="V5" i="30"/>
  <c r="Z5" i="30"/>
  <c r="R6" i="30"/>
  <c r="V6" i="30"/>
  <c r="Z6" i="30"/>
  <c r="R7" i="30"/>
  <c r="V7" i="30"/>
  <c r="Z7" i="30"/>
  <c r="S9" i="23"/>
  <c r="X8" i="23"/>
  <c r="W8" i="23"/>
  <c r="S5" i="23"/>
  <c r="AD11" i="23"/>
  <c r="Z11" i="23"/>
  <c r="AD7" i="23"/>
  <c r="Z7" i="23"/>
  <c r="R10" i="23"/>
  <c r="V10" i="23"/>
  <c r="Z10" i="23"/>
  <c r="AD10" i="23"/>
  <c r="R8" i="23"/>
  <c r="R6" i="23"/>
  <c r="V6" i="23"/>
  <c r="Z6" i="23"/>
  <c r="AD6" i="23"/>
  <c r="AA28" i="30" l="1"/>
  <c r="AC28" i="30" s="1"/>
  <c r="U47" i="30"/>
  <c r="Q20" i="30"/>
  <c r="T34" i="30"/>
  <c r="U34" i="30" s="1"/>
  <c r="AC20" i="30"/>
  <c r="AC24" i="30"/>
  <c r="U35" i="30"/>
  <c r="U46" i="30"/>
  <c r="AC33" i="30"/>
  <c r="T20" i="30"/>
  <c r="U20" i="30" s="1"/>
  <c r="U39" i="30"/>
  <c r="AE65" i="30"/>
  <c r="AI65" i="30" s="1"/>
  <c r="AC16" i="30"/>
  <c r="Q54" i="30"/>
  <c r="AE73" i="30"/>
  <c r="AI73" i="30" s="1"/>
  <c r="T55" i="30"/>
  <c r="S55" i="30"/>
  <c r="X55" i="30"/>
  <c r="W55" i="30"/>
  <c r="AB55" i="30"/>
  <c r="AA55" i="30"/>
  <c r="U52" i="30"/>
  <c r="W52" i="30"/>
  <c r="X52" i="30"/>
  <c r="AA52" i="30"/>
  <c r="AB52" i="30"/>
  <c r="X51" i="30"/>
  <c r="W51" i="30"/>
  <c r="AB51" i="30"/>
  <c r="AA51" i="30"/>
  <c r="U50" i="30"/>
  <c r="AB48" i="30"/>
  <c r="AA48" i="30"/>
  <c r="S48" i="30"/>
  <c r="T48" i="30"/>
  <c r="U48" i="30" s="1"/>
  <c r="W48" i="30"/>
  <c r="X48" i="30"/>
  <c r="AB47" i="30"/>
  <c r="AA47" i="30"/>
  <c r="X47" i="30"/>
  <c r="Y47" i="30" s="1"/>
  <c r="W47" i="30"/>
  <c r="AB44" i="30"/>
  <c r="AA44" i="30"/>
  <c r="W44" i="30"/>
  <c r="X44" i="30"/>
  <c r="Y44" i="30" s="1"/>
  <c r="U44" i="30"/>
  <c r="T43" i="30"/>
  <c r="S43" i="30"/>
  <c r="AB43" i="30"/>
  <c r="AC43" i="30" s="1"/>
  <c r="AA43" i="30"/>
  <c r="Y40" i="30"/>
  <c r="AA40" i="30"/>
  <c r="AB40" i="30"/>
  <c r="S40" i="30"/>
  <c r="T40" i="30"/>
  <c r="AB39" i="30"/>
  <c r="AA39" i="30"/>
  <c r="X39" i="30"/>
  <c r="W39" i="30"/>
  <c r="X38" i="30"/>
  <c r="Y38" i="30" s="1"/>
  <c r="AA53" i="30"/>
  <c r="AB53" i="30"/>
  <c r="AA50" i="30"/>
  <c r="AB50" i="30"/>
  <c r="AC50" i="30" s="1"/>
  <c r="AA54" i="30"/>
  <c r="AB54" i="30"/>
  <c r="AC54" i="30" s="1"/>
  <c r="S45" i="30"/>
  <c r="T45" i="30"/>
  <c r="W53" i="30"/>
  <c r="X53" i="30"/>
  <c r="S54" i="30"/>
  <c r="T54" i="30"/>
  <c r="W45" i="30"/>
  <c r="X45" i="30"/>
  <c r="AA49" i="30"/>
  <c r="AB49" i="30"/>
  <c r="Y46" i="30"/>
  <c r="W49" i="30"/>
  <c r="X49" i="30"/>
  <c r="W50" i="30"/>
  <c r="X50" i="30"/>
  <c r="S53" i="30"/>
  <c r="T53" i="30"/>
  <c r="Y54" i="30"/>
  <c r="T49" i="30"/>
  <c r="S49" i="30"/>
  <c r="AC46" i="30"/>
  <c r="AA45" i="30"/>
  <c r="AB45" i="30"/>
  <c r="Q46" i="30"/>
  <c r="AA36" i="30"/>
  <c r="AB36" i="30"/>
  <c r="Y36" i="30"/>
  <c r="T36" i="30"/>
  <c r="S36" i="30"/>
  <c r="X35" i="30"/>
  <c r="W35" i="30"/>
  <c r="AB35" i="30"/>
  <c r="AA35" i="30"/>
  <c r="T33" i="30"/>
  <c r="S33" i="30"/>
  <c r="W33" i="30"/>
  <c r="X33" i="30"/>
  <c r="X32" i="30"/>
  <c r="W32" i="30"/>
  <c r="AB32" i="30"/>
  <c r="AA32" i="30"/>
  <c r="T31" i="30"/>
  <c r="U31" i="30" s="1"/>
  <c r="AE31" i="30" s="1"/>
  <c r="AI31" i="30" s="1"/>
  <c r="W30" i="30"/>
  <c r="X30" i="30"/>
  <c r="T30" i="30"/>
  <c r="U30" i="30" s="1"/>
  <c r="AA30" i="30"/>
  <c r="AB30" i="30"/>
  <c r="Y24" i="30"/>
  <c r="U24" i="30"/>
  <c r="W22" i="30"/>
  <c r="X22" i="30"/>
  <c r="Y22" i="30" s="1"/>
  <c r="AA22" i="30"/>
  <c r="AB22" i="30"/>
  <c r="AC22" i="30" s="1"/>
  <c r="U22" i="30"/>
  <c r="AA18" i="30"/>
  <c r="AB18" i="30"/>
  <c r="U18" i="30"/>
  <c r="W18" i="30"/>
  <c r="X18" i="30"/>
  <c r="AA14" i="30"/>
  <c r="AB14" i="30"/>
  <c r="U14" i="30"/>
  <c r="W14" i="30"/>
  <c r="X14" i="30"/>
  <c r="T12" i="23"/>
  <c r="S12" i="23"/>
  <c r="X12" i="23"/>
  <c r="Y12" i="23" s="1"/>
  <c r="W12" i="23"/>
  <c r="AA41" i="30"/>
  <c r="AB41" i="30"/>
  <c r="AC41" i="30" s="1"/>
  <c r="AE42" i="30"/>
  <c r="AI42" i="30" s="1"/>
  <c r="AE38" i="30"/>
  <c r="AI38" i="30" s="1"/>
  <c r="U37" i="30"/>
  <c r="U41" i="30"/>
  <c r="X37" i="30"/>
  <c r="W37" i="30"/>
  <c r="AB37" i="30"/>
  <c r="AA37" i="30"/>
  <c r="W41" i="30"/>
  <c r="X41" i="30"/>
  <c r="AB13" i="30"/>
  <c r="AA13" i="30"/>
  <c r="X25" i="30"/>
  <c r="W25" i="30"/>
  <c r="AB29" i="30"/>
  <c r="AA29" i="30"/>
  <c r="S19" i="30"/>
  <c r="T19" i="30"/>
  <c r="AA23" i="30"/>
  <c r="AB23" i="30"/>
  <c r="X21" i="30"/>
  <c r="W21" i="30"/>
  <c r="AB25" i="30"/>
  <c r="AA25" i="30"/>
  <c r="AA27" i="30"/>
  <c r="AB27" i="30"/>
  <c r="Q24" i="30"/>
  <c r="AE24" i="30" s="1"/>
  <c r="AI24" i="30" s="1"/>
  <c r="AA15" i="30"/>
  <c r="AB15" i="30"/>
  <c r="Y20" i="30"/>
  <c r="W23" i="30"/>
  <c r="X23" i="30"/>
  <c r="AA34" i="30"/>
  <c r="AB34" i="30"/>
  <c r="X17" i="30"/>
  <c r="W17" i="30"/>
  <c r="AB21" i="30"/>
  <c r="AA21" i="30"/>
  <c r="AA19" i="30"/>
  <c r="AB19" i="30"/>
  <c r="W27" i="30"/>
  <c r="X27" i="30"/>
  <c r="Y27" i="30" s="1"/>
  <c r="W15" i="30"/>
  <c r="X15" i="30"/>
  <c r="S23" i="30"/>
  <c r="T23" i="30"/>
  <c r="U23" i="30" s="1"/>
  <c r="X13" i="30"/>
  <c r="W13" i="30"/>
  <c r="AB17" i="30"/>
  <c r="AA17" i="30"/>
  <c r="X29" i="30"/>
  <c r="W29" i="30"/>
  <c r="W34" i="30"/>
  <c r="X34" i="30"/>
  <c r="U28" i="30"/>
  <c r="Y16" i="30"/>
  <c r="W19" i="30"/>
  <c r="X19" i="30"/>
  <c r="Y19" i="30" s="1"/>
  <c r="S27" i="30"/>
  <c r="T27" i="30"/>
  <c r="Q16" i="30"/>
  <c r="S15" i="30"/>
  <c r="T15" i="30"/>
  <c r="U15" i="30" s="1"/>
  <c r="Y9" i="23"/>
  <c r="S11" i="23"/>
  <c r="T7" i="23"/>
  <c r="AB9" i="23"/>
  <c r="AC9" i="23" s="1"/>
  <c r="AA8" i="23"/>
  <c r="AC8" i="23" s="1"/>
  <c r="AC5" i="23"/>
  <c r="U7" i="23"/>
  <c r="U11" i="23"/>
  <c r="U5" i="23"/>
  <c r="U9" i="23"/>
  <c r="Y11" i="23"/>
  <c r="Y7" i="23"/>
  <c r="X5" i="23"/>
  <c r="W5" i="23"/>
  <c r="AB7" i="30"/>
  <c r="AA7" i="30"/>
  <c r="T5" i="30"/>
  <c r="S5" i="30"/>
  <c r="T6" i="30"/>
  <c r="S6" i="30"/>
  <c r="AB4" i="30"/>
  <c r="AA4" i="30"/>
  <c r="T7" i="30"/>
  <c r="S7" i="30"/>
  <c r="AB5" i="30"/>
  <c r="AA5" i="30"/>
  <c r="X4" i="30"/>
  <c r="W4" i="30"/>
  <c r="W2" i="30"/>
  <c r="X2" i="30"/>
  <c r="X6" i="30"/>
  <c r="W6" i="30"/>
  <c r="S2" i="30"/>
  <c r="T2" i="30"/>
  <c r="X7" i="30"/>
  <c r="W7" i="30"/>
  <c r="AB6" i="30"/>
  <c r="AA6" i="30"/>
  <c r="X5" i="30"/>
  <c r="W5" i="30"/>
  <c r="T4" i="30"/>
  <c r="S4" i="30"/>
  <c r="W6" i="23"/>
  <c r="X6" i="23"/>
  <c r="Y6" i="23" s="1"/>
  <c r="AA10" i="23"/>
  <c r="AB10" i="23"/>
  <c r="AC10" i="23" s="1"/>
  <c r="T6" i="23"/>
  <c r="S6" i="23"/>
  <c r="W10" i="23"/>
  <c r="X10" i="23"/>
  <c r="T8" i="23"/>
  <c r="S8" i="23"/>
  <c r="T10" i="23"/>
  <c r="S10" i="23"/>
  <c r="AA7" i="23"/>
  <c r="AB7" i="23"/>
  <c r="AA6" i="23"/>
  <c r="AB6" i="23"/>
  <c r="AA11" i="23"/>
  <c r="AB11" i="23"/>
  <c r="AC11" i="23" s="1"/>
  <c r="AE11" i="23" s="1"/>
  <c r="AI11" i="23" s="1"/>
  <c r="Y8" i="23"/>
  <c r="AN6" i="31"/>
  <c r="AM6" i="31"/>
  <c r="AJ6" i="31"/>
  <c r="AK6" i="31" s="1"/>
  <c r="AG6" i="31"/>
  <c r="N6" i="31"/>
  <c r="O6" i="31" s="1"/>
  <c r="M6" i="31"/>
  <c r="AD6" i="31" s="1"/>
  <c r="L6" i="31"/>
  <c r="AN5" i="31"/>
  <c r="AM5" i="31"/>
  <c r="AJ5" i="31"/>
  <c r="AK5" i="31" s="1"/>
  <c r="AG5" i="31"/>
  <c r="N5" i="31"/>
  <c r="O5" i="31" s="1"/>
  <c r="M5" i="31"/>
  <c r="V5" i="31" s="1"/>
  <c r="L5" i="31"/>
  <c r="AN4" i="31"/>
  <c r="AM4" i="31"/>
  <c r="AJ4" i="31"/>
  <c r="AK4" i="31" s="1"/>
  <c r="AG4" i="31"/>
  <c r="N4" i="31"/>
  <c r="O4" i="31" s="1"/>
  <c r="M4" i="31"/>
  <c r="Z4" i="31" s="1"/>
  <c r="L4" i="31"/>
  <c r="AN3" i="31"/>
  <c r="AM3" i="31"/>
  <c r="AJ3" i="31"/>
  <c r="AK3" i="31" s="1"/>
  <c r="AG3" i="31"/>
  <c r="N3" i="31"/>
  <c r="O3" i="31" s="1"/>
  <c r="M3" i="31"/>
  <c r="V3" i="31" s="1"/>
  <c r="L3" i="31"/>
  <c r="AN2" i="31"/>
  <c r="AM2" i="31"/>
  <c r="AJ2" i="31"/>
  <c r="AK2" i="31" s="1"/>
  <c r="AG2" i="31"/>
  <c r="N2" i="31"/>
  <c r="O2" i="31" s="1"/>
  <c r="M2" i="31"/>
  <c r="AD2" i="31" s="1"/>
  <c r="L2" i="31"/>
  <c r="AN12" i="30"/>
  <c r="AM12" i="30"/>
  <c r="AJ12" i="30"/>
  <c r="AK12" i="30" s="1"/>
  <c r="AG12" i="30"/>
  <c r="N12" i="30"/>
  <c r="O12" i="30" s="1"/>
  <c r="M12" i="30"/>
  <c r="V12" i="30" s="1"/>
  <c r="L12" i="30"/>
  <c r="AN11" i="30"/>
  <c r="AM11" i="30"/>
  <c r="AJ11" i="30"/>
  <c r="AK11" i="30" s="1"/>
  <c r="AG11" i="30"/>
  <c r="N11" i="30"/>
  <c r="P11" i="30" s="1"/>
  <c r="M11" i="30"/>
  <c r="Z11" i="30" s="1"/>
  <c r="L11" i="30"/>
  <c r="AN10" i="30"/>
  <c r="AM10" i="30"/>
  <c r="AJ10" i="30"/>
  <c r="AK10" i="30" s="1"/>
  <c r="AG10" i="30"/>
  <c r="N10" i="30"/>
  <c r="O10" i="30" s="1"/>
  <c r="M10" i="30"/>
  <c r="V10" i="30" s="1"/>
  <c r="L10" i="30"/>
  <c r="AN9" i="30"/>
  <c r="AM9" i="30"/>
  <c r="AJ9" i="30"/>
  <c r="AK9" i="30" s="1"/>
  <c r="AG9" i="30"/>
  <c r="N9" i="30"/>
  <c r="P9" i="30" s="1"/>
  <c r="M9" i="30"/>
  <c r="Z9" i="30" s="1"/>
  <c r="L9" i="30"/>
  <c r="AN8" i="30"/>
  <c r="AM8" i="30"/>
  <c r="AJ8" i="30"/>
  <c r="AK8" i="30" s="1"/>
  <c r="AG8" i="30"/>
  <c r="N8" i="30"/>
  <c r="O8" i="30" s="1"/>
  <c r="M8" i="30"/>
  <c r="V8" i="30" s="1"/>
  <c r="L8" i="30"/>
  <c r="M3" i="23"/>
  <c r="V3" i="23" s="1"/>
  <c r="N3" i="23"/>
  <c r="O3" i="23" s="1"/>
  <c r="M4" i="23"/>
  <c r="V4" i="23" s="1"/>
  <c r="N4" i="23"/>
  <c r="P4" i="23" s="1"/>
  <c r="U36" i="30" l="1"/>
  <c r="AC36" i="30"/>
  <c r="AC14" i="30"/>
  <c r="U2" i="30"/>
  <c r="Y18" i="30"/>
  <c r="AE18" i="30" s="1"/>
  <c r="AI18" i="30" s="1"/>
  <c r="AC40" i="30"/>
  <c r="AC51" i="30"/>
  <c r="AC32" i="30"/>
  <c r="Y2" i="30"/>
  <c r="AC18" i="30"/>
  <c r="Y30" i="30"/>
  <c r="AC35" i="30"/>
  <c r="Y48" i="30"/>
  <c r="Y39" i="30"/>
  <c r="AE28" i="30"/>
  <c r="AI28" i="30" s="1"/>
  <c r="AC55" i="30"/>
  <c r="Y55" i="30"/>
  <c r="U55" i="30"/>
  <c r="U53" i="30"/>
  <c r="Y53" i="30"/>
  <c r="Y52" i="30"/>
  <c r="AC52" i="30"/>
  <c r="AE52" i="30" s="1"/>
  <c r="AI52" i="30" s="1"/>
  <c r="Y51" i="30"/>
  <c r="AE51" i="30" s="1"/>
  <c r="AI51" i="30" s="1"/>
  <c r="U49" i="30"/>
  <c r="AC48" i="30"/>
  <c r="AE48" i="30" s="1"/>
  <c r="AI48" i="30" s="1"/>
  <c r="AC47" i="30"/>
  <c r="AE47" i="30" s="1"/>
  <c r="AI47" i="30" s="1"/>
  <c r="Y45" i="30"/>
  <c r="AC44" i="30"/>
  <c r="AE44" i="30" s="1"/>
  <c r="AI44" i="30" s="1"/>
  <c r="U43" i="30"/>
  <c r="AE43" i="30" s="1"/>
  <c r="AI43" i="30" s="1"/>
  <c r="Y41" i="30"/>
  <c r="AE41" i="30" s="1"/>
  <c r="AI41" i="30" s="1"/>
  <c r="U40" i="30"/>
  <c r="AE40" i="30" s="1"/>
  <c r="AI40" i="30" s="1"/>
  <c r="AC39" i="30"/>
  <c r="AE39" i="30" s="1"/>
  <c r="AI39" i="30" s="1"/>
  <c r="AE46" i="30"/>
  <c r="AI46" i="30" s="1"/>
  <c r="AC49" i="30"/>
  <c r="AC53" i="30"/>
  <c r="AC45" i="30"/>
  <c r="Y50" i="30"/>
  <c r="AE50" i="30" s="1"/>
  <c r="AI50" i="30" s="1"/>
  <c r="Y49" i="30"/>
  <c r="U54" i="30"/>
  <c r="AE54" i="30" s="1"/>
  <c r="AI54" i="30" s="1"/>
  <c r="U45" i="30"/>
  <c r="Y35" i="30"/>
  <c r="AE35" i="30" s="1"/>
  <c r="AI35" i="30" s="1"/>
  <c r="Y34" i="30"/>
  <c r="U33" i="30"/>
  <c r="Y33" i="30"/>
  <c r="Y32" i="30"/>
  <c r="AE32" i="30" s="1"/>
  <c r="AI32" i="30" s="1"/>
  <c r="AC30" i="30"/>
  <c r="AE30" i="30" s="1"/>
  <c r="AI30" i="30" s="1"/>
  <c r="Y29" i="30"/>
  <c r="AC29" i="30"/>
  <c r="Y23" i="30"/>
  <c r="AC23" i="30"/>
  <c r="AE22" i="30"/>
  <c r="AI22" i="30" s="1"/>
  <c r="Y21" i="30"/>
  <c r="AE20" i="30"/>
  <c r="AI20" i="30" s="1"/>
  <c r="U19" i="30"/>
  <c r="Y17" i="30"/>
  <c r="Y14" i="30"/>
  <c r="AE14" i="30" s="1"/>
  <c r="AI14" i="30" s="1"/>
  <c r="Y13" i="30"/>
  <c r="AC13" i="30"/>
  <c r="U12" i="23"/>
  <c r="AE12" i="23" s="1"/>
  <c r="AI12" i="23" s="1"/>
  <c r="Y37" i="30"/>
  <c r="AE37" i="30" s="1"/>
  <c r="AI37" i="30" s="1"/>
  <c r="AC37" i="30"/>
  <c r="AE23" i="30"/>
  <c r="AI23" i="30" s="1"/>
  <c r="Y25" i="30"/>
  <c r="AE16" i="30"/>
  <c r="AI16" i="30" s="1"/>
  <c r="AC17" i="30"/>
  <c r="AE17" i="30" s="1"/>
  <c r="AI17" i="30" s="1"/>
  <c r="AC21" i="30"/>
  <c r="AE21" i="30" s="1"/>
  <c r="AI21" i="30" s="1"/>
  <c r="AC34" i="30"/>
  <c r="AC27" i="30"/>
  <c r="AC25" i="30"/>
  <c r="U27" i="30"/>
  <c r="Y15" i="30"/>
  <c r="AC19" i="30"/>
  <c r="AE19" i="30" s="1"/>
  <c r="AI19" i="30" s="1"/>
  <c r="AC15" i="30"/>
  <c r="U8" i="23"/>
  <c r="AE9" i="23"/>
  <c r="AI9" i="23" s="1"/>
  <c r="Y10" i="23"/>
  <c r="AE8" i="23"/>
  <c r="AI8" i="23" s="1"/>
  <c r="Y5" i="23"/>
  <c r="AC7" i="23"/>
  <c r="AE7" i="23" s="1"/>
  <c r="AI7" i="23" s="1"/>
  <c r="AE5" i="23"/>
  <c r="AI5" i="23" s="1"/>
  <c r="AC6" i="30"/>
  <c r="U5" i="30"/>
  <c r="U4" i="30"/>
  <c r="AC5" i="30"/>
  <c r="AC4" i="30"/>
  <c r="Y5" i="30"/>
  <c r="Y7" i="30"/>
  <c r="Y6" i="30"/>
  <c r="Y4" i="30"/>
  <c r="U7" i="30"/>
  <c r="U6" i="30"/>
  <c r="AC7" i="30"/>
  <c r="U6" i="23"/>
  <c r="AE6" i="23" s="1"/>
  <c r="AI6" i="23" s="1"/>
  <c r="U10" i="23"/>
  <c r="AC6" i="23"/>
  <c r="R10" i="30"/>
  <c r="T10" i="30" s="1"/>
  <c r="O11" i="30"/>
  <c r="Q11" i="30" s="1"/>
  <c r="P10" i="30"/>
  <c r="Q10" i="30" s="1"/>
  <c r="R8" i="30"/>
  <c r="S8" i="30" s="1"/>
  <c r="V9" i="30"/>
  <c r="X9" i="30" s="1"/>
  <c r="R12" i="30"/>
  <c r="T12" i="30" s="1"/>
  <c r="V11" i="30"/>
  <c r="X11" i="30" s="1"/>
  <c r="P2" i="31"/>
  <c r="Q2" i="31" s="1"/>
  <c r="P4" i="31"/>
  <c r="Q4" i="31" s="1"/>
  <c r="P6" i="31"/>
  <c r="Q6" i="31" s="1"/>
  <c r="AD8" i="30"/>
  <c r="AD12" i="30"/>
  <c r="O9" i="30"/>
  <c r="Q9" i="30" s="1"/>
  <c r="P8" i="30"/>
  <c r="Q8" i="30" s="1"/>
  <c r="AD10" i="30"/>
  <c r="P12" i="30"/>
  <c r="Q12" i="30" s="1"/>
  <c r="V2" i="31"/>
  <c r="X2" i="31" s="1"/>
  <c r="V4" i="31"/>
  <c r="W4" i="31" s="1"/>
  <c r="V6" i="31"/>
  <c r="X6" i="31" s="1"/>
  <c r="W5" i="31"/>
  <c r="X5" i="31"/>
  <c r="X3" i="31"/>
  <c r="W3" i="31"/>
  <c r="AB4" i="31"/>
  <c r="AA4" i="31"/>
  <c r="P3" i="31"/>
  <c r="Q3" i="31" s="1"/>
  <c r="P5" i="31"/>
  <c r="Q5" i="31" s="1"/>
  <c r="Z2" i="31"/>
  <c r="Z6" i="31"/>
  <c r="R3" i="31"/>
  <c r="AD3" i="31"/>
  <c r="R5" i="31"/>
  <c r="AD5" i="31"/>
  <c r="Z5" i="31"/>
  <c r="R2" i="31"/>
  <c r="R4" i="31"/>
  <c r="AD4" i="31"/>
  <c r="R6" i="31"/>
  <c r="Z3" i="31"/>
  <c r="W8" i="30"/>
  <c r="X8" i="30"/>
  <c r="W12" i="30"/>
  <c r="X12" i="30"/>
  <c r="AB11" i="30"/>
  <c r="AA11" i="30"/>
  <c r="W10" i="30"/>
  <c r="X10" i="30"/>
  <c r="AB9" i="30"/>
  <c r="AA9" i="30"/>
  <c r="Z8" i="30"/>
  <c r="Z10" i="30"/>
  <c r="Z12" i="30"/>
  <c r="R9" i="30"/>
  <c r="AD9" i="30"/>
  <c r="R11" i="30"/>
  <c r="AD11" i="30"/>
  <c r="Z4" i="23"/>
  <c r="Z3" i="23"/>
  <c r="AA3" i="23" s="1"/>
  <c r="W4" i="23"/>
  <c r="X4" i="23"/>
  <c r="W3" i="23"/>
  <c r="X3" i="23"/>
  <c r="O4" i="23"/>
  <c r="Q4" i="23" s="1"/>
  <c r="R3" i="23"/>
  <c r="R4" i="23"/>
  <c r="P3" i="23"/>
  <c r="Q3" i="23" s="1"/>
  <c r="AE34" i="30" l="1"/>
  <c r="AI34" i="30" s="1"/>
  <c r="AE13" i="30"/>
  <c r="AI13" i="30" s="1"/>
  <c r="AE25" i="30"/>
  <c r="AI25" i="30" s="1"/>
  <c r="AE2" i="30"/>
  <c r="AI2" i="30" s="1"/>
  <c r="AE53" i="30"/>
  <c r="AI53" i="30" s="1"/>
  <c r="AE36" i="30"/>
  <c r="AI36" i="30" s="1"/>
  <c r="AE55" i="30"/>
  <c r="AI55" i="30" s="1"/>
  <c r="AE49" i="30"/>
  <c r="AI49" i="30" s="1"/>
  <c r="AE45" i="30"/>
  <c r="AI45" i="30" s="1"/>
  <c r="AE33" i="30"/>
  <c r="AI33" i="30" s="1"/>
  <c r="AE29" i="30"/>
  <c r="AI29" i="30" s="1"/>
  <c r="AE15" i="30"/>
  <c r="AI15" i="30" s="1"/>
  <c r="AE27" i="30"/>
  <c r="AI27" i="30" s="1"/>
  <c r="AE10" i="23"/>
  <c r="AI10" i="23" s="1"/>
  <c r="AE6" i="30"/>
  <c r="AI6" i="30" s="1"/>
  <c r="AE4" i="30"/>
  <c r="AI4" i="30" s="1"/>
  <c r="AE7" i="30"/>
  <c r="AI7" i="30" s="1"/>
  <c r="AE5" i="30"/>
  <c r="AI5" i="30" s="1"/>
  <c r="S12" i="30"/>
  <c r="W9" i="30"/>
  <c r="Y9" i="30" s="1"/>
  <c r="S10" i="30"/>
  <c r="U10" i="30" s="1"/>
  <c r="Y3" i="23"/>
  <c r="W11" i="30"/>
  <c r="Y11" i="30" s="1"/>
  <c r="T8" i="30"/>
  <c r="U8" i="30" s="1"/>
  <c r="AC9" i="30"/>
  <c r="W2" i="31"/>
  <c r="Y2" i="31" s="1"/>
  <c r="Y12" i="30"/>
  <c r="X4" i="31"/>
  <c r="Y4" i="31" s="1"/>
  <c r="U12" i="30"/>
  <c r="Y5" i="31"/>
  <c r="Y3" i="31"/>
  <c r="Y8" i="30"/>
  <c r="W6" i="31"/>
  <c r="Y6" i="31" s="1"/>
  <c r="S3" i="31"/>
  <c r="T3" i="31"/>
  <c r="AA3" i="31"/>
  <c r="AB3" i="31"/>
  <c r="T2" i="31"/>
  <c r="S2" i="31"/>
  <c r="AB6" i="31"/>
  <c r="AA6" i="31"/>
  <c r="S6" i="31"/>
  <c r="T6" i="31"/>
  <c r="AB5" i="31"/>
  <c r="AA5" i="31"/>
  <c r="AB2" i="31"/>
  <c r="AA2" i="31"/>
  <c r="AC4" i="31"/>
  <c r="T5" i="31"/>
  <c r="S5" i="31"/>
  <c r="T4" i="31"/>
  <c r="S4" i="31"/>
  <c r="AB10" i="30"/>
  <c r="AA10" i="30"/>
  <c r="Y10" i="30"/>
  <c r="T11" i="30"/>
  <c r="S11" i="30"/>
  <c r="AB8" i="30"/>
  <c r="AA8" i="30"/>
  <c r="T9" i="30"/>
  <c r="S9" i="30"/>
  <c r="AB12" i="30"/>
  <c r="AA12" i="30"/>
  <c r="AC11" i="30"/>
  <c r="Y4" i="23"/>
  <c r="AB3" i="23"/>
  <c r="AC3" i="23" s="1"/>
  <c r="AB4" i="23"/>
  <c r="AA4" i="23"/>
  <c r="T4" i="23"/>
  <c r="S4" i="23"/>
  <c r="S3" i="23"/>
  <c r="T3" i="23"/>
  <c r="U3" i="23" l="1"/>
  <c r="U4" i="31"/>
  <c r="AE4" i="31" s="1"/>
  <c r="AI4" i="31" s="1"/>
  <c r="AC2" i="31"/>
  <c r="AC3" i="31"/>
  <c r="U9" i="30"/>
  <c r="AE9" i="30" s="1"/>
  <c r="AI9" i="30" s="1"/>
  <c r="AC6" i="31"/>
  <c r="U5" i="31"/>
  <c r="AC5" i="31"/>
  <c r="U6" i="31"/>
  <c r="U2" i="31"/>
  <c r="U3" i="31"/>
  <c r="AC8" i="30"/>
  <c r="AE8" i="30" s="1"/>
  <c r="AI8" i="30" s="1"/>
  <c r="AC10" i="30"/>
  <c r="AE10" i="30" s="1"/>
  <c r="AI10" i="30" s="1"/>
  <c r="AC12" i="30"/>
  <c r="AE12" i="30" s="1"/>
  <c r="AI12" i="30" s="1"/>
  <c r="U11" i="30"/>
  <c r="AE11" i="30" s="1"/>
  <c r="AI11" i="30" s="1"/>
  <c r="AC4" i="23"/>
  <c r="U4" i="23"/>
  <c r="AE3" i="31" l="1"/>
  <c r="AI3" i="31" s="1"/>
  <c r="AE2" i="31"/>
  <c r="AI2" i="31" s="1"/>
  <c r="AE6" i="31"/>
  <c r="AI6" i="31" s="1"/>
  <c r="AE5" i="31"/>
  <c r="AI5" i="31" s="1"/>
  <c r="AN3" i="23" l="1"/>
  <c r="AN4" i="23"/>
  <c r="AN2" i="23"/>
  <c r="AM3" i="23"/>
  <c r="AM4" i="23"/>
  <c r="AM2" i="23"/>
  <c r="H4" i="25"/>
  <c r="AD3" i="23" l="1"/>
  <c r="AD4" i="23" l="1"/>
  <c r="M2" i="23"/>
  <c r="N2" i="23"/>
  <c r="P2" i="23" s="1"/>
  <c r="V2" i="23" l="1"/>
  <c r="X2" i="23" s="1"/>
  <c r="Z2" i="23"/>
  <c r="AD2" i="23"/>
  <c r="R2" i="23"/>
  <c r="O2" i="23"/>
  <c r="Q2" i="23" s="1"/>
  <c r="AE4" i="23" l="1"/>
  <c r="AB2" i="23"/>
  <c r="AA2" i="23"/>
  <c r="W2" i="23"/>
  <c r="Y2" i="23" s="1"/>
  <c r="T2" i="23"/>
  <c r="S2" i="23"/>
  <c r="AE3" i="23" l="1"/>
  <c r="AC2" i="23"/>
  <c r="U2" i="23"/>
  <c r="AE2" i="23" l="1"/>
  <c r="AJ4" i="23"/>
  <c r="AK4" i="23" s="1"/>
  <c r="AJ3" i="23"/>
  <c r="AK3" i="23" s="1"/>
  <c r="AJ2" i="23"/>
  <c r="AK2" i="23" s="1"/>
  <c r="AG3" i="23"/>
  <c r="AG4" i="23"/>
  <c r="AG2" i="23"/>
  <c r="L4" i="23"/>
  <c r="L3" i="23"/>
  <c r="L2" i="23"/>
  <c r="AI4" i="23" l="1"/>
  <c r="AI3" i="23" l="1"/>
  <c r="AI2" i="23" l="1"/>
</calcChain>
</file>

<file path=xl/sharedStrings.xml><?xml version="1.0" encoding="utf-8"?>
<sst xmlns="http://schemas.openxmlformats.org/spreadsheetml/2006/main" count="871" uniqueCount="291">
  <si>
    <t>Floor</t>
  </si>
  <si>
    <t>Window Ventilation (1/0)</t>
  </si>
  <si>
    <t>Ventilated (1/0)</t>
  </si>
  <si>
    <t>Fan Number</t>
  </si>
  <si>
    <t>Supply Flow [m³/h]</t>
  </si>
  <si>
    <t>Exhaust Flow [m³/h]</t>
  </si>
  <si>
    <t>Exhaust Temp [°C]</t>
  </si>
  <si>
    <t>Supply Temp [°C]</t>
  </si>
  <si>
    <t>Target Temperature [°C]</t>
  </si>
  <si>
    <t xml:space="preserve">Heating times </t>
  </si>
  <si>
    <t>Mixing Ventilation (1/0)</t>
  </si>
  <si>
    <t>Occupancy schedule</t>
  </si>
  <si>
    <t>Occupancy Intensity</t>
  </si>
  <si>
    <t>etc.</t>
  </si>
  <si>
    <t>Window Count</t>
  </si>
  <si>
    <t>WC</t>
  </si>
  <si>
    <t>Inner walls length[m]</t>
  </si>
  <si>
    <t>Aisle</t>
  </si>
  <si>
    <t>Washing</t>
  </si>
  <si>
    <t>Storage</t>
  </si>
  <si>
    <t>Lounge</t>
  </si>
  <si>
    <t>AirLock</t>
  </si>
  <si>
    <t>IsolationRoom</t>
  </si>
  <si>
    <t>Office</t>
  </si>
  <si>
    <t>Index</t>
  </si>
  <si>
    <t>NetArea[m²]</t>
  </si>
  <si>
    <t>RoomIdentifier</t>
  </si>
  <si>
    <t>UsageType</t>
  </si>
  <si>
    <t>BelongsToIdentifier</t>
  </si>
  <si>
    <t>WindowArea[m²]</t>
  </si>
  <si>
    <t>OuterWallArea[m²]</t>
  </si>
  <si>
    <t>OuterWallConstruction</t>
  </si>
  <si>
    <t>HeatedRoomHeight[m]</t>
  </si>
  <si>
    <t>WindowConstruction</t>
  </si>
  <si>
    <t>IsRooftop</t>
  </si>
  <si>
    <t>IsGroundFloor</t>
  </si>
  <si>
    <t>InnerWallArea[m²]</t>
  </si>
  <si>
    <t>WindowOrientation[°]</t>
  </si>
  <si>
    <t>OuterWallOrientation[°]</t>
  </si>
  <si>
    <t>InnerWallConstruction</t>
  </si>
  <si>
    <t>FloorConstruction</t>
  </si>
  <si>
    <t>CeilingConstruction</t>
  </si>
  <si>
    <t>WallAdjacentTo</t>
  </si>
  <si>
    <t>Window 1 ID</t>
  </si>
  <si>
    <t>Window 2 ID</t>
  </si>
  <si>
    <t>Window2Area[m²]</t>
  </si>
  <si>
    <t>Window1Area[m²]</t>
  </si>
  <si>
    <t>Window 1[m]</t>
  </si>
  <si>
    <t>Window 2[m]</t>
  </si>
  <si>
    <t>Window 3 ID</t>
  </si>
  <si>
    <t>Window 3[m]</t>
  </si>
  <si>
    <t>Window3Area[m²]</t>
  </si>
  <si>
    <t>EquipmentServiceAndRinse</t>
  </si>
  <si>
    <t>OuterWallAreaInclWindow</t>
  </si>
  <si>
    <t>WINDOW ID</t>
  </si>
  <si>
    <t>SIZE</t>
  </si>
  <si>
    <t>KD2</t>
  </si>
  <si>
    <t>ROOM NUMBER</t>
  </si>
  <si>
    <t>AMOUNT</t>
  </si>
  <si>
    <t>PatientRoom</t>
  </si>
  <si>
    <t>TOTAL NUMBER WINDOWS</t>
  </si>
  <si>
    <t>Window 4 ID</t>
  </si>
  <si>
    <t>Window 4[m]</t>
  </si>
  <si>
    <t>Window4Area[m²]</t>
  </si>
  <si>
    <t>Outer Wall length [m]</t>
  </si>
  <si>
    <t>TechnicalRoom</t>
  </si>
  <si>
    <t>Laboratory</t>
  </si>
  <si>
    <t>Kitchen</t>
  </si>
  <si>
    <t>Usage Types</t>
  </si>
  <si>
    <t>Finnish</t>
  </si>
  <si>
    <t>English</t>
  </si>
  <si>
    <t>Setup:</t>
  </si>
  <si>
    <t>You need to import the correct Windows data from the Windows excel sheet. Rearrange the columns to fit the format used in this file.</t>
  </si>
  <si>
    <t>Välinehuolto ja huuhtelutilat</t>
  </si>
  <si>
    <t>Jakava liikenne (käytävät)</t>
  </si>
  <si>
    <t>Potilashuoneet</t>
  </si>
  <si>
    <t>Eristyshuoneet</t>
  </si>
  <si>
    <t>Eristyshuoneet (small adjacent rooms to IsolationRoom)</t>
  </si>
  <si>
    <t>Pesutilat</t>
  </si>
  <si>
    <t>Varastotilat</t>
  </si>
  <si>
    <t>WC-tilat</t>
  </si>
  <si>
    <t>laboratoriot / Kemikaalivarastot</t>
  </si>
  <si>
    <t>Osastokeittiö</t>
  </si>
  <si>
    <t>Taukotilat</t>
  </si>
  <si>
    <t>Tekniikka</t>
  </si>
  <si>
    <t>Height [m]</t>
  </si>
  <si>
    <t>Windows</t>
  </si>
  <si>
    <t>Rooms</t>
  </si>
  <si>
    <t>ZONE A</t>
  </si>
  <si>
    <t>ZONE B</t>
  </si>
  <si>
    <t>ZONE C</t>
  </si>
  <si>
    <t>ZONE D</t>
  </si>
  <si>
    <t>ZONE E</t>
  </si>
  <si>
    <t>ZONE F</t>
  </si>
  <si>
    <t>in TK01_x you list all rooms that belong to RLT1 which is marked blue. TK02_x is marked red (RLT2) and TK03_x is marked green (RLT3).</t>
  </si>
  <si>
    <t>Zones are used to calculate thermal behaviour between walls and areas within the building that are not rooms. Examples are the courtyard and several shafts. The Zones are shown in sheet "Zones". All other shafts or areas can be ignored and adjacent walls are interior walls.</t>
  </si>
  <si>
    <t>The Usage Types for each room are shown in sheet "Translations".</t>
  </si>
  <si>
    <t>Orange columns MUST be filled in MANUALLY although not all orange columns must have a value. All all other columns are filled in automatically.</t>
  </si>
  <si>
    <t>Maintenance</t>
  </si>
  <si>
    <t>Toimenpidehuoneet</t>
  </si>
  <si>
    <t>Tarkkailuhuoneet</t>
  </si>
  <si>
    <t>Observation</t>
  </si>
  <si>
    <t>TreatmentRoom</t>
  </si>
  <si>
    <t>Jätehuone</t>
  </si>
  <si>
    <t>WasteHandling</t>
  </si>
  <si>
    <t>Siivous- ja huoltotilat / Välinehuolto ja huuhtelutilat</t>
  </si>
  <si>
    <t>Yellow and some orange columns are read by Teaser.</t>
  </si>
  <si>
    <t>Toimistotilat / Kokoustilat (literal translation is meeting rooms)</t>
  </si>
  <si>
    <t>OuterWallLength[drawing mm]</t>
  </si>
  <si>
    <t>InnerWallsLength[drawing mm]</t>
  </si>
  <si>
    <t>KL3.008</t>
  </si>
  <si>
    <t>KL3.098</t>
  </si>
  <si>
    <t>KL3.006</t>
  </si>
  <si>
    <t>KL3.074</t>
  </si>
  <si>
    <t>KL3.027</t>
  </si>
  <si>
    <t>KL3.102</t>
  </si>
  <si>
    <t>KL3.109</t>
  </si>
  <si>
    <t>KL3.040</t>
  </si>
  <si>
    <t>KL3.007</t>
  </si>
  <si>
    <t>KL3.029</t>
  </si>
  <si>
    <t>KL3.032</t>
  </si>
  <si>
    <t>KL3.035</t>
  </si>
  <si>
    <t>KL3.041</t>
  </si>
  <si>
    <t>KL3.P2</t>
  </si>
  <si>
    <t>KL3.P3</t>
  </si>
  <si>
    <t>KL3.028</t>
  </si>
  <si>
    <t>KL3.030</t>
  </si>
  <si>
    <t>KL3.031</t>
  </si>
  <si>
    <t>KL3.033</t>
  </si>
  <si>
    <t>KL3.034</t>
  </si>
  <si>
    <t>KL3.070</t>
  </si>
  <si>
    <t>KL3.005</t>
  </si>
  <si>
    <t>KL3.004</t>
  </si>
  <si>
    <t>KL3.037</t>
  </si>
  <si>
    <t>KL3.042</t>
  </si>
  <si>
    <t>KL3.039</t>
  </si>
  <si>
    <t>KL3.111</t>
  </si>
  <si>
    <t>KL3.071</t>
  </si>
  <si>
    <t>KL3.072</t>
  </si>
  <si>
    <t>KL3.073</t>
  </si>
  <si>
    <t>KL3.038</t>
  </si>
  <si>
    <t>KL3.036</t>
  </si>
  <si>
    <t>KL3.103</t>
  </si>
  <si>
    <t>KL3.105</t>
  </si>
  <si>
    <t>KL3.094</t>
  </si>
  <si>
    <t>KL3.091</t>
  </si>
  <si>
    <t>IU10,5-o</t>
  </si>
  <si>
    <t>IU10,5-v+OTL3-v</t>
  </si>
  <si>
    <t>IU10,5-v</t>
  </si>
  <si>
    <t>IU10-o</t>
  </si>
  <si>
    <t>IU10-v</t>
  </si>
  <si>
    <t>IU11-o+OTL3-v</t>
  </si>
  <si>
    <t>IU11-o+VTL3-o</t>
  </si>
  <si>
    <t>IU11-v+OTL3-v</t>
  </si>
  <si>
    <t>IU11-v</t>
  </si>
  <si>
    <t>IU13,5-o</t>
  </si>
  <si>
    <t>IU13,5-v</t>
  </si>
  <si>
    <t>IU13-o</t>
  </si>
  <si>
    <t>IU13-v</t>
  </si>
  <si>
    <t>IU14,5-o</t>
  </si>
  <si>
    <t>IU14,5-v</t>
  </si>
  <si>
    <t>IU17,5-o</t>
  </si>
  <si>
    <t>IU17,5-v+VTL3-o</t>
  </si>
  <si>
    <t>IU17,5-v</t>
  </si>
  <si>
    <t>IU19,5-o</t>
  </si>
  <si>
    <t>IU20-o</t>
  </si>
  <si>
    <t>IU21-o</t>
  </si>
  <si>
    <t>IU21-v</t>
  </si>
  <si>
    <t>IU3,5-o</t>
  </si>
  <si>
    <t>IU4,5-o</t>
  </si>
  <si>
    <t>IU4-v</t>
  </si>
  <si>
    <t>IU5,5-o</t>
  </si>
  <si>
    <t>IU5,5-v</t>
  </si>
  <si>
    <t>IU5-v+VTL3-o</t>
  </si>
  <si>
    <t>IU5-o</t>
  </si>
  <si>
    <t>IU6-o</t>
  </si>
  <si>
    <t>IU6-v</t>
  </si>
  <si>
    <t>IU8,5-o</t>
  </si>
  <si>
    <t>IU8,5-v</t>
  </si>
  <si>
    <t>IU8-o</t>
  </si>
  <si>
    <t>IU9,5-o</t>
  </si>
  <si>
    <t>IU9,5-v</t>
  </si>
  <si>
    <t>IU9-o</t>
  </si>
  <si>
    <t>IU9-v</t>
  </si>
  <si>
    <t>IUA10,5-o+VTL3-</t>
  </si>
  <si>
    <t>IUA10,5-o</t>
  </si>
  <si>
    <t>IUA10-o+OTL3-v</t>
  </si>
  <si>
    <t>IUA13,5-v</t>
  </si>
  <si>
    <t>IUA16-v</t>
  </si>
  <si>
    <t>IUA21,5-o</t>
  </si>
  <si>
    <t>IUA21-v</t>
  </si>
  <si>
    <t>IUA5-o</t>
  </si>
  <si>
    <t>IUA7,5-o</t>
  </si>
  <si>
    <t>EI 30</t>
  </si>
  <si>
    <t>E 30</t>
  </si>
  <si>
    <t>EI 3</t>
  </si>
  <si>
    <t>Floor 3</t>
  </si>
  <si>
    <t>KL3.001</t>
  </si>
  <si>
    <t>KL3.002</t>
  </si>
  <si>
    <t>KL3.003</t>
  </si>
  <si>
    <t>KL3.009</t>
  </si>
  <si>
    <t>US04</t>
  </si>
  <si>
    <t>N/A</t>
  </si>
  <si>
    <t>KL3.056</t>
  </si>
  <si>
    <t>KL3.010</t>
  </si>
  <si>
    <t>KL3.023</t>
  </si>
  <si>
    <t>KL3.022</t>
  </si>
  <si>
    <t>KL3.011</t>
  </si>
  <si>
    <t>KL3.012</t>
  </si>
  <si>
    <t>KL3.013</t>
  </si>
  <si>
    <t>KL3.014</t>
  </si>
  <si>
    <t>KL3.015</t>
  </si>
  <si>
    <t>KL3.016</t>
  </si>
  <si>
    <t>KL3.017</t>
  </si>
  <si>
    <t>KL3.018</t>
  </si>
  <si>
    <t>KL3.019</t>
  </si>
  <si>
    <t>KL3.020</t>
  </si>
  <si>
    <t>KL3.021</t>
  </si>
  <si>
    <t>KL3.024</t>
  </si>
  <si>
    <t>KL3.025</t>
  </si>
  <si>
    <t>KL3.026</t>
  </si>
  <si>
    <t>KL3.043</t>
  </si>
  <si>
    <t>KL3.044</t>
  </si>
  <si>
    <t>KL3.045</t>
  </si>
  <si>
    <t>KL3.046</t>
  </si>
  <si>
    <t>KL3.047</t>
  </si>
  <si>
    <t>KL3.048</t>
  </si>
  <si>
    <t>KL3.049</t>
  </si>
  <si>
    <t>KL3.050</t>
  </si>
  <si>
    <t>KL3.051</t>
  </si>
  <si>
    <t>KL3.052</t>
  </si>
  <si>
    <t>KL3.053</t>
  </si>
  <si>
    <t>KL3.057</t>
  </si>
  <si>
    <t>KL3.058</t>
  </si>
  <si>
    <t>KL3.059</t>
  </si>
  <si>
    <t>KL3.060</t>
  </si>
  <si>
    <t>KL3.061</t>
  </si>
  <si>
    <t>NO ID FOUND</t>
  </si>
  <si>
    <t>KL3.062</t>
  </si>
  <si>
    <t>KL3.063</t>
  </si>
  <si>
    <t>KL3.064</t>
  </si>
  <si>
    <t>KL3.065</t>
  </si>
  <si>
    <t>KL3.066</t>
  </si>
  <si>
    <t>KL3.067</t>
  </si>
  <si>
    <t>KL3.068</t>
  </si>
  <si>
    <t>KL3.069</t>
  </si>
  <si>
    <t>KL3.075</t>
  </si>
  <si>
    <t>KL3.076</t>
  </si>
  <si>
    <t>KL3.077</t>
  </si>
  <si>
    <t>KL3.078</t>
  </si>
  <si>
    <t>KL3.079</t>
  </si>
  <si>
    <t>KL3.080</t>
  </si>
  <si>
    <t>KL3.081</t>
  </si>
  <si>
    <t>KL3.082</t>
  </si>
  <si>
    <t>KL3.083</t>
  </si>
  <si>
    <t>KL3.084</t>
  </si>
  <si>
    <t>KL3.085</t>
  </si>
  <si>
    <t>KL3.086</t>
  </si>
  <si>
    <t>KL3.087</t>
  </si>
  <si>
    <t>KL3.088</t>
  </si>
  <si>
    <t>KL3.089</t>
  </si>
  <si>
    <t>KL3.090</t>
  </si>
  <si>
    <t>KL3.092</t>
  </si>
  <si>
    <t>KL3.093</t>
  </si>
  <si>
    <t>KL3.095</t>
  </si>
  <si>
    <t>KL3.096</t>
  </si>
  <si>
    <t>KL3.097</t>
  </si>
  <si>
    <t>KL3.099</t>
  </si>
  <si>
    <t>KL3.100</t>
  </si>
  <si>
    <t>KL3.101</t>
  </si>
  <si>
    <t>KL3.104</t>
  </si>
  <si>
    <t>KL3.106</t>
  </si>
  <si>
    <t>KL3.107</t>
  </si>
  <si>
    <t>LockerRoom</t>
  </si>
  <si>
    <t>Pukutilat</t>
  </si>
  <si>
    <t>KL3.108</t>
  </si>
  <si>
    <t>KL3.110</t>
  </si>
  <si>
    <t>KL3.112</t>
  </si>
  <si>
    <t>KL3.113</t>
  </si>
  <si>
    <t>KL3.114</t>
  </si>
  <si>
    <t>KL3.115</t>
  </si>
  <si>
    <t>KL3.116</t>
  </si>
  <si>
    <t>KL3.117</t>
  </si>
  <si>
    <t>KL3.118</t>
  </si>
  <si>
    <t>KL3.119</t>
  </si>
  <si>
    <t>KL3.120</t>
  </si>
  <si>
    <t>Stairway</t>
  </si>
  <si>
    <t>KL3.P1</t>
  </si>
  <si>
    <t>KL3.YK</t>
  </si>
  <si>
    <t>KL3.P4</t>
  </si>
  <si>
    <t>Etagenhöhe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</si>
</sst>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2"/>
      <color theme="1"/>
      <name val="Calibri"/>
      <family val="2"/>
      <scheme val="minor"/>
    </font>
    <font>
      <b/>
      <sz val="11"/>
      <color theme="1"/>
      <name val="Calibri"/>
      <family val="2"/>
      <scheme val="minor"/>
    </font>
    <font>
      <b/>
      <sz val="16"/>
      <color rgb="FFFF0000"/>
      <name val="Calibri"/>
      <family val="2"/>
      <scheme val="minor"/>
    </font>
    <font>
      <sz val="16"/>
      <color rgb="FFFF000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4">
    <border>
      <left/>
      <right/>
      <top/>
      <bottom/>
      <diagonal/>
    </border>
    <border>
      <left/>
      <right/>
      <top style="medium">
        <color indexed="64"/>
      </top>
      <bottom style="double">
        <color indexed="64"/>
      </bottom>
      <diagonal/>
    </border>
    <border>
      <left style="thin">
        <color indexed="64"/>
      </left>
      <right/>
      <top/>
      <bottom/>
      <diagonal/>
    </border>
    <border>
      <left style="thin">
        <color indexed="64"/>
      </left>
      <right/>
      <top style="medium">
        <color indexed="64"/>
      </top>
      <bottom style="double">
        <color indexed="64"/>
      </bottom>
      <diagonal/>
    </border>
  </borders>
  <cellStyleXfs count="1">
    <xf numFmtId="0" fontId="0" fillId="0" borderId="0"/>
  </cellStyleXfs>
  <cellXfs count="16">
    <xf numFmtId="0" fontId="0" fillId="0" borderId="0" xfId="0"/>
    <xf numFmtId="0" fontId="1" fillId="0" borderId="1" xfId="0" applyFont="1" applyBorder="1"/>
    <xf numFmtId="0" fontId="2" fillId="0" borderId="0" xfId="0" applyFont="1"/>
    <xf numFmtId="0" fontId="1" fillId="0" borderId="3" xfId="0" applyFont="1" applyBorder="1"/>
    <xf numFmtId="0" fontId="0" fillId="0" borderId="2" xfId="0" applyBorder="1"/>
    <xf numFmtId="0" fontId="3" fillId="0" borderId="0" xfId="0" applyFont="1"/>
    <xf numFmtId="0" fontId="4" fillId="0" borderId="0" xfId="0" applyFont="1"/>
    <xf numFmtId="0" fontId="1" fillId="2" borderId="1" xfId="0" applyFont="1" applyFill="1" applyBorder="1"/>
    <xf numFmtId="0" fontId="0" fillId="0" borderId="0" xfId="0" applyBorder="1"/>
    <xf numFmtId="0" fontId="0" fillId="3" borderId="0" xfId="0" applyFill="1"/>
    <xf numFmtId="0" fontId="1" fillId="4" borderId="1" xfId="0" applyFont="1" applyFill="1" applyBorder="1"/>
    <xf numFmtId="0" fontId="1" fillId="0" borderId="0" xfId="0" applyFont="1" applyBorder="1"/>
    <xf numFmtId="14" fontId="2" fillId="0" borderId="0" xfId="0" applyNumberFormat="1" applyFont="1"/>
    <xf numFmtId="0" fontId="0" fillId="0" borderId="0" xfId="0" applyAlignment="1">
      <alignment vertical="top" wrapText="1"/>
    </xf>
    <xf numFmtId="0" fontId="5" fillId="0" borderId="0" xfId="0" applyFont="1"/>
    <xf numFmtId="16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78442</xdr:colOff>
      <xdr:row>15</xdr:row>
      <xdr:rowOff>67235</xdr:rowOff>
    </xdr:from>
    <xdr:to>
      <xdr:col>17</xdr:col>
      <xdr:colOff>96442</xdr:colOff>
      <xdr:row>49</xdr:row>
      <xdr:rowOff>116816</xdr:rowOff>
    </xdr:to>
    <xdr:pic>
      <xdr:nvPicPr>
        <xdr:cNvPr id="3" name="Grafik 2"/>
        <xdr:cNvPicPr>
          <a:picLocks noChangeAspect="1"/>
        </xdr:cNvPicPr>
      </xdr:nvPicPr>
      <xdr:blipFill>
        <a:blip xmlns:r="http://schemas.openxmlformats.org/officeDocument/2006/relationships" r:embed="rId1"/>
        <a:stretch>
          <a:fillRect/>
        </a:stretch>
      </xdr:blipFill>
      <xdr:spPr>
        <a:xfrm>
          <a:off x="4650442" y="2924735"/>
          <a:ext cx="8400000" cy="6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459441</xdr:colOff>
      <xdr:row>3</xdr:row>
      <xdr:rowOff>78443</xdr:rowOff>
    </xdr:from>
    <xdr:to>
      <xdr:col>6</xdr:col>
      <xdr:colOff>55180</xdr:colOff>
      <xdr:row>29</xdr:row>
      <xdr:rowOff>168089</xdr:rowOff>
    </xdr:to>
    <xdr:pic>
      <xdr:nvPicPr>
        <xdr:cNvPr id="8" name="Grafik 7"/>
        <xdr:cNvPicPr>
          <a:picLocks noChangeAspect="1"/>
        </xdr:cNvPicPr>
      </xdr:nvPicPr>
      <xdr:blipFill>
        <a:blip xmlns:r="http://schemas.openxmlformats.org/officeDocument/2006/relationships" r:embed="rId1"/>
        <a:stretch>
          <a:fillRect/>
        </a:stretch>
      </xdr:blipFill>
      <xdr:spPr>
        <a:xfrm>
          <a:off x="459441" y="649943"/>
          <a:ext cx="4167739" cy="5042646"/>
        </a:xfrm>
        <a:prstGeom prst="rect">
          <a:avLst/>
        </a:prstGeom>
      </xdr:spPr>
    </xdr:pic>
    <xdr:clientData/>
  </xdr:twoCellAnchor>
  <xdr:twoCellAnchor editAs="oneCell">
    <xdr:from>
      <xdr:col>7</xdr:col>
      <xdr:colOff>134471</xdr:colOff>
      <xdr:row>3</xdr:row>
      <xdr:rowOff>156883</xdr:rowOff>
    </xdr:from>
    <xdr:to>
      <xdr:col>11</xdr:col>
      <xdr:colOff>513112</xdr:colOff>
      <xdr:row>13</xdr:row>
      <xdr:rowOff>112059</xdr:rowOff>
    </xdr:to>
    <xdr:pic>
      <xdr:nvPicPr>
        <xdr:cNvPr id="9" name="Grafik 8"/>
        <xdr:cNvPicPr>
          <a:picLocks noChangeAspect="1"/>
        </xdr:cNvPicPr>
      </xdr:nvPicPr>
      <xdr:blipFill>
        <a:blip xmlns:r="http://schemas.openxmlformats.org/officeDocument/2006/relationships" r:embed="rId2"/>
        <a:stretch>
          <a:fillRect/>
        </a:stretch>
      </xdr:blipFill>
      <xdr:spPr>
        <a:xfrm>
          <a:off x="5468471" y="728383"/>
          <a:ext cx="3426641" cy="1860176"/>
        </a:xfrm>
        <a:prstGeom prst="rect">
          <a:avLst/>
        </a:prstGeom>
      </xdr:spPr>
    </xdr:pic>
    <xdr:clientData/>
  </xdr:twoCellAnchor>
  <xdr:twoCellAnchor editAs="oneCell">
    <xdr:from>
      <xdr:col>12</xdr:col>
      <xdr:colOff>246529</xdr:colOff>
      <xdr:row>3</xdr:row>
      <xdr:rowOff>179293</xdr:rowOff>
    </xdr:from>
    <xdr:to>
      <xdr:col>16</xdr:col>
      <xdr:colOff>336176</xdr:colOff>
      <xdr:row>29</xdr:row>
      <xdr:rowOff>168930</xdr:rowOff>
    </xdr:to>
    <xdr:pic>
      <xdr:nvPicPr>
        <xdr:cNvPr id="10" name="Grafik 9"/>
        <xdr:cNvPicPr>
          <a:picLocks noChangeAspect="1"/>
        </xdr:cNvPicPr>
      </xdr:nvPicPr>
      <xdr:blipFill>
        <a:blip xmlns:r="http://schemas.openxmlformats.org/officeDocument/2006/relationships" r:embed="rId3"/>
        <a:stretch>
          <a:fillRect/>
        </a:stretch>
      </xdr:blipFill>
      <xdr:spPr>
        <a:xfrm>
          <a:off x="9390529" y="750793"/>
          <a:ext cx="3137647" cy="4942637"/>
        </a:xfrm>
        <a:prstGeom prst="rect">
          <a:avLst/>
        </a:prstGeom>
      </xdr:spPr>
    </xdr:pic>
    <xdr:clientData/>
  </xdr:twoCellAnchor>
  <xdr:twoCellAnchor editAs="oneCell">
    <xdr:from>
      <xdr:col>0</xdr:col>
      <xdr:colOff>509068</xdr:colOff>
      <xdr:row>33</xdr:row>
      <xdr:rowOff>106456</xdr:rowOff>
    </xdr:from>
    <xdr:to>
      <xdr:col>5</xdr:col>
      <xdr:colOff>222877</xdr:colOff>
      <xdr:row>58</xdr:row>
      <xdr:rowOff>67765</xdr:rowOff>
    </xdr:to>
    <xdr:pic>
      <xdr:nvPicPr>
        <xdr:cNvPr id="11" name="Grafik 10"/>
        <xdr:cNvPicPr>
          <a:picLocks noChangeAspect="1"/>
        </xdr:cNvPicPr>
      </xdr:nvPicPr>
      <xdr:blipFill>
        <a:blip xmlns:r="http://schemas.openxmlformats.org/officeDocument/2006/relationships" r:embed="rId4"/>
        <a:stretch>
          <a:fillRect/>
        </a:stretch>
      </xdr:blipFill>
      <xdr:spPr>
        <a:xfrm>
          <a:off x="509068" y="6392956"/>
          <a:ext cx="3523809" cy="4723809"/>
        </a:xfrm>
        <a:prstGeom prst="rect">
          <a:avLst/>
        </a:prstGeom>
      </xdr:spPr>
    </xdr:pic>
    <xdr:clientData/>
  </xdr:twoCellAnchor>
  <xdr:twoCellAnchor editAs="oneCell">
    <xdr:from>
      <xdr:col>7</xdr:col>
      <xdr:colOff>217714</xdr:colOff>
      <xdr:row>33</xdr:row>
      <xdr:rowOff>81644</xdr:rowOff>
    </xdr:from>
    <xdr:to>
      <xdr:col>10</xdr:col>
      <xdr:colOff>710029</xdr:colOff>
      <xdr:row>58</xdr:row>
      <xdr:rowOff>0</xdr:rowOff>
    </xdr:to>
    <xdr:pic>
      <xdr:nvPicPr>
        <xdr:cNvPr id="12" name="Grafik 11"/>
        <xdr:cNvPicPr>
          <a:picLocks noChangeAspect="1"/>
        </xdr:cNvPicPr>
      </xdr:nvPicPr>
      <xdr:blipFill>
        <a:blip xmlns:r="http://schemas.openxmlformats.org/officeDocument/2006/relationships" r:embed="rId5"/>
        <a:stretch>
          <a:fillRect/>
        </a:stretch>
      </xdr:blipFill>
      <xdr:spPr>
        <a:xfrm>
          <a:off x="5551714" y="6368144"/>
          <a:ext cx="2778315" cy="4680856"/>
        </a:xfrm>
        <a:prstGeom prst="rect">
          <a:avLst/>
        </a:prstGeom>
      </xdr:spPr>
    </xdr:pic>
    <xdr:clientData/>
  </xdr:twoCellAnchor>
  <xdr:twoCellAnchor editAs="oneCell">
    <xdr:from>
      <xdr:col>12</xdr:col>
      <xdr:colOff>217714</xdr:colOff>
      <xdr:row>33</xdr:row>
      <xdr:rowOff>122464</xdr:rowOff>
    </xdr:from>
    <xdr:to>
      <xdr:col>18</xdr:col>
      <xdr:colOff>236190</xdr:colOff>
      <xdr:row>53</xdr:row>
      <xdr:rowOff>7702</xdr:rowOff>
    </xdr:to>
    <xdr:pic>
      <xdr:nvPicPr>
        <xdr:cNvPr id="13" name="Grafik 12"/>
        <xdr:cNvPicPr>
          <a:picLocks noChangeAspect="1"/>
        </xdr:cNvPicPr>
      </xdr:nvPicPr>
      <xdr:blipFill>
        <a:blip xmlns:r="http://schemas.openxmlformats.org/officeDocument/2006/relationships" r:embed="rId6"/>
        <a:stretch>
          <a:fillRect/>
        </a:stretch>
      </xdr:blipFill>
      <xdr:spPr>
        <a:xfrm>
          <a:off x="9361714" y="6408964"/>
          <a:ext cx="4590476" cy="36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51</xdr:col>
      <xdr:colOff>699247</xdr:colOff>
      <xdr:row>4</xdr:row>
      <xdr:rowOff>0</xdr:rowOff>
    </xdr:from>
    <xdr:ext cx="2286000" cy="264560"/>
    <xdr:sp macro="" textlink="">
      <xdr:nvSpPr>
        <xdr:cNvPr id="2" name="Textfeld 1"/>
        <xdr:cNvSpPr txBox="1"/>
      </xdr:nvSpPr>
      <xdr:spPr>
        <a:xfrm>
          <a:off x="37275247" y="11715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4</xdr:row>
      <xdr:rowOff>0</xdr:rowOff>
    </xdr:from>
    <xdr:ext cx="2286000" cy="264560"/>
    <xdr:sp macro="" textlink="">
      <xdr:nvSpPr>
        <xdr:cNvPr id="3" name="Textfeld 2"/>
        <xdr:cNvSpPr txBox="1"/>
      </xdr:nvSpPr>
      <xdr:spPr>
        <a:xfrm>
          <a:off x="50014935" y="988219"/>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51</xdr:col>
      <xdr:colOff>699247</xdr:colOff>
      <xdr:row>11</xdr:row>
      <xdr:rowOff>0</xdr:rowOff>
    </xdr:from>
    <xdr:ext cx="2286000" cy="264560"/>
    <xdr:sp macro="" textlink="">
      <xdr:nvSpPr>
        <xdr:cNvPr id="2" name="Textfeld 1"/>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2</xdr:row>
      <xdr:rowOff>0</xdr:rowOff>
    </xdr:from>
    <xdr:ext cx="2286000" cy="264560"/>
    <xdr:sp macro="" textlink="">
      <xdr:nvSpPr>
        <xdr:cNvPr id="3" name="Textfeld 2"/>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15</xdr:row>
      <xdr:rowOff>0</xdr:rowOff>
    </xdr:from>
    <xdr:ext cx="2286000" cy="264560"/>
    <xdr:sp macro="" textlink="">
      <xdr:nvSpPr>
        <xdr:cNvPr id="4" name="Textfeld 3"/>
        <xdr:cNvSpPr txBox="1"/>
      </xdr:nvSpPr>
      <xdr:spPr>
        <a:xfrm>
          <a:off x="50010172" y="2124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51</xdr:col>
      <xdr:colOff>699247</xdr:colOff>
      <xdr:row>5</xdr:row>
      <xdr:rowOff>0</xdr:rowOff>
    </xdr:from>
    <xdr:ext cx="2286000" cy="264560"/>
    <xdr:sp macro="" textlink="">
      <xdr:nvSpPr>
        <xdr:cNvPr id="2" name="Textfeld 1"/>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10</xdr:row>
      <xdr:rowOff>0</xdr:rowOff>
    </xdr:from>
    <xdr:ext cx="2286000" cy="264560"/>
    <xdr:sp macro="" textlink="">
      <xdr:nvSpPr>
        <xdr:cNvPr id="3" name="Textfeld 2"/>
        <xdr:cNvSpPr txBox="1"/>
      </xdr:nvSpPr>
      <xdr:spPr>
        <a:xfrm>
          <a:off x="50014935" y="988219"/>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51</xdr:col>
      <xdr:colOff>699247</xdr:colOff>
      <xdr:row>5</xdr:row>
      <xdr:rowOff>0</xdr:rowOff>
    </xdr:from>
    <xdr:ext cx="2286000" cy="264560"/>
    <xdr:sp macro="" textlink="">
      <xdr:nvSpPr>
        <xdr:cNvPr id="2" name="Textfeld 1"/>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5</xdr:row>
      <xdr:rowOff>0</xdr:rowOff>
    </xdr:from>
    <xdr:ext cx="2286000" cy="264560"/>
    <xdr:sp macro="" textlink="">
      <xdr:nvSpPr>
        <xdr:cNvPr id="3" name="Textfeld 2"/>
        <xdr:cNvSpPr txBox="1"/>
      </xdr:nvSpPr>
      <xdr:spPr>
        <a:xfrm>
          <a:off x="50010172" y="981075"/>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6</xdr:row>
      <xdr:rowOff>0</xdr:rowOff>
    </xdr:from>
    <xdr:ext cx="2286000" cy="264560"/>
    <xdr:sp macro="" textlink="">
      <xdr:nvSpPr>
        <xdr:cNvPr id="4" name="Textfeld 3"/>
        <xdr:cNvSpPr txBox="1"/>
      </xdr:nvSpPr>
      <xdr:spPr>
        <a:xfrm>
          <a:off x="49960306" y="9861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6</xdr:row>
      <xdr:rowOff>0</xdr:rowOff>
    </xdr:from>
    <xdr:ext cx="2286000" cy="264560"/>
    <xdr:sp macro="" textlink="">
      <xdr:nvSpPr>
        <xdr:cNvPr id="5" name="Textfeld 4"/>
        <xdr:cNvSpPr txBox="1"/>
      </xdr:nvSpPr>
      <xdr:spPr>
        <a:xfrm>
          <a:off x="49960306" y="9861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6</xdr:row>
      <xdr:rowOff>0</xdr:rowOff>
    </xdr:from>
    <xdr:ext cx="2286000" cy="264560"/>
    <xdr:sp macro="" textlink="">
      <xdr:nvSpPr>
        <xdr:cNvPr id="6" name="Textfeld 5"/>
        <xdr:cNvSpPr txBox="1"/>
      </xdr:nvSpPr>
      <xdr:spPr>
        <a:xfrm>
          <a:off x="49960306" y="9861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6</xdr:row>
      <xdr:rowOff>0</xdr:rowOff>
    </xdr:from>
    <xdr:ext cx="2286000" cy="264560"/>
    <xdr:sp macro="" textlink="">
      <xdr:nvSpPr>
        <xdr:cNvPr id="7" name="Textfeld 6"/>
        <xdr:cNvSpPr txBox="1"/>
      </xdr:nvSpPr>
      <xdr:spPr>
        <a:xfrm>
          <a:off x="49960306" y="9861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7</xdr:row>
      <xdr:rowOff>0</xdr:rowOff>
    </xdr:from>
    <xdr:ext cx="2286000" cy="264560"/>
    <xdr:sp macro="" textlink="">
      <xdr:nvSpPr>
        <xdr:cNvPr id="8" name="Textfeld 7"/>
        <xdr:cNvSpPr txBox="1"/>
      </xdr:nvSpPr>
      <xdr:spPr>
        <a:xfrm>
          <a:off x="49960306" y="11766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oneCellAnchor>
    <xdr:from>
      <xdr:col>51</xdr:col>
      <xdr:colOff>699247</xdr:colOff>
      <xdr:row>7</xdr:row>
      <xdr:rowOff>0</xdr:rowOff>
    </xdr:from>
    <xdr:ext cx="2286000" cy="264560"/>
    <xdr:sp macro="" textlink="">
      <xdr:nvSpPr>
        <xdr:cNvPr id="9" name="Textfeld 8"/>
        <xdr:cNvSpPr txBox="1"/>
      </xdr:nvSpPr>
      <xdr:spPr>
        <a:xfrm>
          <a:off x="49960306" y="1176618"/>
          <a:ext cx="2286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de-DE"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91018_HUS_Etage_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11_HUS_Etage_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Notes"/>
      <sheetName val="Translations"/>
      <sheetName val="Orientation"/>
      <sheetName val="Konstanten"/>
      <sheetName val="Windows"/>
      <sheetName val="Zones"/>
      <sheetName val="TK01_4"/>
      <sheetName val="TK02_4"/>
      <sheetName val="TK03_4"/>
      <sheetName val="TK31_4"/>
    </sheetNames>
    <sheetDataSet>
      <sheetData sheetId="0"/>
      <sheetData sheetId="1"/>
      <sheetData sheetId="2"/>
      <sheetData sheetId="3">
        <row r="3">
          <cell r="B3">
            <v>2.8</v>
          </cell>
        </row>
      </sheetData>
      <sheetData sheetId="4">
        <row r="4">
          <cell r="A4" t="str">
            <v>KL4.013</v>
          </cell>
          <cell r="B4" t="str">
            <v>IU12,5-v</v>
          </cell>
          <cell r="C4">
            <v>1245</v>
          </cell>
          <cell r="D4">
            <v>1670</v>
          </cell>
        </row>
        <row r="5">
          <cell r="A5" t="str">
            <v>KL4.014</v>
          </cell>
          <cell r="B5" t="str">
            <v>IUA21-o</v>
          </cell>
          <cell r="C5">
            <v>2120</v>
          </cell>
          <cell r="D5">
            <v>1670</v>
          </cell>
        </row>
        <row r="6">
          <cell r="A6" t="str">
            <v>KL4.014</v>
          </cell>
          <cell r="B6" t="str">
            <v>IUA6-v</v>
          </cell>
          <cell r="C6">
            <v>570</v>
          </cell>
          <cell r="D6">
            <v>1670</v>
          </cell>
        </row>
        <row r="7">
          <cell r="A7" t="str">
            <v>KL4.017</v>
          </cell>
          <cell r="B7" t="str">
            <v>IU10,5-o+VTL3-o</v>
          </cell>
          <cell r="C7">
            <v>1325</v>
          </cell>
          <cell r="D7">
            <v>1670</v>
          </cell>
        </row>
        <row r="8">
          <cell r="A8" t="str">
            <v>KL4.017</v>
          </cell>
          <cell r="B8" t="str">
            <v>IU21-v</v>
          </cell>
          <cell r="C8">
            <v>2120</v>
          </cell>
          <cell r="D8">
            <v>1670</v>
          </cell>
        </row>
        <row r="9">
          <cell r="A9" t="str">
            <v>KL4.019</v>
          </cell>
          <cell r="B9" t="str">
            <v>IU10,5-v+OTL3-v</v>
          </cell>
          <cell r="C9">
            <v>1325</v>
          </cell>
          <cell r="D9">
            <v>1670</v>
          </cell>
        </row>
        <row r="10">
          <cell r="A10" t="str">
            <v>KL4.019</v>
          </cell>
          <cell r="B10" t="str">
            <v>IU21-o</v>
          </cell>
          <cell r="C10">
            <v>2120</v>
          </cell>
          <cell r="D10">
            <v>1670</v>
          </cell>
        </row>
        <row r="11">
          <cell r="A11" t="str">
            <v>KL4.021</v>
          </cell>
          <cell r="B11" t="str">
            <v>IU10,5-o+VTL3-o</v>
          </cell>
          <cell r="C11">
            <v>1325</v>
          </cell>
          <cell r="D11">
            <v>1670</v>
          </cell>
        </row>
        <row r="12">
          <cell r="A12" t="str">
            <v>KL4.021</v>
          </cell>
          <cell r="B12" t="str">
            <v>IU21-v</v>
          </cell>
          <cell r="C12">
            <v>2120</v>
          </cell>
          <cell r="D12">
            <v>1670</v>
          </cell>
        </row>
        <row r="13">
          <cell r="A13" t="str">
            <v>KL4.023</v>
          </cell>
          <cell r="B13" t="str">
            <v>IU10,5-o+VTL3-o</v>
          </cell>
          <cell r="C13">
            <v>1325</v>
          </cell>
          <cell r="D13">
            <v>1670</v>
          </cell>
        </row>
        <row r="14">
          <cell r="A14" t="str">
            <v>KL4.023</v>
          </cell>
          <cell r="B14" t="str">
            <v>IU20-v</v>
          </cell>
          <cell r="C14">
            <v>1995</v>
          </cell>
          <cell r="D14">
            <v>1670</v>
          </cell>
        </row>
        <row r="15">
          <cell r="A15" t="str">
            <v>KL4.025</v>
          </cell>
          <cell r="B15" t="str">
            <v>IU10,5-v+OTL3-v</v>
          </cell>
          <cell r="C15">
            <v>1325</v>
          </cell>
          <cell r="D15">
            <v>1670</v>
          </cell>
        </row>
        <row r="16">
          <cell r="A16" t="str">
            <v>KL4.025</v>
          </cell>
          <cell r="B16" t="str">
            <v>IU20-o</v>
          </cell>
          <cell r="C16">
            <v>1995</v>
          </cell>
          <cell r="D16">
            <v>1670</v>
          </cell>
        </row>
        <row r="17">
          <cell r="A17" t="str">
            <v>KL4.028</v>
          </cell>
          <cell r="B17" t="str">
            <v>IU10,5-o+VTL3-o</v>
          </cell>
          <cell r="C17">
            <v>1325</v>
          </cell>
          <cell r="D17">
            <v>1670</v>
          </cell>
        </row>
        <row r="18">
          <cell r="A18" t="str">
            <v>KL4.028</v>
          </cell>
          <cell r="B18" t="str">
            <v>IU20-v</v>
          </cell>
          <cell r="C18">
            <v>1995</v>
          </cell>
          <cell r="D18">
            <v>1670</v>
          </cell>
        </row>
        <row r="19">
          <cell r="A19" t="str">
            <v>KL4.031</v>
          </cell>
          <cell r="B19" t="str">
            <v>IU10,5-v+OTL3-v</v>
          </cell>
          <cell r="C19">
            <v>1325</v>
          </cell>
          <cell r="D19">
            <v>1670</v>
          </cell>
        </row>
        <row r="20">
          <cell r="A20" t="str">
            <v>KL4.031</v>
          </cell>
          <cell r="B20" t="str">
            <v>IU20-o</v>
          </cell>
          <cell r="C20">
            <v>1995</v>
          </cell>
          <cell r="D20">
            <v>1670</v>
          </cell>
        </row>
        <row r="21">
          <cell r="A21" t="str">
            <v>KL4.034</v>
          </cell>
          <cell r="B21" t="str">
            <v>IU10,5-o+VTL3-o</v>
          </cell>
          <cell r="C21">
            <v>1325</v>
          </cell>
          <cell r="D21">
            <v>1670</v>
          </cell>
        </row>
        <row r="22">
          <cell r="A22" t="str">
            <v>KL4.034</v>
          </cell>
          <cell r="B22" t="str">
            <v>IU20-v</v>
          </cell>
          <cell r="C22">
            <v>1995</v>
          </cell>
          <cell r="D22">
            <v>1670</v>
          </cell>
        </row>
        <row r="23">
          <cell r="A23" t="str">
            <v>KL4.037</v>
          </cell>
          <cell r="B23" t="str">
            <v>IU10,5-v+OTL3-v</v>
          </cell>
          <cell r="C23">
            <v>1325</v>
          </cell>
          <cell r="D23">
            <v>1670</v>
          </cell>
        </row>
        <row r="24">
          <cell r="A24" t="str">
            <v>KL4.037</v>
          </cell>
          <cell r="B24" t="str">
            <v>IU20-o</v>
          </cell>
          <cell r="C24">
            <v>1995</v>
          </cell>
          <cell r="D24">
            <v>1670</v>
          </cell>
        </row>
        <row r="25">
          <cell r="A25" t="str">
            <v>KL4.053</v>
          </cell>
          <cell r="B25" t="str">
            <v>IUA24-v</v>
          </cell>
          <cell r="C25">
            <v>2410</v>
          </cell>
          <cell r="D25">
            <v>1670</v>
          </cell>
        </row>
        <row r="26">
          <cell r="A26" t="str">
            <v>KL4.053</v>
          </cell>
          <cell r="B26" t="str">
            <v>IUA9,5-o</v>
          </cell>
          <cell r="C26">
            <v>940</v>
          </cell>
          <cell r="D26">
            <v>1670</v>
          </cell>
        </row>
        <row r="27">
          <cell r="A27" t="str">
            <v>KL4.055</v>
          </cell>
          <cell r="B27" t="str">
            <v>IUA18,5-o</v>
          </cell>
          <cell r="C27">
            <v>1840</v>
          </cell>
          <cell r="D27">
            <v>1670</v>
          </cell>
        </row>
        <row r="28">
          <cell r="A28" t="str">
            <v>KL4.055</v>
          </cell>
          <cell r="B28" t="str">
            <v>IUA6-o</v>
          </cell>
          <cell r="C28">
            <v>610</v>
          </cell>
          <cell r="D28">
            <v>1670</v>
          </cell>
        </row>
        <row r="29">
          <cell r="A29" t="str">
            <v>KL4.056</v>
          </cell>
          <cell r="B29" t="str">
            <v>IU18-o+VTL3-o</v>
          </cell>
          <cell r="C29">
            <v>2075</v>
          </cell>
          <cell r="D29">
            <v>1670</v>
          </cell>
        </row>
        <row r="30">
          <cell r="A30" t="str">
            <v>KL4.056</v>
          </cell>
          <cell r="B30" t="str">
            <v>IU21-v</v>
          </cell>
          <cell r="C30">
            <v>2120</v>
          </cell>
          <cell r="D30">
            <v>1670</v>
          </cell>
        </row>
        <row r="31">
          <cell r="A31" t="str">
            <v>KL4.060</v>
          </cell>
          <cell r="B31" t="str">
            <v>IU11-o+VTL3-o</v>
          </cell>
          <cell r="C31">
            <v>1350</v>
          </cell>
          <cell r="D31">
            <v>1670</v>
          </cell>
        </row>
        <row r="32">
          <cell r="A32" t="str">
            <v>KL4.060</v>
          </cell>
          <cell r="B32" t="str">
            <v>IU21-o</v>
          </cell>
          <cell r="C32">
            <v>2120</v>
          </cell>
          <cell r="D32">
            <v>1670</v>
          </cell>
        </row>
        <row r="33">
          <cell r="A33" t="str">
            <v>KL4.062</v>
          </cell>
          <cell r="B33" t="str">
            <v>IU11-v+OTL-v</v>
          </cell>
          <cell r="C33">
            <v>1350</v>
          </cell>
          <cell r="D33">
            <v>1670</v>
          </cell>
        </row>
        <row r="34">
          <cell r="A34" t="str">
            <v>KL4.062</v>
          </cell>
          <cell r="B34" t="str">
            <v>IU21-o</v>
          </cell>
          <cell r="C34">
            <v>2120</v>
          </cell>
          <cell r="D34">
            <v>1670</v>
          </cell>
        </row>
        <row r="35">
          <cell r="A35" t="str">
            <v>KL4.064</v>
          </cell>
          <cell r="B35" t="str">
            <v>IU20-o</v>
          </cell>
          <cell r="C35">
            <v>1995</v>
          </cell>
          <cell r="D35">
            <v>1670</v>
          </cell>
        </row>
        <row r="36">
          <cell r="A36" t="str">
            <v>KL4.064</v>
          </cell>
          <cell r="B36" t="str">
            <v>IU9,5-v+VTL3-o</v>
          </cell>
          <cell r="C36">
            <v>1200</v>
          </cell>
          <cell r="D36">
            <v>1670</v>
          </cell>
        </row>
        <row r="37">
          <cell r="A37" t="str">
            <v>KL4.066</v>
          </cell>
          <cell r="B37" t="str">
            <v>IU11,5-v+TL3-v</v>
          </cell>
          <cell r="C37">
            <v>1155</v>
          </cell>
          <cell r="D37">
            <v>1670</v>
          </cell>
        </row>
        <row r="38">
          <cell r="A38" t="str">
            <v>KL4.066</v>
          </cell>
          <cell r="B38" t="str">
            <v>IU21-o</v>
          </cell>
          <cell r="C38">
            <v>2120</v>
          </cell>
          <cell r="D38">
            <v>1670</v>
          </cell>
        </row>
        <row r="39">
          <cell r="A39" t="str">
            <v>KL4.102</v>
          </cell>
          <cell r="B39" t="str">
            <v>IUA10,5-o</v>
          </cell>
          <cell r="C39">
            <v>1050</v>
          </cell>
          <cell r="D39">
            <v>1670</v>
          </cell>
        </row>
        <row r="40">
          <cell r="A40" t="str">
            <v>KL4.102</v>
          </cell>
          <cell r="B40" t="str">
            <v>IUA13,5-v</v>
          </cell>
          <cell r="C40">
            <v>1345</v>
          </cell>
          <cell r="D40">
            <v>1670</v>
          </cell>
        </row>
        <row r="41">
          <cell r="A41" t="str">
            <v>KL4.102</v>
          </cell>
          <cell r="B41" t="str">
            <v>IUA14,5-o</v>
          </cell>
          <cell r="C41">
            <v>1440</v>
          </cell>
          <cell r="D41">
            <v>1670</v>
          </cell>
        </row>
        <row r="42">
          <cell r="A42" t="str">
            <v>KL4.104</v>
          </cell>
          <cell r="B42" t="str">
            <v>IU10,5-v+OTL3-v</v>
          </cell>
          <cell r="C42">
            <v>1325</v>
          </cell>
          <cell r="D42">
            <v>1670</v>
          </cell>
        </row>
        <row r="43">
          <cell r="A43" t="str">
            <v>KL4.104</v>
          </cell>
          <cell r="B43" t="str">
            <v>IU20-o</v>
          </cell>
          <cell r="C43">
            <v>1995</v>
          </cell>
          <cell r="D43">
            <v>1670</v>
          </cell>
        </row>
        <row r="44">
          <cell r="A44" t="str">
            <v>KL4.108</v>
          </cell>
          <cell r="B44" t="str">
            <v>IU10,5-o+VTL3-o</v>
          </cell>
          <cell r="C44">
            <v>1325</v>
          </cell>
          <cell r="D44">
            <v>1670</v>
          </cell>
        </row>
        <row r="45">
          <cell r="A45" t="str">
            <v>KL4.108</v>
          </cell>
          <cell r="B45" t="str">
            <v>IU21-v</v>
          </cell>
          <cell r="C45">
            <v>2120</v>
          </cell>
          <cell r="D45">
            <v>1670</v>
          </cell>
        </row>
        <row r="46">
          <cell r="A46" t="str">
            <v>KL4.110</v>
          </cell>
          <cell r="B46" t="str">
            <v>IU10,5-v+OTL3-v</v>
          </cell>
          <cell r="C46">
            <v>1325</v>
          </cell>
          <cell r="D46">
            <v>1670</v>
          </cell>
        </row>
        <row r="47">
          <cell r="A47" t="str">
            <v>KL4.110</v>
          </cell>
          <cell r="B47" t="str">
            <v>IU21-o</v>
          </cell>
          <cell r="C47">
            <v>2120</v>
          </cell>
          <cell r="D47">
            <v>1670</v>
          </cell>
        </row>
        <row r="48">
          <cell r="A48" t="str">
            <v>KL4.112</v>
          </cell>
          <cell r="B48" t="str">
            <v>IU10,5-o+VTL3-o</v>
          </cell>
          <cell r="C48">
            <v>1325</v>
          </cell>
          <cell r="D48">
            <v>1670</v>
          </cell>
        </row>
        <row r="49">
          <cell r="A49" t="str">
            <v>KL4.112</v>
          </cell>
          <cell r="B49" t="str">
            <v>IU21-v</v>
          </cell>
          <cell r="C49">
            <v>2120</v>
          </cell>
          <cell r="D49">
            <v>1670</v>
          </cell>
        </row>
        <row r="50">
          <cell r="A50" t="str">
            <v>KL4.114</v>
          </cell>
          <cell r="B50" t="str">
            <v>IU11-o+VTL3-o</v>
          </cell>
          <cell r="C50">
            <v>1350</v>
          </cell>
          <cell r="D50">
            <v>1670</v>
          </cell>
        </row>
        <row r="51">
          <cell r="A51" t="str">
            <v>KL4.114</v>
          </cell>
          <cell r="B51" t="str">
            <v>IU14,5-o</v>
          </cell>
          <cell r="C51">
            <v>1445</v>
          </cell>
          <cell r="D51">
            <v>540</v>
          </cell>
        </row>
        <row r="52">
          <cell r="A52" t="str">
            <v>KL4.114</v>
          </cell>
          <cell r="B52" t="str">
            <v>IU14,5-v</v>
          </cell>
          <cell r="C52">
            <v>1445</v>
          </cell>
          <cell r="D52">
            <v>540</v>
          </cell>
        </row>
        <row r="53">
          <cell r="A53" t="str">
            <v>KL4.114</v>
          </cell>
          <cell r="B53" t="str">
            <v>IU19,5-v</v>
          </cell>
          <cell r="C53">
            <v>1970</v>
          </cell>
          <cell r="D53">
            <v>1670</v>
          </cell>
        </row>
        <row r="54">
          <cell r="A54" t="str">
            <v>KL4.116</v>
          </cell>
          <cell r="B54" t="str">
            <v>IU11-v+OTL3-v</v>
          </cell>
          <cell r="C54">
            <v>1350</v>
          </cell>
          <cell r="D54">
            <v>1670</v>
          </cell>
        </row>
        <row r="55">
          <cell r="A55" t="str">
            <v>KL4.116</v>
          </cell>
          <cell r="B55" t="str">
            <v>IU21-o</v>
          </cell>
          <cell r="C55">
            <v>2120</v>
          </cell>
          <cell r="D55">
            <v>1670</v>
          </cell>
        </row>
        <row r="56">
          <cell r="A56" t="str">
            <v>KL4.118</v>
          </cell>
          <cell r="B56" t="str">
            <v>IU11-o+VTL3-o</v>
          </cell>
          <cell r="C56">
            <v>1350</v>
          </cell>
          <cell r="D56">
            <v>1670</v>
          </cell>
        </row>
        <row r="57">
          <cell r="A57" t="str">
            <v>KL4.118</v>
          </cell>
          <cell r="B57" t="str">
            <v>IU21-v</v>
          </cell>
          <cell r="C57">
            <v>2120</v>
          </cell>
          <cell r="D57">
            <v>1670</v>
          </cell>
        </row>
        <row r="58">
          <cell r="A58" t="str">
            <v>KL4.122</v>
          </cell>
          <cell r="B58" t="str">
            <v>IU21-v</v>
          </cell>
          <cell r="C58">
            <v>2120</v>
          </cell>
          <cell r="D58">
            <v>1670</v>
          </cell>
        </row>
        <row r="59">
          <cell r="A59" t="str">
            <v>KL4.124</v>
          </cell>
          <cell r="B59" t="str">
            <v>IU11-v+OTL3-v</v>
          </cell>
          <cell r="C59">
            <v>1350</v>
          </cell>
          <cell r="D59">
            <v>1670</v>
          </cell>
        </row>
        <row r="60">
          <cell r="A60" t="str">
            <v>KL4.124</v>
          </cell>
          <cell r="B60" t="str">
            <v>IU21-o</v>
          </cell>
          <cell r="C60">
            <v>2120</v>
          </cell>
          <cell r="D60">
            <v>1670</v>
          </cell>
        </row>
        <row r="61">
          <cell r="A61" t="str">
            <v>KL4.127</v>
          </cell>
          <cell r="B61" t="str">
            <v>IU11-o+VTL3-o</v>
          </cell>
          <cell r="C61">
            <v>1350</v>
          </cell>
          <cell r="D61">
            <v>1670</v>
          </cell>
        </row>
        <row r="62">
          <cell r="A62" t="str">
            <v>KL4.127</v>
          </cell>
          <cell r="B62" t="str">
            <v>IU21-v</v>
          </cell>
          <cell r="C62">
            <v>2120</v>
          </cell>
          <cell r="D62">
            <v>1670</v>
          </cell>
        </row>
        <row r="63">
          <cell r="A63" t="str">
            <v>KL4.130</v>
          </cell>
          <cell r="B63" t="str">
            <v>IU11-v+OTL3-v</v>
          </cell>
          <cell r="C63">
            <v>1350</v>
          </cell>
          <cell r="D63">
            <v>1670</v>
          </cell>
        </row>
        <row r="64">
          <cell r="A64" t="str">
            <v>KL4.P2</v>
          </cell>
          <cell r="B64" t="str">
            <v>IU13-o</v>
          </cell>
          <cell r="C64">
            <v>1300</v>
          </cell>
          <cell r="D64">
            <v>490</v>
          </cell>
        </row>
        <row r="65">
          <cell r="A65" t="str">
            <v>KL4.P3</v>
          </cell>
          <cell r="B65" t="str">
            <v>IU13-o</v>
          </cell>
          <cell r="C65">
            <v>1300</v>
          </cell>
          <cell r="D65">
            <v>490</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Notes"/>
      <sheetName val="Translations"/>
      <sheetName val="Orientation"/>
      <sheetName val="Konstanten"/>
      <sheetName val="Windows"/>
      <sheetName val="Zones"/>
      <sheetName val="TK01_5"/>
      <sheetName val="TK02_5"/>
      <sheetName val="TK03_5"/>
      <sheetName val="TK31_5"/>
    </sheetNames>
    <sheetDataSet>
      <sheetData sheetId="0"/>
      <sheetData sheetId="1"/>
      <sheetData sheetId="2"/>
      <sheetData sheetId="3">
        <row r="2">
          <cell r="B2">
            <v>1.35</v>
          </cell>
        </row>
      </sheetData>
      <sheetData sheetId="4">
        <row r="4">
          <cell r="B4" t="str">
            <v>IU11-v</v>
          </cell>
        </row>
        <row r="5">
          <cell r="B5" t="str">
            <v>IU16-o</v>
          </cell>
        </row>
        <row r="6">
          <cell r="B6" t="str">
            <v>IU16-v</v>
          </cell>
        </row>
        <row r="7">
          <cell r="B7" t="str">
            <v>IU17,5-o</v>
          </cell>
        </row>
        <row r="8">
          <cell r="B8" t="str">
            <v>IU17,5-v</v>
          </cell>
        </row>
        <row r="9">
          <cell r="B9" t="str">
            <v>IU18,5-o</v>
          </cell>
        </row>
        <row r="10">
          <cell r="B10" t="str">
            <v>IU18-v</v>
          </cell>
        </row>
        <row r="11">
          <cell r="B11" t="str">
            <v>IU8-o</v>
          </cell>
        </row>
        <row r="12">
          <cell r="B12" t="str">
            <v>IU8-v</v>
          </cell>
        </row>
        <row r="13">
          <cell r="B13" t="str">
            <v>IUA21-o</v>
          </cell>
        </row>
        <row r="14">
          <cell r="B14" t="str">
            <v>IIUA6-v</v>
          </cell>
        </row>
        <row r="15">
          <cell r="B15" t="str">
            <v>IU10,5-o+VTL3-o</v>
          </cell>
        </row>
        <row r="16">
          <cell r="B16" t="str">
            <v>IU21-v</v>
          </cell>
        </row>
        <row r="17">
          <cell r="B17" t="str">
            <v>IU10,5-v+OTL3-v</v>
          </cell>
        </row>
        <row r="18">
          <cell r="B18" t="str">
            <v>IU21-o</v>
          </cell>
        </row>
        <row r="19">
          <cell r="B19" t="str">
            <v>IU10,5-o+VTL3-o</v>
          </cell>
        </row>
        <row r="20">
          <cell r="B20" t="str">
            <v>IU21-v</v>
          </cell>
        </row>
        <row r="21">
          <cell r="B21" t="str">
            <v>IU10,5-o+VTL3-o</v>
          </cell>
        </row>
        <row r="22">
          <cell r="B22" t="str">
            <v>IU20-v</v>
          </cell>
        </row>
        <row r="23">
          <cell r="B23" t="str">
            <v>IU10,5-v+OTL3-v</v>
          </cell>
        </row>
        <row r="24">
          <cell r="B24" t="str">
            <v>IU20-o</v>
          </cell>
        </row>
        <row r="25">
          <cell r="B25" t="str">
            <v>IU10,5-o+VTL3-o</v>
          </cell>
        </row>
        <row r="26">
          <cell r="B26" t="str">
            <v>IU20-v</v>
          </cell>
        </row>
        <row r="27">
          <cell r="B27" t="str">
            <v>IU10,5-v+OTL3-v</v>
          </cell>
        </row>
        <row r="28">
          <cell r="B28" t="str">
            <v>IU20-o</v>
          </cell>
        </row>
        <row r="29">
          <cell r="B29" t="str">
            <v>IU10,5-o+VTL3-o</v>
          </cell>
        </row>
        <row r="30">
          <cell r="B30" t="str">
            <v>IU20-v</v>
          </cell>
        </row>
        <row r="31">
          <cell r="B31" t="str">
            <v>IU10,5-v+OTL3-v</v>
          </cell>
        </row>
        <row r="32">
          <cell r="B32" t="str">
            <v>IU20-o</v>
          </cell>
        </row>
        <row r="33">
          <cell r="B33" t="str">
            <v>IUA24-v</v>
          </cell>
        </row>
        <row r="34">
          <cell r="B34" t="str">
            <v>IUA9,5-o</v>
          </cell>
        </row>
        <row r="35">
          <cell r="B35" t="str">
            <v>IUA18,5-o</v>
          </cell>
        </row>
        <row r="36">
          <cell r="B36" t="str">
            <v>IUA6-o</v>
          </cell>
        </row>
        <row r="37">
          <cell r="B37" t="str">
            <v>IU18-o+VTL3-o</v>
          </cell>
        </row>
        <row r="38">
          <cell r="B38" t="str">
            <v>IU21-v</v>
          </cell>
        </row>
        <row r="39">
          <cell r="B39" t="str">
            <v>IU11-o+VTL3-o</v>
          </cell>
        </row>
        <row r="40">
          <cell r="B40" t="str">
            <v>IU21-o</v>
          </cell>
        </row>
        <row r="41">
          <cell r="B41" t="str">
            <v>IU11-v+OTL-v</v>
          </cell>
        </row>
        <row r="42">
          <cell r="B42" t="str">
            <v>IU21-o</v>
          </cell>
        </row>
        <row r="43">
          <cell r="B43" t="str">
            <v>IU20-o</v>
          </cell>
        </row>
        <row r="44">
          <cell r="B44" t="str">
            <v>IU9,5-v+VTL3-o</v>
          </cell>
        </row>
        <row r="45">
          <cell r="B45" t="str">
            <v>IU11,5-v+TL3-v</v>
          </cell>
        </row>
        <row r="46">
          <cell r="B46" t="str">
            <v>IU21-o</v>
          </cell>
        </row>
        <row r="47">
          <cell r="B47" t="str">
            <v>IUA10,5-o</v>
          </cell>
        </row>
        <row r="48">
          <cell r="B48" t="str">
            <v>IUA13,5-v</v>
          </cell>
        </row>
        <row r="49">
          <cell r="B49" t="str">
            <v>IUA14,5-o</v>
          </cell>
        </row>
        <row r="50">
          <cell r="B50" t="str">
            <v>IU10,5-v+OTL3-v</v>
          </cell>
        </row>
        <row r="51">
          <cell r="B51" t="str">
            <v>IU20-o</v>
          </cell>
        </row>
        <row r="52">
          <cell r="B52" t="str">
            <v>IU10,5-o+VTL3-o</v>
          </cell>
        </row>
        <row r="53">
          <cell r="B53" t="str">
            <v>IU21-v</v>
          </cell>
        </row>
        <row r="54">
          <cell r="B54" t="str">
            <v>IU10,5-v+OTL3-v</v>
          </cell>
        </row>
        <row r="55">
          <cell r="B55" t="str">
            <v>IU21-o</v>
          </cell>
        </row>
        <row r="56">
          <cell r="B56" t="str">
            <v>IU10,5-o+VTL3-o</v>
          </cell>
        </row>
        <row r="57">
          <cell r="B57" t="str">
            <v>IU21-v</v>
          </cell>
        </row>
        <row r="58">
          <cell r="B58" t="str">
            <v>IU11-o+VTL3-o</v>
          </cell>
        </row>
        <row r="59">
          <cell r="B59" t="str">
            <v>IU14,5-o</v>
          </cell>
        </row>
        <row r="60">
          <cell r="B60" t="str">
            <v>IU14,5-v</v>
          </cell>
        </row>
        <row r="61">
          <cell r="B61" t="str">
            <v>IU19,5-v</v>
          </cell>
        </row>
        <row r="62">
          <cell r="B62" t="str">
            <v>IU11-v+OTL3-v</v>
          </cell>
        </row>
        <row r="63">
          <cell r="B63" t="str">
            <v>IU21-o</v>
          </cell>
        </row>
        <row r="64">
          <cell r="B64" t="str">
            <v>IU11-o+VTL3-o</v>
          </cell>
        </row>
        <row r="65">
          <cell r="B65" t="str">
            <v>IU21-v</v>
          </cell>
        </row>
        <row r="66">
          <cell r="B66" t="str">
            <v>IU21-v</v>
          </cell>
        </row>
        <row r="67">
          <cell r="B67" t="str">
            <v>IU11-v+OTL3-v</v>
          </cell>
        </row>
        <row r="68">
          <cell r="B68" t="str">
            <v>IU21-o</v>
          </cell>
        </row>
        <row r="69">
          <cell r="B69" t="str">
            <v>IU11-o+VTL3-o</v>
          </cell>
        </row>
        <row r="70">
          <cell r="B70" t="str">
            <v>IU21-v</v>
          </cell>
        </row>
        <row r="71">
          <cell r="B71" t="str">
            <v>IUB11-v+OTL3-v</v>
          </cell>
        </row>
        <row r="72">
          <cell r="B72" t="str">
            <v>IUB21-o</v>
          </cell>
        </row>
        <row r="73">
          <cell r="B73" t="str">
            <v>IUB11-o+VTL3-o</v>
          </cell>
        </row>
        <row r="74">
          <cell r="B74" t="str">
            <v>IUB21-v</v>
          </cell>
        </row>
        <row r="75">
          <cell r="B75" t="str">
            <v>IUB10,5-o+VTL3-o</v>
          </cell>
        </row>
        <row r="76">
          <cell r="B76" t="str">
            <v>IUB20-v</v>
          </cell>
        </row>
        <row r="77">
          <cell r="B77" t="str">
            <v>IUB10,5-o+VTL3-o</v>
          </cell>
        </row>
        <row r="78">
          <cell r="B78" t="str">
            <v>IUB21-o</v>
          </cell>
        </row>
        <row r="79">
          <cell r="B79" t="str">
            <v>IU13-o</v>
          </cell>
        </row>
        <row r="80">
          <cell r="B80" t="str">
            <v>IU13-o</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7" sqref="B7"/>
    </sheetView>
  </sheetViews>
  <sheetFormatPr baseColWidth="10" defaultRowHeight="15" x14ac:dyDescent="0.25"/>
  <cols>
    <col min="2" max="2" width="81.28515625" customWidth="1"/>
  </cols>
  <sheetData>
    <row r="1" spans="1:2" ht="30" x14ac:dyDescent="0.25">
      <c r="A1" s="12" t="s">
        <v>71</v>
      </c>
      <c r="B1" s="13" t="s">
        <v>72</v>
      </c>
    </row>
    <row r="2" spans="1:2" ht="30" x14ac:dyDescent="0.25">
      <c r="B2" s="13" t="s">
        <v>94</v>
      </c>
    </row>
    <row r="3" spans="1:2" ht="48" customHeight="1" x14ac:dyDescent="0.25">
      <c r="B3" s="13" t="s">
        <v>95</v>
      </c>
    </row>
    <row r="4" spans="1:2" x14ac:dyDescent="0.25">
      <c r="B4" s="13" t="s">
        <v>96</v>
      </c>
    </row>
    <row r="5" spans="1:2" ht="30" x14ac:dyDescent="0.25">
      <c r="B5" s="13" t="s">
        <v>97</v>
      </c>
    </row>
    <row r="6" spans="1:2" x14ac:dyDescent="0.25">
      <c r="B6" s="13" t="s">
        <v>106</v>
      </c>
    </row>
    <row r="7" spans="1:2" x14ac:dyDescent="0.25">
      <c r="B7" s="13"/>
    </row>
    <row r="8" spans="1:2" x14ac:dyDescent="0.25">
      <c r="B8" s="13"/>
    </row>
    <row r="9" spans="1:2" x14ac:dyDescent="0.25">
      <c r="B9" s="13"/>
    </row>
    <row r="10" spans="1:2" x14ac:dyDescent="0.25">
      <c r="B10" s="13"/>
    </row>
    <row r="11" spans="1:2" x14ac:dyDescent="0.25">
      <c r="B11" s="13"/>
    </row>
    <row r="12" spans="1:2" x14ac:dyDescent="0.25">
      <c r="B12" s="13"/>
    </row>
    <row r="13" spans="1:2" x14ac:dyDescent="0.25">
      <c r="B13" s="13"/>
    </row>
    <row r="14" spans="1:2" x14ac:dyDescent="0.25">
      <c r="B14" s="13"/>
    </row>
    <row r="15" spans="1:2" x14ac:dyDescent="0.25">
      <c r="B15" s="13"/>
    </row>
    <row r="16" spans="1:2" x14ac:dyDescent="0.25">
      <c r="B16" s="13"/>
    </row>
    <row r="17" spans="2:2" x14ac:dyDescent="0.25">
      <c r="B17" s="13"/>
    </row>
    <row r="18" spans="2:2" x14ac:dyDescent="0.25">
      <c r="B18" s="13"/>
    </row>
    <row r="19" spans="2:2" x14ac:dyDescent="0.25">
      <c r="B19" s="13"/>
    </row>
    <row r="20" spans="2:2" x14ac:dyDescent="0.25">
      <c r="B20" s="13"/>
    </row>
  </sheetData>
  <pageMargins left="0.7" right="0.7" top="0.78740157499999996" bottom="0.78740157499999996"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
  <sheetViews>
    <sheetView zoomScale="85" zoomScaleNormal="85" workbookViewId="0">
      <pane xSplit="4" ySplit="1" topLeftCell="V2" activePane="bottomRight" state="frozen"/>
      <selection pane="topRight" activeCell="F1" sqref="F1"/>
      <selection pane="bottomLeft" activeCell="A2" sqref="A2"/>
      <selection pane="bottomRight" activeCell="AH2" sqref="AH2:AH8"/>
    </sheetView>
  </sheetViews>
  <sheetFormatPr baseColWidth="10" defaultRowHeight="15" x14ac:dyDescent="0.25"/>
  <cols>
    <col min="1" max="1" width="6.28515625" bestFit="1" customWidth="1"/>
    <col min="2" max="2" width="6" bestFit="1" customWidth="1"/>
    <col min="3" max="3" width="25.85546875" bestFit="1" customWidth="1"/>
    <col min="4" max="4" width="15.7109375" bestFit="1" customWidth="1"/>
    <col min="5" max="5" width="20.140625" bestFit="1" customWidth="1"/>
    <col min="6" max="6" width="13.140625" bestFit="1" customWidth="1"/>
    <col min="7" max="7" width="25" bestFit="1" customWidth="1"/>
    <col min="8" max="8" width="33.42578125" bestFit="1" customWidth="1"/>
    <col min="9" max="9" width="24" bestFit="1" customWidth="1"/>
    <col min="10" max="10" width="32.7109375" bestFit="1" customWidth="1"/>
    <col min="11" max="11" width="16.7109375" bestFit="1" customWidth="1"/>
    <col min="12" max="12" width="23.7109375" bestFit="1" customWidth="1"/>
    <col min="13" max="29" width="9.28515625" customWidth="1"/>
    <col min="30" max="30" width="23.140625" bestFit="1" customWidth="1"/>
    <col min="31" max="31" width="18" bestFit="1" customWidth="1"/>
    <col min="32" max="32" width="22.140625" bestFit="1" customWidth="1"/>
    <col min="33" max="34" width="9.28515625" customWidth="1"/>
    <col min="35" max="35" width="19.85546875" bestFit="1" customWidth="1"/>
    <col min="36" max="36" width="9.28515625" customWidth="1"/>
    <col min="37" max="37" width="19.28515625" bestFit="1" customWidth="1"/>
    <col min="38" max="38" width="23.42578125" bestFit="1" customWidth="1"/>
    <col min="39" max="39" width="14.85546875" bestFit="1" customWidth="1"/>
    <col min="40" max="40" width="10.42578125" bestFit="1" customWidth="1"/>
    <col min="41" max="41" width="18.7109375" bestFit="1" customWidth="1"/>
    <col min="42" max="42" width="20.140625" bestFit="1" customWidth="1"/>
    <col min="43" max="43" width="29.7109375" style="8" customWidth="1"/>
  </cols>
  <sheetData>
    <row r="1" spans="1:57" s="1" customFormat="1" ht="16.5" thickBot="1" x14ac:dyDescent="0.3">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75" thickTop="1" x14ac:dyDescent="0.25">
      <c r="A2">
        <v>1</v>
      </c>
      <c r="B2">
        <v>4</v>
      </c>
      <c r="C2" t="s">
        <v>286</v>
      </c>
      <c r="D2" t="s">
        <v>287</v>
      </c>
      <c r="F2" s="15">
        <v>23.6</v>
      </c>
      <c r="G2">
        <v>132</v>
      </c>
      <c r="H2">
        <v>75</v>
      </c>
      <c r="I2" t="s">
        <v>201</v>
      </c>
      <c r="J2">
        <f>133+64+56+50+40</f>
        <v>343</v>
      </c>
      <c r="K2" t="s">
        <v>91</v>
      </c>
      <c r="L2">
        <f>[1]Konstanten!$B$3</f>
        <v>2.8</v>
      </c>
      <c r="M2">
        <f>COUNTIF(Windows!$A$4:$A$84,D2)</f>
        <v>0</v>
      </c>
      <c r="N2" t="e">
        <f>VLOOKUP(D2,[1]Windows!$A$4:$D$84,2,FALSE)</f>
        <v>#N/A</v>
      </c>
      <c r="O2" t="e">
        <f>VLOOKUP(N2,[1]Windows!$B$4:$D$84,2,FALSE)/1000</f>
        <v>#N/A</v>
      </c>
      <c r="P2" t="e">
        <f>VLOOKUP(N2,[1]Windows!$B$4:$D$84,3,FALSE)/1000</f>
        <v>#N/A</v>
      </c>
      <c r="Q2">
        <f t="shared" ref="Q2:Q4" si="0">IF(ISNA(P2*O2),0,O2*P2)</f>
        <v>0</v>
      </c>
      <c r="R2">
        <f>IF(M2&gt;=2,INDEX([1]Windows!$B$4:$B$84,MATCH(N2,[1]Windows!$B$4:$B$84,0)+1),0)</f>
        <v>0</v>
      </c>
      <c r="S2" t="e">
        <f>VLOOKUP(R2,[1]Windows!$B$4:$D$84,2,FALSE)/1000</f>
        <v>#N/A</v>
      </c>
      <c r="T2" t="e">
        <f>VLOOKUP(R2,[1]Windows!$B$4:$D$84,3,FALSE)/1000</f>
        <v>#N/A</v>
      </c>
      <c r="U2">
        <f t="shared" ref="U2:U4" si="1">IF(ISNA(T2*S2),0,S2*T2)</f>
        <v>0</v>
      </c>
      <c r="V2">
        <f>IF(M2&gt;=3,INDEX([1]Windows!$B$4:$B$84,MATCH(N2,[1]Windows!$B$4:$B$84,0)+2),0)</f>
        <v>0</v>
      </c>
      <c r="W2" t="e">
        <f>VLOOKUP(V2,[1]Windows!$B$4:$D$84,2,FALSE)/1000</f>
        <v>#N/A</v>
      </c>
      <c r="X2" t="e">
        <f>VLOOKUP(V2,[1]Windows!$B$4:$D$84,3,FALSE)/1000</f>
        <v>#N/A</v>
      </c>
      <c r="Y2">
        <f t="shared" ref="Y2:Y4" si="2">IF(ISNA(X2*W2),0,W2*X2)</f>
        <v>0</v>
      </c>
      <c r="Z2">
        <f>IF(M2&gt;=4,INDEX([1]Windows!$B$4:$B$84,MATCH(N2,[1]Windows!$B$4:$B$84,0)+3),0)</f>
        <v>0</v>
      </c>
      <c r="AA2" t="e">
        <f>VLOOKUP(Z2,[1]Windows!$B$4:$D$84,2,FALSE)/1000</f>
        <v>#N/A</v>
      </c>
      <c r="AB2" t="e">
        <f>VLOOKUP(Z2,[1]Windows!$B$4:$D$84,3,FALSE)/1000</f>
        <v>#N/A</v>
      </c>
      <c r="AC2">
        <f t="shared" ref="AC2:AC4" si="3">IF(ISNA(AB2*AA2),0,AA2*AB2)</f>
        <v>0</v>
      </c>
      <c r="AD2" t="str">
        <f t="shared" ref="AD2:AD8" si="4">IF(M2&gt;0,G2,"N/A")</f>
        <v>N/A</v>
      </c>
      <c r="AE2">
        <f>SUM(Q2,U2,Y2,AC2)</f>
        <v>0</v>
      </c>
      <c r="AG2">
        <f t="shared" ref="AG2:AG8" si="5">H2*50/1000</f>
        <v>3.75</v>
      </c>
      <c r="AH2">
        <f>AG2*Konstanten!$B$4</f>
        <v>15.9375</v>
      </c>
      <c r="AI2">
        <f t="shared" ref="AI2:AI8" si="6">IF(AH2-AE2&lt;=0, 0, AH2-AE2)</f>
        <v>15.9375</v>
      </c>
      <c r="AJ2">
        <f t="shared" ref="AJ2:AJ8" si="7">50/1000*J2</f>
        <v>17.150000000000002</v>
      </c>
      <c r="AK2">
        <f>AJ2*[1]Konstanten!$B$3</f>
        <v>48.02</v>
      </c>
      <c r="AM2">
        <f t="shared" ref="AM2:AM8" si="8">IF(B2=9,1,0)</f>
        <v>0</v>
      </c>
      <c r="AN2">
        <f t="shared" ref="AN2:AN8" si="9">IF(B2=1,1,0)</f>
        <v>0</v>
      </c>
      <c r="AR2" s="8"/>
      <c r="BA2" s="4"/>
    </row>
    <row r="3" spans="1:57" x14ac:dyDescent="0.25">
      <c r="A3">
        <v>2</v>
      </c>
      <c r="B3">
        <v>4</v>
      </c>
      <c r="C3" t="s">
        <v>286</v>
      </c>
      <c r="D3" t="s">
        <v>123</v>
      </c>
      <c r="F3" s="15">
        <v>22.6</v>
      </c>
      <c r="G3">
        <v>42</v>
      </c>
      <c r="H3">
        <v>60</v>
      </c>
      <c r="I3" t="s">
        <v>201</v>
      </c>
      <c r="J3">
        <f>136+96+29+36+107</f>
        <v>404</v>
      </c>
      <c r="L3">
        <f>[1]Konstanten!$B$3</f>
        <v>2.8</v>
      </c>
      <c r="M3">
        <f>COUNTIF(Windows!$A$4:$A$84,D3)</f>
        <v>0</v>
      </c>
      <c r="N3" t="e">
        <f>VLOOKUP(D3,[1]Windows!$A$4:$D$84,2,FALSE)</f>
        <v>#N/A</v>
      </c>
      <c r="O3" t="e">
        <f>VLOOKUP(N3,[1]Windows!$B$4:$D$84,2,FALSE)/1000</f>
        <v>#N/A</v>
      </c>
      <c r="P3" t="e">
        <f>VLOOKUP(N3,[1]Windows!$B$4:$D$84,3,FALSE)/1000</f>
        <v>#N/A</v>
      </c>
      <c r="Q3">
        <f t="shared" si="0"/>
        <v>0</v>
      </c>
      <c r="R3">
        <f>IF(M3&gt;=2,INDEX([1]Windows!$B$4:$B$84,MATCH(N3,[1]Windows!$B$4:$B$84,0)+1),0)</f>
        <v>0</v>
      </c>
      <c r="S3" t="e">
        <f>VLOOKUP(R3,[1]Windows!$B$4:$D$84,2,FALSE)/1000</f>
        <v>#N/A</v>
      </c>
      <c r="T3" t="e">
        <f>VLOOKUP(R3,[1]Windows!$B$4:$D$84,3,FALSE)/1000</f>
        <v>#N/A</v>
      </c>
      <c r="U3">
        <f t="shared" si="1"/>
        <v>0</v>
      </c>
      <c r="V3">
        <f>IF(M3&gt;=3,INDEX([1]Windows!$B$4:$B$84,MATCH(N3,[1]Windows!$B$4:$B$84,0)+2),0)</f>
        <v>0</v>
      </c>
      <c r="W3" t="e">
        <f>VLOOKUP(V3,[1]Windows!$B$4:$D$84,2,FALSE)/1000</f>
        <v>#N/A</v>
      </c>
      <c r="X3" t="e">
        <f>VLOOKUP(V3,[1]Windows!$B$4:$D$84,3,FALSE)/1000</f>
        <v>#N/A</v>
      </c>
      <c r="Y3">
        <f t="shared" si="2"/>
        <v>0</v>
      </c>
      <c r="Z3">
        <f>IF(M3&gt;=4,INDEX([1]Windows!$B$4:$B$84,MATCH(N3,[1]Windows!$B$4:$B$84,0)+3),0)</f>
        <v>0</v>
      </c>
      <c r="AA3" t="e">
        <f>VLOOKUP(Z3,[1]Windows!$B$4:$D$84,2,FALSE)/1000</f>
        <v>#N/A</v>
      </c>
      <c r="AB3" t="e">
        <f>VLOOKUP(Z3,[1]Windows!$B$4:$D$84,3,FALSE)/1000</f>
        <v>#N/A</v>
      </c>
      <c r="AC3">
        <f t="shared" si="3"/>
        <v>0</v>
      </c>
      <c r="AD3" t="str">
        <f t="shared" si="4"/>
        <v>N/A</v>
      </c>
      <c r="AE3">
        <f t="shared" ref="AE3:AE5" si="10">SUM(Q3,U3,Y3,AC3)</f>
        <v>0</v>
      </c>
      <c r="AG3">
        <f t="shared" si="5"/>
        <v>3</v>
      </c>
      <c r="AH3">
        <f>AG3*Konstanten!$B$4</f>
        <v>12.75</v>
      </c>
      <c r="AI3">
        <f t="shared" si="6"/>
        <v>12.75</v>
      </c>
      <c r="AJ3">
        <f t="shared" si="7"/>
        <v>20.200000000000003</v>
      </c>
      <c r="AK3">
        <f>AJ3*[1]Konstanten!$B$3</f>
        <v>56.56</v>
      </c>
      <c r="AM3">
        <f t="shared" si="8"/>
        <v>0</v>
      </c>
      <c r="AN3">
        <f t="shared" si="9"/>
        <v>0</v>
      </c>
      <c r="AR3" s="8"/>
      <c r="BA3" s="4"/>
    </row>
    <row r="4" spans="1:57" x14ac:dyDescent="0.25">
      <c r="A4">
        <v>3</v>
      </c>
      <c r="B4">
        <v>4</v>
      </c>
      <c r="C4" t="s">
        <v>286</v>
      </c>
      <c r="D4" t="s">
        <v>124</v>
      </c>
      <c r="F4" s="15">
        <v>20</v>
      </c>
      <c r="G4">
        <v>42</v>
      </c>
      <c r="H4">
        <f>56</f>
        <v>56</v>
      </c>
      <c r="I4" t="s">
        <v>201</v>
      </c>
      <c r="J4">
        <f>2*142+56</f>
        <v>340</v>
      </c>
      <c r="L4">
        <f>[1]Konstanten!$B$3</f>
        <v>2.8</v>
      </c>
      <c r="M4">
        <f>COUNTIF(Windows!$A$4:$A$84,D4)</f>
        <v>0</v>
      </c>
      <c r="N4" t="e">
        <f>VLOOKUP(D4,[1]Windows!$A$4:$D$84,2,FALSE)</f>
        <v>#N/A</v>
      </c>
      <c r="O4" t="e">
        <f>VLOOKUP(N4,[1]Windows!$B$4:$D$84,2,FALSE)/1000</f>
        <v>#N/A</v>
      </c>
      <c r="P4" t="e">
        <f>VLOOKUP(N4,[1]Windows!$B$4:$D$84,3,FALSE)/1000</f>
        <v>#N/A</v>
      </c>
      <c r="Q4">
        <f t="shared" si="0"/>
        <v>0</v>
      </c>
      <c r="R4">
        <f>IF(M4&gt;=2,INDEX([1]Windows!$B$4:$B$84,MATCH(N4,[1]Windows!$B$4:$B$84,0)+1),0)</f>
        <v>0</v>
      </c>
      <c r="S4" t="e">
        <f>VLOOKUP(R4,[1]Windows!$B$4:$D$84,2,FALSE)/1000</f>
        <v>#N/A</v>
      </c>
      <c r="T4" t="e">
        <f>VLOOKUP(R4,[1]Windows!$B$4:$D$84,3,FALSE)/1000</f>
        <v>#N/A</v>
      </c>
      <c r="U4">
        <f t="shared" si="1"/>
        <v>0</v>
      </c>
      <c r="V4">
        <f>IF(M4&gt;=3,INDEX([1]Windows!$B$4:$B$84,MATCH(N4,[1]Windows!$B$4:$B$84,0)+2),0)</f>
        <v>0</v>
      </c>
      <c r="W4" t="e">
        <f>VLOOKUP(V4,[1]Windows!$B$4:$D$84,2,FALSE)/1000</f>
        <v>#N/A</v>
      </c>
      <c r="X4" t="e">
        <f>VLOOKUP(V4,[1]Windows!$B$4:$D$84,3,FALSE)/1000</f>
        <v>#N/A</v>
      </c>
      <c r="Y4">
        <f t="shared" si="2"/>
        <v>0</v>
      </c>
      <c r="Z4">
        <f>IF(M4&gt;=4,INDEX([1]Windows!$B$4:$B$84,MATCH(N4,[1]Windows!$B$4:$B$84,0)+3),0)</f>
        <v>0</v>
      </c>
      <c r="AA4" t="e">
        <f>VLOOKUP(Z4,[1]Windows!$B$4:$D$84,2,FALSE)/1000</f>
        <v>#N/A</v>
      </c>
      <c r="AB4" t="e">
        <f>VLOOKUP(Z4,[1]Windows!$B$4:$D$84,3,FALSE)/1000</f>
        <v>#N/A</v>
      </c>
      <c r="AC4">
        <f t="shared" si="3"/>
        <v>0</v>
      </c>
      <c r="AD4" t="str">
        <f t="shared" si="4"/>
        <v>N/A</v>
      </c>
      <c r="AE4">
        <f t="shared" si="10"/>
        <v>0</v>
      </c>
      <c r="AG4">
        <f t="shared" si="5"/>
        <v>2.8</v>
      </c>
      <c r="AH4">
        <f>AG4*Konstanten!$B$4</f>
        <v>11.899999999999999</v>
      </c>
      <c r="AI4">
        <f t="shared" si="6"/>
        <v>11.899999999999999</v>
      </c>
      <c r="AJ4">
        <f t="shared" si="7"/>
        <v>17</v>
      </c>
      <c r="AK4">
        <f>AJ4*[1]Konstanten!$B$3</f>
        <v>47.599999999999994</v>
      </c>
      <c r="AM4">
        <f t="shared" si="8"/>
        <v>0</v>
      </c>
      <c r="AN4">
        <f t="shared" si="9"/>
        <v>0</v>
      </c>
      <c r="AR4" s="8"/>
      <c r="BA4" s="4"/>
    </row>
    <row r="5" spans="1:57" x14ac:dyDescent="0.25">
      <c r="A5">
        <v>4</v>
      </c>
      <c r="B5">
        <v>4</v>
      </c>
      <c r="C5" t="s">
        <v>286</v>
      </c>
      <c r="D5" t="s">
        <v>289</v>
      </c>
      <c r="F5" s="15">
        <v>15.8</v>
      </c>
      <c r="G5">
        <v>312</v>
      </c>
      <c r="H5">
        <v>68</v>
      </c>
      <c r="I5" t="s">
        <v>201</v>
      </c>
      <c r="J5">
        <f>68+93</f>
        <v>161</v>
      </c>
      <c r="L5">
        <f>[1]Konstanten!$B$3</f>
        <v>2.8</v>
      </c>
      <c r="M5">
        <f>COUNTIF(Windows!$A$4:$A$84,D5)</f>
        <v>0</v>
      </c>
      <c r="N5" t="e">
        <f>VLOOKUP(D5,[1]Windows!$A$4:$D$84,2,FALSE)</f>
        <v>#N/A</v>
      </c>
      <c r="O5" t="e">
        <f>VLOOKUP(N5,[1]Windows!$B$4:$D$84,2,FALSE)/1000</f>
        <v>#N/A</v>
      </c>
      <c r="P5" t="e">
        <f>VLOOKUP(N5,[1]Windows!$B$4:$D$84,3,FALSE)/1000</f>
        <v>#N/A</v>
      </c>
      <c r="Q5">
        <f t="shared" ref="Q5:Q6" si="11">IF(ISNA(P5*O5),0,O5*P5)</f>
        <v>0</v>
      </c>
      <c r="R5">
        <f>IF(M5&gt;=2,INDEX([1]Windows!$B$4:$B$84,MATCH(N5,[1]Windows!$B$4:$B$84,0)+1),0)</f>
        <v>0</v>
      </c>
      <c r="S5" t="e">
        <f>VLOOKUP(R5,[1]Windows!$B$4:$D$84,2,FALSE)/1000</f>
        <v>#N/A</v>
      </c>
      <c r="T5" t="e">
        <f>VLOOKUP(R5,[1]Windows!$B$4:$D$84,3,FALSE)/1000</f>
        <v>#N/A</v>
      </c>
      <c r="U5">
        <f t="shared" ref="U5:U6" si="12">IF(ISNA(T5*S5),0,S5*T5)</f>
        <v>0</v>
      </c>
      <c r="V5">
        <f>IF(M5&gt;=3,INDEX([1]Windows!$B$4:$B$84,MATCH(N5,[1]Windows!$B$4:$B$84,0)+2),0)</f>
        <v>0</v>
      </c>
      <c r="W5" t="e">
        <f>VLOOKUP(V5,[1]Windows!$B$4:$D$84,2,FALSE)/1000</f>
        <v>#N/A</v>
      </c>
      <c r="X5" t="e">
        <f>VLOOKUP(V5,[1]Windows!$B$4:$D$84,3,FALSE)/1000</f>
        <v>#N/A</v>
      </c>
      <c r="Y5">
        <f t="shared" ref="Y5:Y6" si="13">IF(ISNA(X5*W5),0,W5*X5)</f>
        <v>0</v>
      </c>
      <c r="Z5">
        <f>IF(M5&gt;=4,INDEX([1]Windows!$B$4:$B$84,MATCH(N5,[1]Windows!$B$4:$B$84,0)+3),0)</f>
        <v>0</v>
      </c>
      <c r="AA5" t="e">
        <f>VLOOKUP(Z5,[1]Windows!$B$4:$D$84,2,FALSE)/1000</f>
        <v>#N/A</v>
      </c>
      <c r="AB5" t="e">
        <f>VLOOKUP(Z5,[1]Windows!$B$4:$D$84,3,FALSE)/1000</f>
        <v>#N/A</v>
      </c>
      <c r="AC5">
        <f t="shared" ref="AC5:AC6" si="14">IF(ISNA(AB5*AA5),0,AA5*AB5)</f>
        <v>0</v>
      </c>
      <c r="AD5" t="str">
        <f t="shared" si="4"/>
        <v>N/A</v>
      </c>
      <c r="AE5">
        <f t="shared" si="10"/>
        <v>0</v>
      </c>
      <c r="AG5">
        <f t="shared" si="5"/>
        <v>3.4</v>
      </c>
      <c r="AH5">
        <f>AG5*Konstanten!$B$4</f>
        <v>14.45</v>
      </c>
      <c r="AI5">
        <f t="shared" si="6"/>
        <v>14.45</v>
      </c>
      <c r="AJ5">
        <f t="shared" si="7"/>
        <v>8.0500000000000007</v>
      </c>
      <c r="AK5">
        <f>AJ5*[1]Konstanten!$B$3</f>
        <v>22.54</v>
      </c>
      <c r="AM5">
        <f t="shared" si="8"/>
        <v>0</v>
      </c>
      <c r="AN5">
        <f t="shared" si="9"/>
        <v>0</v>
      </c>
      <c r="AR5" s="8"/>
      <c r="BA5" s="4"/>
    </row>
    <row r="6" spans="1:57" x14ac:dyDescent="0.25">
      <c r="A6">
        <v>5</v>
      </c>
      <c r="B6">
        <v>4</v>
      </c>
      <c r="D6" t="s">
        <v>289</v>
      </c>
      <c r="F6" s="15">
        <v>0</v>
      </c>
      <c r="G6">
        <v>222</v>
      </c>
      <c r="H6">
        <v>93</v>
      </c>
      <c r="I6" t="s">
        <v>201</v>
      </c>
      <c r="J6">
        <v>0</v>
      </c>
      <c r="L6">
        <f>[1]Konstanten!$B$3</f>
        <v>2.8</v>
      </c>
      <c r="M6">
        <f>COUNTIF(Windows!$A$4:$A$84,D6)</f>
        <v>0</v>
      </c>
      <c r="N6" t="e">
        <f>VLOOKUP(D6,[1]Windows!$A$4:$D$84,2,FALSE)</f>
        <v>#N/A</v>
      </c>
      <c r="O6" t="e">
        <f>VLOOKUP(N6,[1]Windows!$B$4:$D$84,2,FALSE)/1000</f>
        <v>#N/A</v>
      </c>
      <c r="P6" t="e">
        <f>VLOOKUP(N6,[1]Windows!$B$4:$D$84,3,FALSE)/1000</f>
        <v>#N/A</v>
      </c>
      <c r="Q6">
        <f t="shared" si="11"/>
        <v>0</v>
      </c>
      <c r="R6">
        <f>IF(M6&gt;=2,INDEX([1]Windows!$B$4:$B$84,MATCH(N6,[1]Windows!$B$4:$B$84,0)+1),0)</f>
        <v>0</v>
      </c>
      <c r="S6" t="e">
        <f>VLOOKUP(R6,[1]Windows!$B$4:$D$84,2,FALSE)/1000</f>
        <v>#N/A</v>
      </c>
      <c r="T6" t="e">
        <f>VLOOKUP(R6,[1]Windows!$B$4:$D$84,3,FALSE)/1000</f>
        <v>#N/A</v>
      </c>
      <c r="U6">
        <f t="shared" si="12"/>
        <v>0</v>
      </c>
      <c r="V6">
        <f>IF(M6&gt;=3,INDEX([1]Windows!$B$4:$B$84,MATCH(N6,[1]Windows!$B$4:$B$84,0)+2),0)</f>
        <v>0</v>
      </c>
      <c r="W6" t="e">
        <f>VLOOKUP(V6,[1]Windows!$B$4:$D$84,2,FALSE)/1000</f>
        <v>#N/A</v>
      </c>
      <c r="X6" t="e">
        <f>VLOOKUP(V6,[1]Windows!$B$4:$D$84,3,FALSE)/1000</f>
        <v>#N/A</v>
      </c>
      <c r="Y6">
        <f t="shared" si="13"/>
        <v>0</v>
      </c>
      <c r="Z6">
        <f>IF(M6&gt;=4,INDEX([1]Windows!$B$4:$B$84,MATCH(N6,[1]Windows!$B$4:$B$84,0)+3),0)</f>
        <v>0</v>
      </c>
      <c r="AA6" t="e">
        <f>VLOOKUP(Z6,[1]Windows!$B$4:$D$84,2,FALSE)/1000</f>
        <v>#N/A</v>
      </c>
      <c r="AB6" t="e">
        <f>VLOOKUP(Z6,[1]Windows!$B$4:$D$84,3,FALSE)/1000</f>
        <v>#N/A</v>
      </c>
      <c r="AC6">
        <f t="shared" si="14"/>
        <v>0</v>
      </c>
      <c r="AD6" t="str">
        <f t="shared" si="4"/>
        <v>N/A</v>
      </c>
      <c r="AE6">
        <f t="shared" ref="AE6" si="15">SUM(Q6,U6,Y6,AC6)</f>
        <v>0</v>
      </c>
      <c r="AG6">
        <f t="shared" si="5"/>
        <v>4.6500000000000004</v>
      </c>
      <c r="AH6">
        <f>AG6*Konstanten!$B$4</f>
        <v>19.762500000000003</v>
      </c>
      <c r="AI6">
        <f t="shared" si="6"/>
        <v>19.762500000000003</v>
      </c>
      <c r="AJ6">
        <f t="shared" si="7"/>
        <v>0</v>
      </c>
      <c r="AK6">
        <f>AJ6*[1]Konstanten!$B$3</f>
        <v>0</v>
      </c>
      <c r="AM6">
        <f t="shared" si="8"/>
        <v>0</v>
      </c>
      <c r="AN6">
        <f t="shared" si="9"/>
        <v>0</v>
      </c>
      <c r="AR6" s="8"/>
      <c r="BA6" s="4"/>
    </row>
    <row r="7" spans="1:57" x14ac:dyDescent="0.25">
      <c r="A7">
        <v>5</v>
      </c>
      <c r="B7">
        <v>4</v>
      </c>
      <c r="C7" t="s">
        <v>17</v>
      </c>
      <c r="D7" t="s">
        <v>288</v>
      </c>
      <c r="F7" s="15">
        <v>45.1</v>
      </c>
      <c r="G7">
        <v>312</v>
      </c>
      <c r="H7">
        <v>202</v>
      </c>
      <c r="I7" t="s">
        <v>201</v>
      </c>
      <c r="J7">
        <f>2*102</f>
        <v>204</v>
      </c>
      <c r="L7">
        <f>[1]Konstanten!$B$3</f>
        <v>2.8</v>
      </c>
      <c r="M7">
        <v>4</v>
      </c>
      <c r="O7">
        <v>2.3149999999999999</v>
      </c>
      <c r="P7">
        <f>[2]Konstanten!$B$2</f>
        <v>1.35</v>
      </c>
      <c r="Q7">
        <f t="shared" ref="Q7:Q8" si="16">IF(ISNA(P7*O7),0,O7*P7)</f>
        <v>3.1252500000000003</v>
      </c>
      <c r="R7" t="e">
        <f>IF(M7&gt;=2,INDEX([2]Windows!$B$4:$B$84,MATCH(N7,[2]Windows!$B$4:$B$84,0)+1),0)</f>
        <v>#N/A</v>
      </c>
      <c r="S7">
        <v>2.3149999999999999</v>
      </c>
      <c r="T7">
        <f>[2]Konstanten!$B$2</f>
        <v>1.35</v>
      </c>
      <c r="U7">
        <f t="shared" ref="U7:U8" si="17">IF(ISNA(T7*S7),0,S7*T7)</f>
        <v>3.1252500000000003</v>
      </c>
      <c r="V7" t="e">
        <f>IF(M7&gt;=3,INDEX([2]Windows!$B$4:$B$84,MATCH(N7,[2]Windows!$B$4:$B$84,0)+2),0)</f>
        <v>#N/A</v>
      </c>
      <c r="W7">
        <v>2.3149999999999999</v>
      </c>
      <c r="X7">
        <f>[2]Konstanten!$B$2</f>
        <v>1.35</v>
      </c>
      <c r="Y7">
        <f t="shared" ref="Y7:Y8" si="18">IF(ISNA(X7*W7),0,W7*X7)</f>
        <v>3.1252500000000003</v>
      </c>
      <c r="Z7" t="e">
        <f>IF(M7&gt;=4,INDEX([2]Windows!$B$4:$B$84,MATCH(N7,[2]Windows!$B$4:$B$84,0)+3),0)</f>
        <v>#N/A</v>
      </c>
      <c r="AA7">
        <v>2.3149999999999999</v>
      </c>
      <c r="AB7">
        <f>[2]Konstanten!$B$2</f>
        <v>1.35</v>
      </c>
      <c r="AC7">
        <f t="shared" ref="AC7:AC8" si="19">IF(ISNA(AB7*AA7),0,AA7*AB7)</f>
        <v>3.1252500000000003</v>
      </c>
      <c r="AD7">
        <f t="shared" si="4"/>
        <v>312</v>
      </c>
      <c r="AE7">
        <f t="shared" ref="AE7:AE8" si="20">SUM(Q7,U7,Y7,AC7)</f>
        <v>12.501000000000001</v>
      </c>
      <c r="AG7">
        <f t="shared" si="5"/>
        <v>10.1</v>
      </c>
      <c r="AH7">
        <f>AG7*Konstanten!$B$4</f>
        <v>42.924999999999997</v>
      </c>
      <c r="AI7">
        <f t="shared" si="6"/>
        <v>30.423999999999996</v>
      </c>
      <c r="AJ7">
        <f t="shared" si="7"/>
        <v>10.200000000000001</v>
      </c>
      <c r="AK7">
        <f>AJ7*[1]Konstanten!$B$3</f>
        <v>28.560000000000002</v>
      </c>
      <c r="AM7">
        <f t="shared" si="8"/>
        <v>0</v>
      </c>
      <c r="AN7">
        <f t="shared" si="9"/>
        <v>0</v>
      </c>
      <c r="AR7" s="8"/>
      <c r="BA7" s="4"/>
    </row>
    <row r="8" spans="1:57" x14ac:dyDescent="0.25">
      <c r="A8">
        <v>6</v>
      </c>
      <c r="B8">
        <v>4</v>
      </c>
      <c r="D8" t="s">
        <v>288</v>
      </c>
      <c r="F8" s="15">
        <v>0</v>
      </c>
      <c r="G8">
        <v>132</v>
      </c>
      <c r="H8">
        <v>202</v>
      </c>
      <c r="I8" t="s">
        <v>201</v>
      </c>
      <c r="J8">
        <v>0</v>
      </c>
      <c r="L8">
        <f>[1]Konstanten!$B$3</f>
        <v>2.8</v>
      </c>
      <c r="M8">
        <v>4</v>
      </c>
      <c r="O8">
        <v>2.3149999999999999</v>
      </c>
      <c r="P8">
        <f>[2]Konstanten!$B$2</f>
        <v>1.35</v>
      </c>
      <c r="Q8">
        <f t="shared" si="16"/>
        <v>3.1252500000000003</v>
      </c>
      <c r="R8" t="e">
        <f>IF(M8&gt;=2,INDEX([2]Windows!$B$4:$B$84,MATCH(N8,[2]Windows!$B$4:$B$84,0)+1),0)</f>
        <v>#N/A</v>
      </c>
      <c r="S8">
        <v>2.3149999999999999</v>
      </c>
      <c r="T8">
        <f>[2]Konstanten!$B$2</f>
        <v>1.35</v>
      </c>
      <c r="U8">
        <f t="shared" si="17"/>
        <v>3.1252500000000003</v>
      </c>
      <c r="V8" t="e">
        <f>IF(M8&gt;=3,INDEX([2]Windows!$B$4:$B$84,MATCH(N8,[2]Windows!$B$4:$B$84,0)+2),0)</f>
        <v>#N/A</v>
      </c>
      <c r="W8">
        <v>2.3149999999999999</v>
      </c>
      <c r="X8">
        <f>[2]Konstanten!$B$2</f>
        <v>1.35</v>
      </c>
      <c r="Y8">
        <f t="shared" si="18"/>
        <v>3.1252500000000003</v>
      </c>
      <c r="Z8" t="e">
        <f>IF(M8&gt;=4,INDEX([2]Windows!$B$4:$B$84,MATCH(N8,[2]Windows!$B$4:$B$84,0)+3),0)</f>
        <v>#N/A</v>
      </c>
      <c r="AA8">
        <v>2.3149999999999999</v>
      </c>
      <c r="AB8">
        <f>[2]Konstanten!$B$2</f>
        <v>1.35</v>
      </c>
      <c r="AC8">
        <f t="shared" si="19"/>
        <v>3.1252500000000003</v>
      </c>
      <c r="AD8">
        <f t="shared" si="4"/>
        <v>132</v>
      </c>
      <c r="AE8">
        <f t="shared" si="20"/>
        <v>12.501000000000001</v>
      </c>
      <c r="AG8">
        <f t="shared" si="5"/>
        <v>10.1</v>
      </c>
      <c r="AH8">
        <f>AG8*Konstanten!$B$4</f>
        <v>42.924999999999997</v>
      </c>
      <c r="AI8">
        <f t="shared" si="6"/>
        <v>30.423999999999996</v>
      </c>
      <c r="AJ8">
        <f t="shared" si="7"/>
        <v>0</v>
      </c>
      <c r="AK8">
        <f>AJ8*[1]Konstanten!$B$3</f>
        <v>0</v>
      </c>
      <c r="AM8">
        <f t="shared" si="8"/>
        <v>0</v>
      </c>
      <c r="AN8">
        <f t="shared" si="9"/>
        <v>0</v>
      </c>
      <c r="AR8" s="8"/>
      <c r="BA8" s="4"/>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6" sqref="B16"/>
    </sheetView>
  </sheetViews>
  <sheetFormatPr baseColWidth="10" defaultRowHeight="15" x14ac:dyDescent="0.25"/>
  <cols>
    <col min="1" max="1" width="58.140625" bestFit="1" customWidth="1"/>
    <col min="2" max="2" width="25.85546875" bestFit="1" customWidth="1"/>
  </cols>
  <sheetData>
    <row r="1" spans="1:2" x14ac:dyDescent="0.25">
      <c r="A1" s="2" t="s">
        <v>68</v>
      </c>
      <c r="B1" s="2"/>
    </row>
    <row r="2" spans="1:2" x14ac:dyDescent="0.25">
      <c r="A2" s="2" t="s">
        <v>69</v>
      </c>
      <c r="B2" s="2" t="s">
        <v>70</v>
      </c>
    </row>
    <row r="3" spans="1:2" x14ac:dyDescent="0.25">
      <c r="A3" t="s">
        <v>76</v>
      </c>
      <c r="B3" t="s">
        <v>22</v>
      </c>
    </row>
    <row r="4" spans="1:2" x14ac:dyDescent="0.25">
      <c r="A4" t="s">
        <v>77</v>
      </c>
      <c r="B4" t="s">
        <v>21</v>
      </c>
    </row>
    <row r="5" spans="1:2" x14ac:dyDescent="0.25">
      <c r="A5" t="s">
        <v>74</v>
      </c>
      <c r="B5" t="s">
        <v>17</v>
      </c>
    </row>
    <row r="6" spans="1:2" x14ac:dyDescent="0.25">
      <c r="A6" t="s">
        <v>103</v>
      </c>
      <c r="B6" t="s">
        <v>104</v>
      </c>
    </row>
    <row r="7" spans="1:2" x14ac:dyDescent="0.25">
      <c r="A7" t="s">
        <v>81</v>
      </c>
      <c r="B7" t="s">
        <v>66</v>
      </c>
    </row>
    <row r="8" spans="1:2" x14ac:dyDescent="0.25">
      <c r="A8" t="s">
        <v>82</v>
      </c>
      <c r="B8" t="s">
        <v>67</v>
      </c>
    </row>
    <row r="9" spans="1:2" x14ac:dyDescent="0.25">
      <c r="A9" t="s">
        <v>78</v>
      </c>
      <c r="B9" t="s">
        <v>18</v>
      </c>
    </row>
    <row r="10" spans="1:2" x14ac:dyDescent="0.25">
      <c r="A10" t="s">
        <v>75</v>
      </c>
      <c r="B10" t="s">
        <v>59</v>
      </c>
    </row>
    <row r="11" spans="1:2" x14ac:dyDescent="0.25">
      <c r="A11" t="s">
        <v>274</v>
      </c>
      <c r="B11" t="s">
        <v>273</v>
      </c>
    </row>
    <row r="12" spans="1:2" x14ac:dyDescent="0.25">
      <c r="A12" t="s">
        <v>105</v>
      </c>
      <c r="B12" t="s">
        <v>98</v>
      </c>
    </row>
    <row r="13" spans="1:2" x14ac:dyDescent="0.25">
      <c r="A13" t="s">
        <v>100</v>
      </c>
      <c r="B13" t="s">
        <v>101</v>
      </c>
    </row>
    <row r="14" spans="1:2" x14ac:dyDescent="0.25">
      <c r="A14" t="s">
        <v>83</v>
      </c>
      <c r="B14" t="s">
        <v>20</v>
      </c>
    </row>
    <row r="15" spans="1:2" x14ac:dyDescent="0.25">
      <c r="A15" t="s">
        <v>84</v>
      </c>
      <c r="B15" t="s">
        <v>65</v>
      </c>
    </row>
    <row r="16" spans="1:2" x14ac:dyDescent="0.25">
      <c r="A16" t="s">
        <v>99</v>
      </c>
      <c r="B16" t="s">
        <v>102</v>
      </c>
    </row>
    <row r="17" spans="1:2" x14ac:dyDescent="0.25">
      <c r="A17" t="s">
        <v>107</v>
      </c>
      <c r="B17" t="s">
        <v>23</v>
      </c>
    </row>
    <row r="18" spans="1:2" x14ac:dyDescent="0.25">
      <c r="A18" t="s">
        <v>73</v>
      </c>
      <c r="B18" t="s">
        <v>52</v>
      </c>
    </row>
    <row r="19" spans="1:2" x14ac:dyDescent="0.25">
      <c r="A19" t="s">
        <v>79</v>
      </c>
      <c r="B19" t="s">
        <v>19</v>
      </c>
    </row>
    <row r="20" spans="1:2" x14ac:dyDescent="0.25">
      <c r="A20" t="s">
        <v>80</v>
      </c>
      <c r="B20" t="s">
        <v>15</v>
      </c>
    </row>
  </sheetData>
  <sortState ref="A3:B20">
    <sortCondition ref="A3:A20"/>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N48"/>
  <sheetViews>
    <sheetView topLeftCell="G16" zoomScale="85" zoomScaleNormal="85" workbookViewId="0">
      <selection activeCell="U39" sqref="U39"/>
    </sheetView>
  </sheetViews>
  <sheetFormatPr baseColWidth="10" defaultRowHeight="15" x14ac:dyDescent="0.25"/>
  <sheetData>
    <row r="19" spans="11:14" ht="21" x14ac:dyDescent="0.35">
      <c r="N19" s="6"/>
    </row>
    <row r="26" spans="11:14" ht="21" x14ac:dyDescent="0.35">
      <c r="K26" s="5"/>
    </row>
    <row r="48" spans="2:11" ht="21" x14ac:dyDescent="0.35">
      <c r="B48" s="6"/>
      <c r="K48" s="6"/>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3" sqref="B3"/>
    </sheetView>
  </sheetViews>
  <sheetFormatPr baseColWidth="10" defaultRowHeight="15" x14ac:dyDescent="0.25"/>
  <cols>
    <col min="2" max="2" width="15.7109375" bestFit="1" customWidth="1"/>
  </cols>
  <sheetData>
    <row r="1" spans="1:2" x14ac:dyDescent="0.25">
      <c r="B1" s="2" t="s">
        <v>85</v>
      </c>
    </row>
    <row r="2" spans="1:2" x14ac:dyDescent="0.25">
      <c r="A2" t="s">
        <v>86</v>
      </c>
      <c r="B2">
        <v>1.35</v>
      </c>
    </row>
    <row r="3" spans="1:2" x14ac:dyDescent="0.25">
      <c r="A3" t="s">
        <v>87</v>
      </c>
      <c r="B3">
        <v>2.5</v>
      </c>
    </row>
    <row r="4" spans="1:2" x14ac:dyDescent="0.25">
      <c r="A4" t="s">
        <v>290</v>
      </c>
      <c r="B4">
        <v>4.25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zoomScaleNormal="100" workbookViewId="0"/>
  </sheetViews>
  <sheetFormatPr baseColWidth="10" defaultRowHeight="15" x14ac:dyDescent="0.25"/>
  <cols>
    <col min="1" max="1" width="14.85546875" bestFit="1" customWidth="1"/>
    <col min="2" max="2" width="15.28515625" bestFit="1" customWidth="1"/>
    <col min="8" max="8" width="24.85546875" bestFit="1" customWidth="1"/>
  </cols>
  <sheetData>
    <row r="1" spans="1:8" x14ac:dyDescent="0.25">
      <c r="A1" s="2" t="s">
        <v>196</v>
      </c>
    </row>
    <row r="3" spans="1:8" x14ac:dyDescent="0.25">
      <c r="A3" s="9" t="s">
        <v>57</v>
      </c>
      <c r="B3" s="9" t="s">
        <v>54</v>
      </c>
      <c r="C3" s="9" t="s">
        <v>55</v>
      </c>
      <c r="D3" s="9"/>
      <c r="E3" s="9" t="s">
        <v>56</v>
      </c>
      <c r="F3" s="9" t="s">
        <v>58</v>
      </c>
      <c r="H3" s="9" t="s">
        <v>60</v>
      </c>
    </row>
    <row r="4" spans="1:8" x14ac:dyDescent="0.25">
      <c r="A4" t="s">
        <v>132</v>
      </c>
      <c r="B4" t="s">
        <v>160</v>
      </c>
      <c r="C4">
        <v>1470</v>
      </c>
      <c r="D4">
        <v>1320</v>
      </c>
      <c r="F4">
        <v>1</v>
      </c>
      <c r="H4">
        <f>SUM($F$4:$F$994)</f>
        <v>92</v>
      </c>
    </row>
    <row r="5" spans="1:8" x14ac:dyDescent="0.25">
      <c r="A5" t="s">
        <v>132</v>
      </c>
      <c r="B5" t="s">
        <v>171</v>
      </c>
      <c r="C5">
        <v>570</v>
      </c>
      <c r="D5">
        <v>1320</v>
      </c>
      <c r="F5">
        <v>1</v>
      </c>
    </row>
    <row r="6" spans="1:8" x14ac:dyDescent="0.25">
      <c r="A6" t="s">
        <v>131</v>
      </c>
      <c r="B6" t="s">
        <v>159</v>
      </c>
      <c r="C6">
        <v>1470</v>
      </c>
      <c r="D6">
        <v>1320</v>
      </c>
      <c r="F6">
        <v>1</v>
      </c>
    </row>
    <row r="7" spans="1:8" x14ac:dyDescent="0.25">
      <c r="A7" t="s">
        <v>131</v>
      </c>
      <c r="B7" t="s">
        <v>172</v>
      </c>
      <c r="C7">
        <v>570</v>
      </c>
      <c r="D7">
        <v>1320</v>
      </c>
      <c r="F7">
        <v>1</v>
      </c>
    </row>
    <row r="8" spans="1:8" x14ac:dyDescent="0.25">
      <c r="A8" t="s">
        <v>112</v>
      </c>
      <c r="B8" t="s">
        <v>148</v>
      </c>
      <c r="C8">
        <v>1030</v>
      </c>
      <c r="D8">
        <v>1320</v>
      </c>
      <c r="F8">
        <v>1</v>
      </c>
    </row>
    <row r="9" spans="1:8" x14ac:dyDescent="0.25">
      <c r="A9" t="s">
        <v>112</v>
      </c>
      <c r="B9" t="s">
        <v>177</v>
      </c>
      <c r="C9">
        <v>855</v>
      </c>
      <c r="D9">
        <v>1320</v>
      </c>
      <c r="F9">
        <v>1</v>
      </c>
    </row>
    <row r="10" spans="1:8" x14ac:dyDescent="0.25">
      <c r="A10" t="s">
        <v>112</v>
      </c>
      <c r="B10" t="s">
        <v>182</v>
      </c>
      <c r="C10">
        <v>895</v>
      </c>
      <c r="D10">
        <v>1320</v>
      </c>
      <c r="F10">
        <v>1</v>
      </c>
    </row>
    <row r="11" spans="1:8" x14ac:dyDescent="0.25">
      <c r="A11" t="s">
        <v>118</v>
      </c>
      <c r="B11" t="s">
        <v>154</v>
      </c>
      <c r="C11">
        <v>1120</v>
      </c>
      <c r="D11">
        <v>1320</v>
      </c>
      <c r="F11">
        <v>1</v>
      </c>
    </row>
    <row r="12" spans="1:8" x14ac:dyDescent="0.25">
      <c r="A12" t="s">
        <v>118</v>
      </c>
      <c r="B12" t="s">
        <v>182</v>
      </c>
      <c r="C12">
        <v>910</v>
      </c>
      <c r="D12">
        <v>1320</v>
      </c>
      <c r="F12">
        <v>1</v>
      </c>
    </row>
    <row r="13" spans="1:8" x14ac:dyDescent="0.25">
      <c r="A13" t="s">
        <v>118</v>
      </c>
      <c r="B13" t="s">
        <v>183</v>
      </c>
      <c r="C13">
        <v>910</v>
      </c>
      <c r="D13">
        <v>1320</v>
      </c>
      <c r="F13">
        <v>1</v>
      </c>
    </row>
    <row r="14" spans="1:8" x14ac:dyDescent="0.25">
      <c r="A14" t="s">
        <v>110</v>
      </c>
      <c r="B14" t="s">
        <v>146</v>
      </c>
      <c r="C14">
        <v>1030</v>
      </c>
      <c r="D14">
        <v>1320</v>
      </c>
      <c r="E14" t="s">
        <v>193</v>
      </c>
      <c r="F14">
        <v>1</v>
      </c>
    </row>
    <row r="15" spans="1:8" x14ac:dyDescent="0.25">
      <c r="A15" t="s">
        <v>114</v>
      </c>
      <c r="B15" t="s">
        <v>149</v>
      </c>
      <c r="C15">
        <v>960</v>
      </c>
      <c r="D15">
        <v>1320</v>
      </c>
      <c r="F15">
        <v>1</v>
      </c>
    </row>
    <row r="16" spans="1:8" x14ac:dyDescent="0.25">
      <c r="A16" t="s">
        <v>114</v>
      </c>
      <c r="B16" t="s">
        <v>150</v>
      </c>
      <c r="C16">
        <v>960</v>
      </c>
      <c r="D16">
        <v>1320</v>
      </c>
      <c r="F16">
        <v>1</v>
      </c>
    </row>
    <row r="17" spans="1:6" x14ac:dyDescent="0.25">
      <c r="A17" t="s">
        <v>114</v>
      </c>
      <c r="B17" t="s">
        <v>178</v>
      </c>
      <c r="C17">
        <v>855</v>
      </c>
      <c r="D17">
        <v>1320</v>
      </c>
      <c r="F17">
        <v>1</v>
      </c>
    </row>
    <row r="18" spans="1:6" x14ac:dyDescent="0.25">
      <c r="A18" t="s">
        <v>125</v>
      </c>
      <c r="B18" t="s">
        <v>158</v>
      </c>
      <c r="C18">
        <v>1295</v>
      </c>
      <c r="D18">
        <v>1320</v>
      </c>
      <c r="F18">
        <v>1</v>
      </c>
    </row>
    <row r="19" spans="1:6" x14ac:dyDescent="0.25">
      <c r="A19" t="s">
        <v>125</v>
      </c>
      <c r="B19" t="s">
        <v>175</v>
      </c>
      <c r="C19">
        <v>620</v>
      </c>
      <c r="D19">
        <v>1320</v>
      </c>
      <c r="F19">
        <v>1</v>
      </c>
    </row>
    <row r="20" spans="1:6" x14ac:dyDescent="0.25">
      <c r="A20" t="s">
        <v>125</v>
      </c>
      <c r="B20" t="s">
        <v>176</v>
      </c>
      <c r="C20">
        <v>620</v>
      </c>
      <c r="D20">
        <v>1320</v>
      </c>
      <c r="F20">
        <v>1</v>
      </c>
    </row>
    <row r="21" spans="1:6" x14ac:dyDescent="0.25">
      <c r="A21" t="s">
        <v>119</v>
      </c>
      <c r="B21" t="s">
        <v>155</v>
      </c>
      <c r="C21">
        <v>1370</v>
      </c>
      <c r="D21">
        <v>1320</v>
      </c>
      <c r="F21">
        <v>1</v>
      </c>
    </row>
    <row r="22" spans="1:6" x14ac:dyDescent="0.25">
      <c r="A22" t="s">
        <v>119</v>
      </c>
      <c r="B22" t="s">
        <v>156</v>
      </c>
      <c r="C22">
        <v>1370</v>
      </c>
      <c r="D22">
        <v>1320</v>
      </c>
      <c r="F22">
        <v>1</v>
      </c>
    </row>
    <row r="23" spans="1:6" x14ac:dyDescent="0.25">
      <c r="A23" t="s">
        <v>126</v>
      </c>
      <c r="B23" t="s">
        <v>158</v>
      </c>
      <c r="C23">
        <v>1295</v>
      </c>
      <c r="D23">
        <v>1320</v>
      </c>
      <c r="F23">
        <v>1</v>
      </c>
    </row>
    <row r="24" spans="1:6" x14ac:dyDescent="0.25">
      <c r="A24" t="s">
        <v>126</v>
      </c>
      <c r="B24" t="s">
        <v>175</v>
      </c>
      <c r="C24">
        <v>620</v>
      </c>
      <c r="D24">
        <v>1320</v>
      </c>
      <c r="F24">
        <v>1</v>
      </c>
    </row>
    <row r="25" spans="1:6" x14ac:dyDescent="0.25">
      <c r="A25" t="s">
        <v>126</v>
      </c>
      <c r="B25" t="s">
        <v>176</v>
      </c>
      <c r="C25">
        <v>620</v>
      </c>
      <c r="D25">
        <v>1320</v>
      </c>
      <c r="F25">
        <v>1</v>
      </c>
    </row>
    <row r="26" spans="1:6" x14ac:dyDescent="0.25">
      <c r="A26" t="s">
        <v>127</v>
      </c>
      <c r="B26" t="s">
        <v>158</v>
      </c>
      <c r="C26">
        <v>1295</v>
      </c>
      <c r="D26">
        <v>1320</v>
      </c>
      <c r="F26">
        <v>1</v>
      </c>
    </row>
    <row r="27" spans="1:6" x14ac:dyDescent="0.25">
      <c r="A27" t="s">
        <v>127</v>
      </c>
      <c r="B27" t="s">
        <v>175</v>
      </c>
      <c r="C27">
        <v>620</v>
      </c>
      <c r="D27">
        <v>1320</v>
      </c>
      <c r="F27">
        <v>1</v>
      </c>
    </row>
    <row r="28" spans="1:6" x14ac:dyDescent="0.25">
      <c r="A28" t="s">
        <v>127</v>
      </c>
      <c r="B28" t="s">
        <v>176</v>
      </c>
      <c r="C28">
        <v>620</v>
      </c>
      <c r="D28">
        <v>1320</v>
      </c>
      <c r="F28">
        <v>1</v>
      </c>
    </row>
    <row r="29" spans="1:6" x14ac:dyDescent="0.25">
      <c r="A29" t="s">
        <v>120</v>
      </c>
      <c r="B29" t="s">
        <v>155</v>
      </c>
      <c r="C29">
        <v>1370</v>
      </c>
      <c r="D29">
        <v>1320</v>
      </c>
      <c r="F29">
        <v>1</v>
      </c>
    </row>
    <row r="30" spans="1:6" x14ac:dyDescent="0.25">
      <c r="A30" t="s">
        <v>120</v>
      </c>
      <c r="B30" t="s">
        <v>156</v>
      </c>
      <c r="C30">
        <v>1370</v>
      </c>
      <c r="D30">
        <v>1320</v>
      </c>
      <c r="F30">
        <v>1</v>
      </c>
    </row>
    <row r="31" spans="1:6" x14ac:dyDescent="0.25">
      <c r="A31" t="s">
        <v>128</v>
      </c>
      <c r="B31" t="s">
        <v>158</v>
      </c>
      <c r="C31">
        <v>1295</v>
      </c>
      <c r="D31">
        <v>1320</v>
      </c>
      <c r="F31">
        <v>1</v>
      </c>
    </row>
    <row r="32" spans="1:6" x14ac:dyDescent="0.25">
      <c r="A32" t="s">
        <v>128</v>
      </c>
      <c r="B32" t="s">
        <v>175</v>
      </c>
      <c r="C32">
        <v>620</v>
      </c>
      <c r="D32">
        <v>1320</v>
      </c>
      <c r="F32">
        <v>1</v>
      </c>
    </row>
    <row r="33" spans="1:6" x14ac:dyDescent="0.25">
      <c r="A33" t="s">
        <v>128</v>
      </c>
      <c r="B33" t="s">
        <v>176</v>
      </c>
      <c r="C33">
        <v>620</v>
      </c>
      <c r="D33">
        <v>1320</v>
      </c>
      <c r="F33">
        <v>1</v>
      </c>
    </row>
    <row r="34" spans="1:6" x14ac:dyDescent="0.25">
      <c r="A34" t="s">
        <v>129</v>
      </c>
      <c r="B34" t="s">
        <v>158</v>
      </c>
      <c r="C34">
        <v>1295</v>
      </c>
      <c r="D34">
        <v>1320</v>
      </c>
      <c r="F34">
        <v>1</v>
      </c>
    </row>
    <row r="35" spans="1:6" x14ac:dyDescent="0.25">
      <c r="A35" t="s">
        <v>129</v>
      </c>
      <c r="B35" t="s">
        <v>175</v>
      </c>
      <c r="C35">
        <v>620</v>
      </c>
      <c r="D35">
        <v>1320</v>
      </c>
      <c r="F35">
        <v>1</v>
      </c>
    </row>
    <row r="36" spans="1:6" x14ac:dyDescent="0.25">
      <c r="A36" t="s">
        <v>129</v>
      </c>
      <c r="B36" t="s">
        <v>176</v>
      </c>
      <c r="C36">
        <v>620</v>
      </c>
      <c r="D36">
        <v>1320</v>
      </c>
      <c r="F36">
        <v>1</v>
      </c>
    </row>
    <row r="37" spans="1:6" x14ac:dyDescent="0.25">
      <c r="A37" t="s">
        <v>121</v>
      </c>
      <c r="B37" t="s">
        <v>155</v>
      </c>
      <c r="C37">
        <v>1370</v>
      </c>
      <c r="D37">
        <v>1320</v>
      </c>
      <c r="F37">
        <v>1</v>
      </c>
    </row>
    <row r="38" spans="1:6" x14ac:dyDescent="0.25">
      <c r="A38" t="s">
        <v>121</v>
      </c>
      <c r="B38" t="s">
        <v>156</v>
      </c>
      <c r="C38">
        <v>1370</v>
      </c>
      <c r="D38">
        <v>1320</v>
      </c>
      <c r="F38">
        <v>1</v>
      </c>
    </row>
    <row r="39" spans="1:6" x14ac:dyDescent="0.25">
      <c r="A39" t="s">
        <v>141</v>
      </c>
      <c r="B39" t="s">
        <v>175</v>
      </c>
      <c r="C39">
        <v>620</v>
      </c>
      <c r="D39">
        <v>1320</v>
      </c>
      <c r="F39">
        <v>1</v>
      </c>
    </row>
    <row r="40" spans="1:6" x14ac:dyDescent="0.25">
      <c r="A40" t="s">
        <v>141</v>
      </c>
      <c r="B40" t="s">
        <v>158</v>
      </c>
      <c r="C40">
        <v>1295</v>
      </c>
      <c r="D40">
        <v>1320</v>
      </c>
      <c r="F40">
        <v>1</v>
      </c>
    </row>
    <row r="41" spans="1:6" x14ac:dyDescent="0.25">
      <c r="A41" t="s">
        <v>141</v>
      </c>
      <c r="B41" t="s">
        <v>176</v>
      </c>
      <c r="C41">
        <v>620</v>
      </c>
      <c r="D41">
        <v>1320</v>
      </c>
      <c r="F41">
        <v>1</v>
      </c>
    </row>
    <row r="42" spans="1:6" x14ac:dyDescent="0.25">
      <c r="A42" t="s">
        <v>133</v>
      </c>
      <c r="B42" t="s">
        <v>161</v>
      </c>
      <c r="C42">
        <v>1770</v>
      </c>
      <c r="D42">
        <v>1320</v>
      </c>
      <c r="F42">
        <v>1</v>
      </c>
    </row>
    <row r="43" spans="1:6" x14ac:dyDescent="0.25">
      <c r="A43" t="s">
        <v>133</v>
      </c>
      <c r="B43" t="s">
        <v>183</v>
      </c>
      <c r="C43">
        <v>910</v>
      </c>
      <c r="D43">
        <v>1320</v>
      </c>
      <c r="F43">
        <v>1</v>
      </c>
    </row>
    <row r="44" spans="1:6" x14ac:dyDescent="0.25">
      <c r="A44" t="s">
        <v>140</v>
      </c>
      <c r="B44" t="s">
        <v>169</v>
      </c>
      <c r="C44">
        <v>440</v>
      </c>
      <c r="D44">
        <v>1320</v>
      </c>
      <c r="F44">
        <v>1</v>
      </c>
    </row>
    <row r="45" spans="1:6" x14ac:dyDescent="0.25">
      <c r="A45" t="s">
        <v>140</v>
      </c>
      <c r="B45" t="s">
        <v>170</v>
      </c>
      <c r="C45">
        <v>370</v>
      </c>
      <c r="D45">
        <v>1320</v>
      </c>
      <c r="F45">
        <v>1</v>
      </c>
    </row>
    <row r="46" spans="1:6" x14ac:dyDescent="0.25">
      <c r="A46" t="s">
        <v>140</v>
      </c>
      <c r="B46" t="s">
        <v>179</v>
      </c>
      <c r="C46">
        <v>820</v>
      </c>
      <c r="D46">
        <v>1320</v>
      </c>
      <c r="F46">
        <v>1</v>
      </c>
    </row>
    <row r="47" spans="1:6" x14ac:dyDescent="0.25">
      <c r="A47" t="s">
        <v>140</v>
      </c>
      <c r="B47" t="s">
        <v>183</v>
      </c>
      <c r="C47">
        <v>910</v>
      </c>
      <c r="D47">
        <v>1320</v>
      </c>
      <c r="F47">
        <v>1</v>
      </c>
    </row>
    <row r="48" spans="1:6" x14ac:dyDescent="0.25">
      <c r="A48" t="s">
        <v>135</v>
      </c>
      <c r="B48" t="s">
        <v>163</v>
      </c>
      <c r="C48">
        <v>1730</v>
      </c>
      <c r="D48">
        <v>1320</v>
      </c>
      <c r="F48">
        <v>1</v>
      </c>
    </row>
    <row r="49" spans="1:6" x14ac:dyDescent="0.25">
      <c r="A49" t="s">
        <v>135</v>
      </c>
      <c r="B49" t="s">
        <v>180</v>
      </c>
      <c r="C49">
        <v>960</v>
      </c>
      <c r="D49">
        <v>1320</v>
      </c>
      <c r="F49">
        <v>1</v>
      </c>
    </row>
    <row r="50" spans="1:6" x14ac:dyDescent="0.25">
      <c r="A50" t="s">
        <v>117</v>
      </c>
      <c r="B50" t="s">
        <v>154</v>
      </c>
      <c r="C50">
        <v>1105</v>
      </c>
      <c r="D50">
        <v>1320</v>
      </c>
      <c r="F50">
        <v>1</v>
      </c>
    </row>
    <row r="51" spans="1:6" x14ac:dyDescent="0.25">
      <c r="A51" t="s">
        <v>117</v>
      </c>
      <c r="B51" t="s">
        <v>175</v>
      </c>
      <c r="C51">
        <v>610</v>
      </c>
      <c r="D51">
        <v>1320</v>
      </c>
      <c r="F51">
        <v>1</v>
      </c>
    </row>
    <row r="52" spans="1:6" x14ac:dyDescent="0.25">
      <c r="A52" t="s">
        <v>117</v>
      </c>
      <c r="B52" t="s">
        <v>175</v>
      </c>
      <c r="C52">
        <v>610</v>
      </c>
      <c r="D52">
        <v>1320</v>
      </c>
      <c r="F52">
        <v>1</v>
      </c>
    </row>
    <row r="53" spans="1:6" x14ac:dyDescent="0.25">
      <c r="A53" t="s">
        <v>122</v>
      </c>
      <c r="B53" t="s">
        <v>155</v>
      </c>
      <c r="C53">
        <v>1370</v>
      </c>
      <c r="D53">
        <v>1320</v>
      </c>
      <c r="F53">
        <v>1</v>
      </c>
    </row>
    <row r="54" spans="1:6" x14ac:dyDescent="0.25">
      <c r="A54" t="s">
        <v>122</v>
      </c>
      <c r="B54" t="s">
        <v>156</v>
      </c>
      <c r="C54">
        <v>1370</v>
      </c>
      <c r="D54">
        <v>1320</v>
      </c>
      <c r="F54">
        <v>1</v>
      </c>
    </row>
    <row r="55" spans="1:6" x14ac:dyDescent="0.25">
      <c r="A55" t="s">
        <v>134</v>
      </c>
      <c r="B55" t="s">
        <v>162</v>
      </c>
      <c r="C55">
        <v>2025</v>
      </c>
      <c r="D55">
        <v>1320</v>
      </c>
      <c r="F55">
        <v>1</v>
      </c>
    </row>
    <row r="56" spans="1:6" x14ac:dyDescent="0.25">
      <c r="A56" t="s">
        <v>130</v>
      </c>
      <c r="B56" t="s">
        <v>159</v>
      </c>
      <c r="C56">
        <v>1430</v>
      </c>
      <c r="D56">
        <v>1320</v>
      </c>
      <c r="F56">
        <v>1</v>
      </c>
    </row>
    <row r="57" spans="1:6" x14ac:dyDescent="0.25">
      <c r="A57" t="s">
        <v>130</v>
      </c>
      <c r="B57" t="s">
        <v>167</v>
      </c>
      <c r="C57">
        <v>2120</v>
      </c>
      <c r="D57">
        <v>1320</v>
      </c>
      <c r="F57">
        <v>1</v>
      </c>
    </row>
    <row r="58" spans="1:6" x14ac:dyDescent="0.25">
      <c r="A58" t="s">
        <v>137</v>
      </c>
      <c r="B58" t="s">
        <v>174</v>
      </c>
      <c r="C58">
        <v>490</v>
      </c>
      <c r="D58">
        <v>1320</v>
      </c>
      <c r="F58">
        <v>1</v>
      </c>
    </row>
    <row r="59" spans="1:6" x14ac:dyDescent="0.25">
      <c r="A59" t="s">
        <v>137</v>
      </c>
      <c r="B59" t="s">
        <v>167</v>
      </c>
      <c r="C59">
        <v>2120</v>
      </c>
      <c r="D59">
        <v>1320</v>
      </c>
      <c r="F59">
        <v>1</v>
      </c>
    </row>
    <row r="60" spans="1:6" x14ac:dyDescent="0.25">
      <c r="A60" t="s">
        <v>137</v>
      </c>
      <c r="B60" t="s">
        <v>180</v>
      </c>
      <c r="C60">
        <v>920</v>
      </c>
      <c r="D60">
        <v>1320</v>
      </c>
      <c r="F60">
        <v>1</v>
      </c>
    </row>
    <row r="61" spans="1:6" x14ac:dyDescent="0.25">
      <c r="A61" t="s">
        <v>138</v>
      </c>
      <c r="B61" t="s">
        <v>166</v>
      </c>
      <c r="C61">
        <v>2120</v>
      </c>
      <c r="D61">
        <v>1320</v>
      </c>
      <c r="F61">
        <v>1</v>
      </c>
    </row>
    <row r="62" spans="1:6" x14ac:dyDescent="0.25">
      <c r="A62" t="s">
        <v>138</v>
      </c>
      <c r="B62" t="s">
        <v>181</v>
      </c>
      <c r="C62">
        <v>920</v>
      </c>
      <c r="D62">
        <v>1320</v>
      </c>
      <c r="F62">
        <v>1</v>
      </c>
    </row>
    <row r="63" spans="1:6" x14ac:dyDescent="0.25">
      <c r="A63" t="s">
        <v>139</v>
      </c>
      <c r="B63" t="s">
        <v>167</v>
      </c>
      <c r="C63">
        <v>2120</v>
      </c>
      <c r="D63">
        <v>1320</v>
      </c>
      <c r="F63">
        <v>1</v>
      </c>
    </row>
    <row r="64" spans="1:6" x14ac:dyDescent="0.25">
      <c r="A64" t="s">
        <v>139</v>
      </c>
      <c r="B64" t="s">
        <v>177</v>
      </c>
      <c r="C64">
        <v>845</v>
      </c>
      <c r="D64">
        <v>1320</v>
      </c>
      <c r="F64">
        <v>1</v>
      </c>
    </row>
    <row r="65" spans="1:6" x14ac:dyDescent="0.25">
      <c r="A65" t="s">
        <v>113</v>
      </c>
      <c r="B65" t="s">
        <v>148</v>
      </c>
      <c r="C65">
        <v>1065</v>
      </c>
      <c r="D65">
        <v>1320</v>
      </c>
      <c r="F65">
        <v>1</v>
      </c>
    </row>
    <row r="66" spans="1:6" x14ac:dyDescent="0.25">
      <c r="A66" t="s">
        <v>113</v>
      </c>
      <c r="B66" t="s">
        <v>161</v>
      </c>
      <c r="C66">
        <v>1740</v>
      </c>
      <c r="D66">
        <v>1320</v>
      </c>
      <c r="F66">
        <v>1</v>
      </c>
    </row>
    <row r="67" spans="1:6" x14ac:dyDescent="0.25">
      <c r="A67" t="s">
        <v>113</v>
      </c>
      <c r="B67" t="s">
        <v>168</v>
      </c>
      <c r="C67">
        <v>365</v>
      </c>
      <c r="D67">
        <v>1320</v>
      </c>
      <c r="F67">
        <v>1</v>
      </c>
    </row>
    <row r="68" spans="1:6" x14ac:dyDescent="0.25">
      <c r="A68" t="s">
        <v>145</v>
      </c>
      <c r="B68" t="s">
        <v>188</v>
      </c>
      <c r="C68">
        <v>1605</v>
      </c>
      <c r="D68">
        <v>1670</v>
      </c>
      <c r="E68" t="s">
        <v>195</v>
      </c>
      <c r="F68">
        <v>1</v>
      </c>
    </row>
    <row r="69" spans="1:6" x14ac:dyDescent="0.25">
      <c r="A69" t="s">
        <v>145</v>
      </c>
      <c r="B69" t="s">
        <v>191</v>
      </c>
      <c r="C69">
        <v>515</v>
      </c>
      <c r="D69">
        <v>1670</v>
      </c>
      <c r="F69">
        <v>1</v>
      </c>
    </row>
    <row r="70" spans="1:6" x14ac:dyDescent="0.25">
      <c r="A70" t="s">
        <v>144</v>
      </c>
      <c r="B70" t="s">
        <v>185</v>
      </c>
      <c r="C70">
        <v>1050</v>
      </c>
      <c r="D70">
        <v>1670</v>
      </c>
      <c r="F70">
        <v>1</v>
      </c>
    </row>
    <row r="71" spans="1:6" x14ac:dyDescent="0.25">
      <c r="A71" t="s">
        <v>144</v>
      </c>
      <c r="B71" t="s">
        <v>187</v>
      </c>
      <c r="C71">
        <v>1345</v>
      </c>
      <c r="D71">
        <v>1670</v>
      </c>
      <c r="F71">
        <v>1</v>
      </c>
    </row>
    <row r="72" spans="1:6" x14ac:dyDescent="0.25">
      <c r="A72" t="s">
        <v>144</v>
      </c>
      <c r="B72" t="s">
        <v>192</v>
      </c>
      <c r="C72">
        <v>745</v>
      </c>
      <c r="D72">
        <v>1670</v>
      </c>
      <c r="F72">
        <v>1</v>
      </c>
    </row>
    <row r="73" spans="1:6" x14ac:dyDescent="0.25">
      <c r="A73" t="s">
        <v>111</v>
      </c>
      <c r="B73" t="s">
        <v>147</v>
      </c>
      <c r="C73">
        <v>1325</v>
      </c>
      <c r="D73">
        <v>1670</v>
      </c>
      <c r="F73">
        <v>1</v>
      </c>
    </row>
    <row r="74" spans="1:6" x14ac:dyDescent="0.25">
      <c r="A74" t="s">
        <v>111</v>
      </c>
      <c r="B74" t="s">
        <v>165</v>
      </c>
      <c r="C74">
        <v>1995</v>
      </c>
      <c r="D74">
        <v>1670</v>
      </c>
      <c r="F74">
        <v>1</v>
      </c>
    </row>
    <row r="75" spans="1:6" x14ac:dyDescent="0.25">
      <c r="A75" t="s">
        <v>115</v>
      </c>
      <c r="B75" t="s">
        <v>151</v>
      </c>
      <c r="C75">
        <v>1350</v>
      </c>
      <c r="D75">
        <v>2070</v>
      </c>
      <c r="F75">
        <v>1</v>
      </c>
    </row>
    <row r="76" spans="1:6" x14ac:dyDescent="0.25">
      <c r="A76" t="s">
        <v>115</v>
      </c>
      <c r="B76" t="s">
        <v>152</v>
      </c>
      <c r="C76">
        <v>1350</v>
      </c>
      <c r="D76">
        <v>2070</v>
      </c>
      <c r="F76">
        <v>1</v>
      </c>
    </row>
    <row r="77" spans="1:6" x14ac:dyDescent="0.25">
      <c r="A77" t="s">
        <v>115</v>
      </c>
      <c r="B77" t="s">
        <v>164</v>
      </c>
      <c r="C77">
        <v>1930</v>
      </c>
      <c r="D77">
        <v>2070</v>
      </c>
      <c r="F77">
        <v>4</v>
      </c>
    </row>
    <row r="78" spans="1:6" x14ac:dyDescent="0.25">
      <c r="A78" t="s">
        <v>115</v>
      </c>
      <c r="B78" t="s">
        <v>166</v>
      </c>
      <c r="C78">
        <v>2120</v>
      </c>
      <c r="D78">
        <v>2070</v>
      </c>
      <c r="F78">
        <v>1</v>
      </c>
    </row>
    <row r="79" spans="1:6" x14ac:dyDescent="0.25">
      <c r="A79" t="s">
        <v>115</v>
      </c>
      <c r="B79" t="s">
        <v>167</v>
      </c>
      <c r="C79">
        <v>2120</v>
      </c>
      <c r="D79">
        <v>2070</v>
      </c>
      <c r="F79">
        <v>1</v>
      </c>
    </row>
    <row r="80" spans="1:6" x14ac:dyDescent="0.25">
      <c r="A80" t="s">
        <v>142</v>
      </c>
      <c r="B80" t="s">
        <v>184</v>
      </c>
      <c r="C80">
        <v>1325</v>
      </c>
      <c r="D80">
        <v>1670</v>
      </c>
      <c r="F80">
        <v>1</v>
      </c>
    </row>
    <row r="81" spans="1:6" x14ac:dyDescent="0.25">
      <c r="A81" t="s">
        <v>142</v>
      </c>
      <c r="B81" t="s">
        <v>186</v>
      </c>
      <c r="C81">
        <v>1275</v>
      </c>
      <c r="D81">
        <v>1670</v>
      </c>
      <c r="F81">
        <v>1</v>
      </c>
    </row>
    <row r="82" spans="1:6" x14ac:dyDescent="0.25">
      <c r="A82" t="s">
        <v>142</v>
      </c>
      <c r="B82" t="s">
        <v>190</v>
      </c>
      <c r="C82">
        <v>2120</v>
      </c>
      <c r="D82">
        <v>1670</v>
      </c>
      <c r="F82">
        <v>1</v>
      </c>
    </row>
    <row r="83" spans="1:6" x14ac:dyDescent="0.25">
      <c r="A83" t="s">
        <v>143</v>
      </c>
      <c r="B83" t="s">
        <v>184</v>
      </c>
      <c r="C83">
        <v>1325</v>
      </c>
      <c r="D83">
        <v>1670</v>
      </c>
      <c r="F83">
        <v>1</v>
      </c>
    </row>
    <row r="84" spans="1:6" x14ac:dyDescent="0.25">
      <c r="A84" t="s">
        <v>143</v>
      </c>
      <c r="B84" t="s">
        <v>189</v>
      </c>
      <c r="C84">
        <v>2170</v>
      </c>
      <c r="D84">
        <v>1670</v>
      </c>
      <c r="F84">
        <v>1</v>
      </c>
    </row>
    <row r="85" spans="1:6" x14ac:dyDescent="0.25">
      <c r="A85" t="s">
        <v>143</v>
      </c>
      <c r="B85" t="s">
        <v>190</v>
      </c>
      <c r="C85">
        <v>2120</v>
      </c>
      <c r="D85">
        <v>1670</v>
      </c>
      <c r="F85">
        <v>1</v>
      </c>
    </row>
    <row r="86" spans="1:6" x14ac:dyDescent="0.25">
      <c r="A86" t="s">
        <v>116</v>
      </c>
      <c r="B86" t="s">
        <v>153</v>
      </c>
      <c r="C86">
        <v>1350</v>
      </c>
      <c r="D86">
        <v>1320</v>
      </c>
      <c r="F86">
        <v>1</v>
      </c>
    </row>
    <row r="87" spans="1:6" x14ac:dyDescent="0.25">
      <c r="A87" t="s">
        <v>116</v>
      </c>
      <c r="B87" t="s">
        <v>166</v>
      </c>
      <c r="C87">
        <v>2120</v>
      </c>
      <c r="D87">
        <v>1320</v>
      </c>
      <c r="F87">
        <v>1</v>
      </c>
    </row>
    <row r="88" spans="1:6" x14ac:dyDescent="0.25">
      <c r="A88" t="s">
        <v>136</v>
      </c>
      <c r="B88" t="s">
        <v>164</v>
      </c>
      <c r="C88">
        <v>1930</v>
      </c>
      <c r="D88">
        <v>1320</v>
      </c>
      <c r="F88">
        <v>1</v>
      </c>
    </row>
    <row r="89" spans="1:6" x14ac:dyDescent="0.25">
      <c r="A89" t="s">
        <v>136</v>
      </c>
      <c r="B89" t="s">
        <v>173</v>
      </c>
      <c r="C89">
        <v>750</v>
      </c>
      <c r="D89">
        <v>1320</v>
      </c>
      <c r="E89" t="s">
        <v>194</v>
      </c>
      <c r="F89">
        <v>1</v>
      </c>
    </row>
    <row r="90" spans="1:6" x14ac:dyDescent="0.25">
      <c r="A90" t="s">
        <v>136</v>
      </c>
      <c r="B90" t="s">
        <v>183</v>
      </c>
      <c r="C90">
        <v>845</v>
      </c>
      <c r="D90">
        <v>1320</v>
      </c>
      <c r="E90" t="s">
        <v>194</v>
      </c>
      <c r="F90">
        <v>1</v>
      </c>
    </row>
    <row r="91" spans="1:6" x14ac:dyDescent="0.25">
      <c r="A91" t="s">
        <v>123</v>
      </c>
      <c r="B91" t="s">
        <v>157</v>
      </c>
      <c r="C91">
        <v>1300</v>
      </c>
      <c r="D91">
        <v>490</v>
      </c>
      <c r="E91" t="s">
        <v>193</v>
      </c>
      <c r="F91">
        <v>1</v>
      </c>
    </row>
    <row r="92" spans="1:6" x14ac:dyDescent="0.25">
      <c r="A92" t="s">
        <v>124</v>
      </c>
      <c r="B92" t="s">
        <v>157</v>
      </c>
      <c r="C92">
        <v>1300</v>
      </c>
      <c r="D92">
        <v>490</v>
      </c>
      <c r="F92">
        <v>1</v>
      </c>
    </row>
  </sheetData>
  <sortState ref="A4:F92">
    <sortCondition ref="A4:A92"/>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33"/>
  <sheetViews>
    <sheetView topLeftCell="A7" zoomScale="70" zoomScaleNormal="70" workbookViewId="0">
      <selection activeCell="J18" sqref="J18"/>
    </sheetView>
  </sheetViews>
  <sheetFormatPr baseColWidth="10" defaultRowHeight="15" x14ac:dyDescent="0.25"/>
  <sheetData>
    <row r="3" spans="2:14" x14ac:dyDescent="0.25">
      <c r="B3" s="2" t="s">
        <v>88</v>
      </c>
      <c r="I3" s="2" t="s">
        <v>89</v>
      </c>
      <c r="N3" s="2" t="s">
        <v>90</v>
      </c>
    </row>
    <row r="33" spans="2:14" x14ac:dyDescent="0.25">
      <c r="B33" s="2" t="s">
        <v>91</v>
      </c>
      <c r="I33" s="2" t="s">
        <v>92</v>
      </c>
      <c r="N33" s="2" t="s">
        <v>93</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2"/>
  <sheetViews>
    <sheetView zoomScale="85" zoomScaleNormal="85" workbookViewId="0">
      <pane xSplit="4" ySplit="1" topLeftCell="R2" activePane="bottomRight" state="frozen"/>
      <selection pane="topRight" activeCell="F1" sqref="F1"/>
      <selection pane="bottomLeft" activeCell="A2" sqref="A2"/>
      <selection pane="bottomRight" activeCell="AH2" sqref="AH2"/>
    </sheetView>
  </sheetViews>
  <sheetFormatPr baseColWidth="10" defaultRowHeight="15" x14ac:dyDescent="0.25"/>
  <cols>
    <col min="1" max="1" width="6.28515625" bestFit="1" customWidth="1"/>
    <col min="2" max="2" width="6" bestFit="1" customWidth="1"/>
    <col min="3" max="3" width="25.85546875" bestFit="1" customWidth="1"/>
    <col min="4" max="4" width="15.7109375" bestFit="1" customWidth="1"/>
    <col min="5" max="5" width="20.140625" bestFit="1" customWidth="1"/>
    <col min="6" max="6" width="13.140625" bestFit="1" customWidth="1"/>
    <col min="7" max="7" width="25" bestFit="1" customWidth="1"/>
    <col min="8" max="8" width="33.42578125" bestFit="1" customWidth="1"/>
    <col min="9" max="9" width="24" bestFit="1" customWidth="1"/>
    <col min="10" max="10" width="32.7109375" bestFit="1" customWidth="1"/>
    <col min="11" max="11" width="16.7109375" bestFit="1" customWidth="1"/>
    <col min="12" max="12" width="23.7109375" bestFit="1" customWidth="1"/>
    <col min="13" max="29" width="9.28515625" customWidth="1"/>
    <col min="30" max="30" width="23.140625" bestFit="1" customWidth="1"/>
    <col min="31" max="31" width="18" bestFit="1" customWidth="1"/>
    <col min="32" max="32" width="22.140625" bestFit="1" customWidth="1"/>
    <col min="33" max="34" width="9.28515625" customWidth="1"/>
    <col min="35" max="35" width="19.85546875" bestFit="1" customWidth="1"/>
    <col min="36" max="36" width="9.28515625" customWidth="1"/>
    <col min="37" max="37" width="19.28515625" bestFit="1" customWidth="1"/>
    <col min="38" max="38" width="23.42578125" bestFit="1" customWidth="1"/>
    <col min="39" max="39" width="14.85546875" bestFit="1" customWidth="1"/>
    <col min="40" max="40" width="10.42578125" bestFit="1" customWidth="1"/>
    <col min="41" max="41" width="18.7109375" bestFit="1" customWidth="1"/>
    <col min="42" max="42" width="20.140625" bestFit="1" customWidth="1"/>
    <col min="43" max="43" width="29.7109375" style="8" customWidth="1"/>
  </cols>
  <sheetData>
    <row r="1" spans="1:57" s="1" customFormat="1" ht="16.5" thickBot="1" x14ac:dyDescent="0.3">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75" thickTop="1" x14ac:dyDescent="0.25">
      <c r="A2">
        <v>1</v>
      </c>
      <c r="B2">
        <v>3</v>
      </c>
      <c r="C2" t="s">
        <v>17</v>
      </c>
      <c r="D2" t="s">
        <v>197</v>
      </c>
      <c r="F2">
        <v>67.3</v>
      </c>
      <c r="G2">
        <v>222</v>
      </c>
      <c r="H2">
        <v>198</v>
      </c>
      <c r="I2" t="s">
        <v>201</v>
      </c>
      <c r="J2">
        <f>60+55+35+151+15+88+19+68</f>
        <v>491</v>
      </c>
      <c r="K2" t="s">
        <v>91</v>
      </c>
      <c r="L2">
        <f>Konstanten!$B$3</f>
        <v>2.5</v>
      </c>
      <c r="M2">
        <f>COUNTIF(Windows!$A$4:$A$84,D2)</f>
        <v>0</v>
      </c>
      <c r="N2" t="e">
        <f>VLOOKUP(D2,Windows!$A$4:$D$84,2,FALSE)</f>
        <v>#N/A</v>
      </c>
      <c r="O2" t="e">
        <f>VLOOKUP(N2,Windows!$B$4:$D$84,2,FALSE)/1000</f>
        <v>#N/A</v>
      </c>
      <c r="P2" t="e">
        <f>VLOOKUP(N2,Windows!$B$4:$D$84,3,FALSE)/1000</f>
        <v>#N/A</v>
      </c>
      <c r="Q2">
        <f t="shared" ref="Q2" si="0">IF(ISNA(P2*O2),0,O2*P2)</f>
        <v>0</v>
      </c>
      <c r="R2">
        <f>IF(M2&gt;=2,INDEX(Windows!$B$4:$B$84,MATCH(N2,Windows!$B$4:$B$84,0)+1),0)</f>
        <v>0</v>
      </c>
      <c r="S2" t="e">
        <f>VLOOKUP(R2,Windows!$B$4:$D$84,2,FALSE)/1000</f>
        <v>#N/A</v>
      </c>
      <c r="T2" t="e">
        <f>VLOOKUP(R2,Windows!$B$4:$D$84,3,FALSE)/1000</f>
        <v>#N/A</v>
      </c>
      <c r="U2">
        <f t="shared" ref="U2" si="1">IF(ISNA(T2*S2),0,S2*T2)</f>
        <v>0</v>
      </c>
      <c r="V2">
        <f>IF(M2&gt;=3,INDEX(Windows!$B$4:$B$84,MATCH(N2,Windows!$B$4:$B$84,0)+2),0)</f>
        <v>0</v>
      </c>
      <c r="W2" t="e">
        <f>VLOOKUP(V2,Windows!$B$4:$D$84,2,FALSE)/1000</f>
        <v>#N/A</v>
      </c>
      <c r="X2" t="e">
        <f>VLOOKUP(V2,Windows!$B$4:$D$84,3,FALSE)/1000</f>
        <v>#N/A</v>
      </c>
      <c r="Y2">
        <f t="shared" ref="Y2" si="2">IF(ISNA(X2*W2),0,W2*X2)</f>
        <v>0</v>
      </c>
      <c r="Z2">
        <f>IF(M2&gt;=4,INDEX(Windows!$B$4:$B$84,MATCH(N2,Windows!$B$4:$B$84,0)+3),0)</f>
        <v>0</v>
      </c>
      <c r="AA2" t="e">
        <f>VLOOKUP(Z2,Windows!$B$4:$D$84,2,FALSE)/1000</f>
        <v>#N/A</v>
      </c>
      <c r="AB2" t="e">
        <f>VLOOKUP(Z2,Windows!$B$4:$D$84,3,FALSE)/1000</f>
        <v>#N/A</v>
      </c>
      <c r="AC2">
        <f t="shared" ref="AC2" si="3">IF(ISNA(AB2*AA2),0,AA2*AB2)</f>
        <v>0</v>
      </c>
      <c r="AD2" t="str">
        <f>IF(M2&gt;0,G2,"N/A")</f>
        <v>N/A</v>
      </c>
      <c r="AE2">
        <f>SUM(Q2,U2,Y2,AC2)</f>
        <v>0</v>
      </c>
      <c r="AG2">
        <f>H2*50/1000</f>
        <v>9.9</v>
      </c>
      <c r="AH2">
        <f>AG2*Konstanten!$B$4</f>
        <v>42.075000000000003</v>
      </c>
      <c r="AI2">
        <f>IF(AH2-AE2&lt;=0, 0, AH2-AE2)</f>
        <v>42.075000000000003</v>
      </c>
      <c r="AJ2">
        <f>50/1000*J2</f>
        <v>24.55</v>
      </c>
      <c r="AK2">
        <f>AJ2*Konstanten!$B$3</f>
        <v>61.375</v>
      </c>
      <c r="AM2">
        <f>IF(B2=9,1,0)</f>
        <v>0</v>
      </c>
      <c r="AN2">
        <f>IF(B2=1,1,0)</f>
        <v>0</v>
      </c>
      <c r="AR2" s="8"/>
      <c r="BA2" s="4"/>
    </row>
    <row r="3" spans="1:57" x14ac:dyDescent="0.25">
      <c r="A3">
        <v>2</v>
      </c>
      <c r="B3">
        <v>3</v>
      </c>
      <c r="C3" t="s">
        <v>17</v>
      </c>
      <c r="D3" t="s">
        <v>198</v>
      </c>
      <c r="F3">
        <v>190.5</v>
      </c>
      <c r="G3" t="s">
        <v>202</v>
      </c>
      <c r="H3">
        <v>0</v>
      </c>
      <c r="J3">
        <f>138+34+48+128+400+46+39+59+31+19+52+201+51+45+38+48+135+31</f>
        <v>1543</v>
      </c>
      <c r="L3">
        <f>Konstanten!$B$3</f>
        <v>2.5</v>
      </c>
      <c r="M3">
        <f>COUNTIF(Windows!$A$4:$A$84,D3)</f>
        <v>0</v>
      </c>
      <c r="N3" t="e">
        <f>VLOOKUP(D3,Windows!$A$4:$D$84,2,FALSE)</f>
        <v>#N/A</v>
      </c>
      <c r="O3" t="e">
        <f>VLOOKUP(N3,Windows!$B$4:$D$84,2,FALSE)/1000</f>
        <v>#N/A</v>
      </c>
      <c r="P3" t="e">
        <f>VLOOKUP(N3,Windows!$B$4:$D$84,3,FALSE)/1000</f>
        <v>#N/A</v>
      </c>
      <c r="Q3">
        <f t="shared" ref="Q3:Q4" si="4">IF(ISNA(P3*O3),0,O3*P3)</f>
        <v>0</v>
      </c>
      <c r="R3">
        <f>IF(M3&gt;=2,INDEX(Windows!$B$4:$B$84,MATCH(N3,Windows!$B$4:$B$84,0)+1),0)</f>
        <v>0</v>
      </c>
      <c r="S3" t="e">
        <f>VLOOKUP(R3,Windows!$B$4:$D$84,2,FALSE)/1000</f>
        <v>#N/A</v>
      </c>
      <c r="T3" t="e">
        <f>VLOOKUP(R3,Windows!$B$4:$D$84,3,FALSE)/1000</f>
        <v>#N/A</v>
      </c>
      <c r="U3">
        <f t="shared" ref="U3:U4" si="5">IF(ISNA(T3*S3),0,S3*T3)</f>
        <v>0</v>
      </c>
      <c r="V3">
        <f>IF(M3&gt;=3,INDEX(Windows!$B$4:$B$84,MATCH(N3,Windows!$B$4:$B$84,0)+2),0)</f>
        <v>0</v>
      </c>
      <c r="W3" t="e">
        <f>VLOOKUP(V3,Windows!$B$4:$D$84,2,FALSE)/1000</f>
        <v>#N/A</v>
      </c>
      <c r="X3" t="e">
        <f>VLOOKUP(V3,Windows!$B$4:$D$84,3,FALSE)/1000</f>
        <v>#N/A</v>
      </c>
      <c r="Y3">
        <f t="shared" ref="Y3:Y4" si="6">IF(ISNA(X3*W3),0,W3*X3)</f>
        <v>0</v>
      </c>
      <c r="Z3">
        <f>IF(M3&gt;=4,INDEX(Windows!$B$4:$B$84,MATCH(N3,Windows!$B$4:$B$84,0)+3),0)</f>
        <v>0</v>
      </c>
      <c r="AA3" t="e">
        <f>VLOOKUP(Z3,Windows!$B$4:$D$84,2,FALSE)/1000</f>
        <v>#N/A</v>
      </c>
      <c r="AB3" t="e">
        <f>VLOOKUP(Z3,Windows!$B$4:$D$84,3,FALSE)/1000</f>
        <v>#N/A</v>
      </c>
      <c r="AC3">
        <f t="shared" ref="AC3:AC4" si="7">IF(ISNA(AB3*AA3),0,AA3*AB3)</f>
        <v>0</v>
      </c>
      <c r="AD3" t="str">
        <f>IF(M3&gt;0,G3,"N/A")</f>
        <v>N/A</v>
      </c>
      <c r="AE3">
        <f t="shared" ref="AE3:AE4" si="8">SUM(Q3,U3,Y3,AC3)</f>
        <v>0</v>
      </c>
      <c r="AG3">
        <f>H3*50/1000</f>
        <v>0</v>
      </c>
      <c r="AH3">
        <f>AG3*Konstanten!$B$4</f>
        <v>0</v>
      </c>
      <c r="AI3">
        <f>IF(AH3-AE3&lt;=0, 0, AH3-AE3)</f>
        <v>0</v>
      </c>
      <c r="AJ3">
        <f>50/1000*J3</f>
        <v>77.150000000000006</v>
      </c>
      <c r="AK3">
        <f>AJ3*Konstanten!$B$3</f>
        <v>192.875</v>
      </c>
      <c r="AM3">
        <f>IF(B3=9,1,0)</f>
        <v>0</v>
      </c>
      <c r="AN3">
        <f>IF(B3=1,1,0)</f>
        <v>0</v>
      </c>
      <c r="AR3" s="8"/>
      <c r="BA3" s="4"/>
    </row>
    <row r="4" spans="1:57" x14ac:dyDescent="0.25">
      <c r="A4">
        <v>3</v>
      </c>
      <c r="B4">
        <v>3</v>
      </c>
      <c r="C4" t="s">
        <v>17</v>
      </c>
      <c r="D4" t="s">
        <v>199</v>
      </c>
      <c r="F4">
        <v>78</v>
      </c>
      <c r="G4" t="s">
        <v>202</v>
      </c>
      <c r="H4">
        <v>0</v>
      </c>
      <c r="J4">
        <f>2*(438+69)</f>
        <v>1014</v>
      </c>
      <c r="L4">
        <f>Konstanten!$B$3</f>
        <v>2.5</v>
      </c>
      <c r="M4">
        <f>COUNTIF(Windows!$A$4:$A$84,D4)</f>
        <v>0</v>
      </c>
      <c r="N4" t="e">
        <f>VLOOKUP(D4,Windows!$A$4:$D$84,2,FALSE)</f>
        <v>#N/A</v>
      </c>
      <c r="O4" t="e">
        <f>VLOOKUP(N4,Windows!$B$4:$D$84,2,FALSE)/1000</f>
        <v>#N/A</v>
      </c>
      <c r="P4" t="e">
        <f>VLOOKUP(N4,Windows!$B$4:$D$84,3,FALSE)/1000</f>
        <v>#N/A</v>
      </c>
      <c r="Q4">
        <f t="shared" si="4"/>
        <v>0</v>
      </c>
      <c r="R4">
        <f>IF(M4&gt;=2,INDEX(Windows!$B$4:$B$84,MATCH(N4,Windows!$B$4:$B$84,0)+1),0)</f>
        <v>0</v>
      </c>
      <c r="S4" t="e">
        <f>VLOOKUP(R4,Windows!$B$4:$D$84,2,FALSE)/1000</f>
        <v>#N/A</v>
      </c>
      <c r="T4" t="e">
        <f>VLOOKUP(R4,Windows!$B$4:$D$84,3,FALSE)/1000</f>
        <v>#N/A</v>
      </c>
      <c r="U4">
        <f t="shared" si="5"/>
        <v>0</v>
      </c>
      <c r="V4">
        <f>IF(M4&gt;=3,INDEX(Windows!$B$4:$B$84,MATCH(N4,Windows!$B$4:$B$84,0)+2),0)</f>
        <v>0</v>
      </c>
      <c r="W4" t="e">
        <f>VLOOKUP(V4,Windows!$B$4:$D$84,2,FALSE)/1000</f>
        <v>#N/A</v>
      </c>
      <c r="X4" t="e">
        <f>VLOOKUP(V4,Windows!$B$4:$D$84,3,FALSE)/1000</f>
        <v>#N/A</v>
      </c>
      <c r="Y4">
        <f t="shared" si="6"/>
        <v>0</v>
      </c>
      <c r="Z4">
        <f>IF(M4&gt;=4,INDEX(Windows!$B$4:$B$84,MATCH(N4,Windows!$B$4:$B$84,0)+3),0)</f>
        <v>0</v>
      </c>
      <c r="AA4" t="e">
        <f>VLOOKUP(Z4,Windows!$B$4:$D$84,2,FALSE)/1000</f>
        <v>#N/A</v>
      </c>
      <c r="AB4" t="e">
        <f>VLOOKUP(Z4,Windows!$B$4:$D$84,3,FALSE)/1000</f>
        <v>#N/A</v>
      </c>
      <c r="AC4">
        <f t="shared" si="7"/>
        <v>0</v>
      </c>
      <c r="AD4" t="str">
        <f>IF(M4&gt;0,G4,"N/A")</f>
        <v>N/A</v>
      </c>
      <c r="AE4">
        <f t="shared" si="8"/>
        <v>0</v>
      </c>
      <c r="AG4">
        <f>H4*50/1000</f>
        <v>0</v>
      </c>
      <c r="AH4">
        <f>AG4*Konstanten!$B$4</f>
        <v>0</v>
      </c>
      <c r="AI4">
        <f>IF(AH4-AE4&lt;=0, 0, AH4-AE4)</f>
        <v>0</v>
      </c>
      <c r="AJ4">
        <f>50/1000*J4</f>
        <v>50.7</v>
      </c>
      <c r="AK4">
        <f>AJ4*Konstanten!$B$3</f>
        <v>126.75</v>
      </c>
      <c r="AM4">
        <f>IF(B4=9,1,0)</f>
        <v>0</v>
      </c>
      <c r="AN4">
        <f>IF(B4=1,1,0)</f>
        <v>0</v>
      </c>
      <c r="AR4" s="8"/>
      <c r="BA4" s="4"/>
    </row>
    <row r="5" spans="1:57" x14ac:dyDescent="0.25">
      <c r="A5">
        <v>4</v>
      </c>
      <c r="B5">
        <v>3</v>
      </c>
      <c r="C5" t="s">
        <v>15</v>
      </c>
      <c r="D5" t="s">
        <v>200</v>
      </c>
      <c r="F5">
        <v>5.2</v>
      </c>
      <c r="G5" t="s">
        <v>202</v>
      </c>
      <c r="H5">
        <v>0</v>
      </c>
      <c r="J5">
        <f>2*(50+41)</f>
        <v>182</v>
      </c>
      <c r="L5">
        <f>Konstanten!$B$3</f>
        <v>2.5</v>
      </c>
      <c r="M5">
        <f>COUNTIF(Windows!$A$4:$A$84,D5)</f>
        <v>0</v>
      </c>
      <c r="N5" t="e">
        <f>VLOOKUP(D5,Windows!$A$4:$D$84,2,FALSE)</f>
        <v>#N/A</v>
      </c>
      <c r="O5" t="e">
        <f>VLOOKUP(N5,Windows!$B$4:$D$84,2,FALSE)/1000</f>
        <v>#N/A</v>
      </c>
      <c r="P5" t="e">
        <f>VLOOKUP(N5,Windows!$B$4:$D$84,3,FALSE)/1000</f>
        <v>#N/A</v>
      </c>
      <c r="Q5">
        <f t="shared" ref="Q5:Q11" si="9">IF(ISNA(P5*O5),0,O5*P5)</f>
        <v>0</v>
      </c>
      <c r="R5">
        <f>IF(M5&gt;=2,INDEX(Windows!$B$4:$B$84,MATCH(N5,Windows!$B$4:$B$84,0)+1),0)</f>
        <v>0</v>
      </c>
      <c r="S5" t="e">
        <f>VLOOKUP(R5,Windows!$B$4:$D$84,2,FALSE)/1000</f>
        <v>#N/A</v>
      </c>
      <c r="T5" t="e">
        <f>VLOOKUP(R5,Windows!$B$4:$D$84,3,FALSE)/1000</f>
        <v>#N/A</v>
      </c>
      <c r="U5">
        <f t="shared" ref="U5:U11" si="10">IF(ISNA(T5*S5),0,S5*T5)</f>
        <v>0</v>
      </c>
      <c r="V5">
        <f>IF(M5&gt;=3,INDEX(Windows!$B$4:$B$84,MATCH(N5,Windows!$B$4:$B$84,0)+2),0)</f>
        <v>0</v>
      </c>
      <c r="W5" t="e">
        <f>VLOOKUP(V5,Windows!$B$4:$D$84,2,FALSE)/1000</f>
        <v>#N/A</v>
      </c>
      <c r="X5" t="e">
        <f>VLOOKUP(V5,Windows!$B$4:$D$84,3,FALSE)/1000</f>
        <v>#N/A</v>
      </c>
      <c r="Y5">
        <f t="shared" ref="Y5:Y11" si="11">IF(ISNA(X5*W5),0,W5*X5)</f>
        <v>0</v>
      </c>
      <c r="Z5">
        <f>IF(M5&gt;=4,INDEX(Windows!$B$4:$B$84,MATCH(N5,Windows!$B$4:$B$84,0)+3),0)</f>
        <v>0</v>
      </c>
      <c r="AA5" t="e">
        <f>VLOOKUP(Z5,Windows!$B$4:$D$84,2,FALSE)/1000</f>
        <v>#N/A</v>
      </c>
      <c r="AB5" t="e">
        <f>VLOOKUP(Z5,Windows!$B$4:$D$84,3,FALSE)/1000</f>
        <v>#N/A</v>
      </c>
      <c r="AC5">
        <f t="shared" ref="AC5:AC11" si="12">IF(ISNA(AB5*AA5),0,AA5*AB5)</f>
        <v>0</v>
      </c>
      <c r="AD5" t="str">
        <f t="shared" ref="AD5:AD11" si="13">IF(M5&gt;0,G5,"N/A")</f>
        <v>N/A</v>
      </c>
      <c r="AE5">
        <f t="shared" ref="AE5:AE11" si="14">SUM(Q5,U5,Y5,AC5)</f>
        <v>0</v>
      </c>
      <c r="AG5">
        <f t="shared" ref="AG5:AG11" si="15">H5*50/1000</f>
        <v>0</v>
      </c>
      <c r="AH5">
        <f>AG5*Konstanten!$B$4</f>
        <v>0</v>
      </c>
      <c r="AI5">
        <f t="shared" ref="AI5:AI11" si="16">IF(AH5-AE5&lt;=0, 0, AH5-AE5)</f>
        <v>0</v>
      </c>
      <c r="AJ5">
        <f t="shared" ref="AJ5:AJ11" si="17">50/1000*J5</f>
        <v>9.1</v>
      </c>
      <c r="AK5">
        <f>AJ5*Konstanten!$B$3</f>
        <v>22.75</v>
      </c>
      <c r="AM5">
        <f t="shared" ref="AM5:AM11" si="18">IF(B5=9,1,0)</f>
        <v>0</v>
      </c>
      <c r="AN5">
        <f t="shared" ref="AN5:AN11" si="19">IF(B5=1,1,0)</f>
        <v>0</v>
      </c>
      <c r="AR5" s="8"/>
      <c r="BA5" s="4"/>
    </row>
    <row r="6" spans="1:57" x14ac:dyDescent="0.25">
      <c r="A6">
        <v>5</v>
      </c>
      <c r="B6">
        <v>3</v>
      </c>
      <c r="C6" t="s">
        <v>98</v>
      </c>
      <c r="D6" t="s">
        <v>203</v>
      </c>
      <c r="F6">
        <v>5.9</v>
      </c>
      <c r="G6" t="s">
        <v>202</v>
      </c>
      <c r="H6">
        <v>54</v>
      </c>
      <c r="J6">
        <f>54+2*41</f>
        <v>136</v>
      </c>
      <c r="K6" t="s">
        <v>90</v>
      </c>
      <c r="L6">
        <f>Konstanten!$B$3</f>
        <v>2.5</v>
      </c>
      <c r="M6">
        <f>COUNTIF(Windows!$A$4:$A$84,D6)</f>
        <v>0</v>
      </c>
      <c r="N6" t="e">
        <f>VLOOKUP(D6,Windows!$A$4:$D$84,2,FALSE)</f>
        <v>#N/A</v>
      </c>
      <c r="O6" t="e">
        <f>VLOOKUP(N6,Windows!$B$4:$D$84,2,FALSE)/1000</f>
        <v>#N/A</v>
      </c>
      <c r="P6" t="e">
        <f>VLOOKUP(N6,Windows!$B$4:$D$84,3,FALSE)/1000</f>
        <v>#N/A</v>
      </c>
      <c r="Q6">
        <f t="shared" si="9"/>
        <v>0</v>
      </c>
      <c r="R6">
        <f>IF(M6&gt;=2,INDEX(Windows!$B$4:$B$84,MATCH(N6,Windows!$B$4:$B$84,0)+1),0)</f>
        <v>0</v>
      </c>
      <c r="S6" t="e">
        <f>VLOOKUP(R6,Windows!$B$4:$D$84,2,FALSE)/1000</f>
        <v>#N/A</v>
      </c>
      <c r="T6" t="e">
        <f>VLOOKUP(R6,Windows!$B$4:$D$84,3,FALSE)/1000</f>
        <v>#N/A</v>
      </c>
      <c r="U6">
        <f t="shared" si="10"/>
        <v>0</v>
      </c>
      <c r="V6">
        <f>IF(M6&gt;=3,INDEX(Windows!$B$4:$B$84,MATCH(N6,Windows!$B$4:$B$84,0)+2),0)</f>
        <v>0</v>
      </c>
      <c r="W6" t="e">
        <f>VLOOKUP(V6,Windows!$B$4:$D$84,2,FALSE)/1000</f>
        <v>#N/A</v>
      </c>
      <c r="X6" t="e">
        <f>VLOOKUP(V6,Windows!$B$4:$D$84,3,FALSE)/1000</f>
        <v>#N/A</v>
      </c>
      <c r="Y6">
        <f t="shared" si="11"/>
        <v>0</v>
      </c>
      <c r="Z6">
        <f>IF(M6&gt;=4,INDEX(Windows!$B$4:$B$84,MATCH(N6,Windows!$B$4:$B$84,0)+3),0)</f>
        <v>0</v>
      </c>
      <c r="AA6" t="e">
        <f>VLOOKUP(Z6,Windows!$B$4:$D$84,2,FALSE)/1000</f>
        <v>#N/A</v>
      </c>
      <c r="AB6" t="e">
        <f>VLOOKUP(Z6,Windows!$B$4:$D$84,3,FALSE)/1000</f>
        <v>#N/A</v>
      </c>
      <c r="AC6">
        <f t="shared" si="12"/>
        <v>0</v>
      </c>
      <c r="AD6" t="str">
        <f t="shared" si="13"/>
        <v>N/A</v>
      </c>
      <c r="AE6">
        <f t="shared" si="14"/>
        <v>0</v>
      </c>
      <c r="AG6">
        <f t="shared" si="15"/>
        <v>2.7</v>
      </c>
      <c r="AH6">
        <f>AG6*Konstanten!$B$4</f>
        <v>11.475000000000001</v>
      </c>
      <c r="AI6">
        <f t="shared" si="16"/>
        <v>11.475000000000001</v>
      </c>
      <c r="AJ6">
        <f t="shared" si="17"/>
        <v>6.8000000000000007</v>
      </c>
      <c r="AK6">
        <f>AJ6*Konstanten!$B$3</f>
        <v>17</v>
      </c>
      <c r="AM6">
        <f t="shared" si="18"/>
        <v>0</v>
      </c>
      <c r="AN6">
        <f t="shared" si="19"/>
        <v>0</v>
      </c>
      <c r="AR6" s="8"/>
      <c r="BA6" s="4"/>
    </row>
    <row r="7" spans="1:57" x14ac:dyDescent="0.25">
      <c r="A7">
        <v>6</v>
      </c>
      <c r="B7">
        <v>3</v>
      </c>
      <c r="C7" t="s">
        <v>17</v>
      </c>
      <c r="D7" t="s">
        <v>204</v>
      </c>
      <c r="F7">
        <v>285</v>
      </c>
      <c r="G7">
        <v>180</v>
      </c>
      <c r="H7">
        <f>249+53+267</f>
        <v>569</v>
      </c>
      <c r="I7" t="s">
        <v>201</v>
      </c>
      <c r="J7">
        <f>76+114+104+48+48+146+49+51</f>
        <v>636</v>
      </c>
      <c r="L7">
        <f>Konstanten!$B$3</f>
        <v>2.5</v>
      </c>
      <c r="M7">
        <f>COUNTIF(Windows!$A$4:$A$84,D7)</f>
        <v>0</v>
      </c>
      <c r="N7" t="e">
        <f>VLOOKUP(D7,Windows!$A$4:$D$84,2,FALSE)</f>
        <v>#N/A</v>
      </c>
      <c r="O7" t="e">
        <f>VLOOKUP(N7,Windows!$B$4:$D$84,2,FALSE)/1000</f>
        <v>#N/A</v>
      </c>
      <c r="P7" t="e">
        <f>VLOOKUP(N7,Windows!$B$4:$D$84,3,FALSE)/1000</f>
        <v>#N/A</v>
      </c>
      <c r="Q7">
        <f t="shared" si="9"/>
        <v>0</v>
      </c>
      <c r="R7">
        <f>IF(M7&gt;=2,INDEX(Windows!$B$4:$B$84,MATCH(N7,Windows!$B$4:$B$84,0)+1),0)</f>
        <v>0</v>
      </c>
      <c r="S7" t="e">
        <f>VLOOKUP(R7,Windows!$B$4:$D$84,2,FALSE)/1000</f>
        <v>#N/A</v>
      </c>
      <c r="T7" t="e">
        <f>VLOOKUP(R7,Windows!$B$4:$D$84,3,FALSE)/1000</f>
        <v>#N/A</v>
      </c>
      <c r="U7">
        <f t="shared" si="10"/>
        <v>0</v>
      </c>
      <c r="V7">
        <f>IF(M7&gt;=3,INDEX(Windows!$B$4:$B$84,MATCH(N7,Windows!$B$4:$B$84,0)+2),0)</f>
        <v>0</v>
      </c>
      <c r="W7" t="e">
        <f>VLOOKUP(V7,Windows!$B$4:$D$84,2,FALSE)/1000</f>
        <v>#N/A</v>
      </c>
      <c r="X7" t="e">
        <f>VLOOKUP(V7,Windows!$B$4:$D$84,3,FALSE)/1000</f>
        <v>#N/A</v>
      </c>
      <c r="Y7">
        <f t="shared" si="11"/>
        <v>0</v>
      </c>
      <c r="Z7">
        <f>IF(M7&gt;=4,INDEX(Windows!$B$4:$B$84,MATCH(N7,Windows!$B$4:$B$84,0)+3),0)</f>
        <v>0</v>
      </c>
      <c r="AA7" t="e">
        <f>VLOOKUP(Z7,Windows!$B$4:$D$84,2,FALSE)/1000</f>
        <v>#N/A</v>
      </c>
      <c r="AB7" t="e">
        <f>VLOOKUP(Z7,Windows!$B$4:$D$84,3,FALSE)/1000</f>
        <v>#N/A</v>
      </c>
      <c r="AC7">
        <f t="shared" si="12"/>
        <v>0</v>
      </c>
      <c r="AD7" t="str">
        <f t="shared" si="13"/>
        <v>N/A</v>
      </c>
      <c r="AE7">
        <f t="shared" si="14"/>
        <v>0</v>
      </c>
      <c r="AG7">
        <f t="shared" si="15"/>
        <v>28.45</v>
      </c>
      <c r="AH7">
        <f>AG7*Konstanten!$B$4</f>
        <v>120.91249999999999</v>
      </c>
      <c r="AI7">
        <f t="shared" si="16"/>
        <v>120.91249999999999</v>
      </c>
      <c r="AJ7">
        <f t="shared" si="17"/>
        <v>31.8</v>
      </c>
      <c r="AK7">
        <f>AJ7*Konstanten!$B$3</f>
        <v>79.5</v>
      </c>
      <c r="AM7">
        <f t="shared" si="18"/>
        <v>0</v>
      </c>
      <c r="AN7">
        <f t="shared" si="19"/>
        <v>0</v>
      </c>
      <c r="AR7" s="8"/>
      <c r="BA7" s="4"/>
    </row>
    <row r="8" spans="1:57" x14ac:dyDescent="0.25">
      <c r="A8">
        <v>7</v>
      </c>
      <c r="B8">
        <v>3</v>
      </c>
      <c r="D8" t="s">
        <v>204</v>
      </c>
      <c r="F8">
        <v>0</v>
      </c>
      <c r="G8">
        <v>270</v>
      </c>
      <c r="H8">
        <v>169</v>
      </c>
      <c r="I8" t="s">
        <v>201</v>
      </c>
      <c r="J8">
        <v>0</v>
      </c>
      <c r="L8">
        <f>Konstanten!$B$3</f>
        <v>2.5</v>
      </c>
      <c r="M8">
        <f>COUNTIF(Windows!$A$4:$A$84,D8)</f>
        <v>0</v>
      </c>
      <c r="N8" t="e">
        <f>VLOOKUP(D8,Windows!$A$4:$D$84,2,FALSE)</f>
        <v>#N/A</v>
      </c>
      <c r="O8" t="e">
        <f>VLOOKUP(N8,Windows!$B$4:$D$84,2,FALSE)/1000</f>
        <v>#N/A</v>
      </c>
      <c r="P8" t="e">
        <f>VLOOKUP(N8,Windows!$B$4:$D$84,3,FALSE)/1000</f>
        <v>#N/A</v>
      </c>
      <c r="Q8">
        <f t="shared" si="9"/>
        <v>0</v>
      </c>
      <c r="R8">
        <f>IF(M8&gt;=2,INDEX(Windows!$B$4:$B$84,MATCH(N8,Windows!$B$4:$B$84,0)+1),0)</f>
        <v>0</v>
      </c>
      <c r="S8" t="e">
        <f>VLOOKUP(R8,Windows!$B$4:$D$84,2,FALSE)/1000</f>
        <v>#N/A</v>
      </c>
      <c r="T8" t="e">
        <f>VLOOKUP(R8,Windows!$B$4:$D$84,3,FALSE)/1000</f>
        <v>#N/A</v>
      </c>
      <c r="U8">
        <f t="shared" si="10"/>
        <v>0</v>
      </c>
      <c r="V8">
        <f>IF(M8&gt;=3,INDEX(Windows!$B$4:$B$84,MATCH(N8,Windows!$B$4:$B$84,0)+2),0)</f>
        <v>0</v>
      </c>
      <c r="W8" t="e">
        <f>VLOOKUP(V8,Windows!$B$4:$D$84,2,FALSE)/1000</f>
        <v>#N/A</v>
      </c>
      <c r="X8" t="e">
        <f>VLOOKUP(V8,Windows!$B$4:$D$84,3,FALSE)/1000</f>
        <v>#N/A</v>
      </c>
      <c r="Y8">
        <f t="shared" si="11"/>
        <v>0</v>
      </c>
      <c r="Z8">
        <f>IF(M8&gt;=4,INDEX(Windows!$B$4:$B$84,MATCH(N8,Windows!$B$4:$B$84,0)+3),0)</f>
        <v>0</v>
      </c>
      <c r="AA8" t="e">
        <f>VLOOKUP(Z8,Windows!$B$4:$D$84,2,FALSE)/1000</f>
        <v>#N/A</v>
      </c>
      <c r="AB8" t="e">
        <f>VLOOKUP(Z8,Windows!$B$4:$D$84,3,FALSE)/1000</f>
        <v>#N/A</v>
      </c>
      <c r="AC8">
        <f t="shared" si="12"/>
        <v>0</v>
      </c>
      <c r="AD8" t="str">
        <f t="shared" si="13"/>
        <v>N/A</v>
      </c>
      <c r="AE8">
        <f t="shared" si="14"/>
        <v>0</v>
      </c>
      <c r="AG8">
        <f t="shared" si="15"/>
        <v>8.4499999999999993</v>
      </c>
      <c r="AH8">
        <f>AG8*Konstanten!$B$4</f>
        <v>35.912499999999994</v>
      </c>
      <c r="AI8">
        <f t="shared" si="16"/>
        <v>35.912499999999994</v>
      </c>
      <c r="AJ8">
        <f t="shared" si="17"/>
        <v>0</v>
      </c>
      <c r="AK8">
        <f>AJ8*Konstanten!$B$3</f>
        <v>0</v>
      </c>
      <c r="AM8">
        <f t="shared" si="18"/>
        <v>0</v>
      </c>
      <c r="AN8">
        <f t="shared" si="19"/>
        <v>0</v>
      </c>
      <c r="AR8" s="8"/>
      <c r="BA8" s="4"/>
    </row>
    <row r="9" spans="1:57" x14ac:dyDescent="0.25">
      <c r="A9">
        <v>8</v>
      </c>
      <c r="B9">
        <v>3</v>
      </c>
      <c r="D9" t="s">
        <v>204</v>
      </c>
      <c r="F9">
        <v>0</v>
      </c>
      <c r="G9">
        <v>42</v>
      </c>
      <c r="H9">
        <f>180+87</f>
        <v>267</v>
      </c>
      <c r="I9" t="s">
        <v>201</v>
      </c>
      <c r="J9">
        <v>0</v>
      </c>
      <c r="K9" t="s">
        <v>91</v>
      </c>
      <c r="L9">
        <f>Konstanten!$B$3</f>
        <v>2.5</v>
      </c>
      <c r="M9">
        <f>COUNTIF(Windows!$A$4:$A$84,D9)</f>
        <v>0</v>
      </c>
      <c r="N9" t="e">
        <f>VLOOKUP(D9,Windows!$A$4:$D$84,2,FALSE)</f>
        <v>#N/A</v>
      </c>
      <c r="O9" t="e">
        <f>VLOOKUP(N9,Windows!$B$4:$D$84,2,FALSE)/1000</f>
        <v>#N/A</v>
      </c>
      <c r="P9" t="e">
        <f>VLOOKUP(N9,Windows!$B$4:$D$84,3,FALSE)/1000</f>
        <v>#N/A</v>
      </c>
      <c r="Q9">
        <f t="shared" si="9"/>
        <v>0</v>
      </c>
      <c r="R9">
        <f>IF(M9&gt;=2,INDEX(Windows!$B$4:$B$84,MATCH(N9,Windows!$B$4:$B$84,0)+1),0)</f>
        <v>0</v>
      </c>
      <c r="S9" t="e">
        <f>VLOOKUP(R9,Windows!$B$4:$D$84,2,FALSE)/1000</f>
        <v>#N/A</v>
      </c>
      <c r="T9" t="e">
        <f>VLOOKUP(R9,Windows!$B$4:$D$84,3,FALSE)/1000</f>
        <v>#N/A</v>
      </c>
      <c r="U9">
        <f t="shared" si="10"/>
        <v>0</v>
      </c>
      <c r="V9">
        <f>IF(M9&gt;=3,INDEX(Windows!$B$4:$B$84,MATCH(N9,Windows!$B$4:$B$84,0)+2),0)</f>
        <v>0</v>
      </c>
      <c r="W9" t="e">
        <f>VLOOKUP(V9,Windows!$B$4:$D$84,2,FALSE)/1000</f>
        <v>#N/A</v>
      </c>
      <c r="X9" t="e">
        <f>VLOOKUP(V9,Windows!$B$4:$D$84,3,FALSE)/1000</f>
        <v>#N/A</v>
      </c>
      <c r="Y9">
        <f t="shared" si="11"/>
        <v>0</v>
      </c>
      <c r="Z9">
        <f>IF(M9&gt;=4,INDEX(Windows!$B$4:$B$84,MATCH(N9,Windows!$B$4:$B$84,0)+3),0)</f>
        <v>0</v>
      </c>
      <c r="AA9" t="e">
        <f>VLOOKUP(Z9,Windows!$B$4:$D$84,2,FALSE)/1000</f>
        <v>#N/A</v>
      </c>
      <c r="AB9" t="e">
        <f>VLOOKUP(Z9,Windows!$B$4:$D$84,3,FALSE)/1000</f>
        <v>#N/A</v>
      </c>
      <c r="AC9">
        <f t="shared" si="12"/>
        <v>0</v>
      </c>
      <c r="AD9" t="str">
        <f t="shared" si="13"/>
        <v>N/A</v>
      </c>
      <c r="AE9">
        <f t="shared" si="14"/>
        <v>0</v>
      </c>
      <c r="AG9">
        <f t="shared" si="15"/>
        <v>13.35</v>
      </c>
      <c r="AH9">
        <f>AG9*Konstanten!$B$4</f>
        <v>56.737499999999997</v>
      </c>
      <c r="AI9">
        <f t="shared" si="16"/>
        <v>56.737499999999997</v>
      </c>
      <c r="AJ9">
        <f t="shared" si="17"/>
        <v>0</v>
      </c>
      <c r="AK9">
        <f>AJ9*Konstanten!$B$3</f>
        <v>0</v>
      </c>
      <c r="AM9">
        <f t="shared" si="18"/>
        <v>0</v>
      </c>
      <c r="AN9">
        <f t="shared" si="19"/>
        <v>0</v>
      </c>
      <c r="AR9" s="8"/>
      <c r="BA9" s="4"/>
    </row>
    <row r="10" spans="1:57" x14ac:dyDescent="0.25">
      <c r="A10">
        <v>9</v>
      </c>
      <c r="B10">
        <v>3</v>
      </c>
      <c r="C10" t="s">
        <v>23</v>
      </c>
      <c r="D10" t="s">
        <v>205</v>
      </c>
      <c r="F10">
        <v>51</v>
      </c>
      <c r="G10" t="s">
        <v>202</v>
      </c>
      <c r="H10">
        <v>0</v>
      </c>
      <c r="J10">
        <f>168+119+122+232</f>
        <v>641</v>
      </c>
      <c r="L10">
        <f>Konstanten!$B$3</f>
        <v>2.5</v>
      </c>
      <c r="M10">
        <f>COUNTIF(Windows!$A$4:$A$84,D10)</f>
        <v>0</v>
      </c>
      <c r="N10" t="e">
        <f>VLOOKUP(D10,Windows!$A$4:$D$84,2,FALSE)</f>
        <v>#N/A</v>
      </c>
      <c r="O10" t="e">
        <f>VLOOKUP(N10,Windows!$B$4:$D$84,2,FALSE)/1000</f>
        <v>#N/A</v>
      </c>
      <c r="P10" t="e">
        <f>VLOOKUP(N10,Windows!$B$4:$D$84,3,FALSE)/1000</f>
        <v>#N/A</v>
      </c>
      <c r="Q10">
        <f t="shared" si="9"/>
        <v>0</v>
      </c>
      <c r="R10">
        <f>IF(M10&gt;=2,INDEX(Windows!$B$4:$B$84,MATCH(N10,Windows!$B$4:$B$84,0)+1),0)</f>
        <v>0</v>
      </c>
      <c r="S10" t="e">
        <f>VLOOKUP(R10,Windows!$B$4:$D$84,2,FALSE)/1000</f>
        <v>#N/A</v>
      </c>
      <c r="T10" t="e">
        <f>VLOOKUP(R10,Windows!$B$4:$D$84,3,FALSE)/1000</f>
        <v>#N/A</v>
      </c>
      <c r="U10">
        <f t="shared" si="10"/>
        <v>0</v>
      </c>
      <c r="V10">
        <f>IF(M10&gt;=3,INDEX(Windows!$B$4:$B$84,MATCH(N10,Windows!$B$4:$B$84,0)+2),0)</f>
        <v>0</v>
      </c>
      <c r="W10" t="e">
        <f>VLOOKUP(V10,Windows!$B$4:$D$84,2,FALSE)/1000</f>
        <v>#N/A</v>
      </c>
      <c r="X10" t="e">
        <f>VLOOKUP(V10,Windows!$B$4:$D$84,3,FALSE)/1000</f>
        <v>#N/A</v>
      </c>
      <c r="Y10">
        <f t="shared" si="11"/>
        <v>0</v>
      </c>
      <c r="Z10">
        <f>IF(M10&gt;=4,INDEX(Windows!$B$4:$B$84,MATCH(N10,Windows!$B$4:$B$84,0)+3),0)</f>
        <v>0</v>
      </c>
      <c r="AA10" t="e">
        <f>VLOOKUP(Z10,Windows!$B$4:$D$84,2,FALSE)/1000</f>
        <v>#N/A</v>
      </c>
      <c r="AB10" t="e">
        <f>VLOOKUP(Z10,Windows!$B$4:$D$84,3,FALSE)/1000</f>
        <v>#N/A</v>
      </c>
      <c r="AC10">
        <f t="shared" si="12"/>
        <v>0</v>
      </c>
      <c r="AD10" t="str">
        <f t="shared" si="13"/>
        <v>N/A</v>
      </c>
      <c r="AE10">
        <f t="shared" si="14"/>
        <v>0</v>
      </c>
      <c r="AG10">
        <f t="shared" si="15"/>
        <v>0</v>
      </c>
      <c r="AH10">
        <f>AG10*Konstanten!$B$4</f>
        <v>0</v>
      </c>
      <c r="AI10">
        <f t="shared" si="16"/>
        <v>0</v>
      </c>
      <c r="AJ10">
        <f t="shared" si="17"/>
        <v>32.050000000000004</v>
      </c>
      <c r="AK10">
        <f>AJ10*Konstanten!$B$3</f>
        <v>80.125000000000014</v>
      </c>
      <c r="AM10">
        <f t="shared" si="18"/>
        <v>0</v>
      </c>
      <c r="AN10">
        <f t="shared" si="19"/>
        <v>0</v>
      </c>
      <c r="AR10" s="8"/>
      <c r="BA10" s="4"/>
    </row>
    <row r="11" spans="1:57" x14ac:dyDescent="0.25">
      <c r="A11">
        <v>10</v>
      </c>
      <c r="B11">
        <v>3</v>
      </c>
      <c r="C11" t="s">
        <v>23</v>
      </c>
      <c r="D11" t="s">
        <v>206</v>
      </c>
      <c r="F11">
        <v>39.5</v>
      </c>
      <c r="G11" t="s">
        <v>202</v>
      </c>
      <c r="H11">
        <v>0</v>
      </c>
      <c r="J11">
        <f>143+112+121+31+93</f>
        <v>500</v>
      </c>
      <c r="L11">
        <f>Konstanten!$B$3</f>
        <v>2.5</v>
      </c>
      <c r="M11">
        <f>COUNTIF(Windows!$A$4:$A$84,D11)</f>
        <v>0</v>
      </c>
      <c r="N11" t="e">
        <f>VLOOKUP(D11,Windows!$A$4:$D$84,2,FALSE)</f>
        <v>#N/A</v>
      </c>
      <c r="O11" t="e">
        <f>VLOOKUP(N11,Windows!$B$4:$D$84,2,FALSE)/1000</f>
        <v>#N/A</v>
      </c>
      <c r="P11" t="e">
        <f>VLOOKUP(N11,Windows!$B$4:$D$84,3,FALSE)/1000</f>
        <v>#N/A</v>
      </c>
      <c r="Q11">
        <f t="shared" si="9"/>
        <v>0</v>
      </c>
      <c r="R11">
        <f>IF(M11&gt;=2,INDEX(Windows!$B$4:$B$84,MATCH(N11,Windows!$B$4:$B$84,0)+1),0)</f>
        <v>0</v>
      </c>
      <c r="S11" t="e">
        <f>VLOOKUP(R11,Windows!$B$4:$D$84,2,FALSE)/1000</f>
        <v>#N/A</v>
      </c>
      <c r="T11" t="e">
        <f>VLOOKUP(R11,Windows!$B$4:$D$84,3,FALSE)/1000</f>
        <v>#N/A</v>
      </c>
      <c r="U11">
        <f t="shared" si="10"/>
        <v>0</v>
      </c>
      <c r="V11">
        <f>IF(M11&gt;=3,INDEX(Windows!$B$4:$B$84,MATCH(N11,Windows!$B$4:$B$84,0)+2),0)</f>
        <v>0</v>
      </c>
      <c r="W11" t="e">
        <f>VLOOKUP(V11,Windows!$B$4:$D$84,2,FALSE)/1000</f>
        <v>#N/A</v>
      </c>
      <c r="X11" t="e">
        <f>VLOOKUP(V11,Windows!$B$4:$D$84,3,FALSE)/1000</f>
        <v>#N/A</v>
      </c>
      <c r="Y11">
        <f t="shared" si="11"/>
        <v>0</v>
      </c>
      <c r="Z11">
        <f>IF(M11&gt;=4,INDEX(Windows!$B$4:$B$84,MATCH(N11,Windows!$B$4:$B$84,0)+3),0)</f>
        <v>0</v>
      </c>
      <c r="AA11" t="e">
        <f>VLOOKUP(Z11,Windows!$B$4:$D$84,2,FALSE)/1000</f>
        <v>#N/A</v>
      </c>
      <c r="AB11" t="e">
        <f>VLOOKUP(Z11,Windows!$B$4:$D$84,3,FALSE)/1000</f>
        <v>#N/A</v>
      </c>
      <c r="AC11">
        <f t="shared" si="12"/>
        <v>0</v>
      </c>
      <c r="AD11" t="str">
        <f t="shared" si="13"/>
        <v>N/A</v>
      </c>
      <c r="AE11">
        <f t="shared" si="14"/>
        <v>0</v>
      </c>
      <c r="AG11">
        <f t="shared" si="15"/>
        <v>0</v>
      </c>
      <c r="AH11">
        <f>AG11*Konstanten!$B$4</f>
        <v>0</v>
      </c>
      <c r="AI11">
        <f t="shared" si="16"/>
        <v>0</v>
      </c>
      <c r="AJ11">
        <f t="shared" si="17"/>
        <v>25</v>
      </c>
      <c r="AK11">
        <f>AJ11*Konstanten!$B$3</f>
        <v>62.5</v>
      </c>
      <c r="AM11">
        <f t="shared" si="18"/>
        <v>0</v>
      </c>
      <c r="AN11">
        <f t="shared" si="19"/>
        <v>0</v>
      </c>
      <c r="AR11" s="8"/>
      <c r="BA11" s="4"/>
    </row>
    <row r="12" spans="1:57" x14ac:dyDescent="0.25">
      <c r="A12">
        <v>11</v>
      </c>
      <c r="B12">
        <v>3</v>
      </c>
      <c r="C12" t="s">
        <v>17</v>
      </c>
      <c r="D12" t="s">
        <v>207</v>
      </c>
      <c r="F12">
        <v>82.8</v>
      </c>
      <c r="G12">
        <v>180</v>
      </c>
      <c r="H12">
        <v>304</v>
      </c>
      <c r="I12" t="s">
        <v>201</v>
      </c>
      <c r="J12">
        <f>304+2*115</f>
        <v>534</v>
      </c>
      <c r="L12">
        <f>Konstanten!$B$3</f>
        <v>2.5</v>
      </c>
      <c r="M12">
        <f>COUNTIF(Windows!$A$4:$A$84,D12)</f>
        <v>0</v>
      </c>
      <c r="N12" t="e">
        <f>VLOOKUP(D12,Windows!$A$4:$D$84,2,FALSE)</f>
        <v>#N/A</v>
      </c>
      <c r="O12" t="e">
        <f>VLOOKUP(N12,Windows!$B$4:$D$84,2,FALSE)/1000</f>
        <v>#N/A</v>
      </c>
      <c r="P12" t="e">
        <f>VLOOKUP(N12,Windows!$B$4:$D$84,3,FALSE)/1000</f>
        <v>#N/A</v>
      </c>
      <c r="Q12">
        <f t="shared" ref="Q12" si="20">IF(ISNA(P12*O12),0,O12*P12)</f>
        <v>0</v>
      </c>
      <c r="R12">
        <f>IF(M12&gt;=2,INDEX(Windows!$B$4:$B$84,MATCH(N12,Windows!$B$4:$B$84,0)+1),0)</f>
        <v>0</v>
      </c>
      <c r="S12" t="e">
        <f>VLOOKUP(R12,Windows!$B$4:$D$84,2,FALSE)/1000</f>
        <v>#N/A</v>
      </c>
      <c r="T12" t="e">
        <f>VLOOKUP(R12,Windows!$B$4:$D$84,3,FALSE)/1000</f>
        <v>#N/A</v>
      </c>
      <c r="U12">
        <f t="shared" ref="U12" si="21">IF(ISNA(T12*S12),0,S12*T12)</f>
        <v>0</v>
      </c>
      <c r="V12">
        <f>IF(M12&gt;=3,INDEX(Windows!$B$4:$B$84,MATCH(N12,Windows!$B$4:$B$84,0)+2),0)</f>
        <v>0</v>
      </c>
      <c r="W12" t="e">
        <f>VLOOKUP(V12,Windows!$B$4:$D$84,2,FALSE)/1000</f>
        <v>#N/A</v>
      </c>
      <c r="X12" t="e">
        <f>VLOOKUP(V12,Windows!$B$4:$D$84,3,FALSE)/1000</f>
        <v>#N/A</v>
      </c>
      <c r="Y12">
        <f t="shared" ref="Y12" si="22">IF(ISNA(X12*W12),0,W12*X12)</f>
        <v>0</v>
      </c>
      <c r="Z12">
        <f>IF(M12&gt;=4,INDEX(Windows!$B$4:$B$84,MATCH(N12,Windows!$B$4:$B$84,0)+3),0)</f>
        <v>0</v>
      </c>
      <c r="AA12" t="e">
        <f>VLOOKUP(Z12,Windows!$B$4:$D$84,2,FALSE)/1000</f>
        <v>#N/A</v>
      </c>
      <c r="AB12" t="e">
        <f>VLOOKUP(Z12,Windows!$B$4:$D$84,3,FALSE)/1000</f>
        <v>#N/A</v>
      </c>
      <c r="AC12">
        <f t="shared" ref="AC12" si="23">IF(ISNA(AB12*AA12),0,AA12*AB12)</f>
        <v>0</v>
      </c>
      <c r="AD12" t="str">
        <f t="shared" ref="AD12" si="24">IF(M12&gt;0,G12,"N/A")</f>
        <v>N/A</v>
      </c>
      <c r="AE12">
        <f t="shared" ref="AE12" si="25">SUM(Q12,U12,Y12,AC12)</f>
        <v>0</v>
      </c>
      <c r="AG12">
        <f t="shared" ref="AG12" si="26">H12*50/1000</f>
        <v>15.2</v>
      </c>
      <c r="AH12">
        <f>AG12*Konstanten!$B$4</f>
        <v>64.599999999999994</v>
      </c>
      <c r="AI12">
        <f t="shared" ref="AI12" si="27">IF(AH12-AE12&lt;=0, 0, AH12-AE12)</f>
        <v>64.599999999999994</v>
      </c>
      <c r="AJ12">
        <f t="shared" ref="AJ12" si="28">50/1000*J12</f>
        <v>26.700000000000003</v>
      </c>
      <c r="AK12">
        <f>AJ12*Konstanten!$B$3</f>
        <v>66.75</v>
      </c>
      <c r="AM12">
        <f t="shared" ref="AM12" si="29">IF(B12=9,1,0)</f>
        <v>0</v>
      </c>
      <c r="AN12">
        <f t="shared" ref="AN12" si="30">IF(B12=1,1,0)</f>
        <v>0</v>
      </c>
      <c r="AR12" s="8"/>
      <c r="BA12" s="4"/>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4"/>
  <sheetViews>
    <sheetView zoomScale="85" zoomScaleNormal="85" workbookViewId="0">
      <pane xSplit="4" ySplit="1" topLeftCell="M2" activePane="bottomRight" state="frozen"/>
      <selection pane="topRight" activeCell="F1" sqref="F1"/>
      <selection pane="bottomLeft" activeCell="A2" sqref="A2"/>
      <selection pane="bottomRight" activeCell="AH31" sqref="AH31"/>
    </sheetView>
  </sheetViews>
  <sheetFormatPr baseColWidth="10" defaultRowHeight="15" x14ac:dyDescent="0.25"/>
  <cols>
    <col min="1" max="1" width="6.28515625" bestFit="1" customWidth="1"/>
    <col min="2" max="2" width="6" bestFit="1" customWidth="1"/>
    <col min="3" max="3" width="25.85546875" bestFit="1" customWidth="1"/>
    <col min="4" max="4" width="15.7109375" bestFit="1" customWidth="1"/>
    <col min="5" max="5" width="20.140625" bestFit="1" customWidth="1"/>
    <col min="6" max="6" width="13.140625" bestFit="1" customWidth="1"/>
    <col min="7" max="7" width="25" bestFit="1" customWidth="1"/>
    <col min="8" max="8" width="33.42578125" bestFit="1" customWidth="1"/>
    <col min="9" max="9" width="24" bestFit="1" customWidth="1"/>
    <col min="10" max="10" width="32.7109375" bestFit="1" customWidth="1"/>
    <col min="11" max="11" width="16.7109375" bestFit="1" customWidth="1"/>
    <col min="12" max="12" width="23.7109375" bestFit="1" customWidth="1"/>
    <col min="13" max="29" width="9.28515625" customWidth="1"/>
    <col min="30" max="30" width="23.140625" bestFit="1" customWidth="1"/>
    <col min="31" max="31" width="18" bestFit="1" customWidth="1"/>
    <col min="32" max="32" width="22.140625" bestFit="1" customWidth="1"/>
    <col min="33" max="34" width="9.28515625" customWidth="1"/>
    <col min="35" max="35" width="19.85546875" bestFit="1" customWidth="1"/>
    <col min="36" max="36" width="9.28515625" customWidth="1"/>
    <col min="37" max="37" width="19.28515625" bestFit="1" customWidth="1"/>
    <col min="38" max="38" width="23.42578125" bestFit="1" customWidth="1"/>
    <col min="39" max="39" width="14.85546875" bestFit="1" customWidth="1"/>
    <col min="40" max="40" width="10.42578125" bestFit="1" customWidth="1"/>
    <col min="41" max="41" width="18.7109375" bestFit="1" customWidth="1"/>
    <col min="42" max="42" width="20.140625" bestFit="1" customWidth="1"/>
    <col min="43" max="43" width="29.7109375" style="8" customWidth="1"/>
  </cols>
  <sheetData>
    <row r="1" spans="1:57" s="1" customFormat="1" ht="16.5" thickBot="1" x14ac:dyDescent="0.3">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75" thickTop="1" x14ac:dyDescent="0.25">
      <c r="A2">
        <v>1</v>
      </c>
      <c r="B2">
        <v>3</v>
      </c>
      <c r="C2" t="s">
        <v>23</v>
      </c>
      <c r="D2" t="s">
        <v>132</v>
      </c>
      <c r="F2">
        <v>44.2</v>
      </c>
      <c r="G2">
        <v>312</v>
      </c>
      <c r="H2">
        <f>84</f>
        <v>84</v>
      </c>
      <c r="I2" t="s">
        <v>201</v>
      </c>
      <c r="J2">
        <f>119+215</f>
        <v>334</v>
      </c>
      <c r="L2">
        <f>Konstanten!$B$3</f>
        <v>2.5</v>
      </c>
      <c r="M2">
        <f>COUNTIF(Windows!$A$4:$A$84,D2)</f>
        <v>2</v>
      </c>
      <c r="N2" t="str">
        <f>VLOOKUP(D2,Windows!$A$4:$D$84,2,FALSE)</f>
        <v>IU14,5-v</v>
      </c>
      <c r="O2">
        <f>VLOOKUP(N2,Windows!$B$4:$D$84,2,FALSE)/1000</f>
        <v>1.47</v>
      </c>
      <c r="P2">
        <f>VLOOKUP(N2,Windows!$B$4:$D$84,3,FALSE)/1000</f>
        <v>1.32</v>
      </c>
      <c r="Q2">
        <f t="shared" ref="Q2:Q7" si="0">IF(ISNA(P2*O2),0,O2*P2)</f>
        <v>1.9404000000000001</v>
      </c>
      <c r="R2" t="str">
        <f>IF(M2&gt;=2,INDEX(Windows!$B$4:$B$84,MATCH(N2,Windows!$B$4:$B$84,0)+1),0)</f>
        <v>IU5,5-o</v>
      </c>
      <c r="S2">
        <f>VLOOKUP(R2,Windows!$B$4:$D$84,2,FALSE)/1000</f>
        <v>0.56999999999999995</v>
      </c>
      <c r="T2">
        <f>VLOOKUP(R2,Windows!$B$4:$D$84,3,FALSE)/1000</f>
        <v>1.32</v>
      </c>
      <c r="U2">
        <f t="shared" ref="U2:U7" si="1">IF(ISNA(T2*S2),0,S2*T2)</f>
        <v>0.75239999999999996</v>
      </c>
      <c r="V2">
        <f>IF(M2&gt;=3,INDEX(Windows!$B$4:$B$84,MATCH(N2,Windows!$B$4:$B$84,0)+2),0)</f>
        <v>0</v>
      </c>
      <c r="W2" t="e">
        <f>VLOOKUP(V2,Windows!$B$4:$D$84,2,FALSE)/1000</f>
        <v>#N/A</v>
      </c>
      <c r="X2" t="e">
        <f>VLOOKUP(V2,Windows!$B$4:$D$84,3,FALSE)/1000</f>
        <v>#N/A</v>
      </c>
      <c r="Y2">
        <f t="shared" ref="Y2:Y7" si="2">IF(ISNA(X2*W2),0,W2*X2)</f>
        <v>0</v>
      </c>
      <c r="Z2">
        <f>IF(M2&gt;=4,INDEX(Windows!$B$4:$B$84,MATCH(N2,Windows!$B$4:$B$84,0)+3),0)</f>
        <v>0</v>
      </c>
      <c r="AA2" t="e">
        <f>VLOOKUP(Z2,Windows!$B$4:$D$84,2,FALSE)/1000</f>
        <v>#N/A</v>
      </c>
      <c r="AB2" t="e">
        <f>VLOOKUP(Z2,Windows!$B$4:$D$84,3,FALSE)/1000</f>
        <v>#N/A</v>
      </c>
      <c r="AC2">
        <f t="shared" ref="AC2:AC7" si="3">IF(ISNA(AB2*AA2),0,AA2*AB2)</f>
        <v>0</v>
      </c>
      <c r="AD2">
        <f>IF(M2&gt;0,G2,"N/A")</f>
        <v>312</v>
      </c>
      <c r="AE2">
        <f t="shared" ref="AE2:AE7" si="4">SUM(Q2,U2,Y2,AC2)</f>
        <v>2.6928000000000001</v>
      </c>
      <c r="AG2">
        <f>H2*50/1000</f>
        <v>4.2</v>
      </c>
      <c r="AH2">
        <f>AG2*Konstanten!$B$4</f>
        <v>17.850000000000001</v>
      </c>
      <c r="AI2">
        <f>IF(AH2-AE2&lt;=0, 0, AH2-AE2)</f>
        <v>15.157200000000001</v>
      </c>
      <c r="AJ2">
        <f>50/1000*J2</f>
        <v>16.7</v>
      </c>
      <c r="AK2">
        <f>AJ2*Konstanten!$B$3</f>
        <v>41.75</v>
      </c>
      <c r="AM2">
        <f>IF(B2=9,1,0)</f>
        <v>0</v>
      </c>
      <c r="AN2">
        <f>IF(B2=1,1,0)</f>
        <v>0</v>
      </c>
      <c r="AR2" s="8"/>
      <c r="BA2" s="4"/>
    </row>
    <row r="3" spans="1:57" x14ac:dyDescent="0.25">
      <c r="A3">
        <v>2</v>
      </c>
      <c r="B3">
        <v>3</v>
      </c>
      <c r="D3" t="s">
        <v>132</v>
      </c>
      <c r="F3">
        <v>0</v>
      </c>
      <c r="G3">
        <v>270</v>
      </c>
      <c r="H3">
        <v>178.76</v>
      </c>
      <c r="I3" t="s">
        <v>201</v>
      </c>
      <c r="J3">
        <v>0</v>
      </c>
      <c r="L3">
        <f>Konstanten!$B$3</f>
        <v>2.5</v>
      </c>
      <c r="M3">
        <v>0</v>
      </c>
      <c r="O3" t="e">
        <f>VLOOKUP(N3,Windows!$B$4:$D$84,2,FALSE)/1000</f>
        <v>#N/A</v>
      </c>
      <c r="P3" t="e">
        <f>VLOOKUP(N3,Windows!$B$4:$D$84,3,FALSE)/1000</f>
        <v>#N/A</v>
      </c>
      <c r="Q3">
        <f t="shared" si="0"/>
        <v>0</v>
      </c>
      <c r="R3">
        <f>IF(M3&gt;=2,INDEX(Windows!$B$4:$B$84,MATCH(N3,Windows!$B$4:$B$84,0)+1),0)</f>
        <v>0</v>
      </c>
      <c r="S3" t="e">
        <f>VLOOKUP(R3,Windows!$B$4:$D$84,2,FALSE)/1000</f>
        <v>#N/A</v>
      </c>
      <c r="T3" t="e">
        <f>VLOOKUP(R3,Windows!$B$4:$D$84,3,FALSE)/1000</f>
        <v>#N/A</v>
      </c>
      <c r="U3">
        <f t="shared" si="1"/>
        <v>0</v>
      </c>
      <c r="V3">
        <f>IF(M3&gt;=3,INDEX(Windows!$B$4:$B$84,MATCH(N3,Windows!$B$4:$B$84,0)+2),0)</f>
        <v>0</v>
      </c>
      <c r="W3" t="e">
        <f>VLOOKUP(V3,Windows!$B$4:$D$84,2,FALSE)/1000</f>
        <v>#N/A</v>
      </c>
      <c r="X3" t="e">
        <f>VLOOKUP(V3,Windows!$B$4:$D$84,3,FALSE)/1000</f>
        <v>#N/A</v>
      </c>
      <c r="Y3">
        <f t="shared" si="2"/>
        <v>0</v>
      </c>
      <c r="Z3">
        <f>IF(M3&gt;=4,INDEX(Windows!$B$4:$B$84,MATCH(N3,Windows!$B$4:$B$84,0)+3),0)</f>
        <v>0</v>
      </c>
      <c r="AA3" t="e">
        <f>VLOOKUP(Z3,Windows!$B$4:$D$84,2,FALSE)/1000</f>
        <v>#N/A</v>
      </c>
      <c r="AB3" t="e">
        <f>VLOOKUP(Z3,Windows!$B$4:$D$84,3,FALSE)/1000</f>
        <v>#N/A</v>
      </c>
      <c r="AC3">
        <f t="shared" si="3"/>
        <v>0</v>
      </c>
      <c r="AD3" t="str">
        <f>IF(M3&gt;0,G3,"N/A")</f>
        <v>N/A</v>
      </c>
      <c r="AE3">
        <f t="shared" si="4"/>
        <v>0</v>
      </c>
      <c r="AG3">
        <f>H3*50/1000</f>
        <v>8.9380000000000006</v>
      </c>
      <c r="AH3">
        <f>AG3*Konstanten!$B$4</f>
        <v>37.986499999999999</v>
      </c>
      <c r="AI3">
        <f>IF(AH3-AE3&lt;=0, 0, AH3-AE3)</f>
        <v>37.986499999999999</v>
      </c>
      <c r="AJ3">
        <f>50/1000*J3</f>
        <v>0</v>
      </c>
      <c r="AK3">
        <f>AJ3*Konstanten!$B$3</f>
        <v>0</v>
      </c>
      <c r="AM3">
        <f>IF(B3=9,1,0)</f>
        <v>0</v>
      </c>
      <c r="AN3">
        <f>IF(B3=1,1,0)</f>
        <v>0</v>
      </c>
      <c r="AR3" s="8"/>
      <c r="BA3" s="4"/>
    </row>
    <row r="4" spans="1:57" x14ac:dyDescent="0.25">
      <c r="A4">
        <v>3</v>
      </c>
      <c r="B4">
        <v>3</v>
      </c>
      <c r="C4" t="s">
        <v>23</v>
      </c>
      <c r="D4" t="s">
        <v>131</v>
      </c>
      <c r="F4">
        <v>28.8</v>
      </c>
      <c r="G4">
        <v>312</v>
      </c>
      <c r="H4">
        <v>97</v>
      </c>
      <c r="I4" t="s">
        <v>201</v>
      </c>
      <c r="J4">
        <f>97+2*119</f>
        <v>335</v>
      </c>
      <c r="L4">
        <f>Konstanten!$B$3</f>
        <v>2.5</v>
      </c>
      <c r="M4">
        <f>COUNTIF(Windows!$A$4:$A$84,D4)</f>
        <v>2</v>
      </c>
      <c r="N4" t="str">
        <f>VLOOKUP(D4,Windows!$A$4:$D$84,2,FALSE)</f>
        <v>IU14,5-o</v>
      </c>
      <c r="O4">
        <f>VLOOKUP(N4,Windows!$B$4:$D$84,2,FALSE)/1000</f>
        <v>1.47</v>
      </c>
      <c r="P4">
        <f>VLOOKUP(N4,Windows!$B$4:$D$84,3,FALSE)/1000</f>
        <v>1.32</v>
      </c>
      <c r="Q4">
        <f t="shared" si="0"/>
        <v>1.9404000000000001</v>
      </c>
      <c r="R4" t="str">
        <f>IF(M4&gt;=2,INDEX(Windows!$B$4:$B$84,MATCH(N4,Windows!$B$4:$B$84,0)+1),0)</f>
        <v>IU5,5-v</v>
      </c>
      <c r="S4">
        <f>VLOOKUP(R4,Windows!$B$4:$D$84,2,FALSE)/1000</f>
        <v>0.56999999999999995</v>
      </c>
      <c r="T4">
        <f>VLOOKUP(R4,Windows!$B$4:$D$84,3,FALSE)/1000</f>
        <v>1.32</v>
      </c>
      <c r="U4">
        <f t="shared" si="1"/>
        <v>0.75239999999999996</v>
      </c>
      <c r="V4">
        <f>IF(M4&gt;=3,INDEX(Windows!$B$4:$B$84,MATCH(N4,Windows!$B$4:$B$84,0)+2),0)</f>
        <v>0</v>
      </c>
      <c r="W4" t="e">
        <f>VLOOKUP(V4,Windows!$B$4:$D$84,2,FALSE)/1000</f>
        <v>#N/A</v>
      </c>
      <c r="X4" t="e">
        <f>VLOOKUP(V4,Windows!$B$4:$D$84,3,FALSE)/1000</f>
        <v>#N/A</v>
      </c>
      <c r="Y4">
        <f t="shared" si="2"/>
        <v>0</v>
      </c>
      <c r="Z4">
        <f>IF(M4&gt;=4,INDEX(Windows!$B$4:$B$84,MATCH(N4,Windows!$B$4:$B$84,0)+3),0)</f>
        <v>0</v>
      </c>
      <c r="AA4" t="e">
        <f>VLOOKUP(Z4,Windows!$B$4:$D$84,2,FALSE)/1000</f>
        <v>#N/A</v>
      </c>
      <c r="AB4" t="e">
        <f>VLOOKUP(Z4,Windows!$B$4:$D$84,3,FALSE)/1000</f>
        <v>#N/A</v>
      </c>
      <c r="AC4">
        <f t="shared" si="3"/>
        <v>0</v>
      </c>
      <c r="AD4">
        <f t="shared" ref="AD4:AD7" si="5">IF(M4&gt;0,G4,"N/A")</f>
        <v>312</v>
      </c>
      <c r="AE4">
        <f t="shared" si="4"/>
        <v>2.6928000000000001</v>
      </c>
      <c r="AG4">
        <f t="shared" ref="AG4:AG7" si="6">H4*50/1000</f>
        <v>4.8499999999999996</v>
      </c>
      <c r="AH4">
        <f>AG4*Konstanten!$B$4</f>
        <v>20.612499999999997</v>
      </c>
      <c r="AI4">
        <f t="shared" ref="AI4:AI7" si="7">IF(AH4-AE4&lt;=0, 0, AH4-AE4)</f>
        <v>17.919699999999999</v>
      </c>
      <c r="AJ4">
        <f t="shared" ref="AJ4:AJ7" si="8">50/1000*J4</f>
        <v>16.75</v>
      </c>
      <c r="AK4">
        <f>AJ4*Konstanten!$B$3</f>
        <v>41.875</v>
      </c>
      <c r="AM4">
        <f t="shared" ref="AM4:AM7" si="9">IF(B4=9,1,0)</f>
        <v>0</v>
      </c>
      <c r="AN4">
        <f t="shared" ref="AN4:AN7" si="10">IF(B4=1,1,0)</f>
        <v>0</v>
      </c>
      <c r="AR4" s="8"/>
      <c r="BA4" s="4"/>
    </row>
    <row r="5" spans="1:57" x14ac:dyDescent="0.25">
      <c r="A5">
        <v>4</v>
      </c>
      <c r="B5">
        <v>3</v>
      </c>
      <c r="C5" t="s">
        <v>23</v>
      </c>
      <c r="D5" t="s">
        <v>112</v>
      </c>
      <c r="F5">
        <v>19</v>
      </c>
      <c r="G5">
        <v>312</v>
      </c>
      <c r="H5">
        <v>67</v>
      </c>
      <c r="I5" t="s">
        <v>201</v>
      </c>
      <c r="J5">
        <f>67+2*119</f>
        <v>305</v>
      </c>
      <c r="L5">
        <f>Konstanten!$B$3</f>
        <v>2.5</v>
      </c>
      <c r="M5">
        <f>COUNTIF(Windows!$A$4:$A$84,D5)</f>
        <v>3</v>
      </c>
      <c r="N5" t="str">
        <f>VLOOKUP(D5,Windows!$A$4:$D$84,2,FALSE)</f>
        <v>IU10,5-v</v>
      </c>
      <c r="O5">
        <f>VLOOKUP(N5,Windows!$B$4:$D$84,2,FALSE)/1000</f>
        <v>1.03</v>
      </c>
      <c r="P5">
        <f>VLOOKUP(N5,Windows!$B$4:$D$84,3,FALSE)/1000</f>
        <v>1.32</v>
      </c>
      <c r="Q5">
        <f t="shared" si="0"/>
        <v>1.3596000000000001</v>
      </c>
      <c r="R5" t="str">
        <f>IF(M5&gt;=2,INDEX(Windows!$B$4:$B$84,MATCH(N5,Windows!$B$4:$B$84,0)+1),0)</f>
        <v>IU8,5-o</v>
      </c>
      <c r="S5">
        <f>VLOOKUP(R5,Windows!$B$4:$D$84,2,FALSE)/1000</f>
        <v>0.85499999999999998</v>
      </c>
      <c r="T5">
        <f>VLOOKUP(R5,Windows!$B$4:$D$84,3,FALSE)/1000</f>
        <v>1.32</v>
      </c>
      <c r="U5">
        <f t="shared" si="1"/>
        <v>1.1286</v>
      </c>
      <c r="V5" t="str">
        <f>IF(M5&gt;=3,INDEX(Windows!$B$4:$B$84,MATCH(N5,Windows!$B$4:$B$84,0)+2),0)</f>
        <v>IU9-o</v>
      </c>
      <c r="W5">
        <f>VLOOKUP(V5,Windows!$B$4:$D$84,2,FALSE)/1000</f>
        <v>0.89500000000000002</v>
      </c>
      <c r="X5">
        <f>VLOOKUP(V5,Windows!$B$4:$D$84,3,FALSE)/1000</f>
        <v>1.32</v>
      </c>
      <c r="Y5">
        <f t="shared" si="2"/>
        <v>1.1814</v>
      </c>
      <c r="Z5">
        <f>IF(M5&gt;=4,INDEX(Windows!$B$4:$B$84,MATCH(N5,Windows!$B$4:$B$84,0)+3),0)</f>
        <v>0</v>
      </c>
      <c r="AA5" t="e">
        <f>VLOOKUP(Z5,Windows!$B$4:$D$84,2,FALSE)/1000</f>
        <v>#N/A</v>
      </c>
      <c r="AB5" t="e">
        <f>VLOOKUP(Z5,Windows!$B$4:$D$84,3,FALSE)/1000</f>
        <v>#N/A</v>
      </c>
      <c r="AC5">
        <f t="shared" si="3"/>
        <v>0</v>
      </c>
      <c r="AD5">
        <f t="shared" si="5"/>
        <v>312</v>
      </c>
      <c r="AE5">
        <f t="shared" si="4"/>
        <v>3.6696</v>
      </c>
      <c r="AG5">
        <f t="shared" si="6"/>
        <v>3.35</v>
      </c>
      <c r="AH5">
        <f>AG5*Konstanten!$B$4</f>
        <v>14.237500000000001</v>
      </c>
      <c r="AI5">
        <f t="shared" si="7"/>
        <v>10.567900000000002</v>
      </c>
      <c r="AJ5">
        <f t="shared" si="8"/>
        <v>15.25</v>
      </c>
      <c r="AK5">
        <f>AJ5*Konstanten!$B$3</f>
        <v>38.125</v>
      </c>
      <c r="AM5">
        <f t="shared" si="9"/>
        <v>0</v>
      </c>
      <c r="AN5">
        <f t="shared" si="10"/>
        <v>0</v>
      </c>
      <c r="AR5" s="8"/>
      <c r="BA5" s="4"/>
    </row>
    <row r="6" spans="1:57" x14ac:dyDescent="0.25">
      <c r="A6">
        <v>5</v>
      </c>
      <c r="B6">
        <v>3</v>
      </c>
      <c r="C6" t="s">
        <v>23</v>
      </c>
      <c r="D6" t="s">
        <v>118</v>
      </c>
      <c r="F6">
        <v>17.899999999999999</v>
      </c>
      <c r="G6">
        <v>312</v>
      </c>
      <c r="H6">
        <v>63</v>
      </c>
      <c r="I6" t="s">
        <v>201</v>
      </c>
      <c r="J6">
        <f>63+2*119</f>
        <v>301</v>
      </c>
      <c r="L6">
        <f>Konstanten!$B$3</f>
        <v>2.5</v>
      </c>
      <c r="M6">
        <f>COUNTIF(Windows!$A$4:$A$84,D6)</f>
        <v>3</v>
      </c>
      <c r="N6" t="str">
        <f>VLOOKUP(D6,Windows!$A$4:$D$84,2,FALSE)</f>
        <v>IU11-v</v>
      </c>
      <c r="O6">
        <f>VLOOKUP(N6,Windows!$B$4:$D$84,2,FALSE)/1000</f>
        <v>1.1200000000000001</v>
      </c>
      <c r="P6">
        <f>VLOOKUP(N6,Windows!$B$4:$D$84,3,FALSE)/1000</f>
        <v>1.32</v>
      </c>
      <c r="Q6">
        <f t="shared" si="0"/>
        <v>1.4784000000000002</v>
      </c>
      <c r="R6" t="str">
        <f>IF(M6&gt;=2,INDEX(Windows!$B$4:$B$84,MATCH(N6,Windows!$B$4:$B$84,0)+1),0)</f>
        <v>IU9-o</v>
      </c>
      <c r="S6">
        <f>VLOOKUP(R6,Windows!$B$4:$D$84,2,FALSE)/1000</f>
        <v>0.89500000000000002</v>
      </c>
      <c r="T6">
        <f>VLOOKUP(R6,Windows!$B$4:$D$84,3,FALSE)/1000</f>
        <v>1.32</v>
      </c>
      <c r="U6">
        <f t="shared" si="1"/>
        <v>1.1814</v>
      </c>
      <c r="V6" t="str">
        <f>IF(M6&gt;=3,INDEX(Windows!$B$4:$B$84,MATCH(N6,Windows!$B$4:$B$84,0)+2),0)</f>
        <v>IU9-v</v>
      </c>
      <c r="W6">
        <f>VLOOKUP(V6,Windows!$B$4:$D$84,2,FALSE)/1000</f>
        <v>0.91</v>
      </c>
      <c r="X6">
        <f>VLOOKUP(V6,Windows!$B$4:$D$84,3,FALSE)/1000</f>
        <v>1.32</v>
      </c>
      <c r="Y6">
        <f t="shared" si="2"/>
        <v>1.2012</v>
      </c>
      <c r="Z6">
        <f>IF(M6&gt;=4,INDEX(Windows!$B$4:$B$84,MATCH(N6,Windows!$B$4:$B$84,0)+3),0)</f>
        <v>0</v>
      </c>
      <c r="AA6" t="e">
        <f>VLOOKUP(Z6,Windows!$B$4:$D$84,2,FALSE)/1000</f>
        <v>#N/A</v>
      </c>
      <c r="AB6" t="e">
        <f>VLOOKUP(Z6,Windows!$B$4:$D$84,3,FALSE)/1000</f>
        <v>#N/A</v>
      </c>
      <c r="AC6">
        <f t="shared" si="3"/>
        <v>0</v>
      </c>
      <c r="AD6">
        <f t="shared" si="5"/>
        <v>312</v>
      </c>
      <c r="AE6">
        <f t="shared" si="4"/>
        <v>3.8610000000000002</v>
      </c>
      <c r="AG6">
        <f t="shared" si="6"/>
        <v>3.15</v>
      </c>
      <c r="AH6">
        <f>AG6*Konstanten!$B$4</f>
        <v>13.387499999999999</v>
      </c>
      <c r="AI6">
        <f t="shared" si="7"/>
        <v>9.5264999999999986</v>
      </c>
      <c r="AJ6">
        <f t="shared" si="8"/>
        <v>15.05</v>
      </c>
      <c r="AK6">
        <f>AJ6*Konstanten!$B$3</f>
        <v>37.625</v>
      </c>
      <c r="AM6">
        <f t="shared" si="9"/>
        <v>0</v>
      </c>
      <c r="AN6">
        <f t="shared" si="10"/>
        <v>0</v>
      </c>
      <c r="AR6" s="8"/>
      <c r="BA6" s="4"/>
    </row>
    <row r="7" spans="1:57" x14ac:dyDescent="0.25">
      <c r="A7">
        <v>6</v>
      </c>
      <c r="B7">
        <v>3</v>
      </c>
      <c r="C7" t="s">
        <v>23</v>
      </c>
      <c r="D7" t="s">
        <v>110</v>
      </c>
      <c r="F7">
        <v>20.100000000000001</v>
      </c>
      <c r="G7">
        <v>312</v>
      </c>
      <c r="H7">
        <v>74</v>
      </c>
      <c r="I7" t="s">
        <v>201</v>
      </c>
      <c r="J7">
        <f>74+2*119</f>
        <v>312</v>
      </c>
      <c r="L7">
        <f>Konstanten!$B$3</f>
        <v>2.5</v>
      </c>
      <c r="M7">
        <f>COUNTIF(Windows!$A$4:$A$84,D7)</f>
        <v>1</v>
      </c>
      <c r="N7" t="str">
        <f>VLOOKUP(D7,Windows!$A$4:$D$84,2,FALSE)</f>
        <v>IU10,5-o</v>
      </c>
      <c r="O7">
        <f>VLOOKUP(N7,Windows!$B$4:$D$84,2,FALSE)/1000</f>
        <v>1.03</v>
      </c>
      <c r="P7">
        <f>VLOOKUP(N7,Windows!$B$4:$D$84,3,FALSE)/1000</f>
        <v>1.32</v>
      </c>
      <c r="Q7">
        <f t="shared" si="0"/>
        <v>1.3596000000000001</v>
      </c>
      <c r="R7">
        <f>IF(M7&gt;=2,INDEX(Windows!$B$4:$B$84,MATCH(N7,Windows!$B$4:$B$84,0)+1),0)</f>
        <v>0</v>
      </c>
      <c r="S7" t="e">
        <f>VLOOKUP(R7,Windows!$B$4:$D$84,2,FALSE)/1000</f>
        <v>#N/A</v>
      </c>
      <c r="T7" t="e">
        <f>VLOOKUP(R7,Windows!$B$4:$D$84,3,FALSE)/1000</f>
        <v>#N/A</v>
      </c>
      <c r="U7">
        <f t="shared" si="1"/>
        <v>0</v>
      </c>
      <c r="V7">
        <f>IF(M7&gt;=3,INDEX(Windows!$B$4:$B$84,MATCH(N7,Windows!$B$4:$B$84,0)+2),0)</f>
        <v>0</v>
      </c>
      <c r="W7" t="e">
        <f>VLOOKUP(V7,Windows!$B$4:$D$84,2,FALSE)/1000</f>
        <v>#N/A</v>
      </c>
      <c r="X7" t="e">
        <f>VLOOKUP(V7,Windows!$B$4:$D$84,3,FALSE)/1000</f>
        <v>#N/A</v>
      </c>
      <c r="Y7">
        <f t="shared" si="2"/>
        <v>0</v>
      </c>
      <c r="Z7">
        <f>IF(M7&gt;=4,INDEX(Windows!$B$4:$B$84,MATCH(N7,Windows!$B$4:$B$84,0)+3),0)</f>
        <v>0</v>
      </c>
      <c r="AA7" t="e">
        <f>VLOOKUP(Z7,Windows!$B$4:$D$84,2,FALSE)/1000</f>
        <v>#N/A</v>
      </c>
      <c r="AB7" t="e">
        <f>VLOOKUP(Z7,Windows!$B$4:$D$84,3,FALSE)/1000</f>
        <v>#N/A</v>
      </c>
      <c r="AC7">
        <f t="shared" si="3"/>
        <v>0</v>
      </c>
      <c r="AD7">
        <f t="shared" si="5"/>
        <v>312</v>
      </c>
      <c r="AE7">
        <f t="shared" si="4"/>
        <v>1.3596000000000001</v>
      </c>
      <c r="AG7">
        <f t="shared" si="6"/>
        <v>3.7</v>
      </c>
      <c r="AH7">
        <f>AG7*Konstanten!$B$4</f>
        <v>15.725000000000001</v>
      </c>
      <c r="AI7">
        <f t="shared" si="7"/>
        <v>14.365400000000001</v>
      </c>
      <c r="AJ7">
        <f t="shared" si="8"/>
        <v>15.600000000000001</v>
      </c>
      <c r="AK7">
        <f>AJ7*Konstanten!$B$3</f>
        <v>39</v>
      </c>
      <c r="AM7">
        <f t="shared" si="9"/>
        <v>0</v>
      </c>
      <c r="AN7">
        <f t="shared" si="10"/>
        <v>0</v>
      </c>
      <c r="AR7" s="8"/>
      <c r="BA7" s="4"/>
    </row>
    <row r="8" spans="1:57" x14ac:dyDescent="0.25">
      <c r="A8">
        <v>7</v>
      </c>
      <c r="B8">
        <v>3</v>
      </c>
      <c r="C8" t="s">
        <v>17</v>
      </c>
      <c r="D8" t="s">
        <v>208</v>
      </c>
      <c r="F8">
        <v>5.4</v>
      </c>
      <c r="G8" t="s">
        <v>202</v>
      </c>
      <c r="H8">
        <v>0</v>
      </c>
      <c r="J8">
        <f>2*(36+61)</f>
        <v>194</v>
      </c>
      <c r="L8">
        <f>Konstanten!$B$3</f>
        <v>2.5</v>
      </c>
      <c r="M8">
        <f>COUNTIF(Windows!$A$4:$A$84,D8)</f>
        <v>0</v>
      </c>
      <c r="N8" t="e">
        <f>VLOOKUP(D8,Windows!$A$4:$D$84,2,FALSE)</f>
        <v>#N/A</v>
      </c>
      <c r="O8" t="e">
        <f>VLOOKUP(N8,Windows!$B$4:$D$84,2,FALSE)/1000</f>
        <v>#N/A</v>
      </c>
      <c r="P8" t="e">
        <f>VLOOKUP(N8,Windows!$B$4:$D$84,3,FALSE)/1000</f>
        <v>#N/A</v>
      </c>
      <c r="Q8">
        <f t="shared" ref="Q8:Q12" si="11">IF(ISNA(P8*O8),0,O8*P8)</f>
        <v>0</v>
      </c>
      <c r="R8">
        <f>IF(M8&gt;=2,INDEX(Windows!$B$4:$B$84,MATCH(N8,Windows!$B$4:$B$84,0)+1),0)</f>
        <v>0</v>
      </c>
      <c r="S8" t="e">
        <f>VLOOKUP(R8,Windows!$B$4:$D$84,2,FALSE)/1000</f>
        <v>#N/A</v>
      </c>
      <c r="T8" t="e">
        <f>VLOOKUP(R8,Windows!$B$4:$D$84,3,FALSE)/1000</f>
        <v>#N/A</v>
      </c>
      <c r="U8">
        <f t="shared" ref="U8:U12" si="12">IF(ISNA(T8*S8),0,S8*T8)</f>
        <v>0</v>
      </c>
      <c r="V8">
        <f>IF(M8&gt;=3,INDEX(Windows!$B$4:$B$84,MATCH(N8,Windows!$B$4:$B$84,0)+2),0)</f>
        <v>0</v>
      </c>
      <c r="W8" t="e">
        <f>VLOOKUP(V8,Windows!$B$4:$D$84,2,FALSE)/1000</f>
        <v>#N/A</v>
      </c>
      <c r="X8" t="e">
        <f>VLOOKUP(V8,Windows!$B$4:$D$84,3,FALSE)/1000</f>
        <v>#N/A</v>
      </c>
      <c r="Y8">
        <f t="shared" ref="Y8:Y12" si="13">IF(ISNA(X8*W8),0,W8*X8)</f>
        <v>0</v>
      </c>
      <c r="Z8">
        <f>IF(M8&gt;=4,INDEX(Windows!$B$4:$B$84,MATCH(N8,Windows!$B$4:$B$84,0)+3),0)</f>
        <v>0</v>
      </c>
      <c r="AA8" t="e">
        <f>VLOOKUP(Z8,Windows!$B$4:$D$84,2,FALSE)/1000</f>
        <v>#N/A</v>
      </c>
      <c r="AB8" t="e">
        <f>VLOOKUP(Z8,Windows!$B$4:$D$84,3,FALSE)/1000</f>
        <v>#N/A</v>
      </c>
      <c r="AC8">
        <f t="shared" ref="AC8:AC12" si="14">IF(ISNA(AB8*AA8),0,AA8*AB8)</f>
        <v>0</v>
      </c>
      <c r="AD8" t="str">
        <f>IF(M8&gt;0,G8,"N/A")</f>
        <v>N/A</v>
      </c>
      <c r="AE8">
        <f>SUM(Q8,U8,Y8,AC8)</f>
        <v>0</v>
      </c>
      <c r="AG8">
        <f>H8*50/1000</f>
        <v>0</v>
      </c>
      <c r="AH8">
        <f>AG8*Konstanten!$B$4</f>
        <v>0</v>
      </c>
      <c r="AI8">
        <f>IF(AH8-AE8&lt;=0, 0, AH8-AE8)</f>
        <v>0</v>
      </c>
      <c r="AJ8">
        <f>50/1000*J8</f>
        <v>9.7000000000000011</v>
      </c>
      <c r="AK8">
        <f>AJ8*Konstanten!$B$3</f>
        <v>24.250000000000004</v>
      </c>
      <c r="AM8">
        <f>IF(B8=9,1,0)</f>
        <v>0</v>
      </c>
      <c r="AN8">
        <f>IF(B8=1,1,0)</f>
        <v>0</v>
      </c>
      <c r="AR8" s="8"/>
      <c r="BA8" s="4"/>
    </row>
    <row r="9" spans="1:57" x14ac:dyDescent="0.25">
      <c r="A9">
        <v>8</v>
      </c>
      <c r="B9">
        <v>3</v>
      </c>
      <c r="C9" t="s">
        <v>15</v>
      </c>
      <c r="D9" t="s">
        <v>209</v>
      </c>
      <c r="F9">
        <v>6.7</v>
      </c>
      <c r="G9" t="s">
        <v>202</v>
      </c>
      <c r="H9">
        <v>0</v>
      </c>
      <c r="J9">
        <f>2*(52+75)</f>
        <v>254</v>
      </c>
      <c r="L9">
        <f>Konstanten!$B$3</f>
        <v>2.5</v>
      </c>
      <c r="M9">
        <f>COUNTIF(Windows!$A$4:$A$84,D9)</f>
        <v>0</v>
      </c>
      <c r="N9" t="e">
        <f>VLOOKUP(D9,Windows!$A$4:$D$84,2,FALSE)</f>
        <v>#N/A</v>
      </c>
      <c r="O9" t="e">
        <f>VLOOKUP(N9,Windows!$B$4:$D$84,2,FALSE)/1000</f>
        <v>#N/A</v>
      </c>
      <c r="P9" t="e">
        <f>VLOOKUP(N9,Windows!$B$4:$D$84,3,FALSE)/1000</f>
        <v>#N/A</v>
      </c>
      <c r="Q9">
        <f t="shared" si="11"/>
        <v>0</v>
      </c>
      <c r="R9">
        <f>IF(M9&gt;=2,INDEX(Windows!$B$4:$B$84,MATCH(N9,Windows!$B$4:$B$84,0)+1),0)</f>
        <v>0</v>
      </c>
      <c r="S9" t="e">
        <f>VLOOKUP(R9,Windows!$B$4:$D$84,2,FALSE)/1000</f>
        <v>#N/A</v>
      </c>
      <c r="T9" t="e">
        <f>VLOOKUP(R9,Windows!$B$4:$D$84,3,FALSE)/1000</f>
        <v>#N/A</v>
      </c>
      <c r="U9">
        <f t="shared" si="12"/>
        <v>0</v>
      </c>
      <c r="V9">
        <f>IF(M9&gt;=3,INDEX(Windows!$B$4:$B$84,MATCH(N9,Windows!$B$4:$B$84,0)+2),0)</f>
        <v>0</v>
      </c>
      <c r="W9" t="e">
        <f>VLOOKUP(V9,Windows!$B$4:$D$84,2,FALSE)/1000</f>
        <v>#N/A</v>
      </c>
      <c r="X9" t="e">
        <f>VLOOKUP(V9,Windows!$B$4:$D$84,3,FALSE)/1000</f>
        <v>#N/A</v>
      </c>
      <c r="Y9">
        <f t="shared" si="13"/>
        <v>0</v>
      </c>
      <c r="Z9">
        <f>IF(M9&gt;=4,INDEX(Windows!$B$4:$B$84,MATCH(N9,Windows!$B$4:$B$84,0)+3),0)</f>
        <v>0</v>
      </c>
      <c r="AA9" t="e">
        <f>VLOOKUP(Z9,Windows!$B$4:$D$84,2,FALSE)/1000</f>
        <v>#N/A</v>
      </c>
      <c r="AB9" t="e">
        <f>VLOOKUP(Z9,Windows!$B$4:$D$84,3,FALSE)/1000</f>
        <v>#N/A</v>
      </c>
      <c r="AC9">
        <f t="shared" si="14"/>
        <v>0</v>
      </c>
      <c r="AD9" t="str">
        <f>IF(M9&gt;0,G9,"N/A")</f>
        <v>N/A</v>
      </c>
      <c r="AE9">
        <f t="shared" ref="AE9:AE12" si="15">SUM(Q9,U9,Y9,AC9)</f>
        <v>0</v>
      </c>
      <c r="AG9">
        <f>H9*50/1000</f>
        <v>0</v>
      </c>
      <c r="AH9">
        <f>AG9*Konstanten!$B$4</f>
        <v>0</v>
      </c>
      <c r="AI9">
        <f>IF(AH9-AE9&lt;=0, 0, AH9-AE9)</f>
        <v>0</v>
      </c>
      <c r="AJ9">
        <f>50/1000*J9</f>
        <v>12.700000000000001</v>
      </c>
      <c r="AK9">
        <f>AJ9*Konstanten!$B$3</f>
        <v>31.750000000000004</v>
      </c>
      <c r="AM9">
        <f>IF(B9=9,1,0)</f>
        <v>0</v>
      </c>
      <c r="AN9">
        <f>IF(B9=1,1,0)</f>
        <v>0</v>
      </c>
      <c r="AR9" s="8"/>
      <c r="BA9" s="4"/>
    </row>
    <row r="10" spans="1:57" x14ac:dyDescent="0.25">
      <c r="A10">
        <v>9</v>
      </c>
      <c r="B10">
        <v>3</v>
      </c>
      <c r="C10" t="s">
        <v>15</v>
      </c>
      <c r="D10" t="s">
        <v>210</v>
      </c>
      <c r="E10" t="s">
        <v>209</v>
      </c>
      <c r="F10">
        <v>1.1000000000000001</v>
      </c>
      <c r="G10">
        <v>222</v>
      </c>
      <c r="H10">
        <v>18</v>
      </c>
      <c r="I10" t="s">
        <v>201</v>
      </c>
      <c r="J10">
        <f>18+2*24</f>
        <v>66</v>
      </c>
      <c r="K10" t="s">
        <v>90</v>
      </c>
      <c r="L10">
        <f>Konstanten!$B$3</f>
        <v>2.5</v>
      </c>
      <c r="M10">
        <f>COUNTIF(Windows!$A$4:$A$84,D10)</f>
        <v>0</v>
      </c>
      <c r="N10" t="e">
        <f>VLOOKUP(D10,Windows!$A$4:$D$84,2,FALSE)</f>
        <v>#N/A</v>
      </c>
      <c r="O10" t="e">
        <f>VLOOKUP(N10,Windows!$B$4:$D$84,2,FALSE)/1000</f>
        <v>#N/A</v>
      </c>
      <c r="P10" t="e">
        <f>VLOOKUP(N10,Windows!$B$4:$D$84,3,FALSE)/1000</f>
        <v>#N/A</v>
      </c>
      <c r="Q10">
        <f t="shared" si="11"/>
        <v>0</v>
      </c>
      <c r="R10">
        <f>IF(M10&gt;=2,INDEX(Windows!$B$4:$B$84,MATCH(N10,Windows!$B$4:$B$84,0)+1),0)</f>
        <v>0</v>
      </c>
      <c r="S10" t="e">
        <f>VLOOKUP(R10,Windows!$B$4:$D$84,2,FALSE)/1000</f>
        <v>#N/A</v>
      </c>
      <c r="T10" t="e">
        <f>VLOOKUP(R10,Windows!$B$4:$D$84,3,FALSE)/1000</f>
        <v>#N/A</v>
      </c>
      <c r="U10">
        <f t="shared" si="12"/>
        <v>0</v>
      </c>
      <c r="V10">
        <f>IF(M10&gt;=3,INDEX(Windows!$B$4:$B$84,MATCH(N10,Windows!$B$4:$B$84,0)+2),0)</f>
        <v>0</v>
      </c>
      <c r="W10" t="e">
        <f>VLOOKUP(V10,Windows!$B$4:$D$84,2,FALSE)/1000</f>
        <v>#N/A</v>
      </c>
      <c r="X10" t="e">
        <f>VLOOKUP(V10,Windows!$B$4:$D$84,3,FALSE)/1000</f>
        <v>#N/A</v>
      </c>
      <c r="Y10">
        <f t="shared" si="13"/>
        <v>0</v>
      </c>
      <c r="Z10">
        <f>IF(M10&gt;=4,INDEX(Windows!$B$4:$B$84,MATCH(N10,Windows!$B$4:$B$84,0)+3),0)</f>
        <v>0</v>
      </c>
      <c r="AA10" t="e">
        <f>VLOOKUP(Z10,Windows!$B$4:$D$84,2,FALSE)/1000</f>
        <v>#N/A</v>
      </c>
      <c r="AB10" t="e">
        <f>VLOOKUP(Z10,Windows!$B$4:$D$84,3,FALSE)/1000</f>
        <v>#N/A</v>
      </c>
      <c r="AC10">
        <f t="shared" si="14"/>
        <v>0</v>
      </c>
      <c r="AD10" t="str">
        <f>IF(M10&gt;0,G10,"N/A")</f>
        <v>N/A</v>
      </c>
      <c r="AE10">
        <f t="shared" si="15"/>
        <v>0</v>
      </c>
      <c r="AG10">
        <f>H10*50/1000</f>
        <v>0.9</v>
      </c>
      <c r="AH10">
        <f>AG10*Konstanten!$B$4</f>
        <v>3.8250000000000002</v>
      </c>
      <c r="AI10">
        <f>IF(AH10-AE10&lt;=0, 0, AH10-AE10)</f>
        <v>3.8250000000000002</v>
      </c>
      <c r="AJ10">
        <f>50/1000*J10</f>
        <v>3.3000000000000003</v>
      </c>
      <c r="AK10">
        <f>AJ10*Konstanten!$B$3</f>
        <v>8.25</v>
      </c>
      <c r="AM10">
        <f>IF(B10=9,1,0)</f>
        <v>0</v>
      </c>
      <c r="AN10">
        <f>IF(B10=1,1,0)</f>
        <v>0</v>
      </c>
      <c r="AR10" s="8"/>
      <c r="BA10" s="4"/>
    </row>
    <row r="11" spans="1:57" x14ac:dyDescent="0.25">
      <c r="A11">
        <v>10</v>
      </c>
      <c r="B11">
        <v>3</v>
      </c>
      <c r="C11" t="s">
        <v>15</v>
      </c>
      <c r="D11" t="s">
        <v>211</v>
      </c>
      <c r="E11" t="s">
        <v>209</v>
      </c>
      <c r="F11">
        <v>1.1000000000000001</v>
      </c>
      <c r="G11">
        <v>222</v>
      </c>
      <c r="H11">
        <v>18</v>
      </c>
      <c r="I11" t="s">
        <v>201</v>
      </c>
      <c r="J11">
        <f>18+2*24</f>
        <v>66</v>
      </c>
      <c r="K11" t="s">
        <v>90</v>
      </c>
      <c r="L11">
        <f>Konstanten!$B$3</f>
        <v>2.5</v>
      </c>
      <c r="M11">
        <f>COUNTIF(Windows!$A$4:$A$84,D11)</f>
        <v>0</v>
      </c>
      <c r="N11" t="e">
        <f>VLOOKUP(D11,Windows!$A$4:$D$84,2,FALSE)</f>
        <v>#N/A</v>
      </c>
      <c r="O11" t="e">
        <f>VLOOKUP(N11,Windows!$B$4:$D$84,2,FALSE)/1000</f>
        <v>#N/A</v>
      </c>
      <c r="P11" t="e">
        <f>VLOOKUP(N11,Windows!$B$4:$D$84,3,FALSE)/1000</f>
        <v>#N/A</v>
      </c>
      <c r="Q11">
        <f t="shared" si="11"/>
        <v>0</v>
      </c>
      <c r="R11">
        <f>IF(M11&gt;=2,INDEX(Windows!$B$4:$B$84,MATCH(N11,Windows!$B$4:$B$84,0)+1),0)</f>
        <v>0</v>
      </c>
      <c r="S11" t="e">
        <f>VLOOKUP(R11,Windows!$B$4:$D$84,2,FALSE)/1000</f>
        <v>#N/A</v>
      </c>
      <c r="T11" t="e">
        <f>VLOOKUP(R11,Windows!$B$4:$D$84,3,FALSE)/1000</f>
        <v>#N/A</v>
      </c>
      <c r="U11">
        <f t="shared" si="12"/>
        <v>0</v>
      </c>
      <c r="V11">
        <f>IF(M11&gt;=3,INDEX(Windows!$B$4:$B$84,MATCH(N11,Windows!$B$4:$B$84,0)+2),0)</f>
        <v>0</v>
      </c>
      <c r="W11" t="e">
        <f>VLOOKUP(V11,Windows!$B$4:$D$84,2,FALSE)/1000</f>
        <v>#N/A</v>
      </c>
      <c r="X11" t="e">
        <f>VLOOKUP(V11,Windows!$B$4:$D$84,3,FALSE)/1000</f>
        <v>#N/A</v>
      </c>
      <c r="Y11">
        <f t="shared" si="13"/>
        <v>0</v>
      </c>
      <c r="Z11">
        <f>IF(M11&gt;=4,INDEX(Windows!$B$4:$B$84,MATCH(N11,Windows!$B$4:$B$84,0)+3),0)</f>
        <v>0</v>
      </c>
      <c r="AA11" t="e">
        <f>VLOOKUP(Z11,Windows!$B$4:$D$84,2,FALSE)/1000</f>
        <v>#N/A</v>
      </c>
      <c r="AB11" t="e">
        <f>VLOOKUP(Z11,Windows!$B$4:$D$84,3,FALSE)/1000</f>
        <v>#N/A</v>
      </c>
      <c r="AC11">
        <f t="shared" si="14"/>
        <v>0</v>
      </c>
      <c r="AD11" t="str">
        <f>IF(M11&gt;0,G11,"N/A")</f>
        <v>N/A</v>
      </c>
      <c r="AE11">
        <f t="shared" si="15"/>
        <v>0</v>
      </c>
      <c r="AG11">
        <f>H11*50/1000</f>
        <v>0.9</v>
      </c>
      <c r="AH11">
        <f>AG11*Konstanten!$B$4</f>
        <v>3.8250000000000002</v>
      </c>
      <c r="AI11">
        <f>IF(AH11-AE11&lt;=0, 0, AH11-AE11)</f>
        <v>3.8250000000000002</v>
      </c>
      <c r="AJ11">
        <f>50/1000*J11</f>
        <v>3.3000000000000003</v>
      </c>
      <c r="AK11">
        <f>AJ11*Konstanten!$B$3</f>
        <v>8.25</v>
      </c>
      <c r="AM11">
        <f>IF(B11=9,1,0)</f>
        <v>0</v>
      </c>
      <c r="AN11">
        <f>IF(B11=1,1,0)</f>
        <v>0</v>
      </c>
      <c r="AR11" s="8"/>
      <c r="BA11" s="4"/>
    </row>
    <row r="12" spans="1:57" x14ac:dyDescent="0.25">
      <c r="A12">
        <v>11</v>
      </c>
      <c r="B12">
        <v>3</v>
      </c>
      <c r="C12" t="s">
        <v>15</v>
      </c>
      <c r="D12" t="s">
        <v>212</v>
      </c>
      <c r="E12" t="s">
        <v>209</v>
      </c>
      <c r="F12">
        <v>2.7</v>
      </c>
      <c r="G12">
        <v>222</v>
      </c>
      <c r="H12">
        <v>21</v>
      </c>
      <c r="I12" t="s">
        <v>201</v>
      </c>
      <c r="J12">
        <f>21+2*52</f>
        <v>125</v>
      </c>
      <c r="K12" t="s">
        <v>90</v>
      </c>
      <c r="L12">
        <f>Konstanten!$B$3</f>
        <v>2.5</v>
      </c>
      <c r="M12">
        <f>COUNTIF(Windows!$A$4:$A$84,D12)</f>
        <v>0</v>
      </c>
      <c r="N12" t="e">
        <f>VLOOKUP(D12,Windows!$A$4:$D$84,2,FALSE)</f>
        <v>#N/A</v>
      </c>
      <c r="O12" t="e">
        <f>VLOOKUP(N12,Windows!$B$4:$D$84,2,FALSE)/1000</f>
        <v>#N/A</v>
      </c>
      <c r="P12" t="e">
        <f>VLOOKUP(N12,Windows!$B$4:$D$84,3,FALSE)/1000</f>
        <v>#N/A</v>
      </c>
      <c r="Q12">
        <f t="shared" si="11"/>
        <v>0</v>
      </c>
      <c r="R12">
        <f>IF(M12&gt;=2,INDEX(Windows!$B$4:$B$84,MATCH(N12,Windows!$B$4:$B$84,0)+1),0)</f>
        <v>0</v>
      </c>
      <c r="S12" t="e">
        <f>VLOOKUP(R12,Windows!$B$4:$D$84,2,FALSE)/1000</f>
        <v>#N/A</v>
      </c>
      <c r="T12" t="e">
        <f>VLOOKUP(R12,Windows!$B$4:$D$84,3,FALSE)/1000</f>
        <v>#N/A</v>
      </c>
      <c r="U12">
        <f t="shared" si="12"/>
        <v>0</v>
      </c>
      <c r="V12">
        <f>IF(M12&gt;=3,INDEX(Windows!$B$4:$B$84,MATCH(N12,Windows!$B$4:$B$84,0)+2),0)</f>
        <v>0</v>
      </c>
      <c r="W12" t="e">
        <f>VLOOKUP(V12,Windows!$B$4:$D$84,2,FALSE)/1000</f>
        <v>#N/A</v>
      </c>
      <c r="X12" t="e">
        <f>VLOOKUP(V12,Windows!$B$4:$D$84,3,FALSE)/1000</f>
        <v>#N/A</v>
      </c>
      <c r="Y12">
        <f t="shared" si="13"/>
        <v>0</v>
      </c>
      <c r="Z12">
        <f>IF(M12&gt;=4,INDEX(Windows!$B$4:$B$84,MATCH(N12,Windows!$B$4:$B$84,0)+3),0)</f>
        <v>0</v>
      </c>
      <c r="AA12" t="e">
        <f>VLOOKUP(Z12,Windows!$B$4:$D$84,2,FALSE)/1000</f>
        <v>#N/A</v>
      </c>
      <c r="AB12" t="e">
        <f>VLOOKUP(Z12,Windows!$B$4:$D$84,3,FALSE)/1000</f>
        <v>#N/A</v>
      </c>
      <c r="AC12">
        <f t="shared" si="14"/>
        <v>0</v>
      </c>
      <c r="AD12" t="str">
        <f>IF(M12&gt;0,G12,"N/A")</f>
        <v>N/A</v>
      </c>
      <c r="AE12">
        <f t="shared" si="15"/>
        <v>0</v>
      </c>
      <c r="AG12">
        <f>H12*50/1000</f>
        <v>1.05</v>
      </c>
      <c r="AH12">
        <f>AG12*Konstanten!$B$4</f>
        <v>4.4625000000000004</v>
      </c>
      <c r="AI12">
        <f>IF(AH12-AE12&lt;=0, 0, AH12-AE12)</f>
        <v>4.4625000000000004</v>
      </c>
      <c r="AJ12">
        <f>50/1000*J12</f>
        <v>6.25</v>
      </c>
      <c r="AK12">
        <f>AJ12*Konstanten!$B$3</f>
        <v>15.625</v>
      </c>
      <c r="AM12">
        <f>IF(B12=9,1,0)</f>
        <v>0</v>
      </c>
      <c r="AN12">
        <f>IF(B12=1,1,0)</f>
        <v>0</v>
      </c>
      <c r="AR12" s="8"/>
      <c r="BA12" s="4"/>
    </row>
    <row r="13" spans="1:57" x14ac:dyDescent="0.25">
      <c r="A13">
        <v>12</v>
      </c>
      <c r="B13">
        <v>3</v>
      </c>
      <c r="C13" t="s">
        <v>15</v>
      </c>
      <c r="D13" t="s">
        <v>213</v>
      </c>
      <c r="F13">
        <v>6.4</v>
      </c>
      <c r="G13" t="s">
        <v>202</v>
      </c>
      <c r="H13">
        <v>0</v>
      </c>
      <c r="J13">
        <f>2*(62+61)</f>
        <v>246</v>
      </c>
      <c r="L13">
        <f>Konstanten!$B$3</f>
        <v>2.5</v>
      </c>
      <c r="M13">
        <f>COUNTIF(Windows!$A$4:$A$84,D13)</f>
        <v>0</v>
      </c>
      <c r="N13" t="e">
        <f>VLOOKUP(D13,Windows!$A$4:$D$84,2,FALSE)</f>
        <v>#N/A</v>
      </c>
      <c r="O13" t="e">
        <f>VLOOKUP(N13,Windows!$B$4:$D$84,2,FALSE)/1000</f>
        <v>#N/A</v>
      </c>
      <c r="P13" t="e">
        <f>VLOOKUP(N13,Windows!$B$4:$D$84,3,FALSE)/1000</f>
        <v>#N/A</v>
      </c>
      <c r="Q13">
        <f t="shared" ref="Q13:Q38" si="16">IF(ISNA(P13*O13),0,O13*P13)</f>
        <v>0</v>
      </c>
      <c r="R13">
        <f>IF(M13&gt;=2,INDEX(Windows!$B$4:$B$84,MATCH(N13,Windows!$B$4:$B$84,0)+1),0)</f>
        <v>0</v>
      </c>
      <c r="S13" t="e">
        <f>VLOOKUP(R13,Windows!$B$4:$D$84,2,FALSE)/1000</f>
        <v>#N/A</v>
      </c>
      <c r="T13" t="e">
        <f>VLOOKUP(R13,Windows!$B$4:$D$84,3,FALSE)/1000</f>
        <v>#N/A</v>
      </c>
      <c r="U13">
        <f t="shared" ref="U13:U38" si="17">IF(ISNA(T13*S13),0,S13*T13)</f>
        <v>0</v>
      </c>
      <c r="V13">
        <f>IF(M13&gt;=3,INDEX(Windows!$B$4:$B$84,MATCH(N13,Windows!$B$4:$B$84,0)+2),0)</f>
        <v>0</v>
      </c>
      <c r="W13" t="e">
        <f>VLOOKUP(V13,Windows!$B$4:$D$84,2,FALSE)/1000</f>
        <v>#N/A</v>
      </c>
      <c r="X13" t="e">
        <f>VLOOKUP(V13,Windows!$B$4:$D$84,3,FALSE)/1000</f>
        <v>#N/A</v>
      </c>
      <c r="Y13">
        <f t="shared" ref="Y13:Y38" si="18">IF(ISNA(X13*W13),0,W13*X13)</f>
        <v>0</v>
      </c>
      <c r="Z13">
        <f>IF(M13&gt;=4,INDEX(Windows!$B$4:$B$84,MATCH(N13,Windows!$B$4:$B$84,0)+3),0)</f>
        <v>0</v>
      </c>
      <c r="AA13" t="e">
        <f>VLOOKUP(Z13,Windows!$B$4:$D$84,2,FALSE)/1000</f>
        <v>#N/A</v>
      </c>
      <c r="AB13" t="e">
        <f>VLOOKUP(Z13,Windows!$B$4:$D$84,3,FALSE)/1000</f>
        <v>#N/A</v>
      </c>
      <c r="AC13">
        <f t="shared" ref="AC13:AC38" si="19">IF(ISNA(AB13*AA13),0,AA13*AB13)</f>
        <v>0</v>
      </c>
      <c r="AD13" t="str">
        <f t="shared" ref="AD13:AD34" si="20">IF(M13&gt;0,G13,"N/A")</f>
        <v>N/A</v>
      </c>
      <c r="AE13">
        <f t="shared" ref="AE13:AE38" si="21">SUM(Q13,U13,Y13,AC13)</f>
        <v>0</v>
      </c>
      <c r="AG13">
        <f t="shared" ref="AG13:AG34" si="22">H13*50/1000</f>
        <v>0</v>
      </c>
      <c r="AH13">
        <f>AG13*Konstanten!$B$4</f>
        <v>0</v>
      </c>
      <c r="AI13">
        <f t="shared" ref="AI13:AI34" si="23">IF(AH13-AE13&lt;=0, 0, AH13-AE13)</f>
        <v>0</v>
      </c>
      <c r="AJ13">
        <f t="shared" ref="AJ13:AJ34" si="24">50/1000*J13</f>
        <v>12.3</v>
      </c>
      <c r="AK13">
        <f>AJ13*Konstanten!$B$3</f>
        <v>30.75</v>
      </c>
      <c r="AM13">
        <f t="shared" ref="AM13:AM34" si="25">IF(B13=9,1,0)</f>
        <v>0</v>
      </c>
      <c r="AN13">
        <f t="shared" ref="AN13:AN34" si="26">IF(B13=1,1,0)</f>
        <v>0</v>
      </c>
      <c r="AR13" s="8"/>
      <c r="BA13" s="4"/>
    </row>
    <row r="14" spans="1:57" x14ac:dyDescent="0.25">
      <c r="A14">
        <v>13</v>
      </c>
      <c r="B14">
        <v>3</v>
      </c>
      <c r="C14" t="s">
        <v>15</v>
      </c>
      <c r="D14" t="s">
        <v>214</v>
      </c>
      <c r="E14" t="s">
        <v>213</v>
      </c>
      <c r="F14">
        <v>1.1000000000000001</v>
      </c>
      <c r="G14" t="s">
        <v>202</v>
      </c>
      <c r="H14">
        <v>0</v>
      </c>
      <c r="J14">
        <f>2*(18+24)</f>
        <v>84</v>
      </c>
      <c r="L14">
        <f>Konstanten!$B$3</f>
        <v>2.5</v>
      </c>
      <c r="M14">
        <f>COUNTIF(Windows!$A$4:$A$84,D14)</f>
        <v>0</v>
      </c>
      <c r="N14" t="e">
        <f>VLOOKUP(D14,Windows!$A$4:$D$84,2,FALSE)</f>
        <v>#N/A</v>
      </c>
      <c r="O14" t="e">
        <f>VLOOKUP(N14,Windows!$B$4:$D$84,2,FALSE)/1000</f>
        <v>#N/A</v>
      </c>
      <c r="P14" t="e">
        <f>VLOOKUP(N14,Windows!$B$4:$D$84,3,FALSE)/1000</f>
        <v>#N/A</v>
      </c>
      <c r="Q14">
        <f t="shared" si="16"/>
        <v>0</v>
      </c>
      <c r="R14">
        <f>IF(M14&gt;=2,INDEX(Windows!$B$4:$B$84,MATCH(N14,Windows!$B$4:$B$84,0)+1),0)</f>
        <v>0</v>
      </c>
      <c r="S14" t="e">
        <f>VLOOKUP(R14,Windows!$B$4:$D$84,2,FALSE)/1000</f>
        <v>#N/A</v>
      </c>
      <c r="T14" t="e">
        <f>VLOOKUP(R14,Windows!$B$4:$D$84,3,FALSE)/1000</f>
        <v>#N/A</v>
      </c>
      <c r="U14">
        <f t="shared" si="17"/>
        <v>0</v>
      </c>
      <c r="V14">
        <f>IF(M14&gt;=3,INDEX(Windows!$B$4:$B$84,MATCH(N14,Windows!$B$4:$B$84,0)+2),0)</f>
        <v>0</v>
      </c>
      <c r="W14" t="e">
        <f>VLOOKUP(V14,Windows!$B$4:$D$84,2,FALSE)/1000</f>
        <v>#N/A</v>
      </c>
      <c r="X14" t="e">
        <f>VLOOKUP(V14,Windows!$B$4:$D$84,3,FALSE)/1000</f>
        <v>#N/A</v>
      </c>
      <c r="Y14">
        <f t="shared" si="18"/>
        <v>0</v>
      </c>
      <c r="Z14">
        <f>IF(M14&gt;=4,INDEX(Windows!$B$4:$B$84,MATCH(N14,Windows!$B$4:$B$84,0)+3),0)</f>
        <v>0</v>
      </c>
      <c r="AA14" t="e">
        <f>VLOOKUP(Z14,Windows!$B$4:$D$84,2,FALSE)/1000</f>
        <v>#N/A</v>
      </c>
      <c r="AB14" t="e">
        <f>VLOOKUP(Z14,Windows!$B$4:$D$84,3,FALSE)/1000</f>
        <v>#N/A</v>
      </c>
      <c r="AC14">
        <f t="shared" si="19"/>
        <v>0</v>
      </c>
      <c r="AD14" t="str">
        <f t="shared" si="20"/>
        <v>N/A</v>
      </c>
      <c r="AE14">
        <f t="shared" si="21"/>
        <v>0</v>
      </c>
      <c r="AG14">
        <f t="shared" si="22"/>
        <v>0</v>
      </c>
      <c r="AH14">
        <f>AG14*Konstanten!$B$4</f>
        <v>0</v>
      </c>
      <c r="AI14">
        <f t="shared" si="23"/>
        <v>0</v>
      </c>
      <c r="AJ14">
        <f t="shared" si="24"/>
        <v>4.2</v>
      </c>
      <c r="AK14">
        <f>AJ14*Konstanten!$B$3</f>
        <v>10.5</v>
      </c>
      <c r="AM14">
        <f t="shared" si="25"/>
        <v>0</v>
      </c>
      <c r="AN14">
        <f t="shared" si="26"/>
        <v>0</v>
      </c>
      <c r="AR14" s="8"/>
      <c r="BA14" s="4"/>
    </row>
    <row r="15" spans="1:57" x14ac:dyDescent="0.25">
      <c r="A15">
        <v>14</v>
      </c>
      <c r="B15">
        <v>3</v>
      </c>
      <c r="C15" t="s">
        <v>15</v>
      </c>
      <c r="D15" t="s">
        <v>215</v>
      </c>
      <c r="E15" t="s">
        <v>213</v>
      </c>
      <c r="F15">
        <v>1.1000000000000001</v>
      </c>
      <c r="G15" t="s">
        <v>202</v>
      </c>
      <c r="H15">
        <v>0</v>
      </c>
      <c r="J15">
        <f>2*(18+24)</f>
        <v>84</v>
      </c>
      <c r="L15">
        <f>Konstanten!$B$3</f>
        <v>2.5</v>
      </c>
      <c r="M15">
        <f>COUNTIF(Windows!$A$4:$A$84,D15)</f>
        <v>0</v>
      </c>
      <c r="N15" t="e">
        <f>VLOOKUP(D15,Windows!$A$4:$D$84,2,FALSE)</f>
        <v>#N/A</v>
      </c>
      <c r="O15" t="e">
        <f>VLOOKUP(N15,Windows!$B$4:$D$84,2,FALSE)/1000</f>
        <v>#N/A</v>
      </c>
      <c r="P15" t="e">
        <f>VLOOKUP(N15,Windows!$B$4:$D$84,3,FALSE)/1000</f>
        <v>#N/A</v>
      </c>
      <c r="Q15">
        <f t="shared" si="16"/>
        <v>0</v>
      </c>
      <c r="R15">
        <f>IF(M15&gt;=2,INDEX(Windows!$B$4:$B$84,MATCH(N15,Windows!$B$4:$B$84,0)+1),0)</f>
        <v>0</v>
      </c>
      <c r="S15" t="e">
        <f>VLOOKUP(R15,Windows!$B$4:$D$84,2,FALSE)/1000</f>
        <v>#N/A</v>
      </c>
      <c r="T15" t="e">
        <f>VLOOKUP(R15,Windows!$B$4:$D$84,3,FALSE)/1000</f>
        <v>#N/A</v>
      </c>
      <c r="U15">
        <f t="shared" si="17"/>
        <v>0</v>
      </c>
      <c r="V15">
        <f>IF(M15&gt;=3,INDEX(Windows!$B$4:$B$84,MATCH(N15,Windows!$B$4:$B$84,0)+2),0)</f>
        <v>0</v>
      </c>
      <c r="W15" t="e">
        <f>VLOOKUP(V15,Windows!$B$4:$D$84,2,FALSE)/1000</f>
        <v>#N/A</v>
      </c>
      <c r="X15" t="e">
        <f>VLOOKUP(V15,Windows!$B$4:$D$84,3,FALSE)/1000</f>
        <v>#N/A</v>
      </c>
      <c r="Y15">
        <f t="shared" si="18"/>
        <v>0</v>
      </c>
      <c r="Z15">
        <f>IF(M15&gt;=4,INDEX(Windows!$B$4:$B$84,MATCH(N15,Windows!$B$4:$B$84,0)+3),0)</f>
        <v>0</v>
      </c>
      <c r="AA15" t="e">
        <f>VLOOKUP(Z15,Windows!$B$4:$D$84,2,FALSE)/1000</f>
        <v>#N/A</v>
      </c>
      <c r="AB15" t="e">
        <f>VLOOKUP(Z15,Windows!$B$4:$D$84,3,FALSE)/1000</f>
        <v>#N/A</v>
      </c>
      <c r="AC15">
        <f t="shared" si="19"/>
        <v>0</v>
      </c>
      <c r="AD15" t="str">
        <f t="shared" si="20"/>
        <v>N/A</v>
      </c>
      <c r="AE15">
        <f t="shared" si="21"/>
        <v>0</v>
      </c>
      <c r="AG15">
        <f t="shared" si="22"/>
        <v>0</v>
      </c>
      <c r="AH15">
        <f>AG15*Konstanten!$B$4</f>
        <v>0</v>
      </c>
      <c r="AI15">
        <f t="shared" si="23"/>
        <v>0</v>
      </c>
      <c r="AJ15">
        <f t="shared" si="24"/>
        <v>4.2</v>
      </c>
      <c r="AK15">
        <f>AJ15*Konstanten!$B$3</f>
        <v>10.5</v>
      </c>
      <c r="AM15">
        <f t="shared" si="25"/>
        <v>0</v>
      </c>
      <c r="AN15">
        <f t="shared" si="26"/>
        <v>0</v>
      </c>
      <c r="AR15" s="8"/>
      <c r="BA15" s="4"/>
    </row>
    <row r="16" spans="1:57" x14ac:dyDescent="0.25">
      <c r="A16">
        <v>15</v>
      </c>
      <c r="B16">
        <v>3</v>
      </c>
      <c r="C16" t="s">
        <v>23</v>
      </c>
      <c r="D16" t="s">
        <v>216</v>
      </c>
      <c r="F16">
        <v>17</v>
      </c>
      <c r="G16" t="s">
        <v>202</v>
      </c>
      <c r="H16">
        <v>0</v>
      </c>
      <c r="J16">
        <f>2*(98+69)</f>
        <v>334</v>
      </c>
      <c r="L16">
        <f>Konstanten!$B$3</f>
        <v>2.5</v>
      </c>
      <c r="M16">
        <f>COUNTIF(Windows!$A$4:$A$84,D16)</f>
        <v>0</v>
      </c>
      <c r="N16" t="e">
        <f>VLOOKUP(D16,Windows!$A$4:$D$84,2,FALSE)</f>
        <v>#N/A</v>
      </c>
      <c r="O16" t="e">
        <f>VLOOKUP(N16,Windows!$B$4:$D$84,2,FALSE)/1000</f>
        <v>#N/A</v>
      </c>
      <c r="P16" t="e">
        <f>VLOOKUP(N16,Windows!$B$4:$D$84,3,FALSE)/1000</f>
        <v>#N/A</v>
      </c>
      <c r="Q16">
        <f t="shared" si="16"/>
        <v>0</v>
      </c>
      <c r="R16">
        <f>IF(M16&gt;=2,INDEX(Windows!$B$4:$B$84,MATCH(N16,Windows!$B$4:$B$84,0)+1),0)</f>
        <v>0</v>
      </c>
      <c r="S16" t="e">
        <f>VLOOKUP(R16,Windows!$B$4:$D$84,2,FALSE)/1000</f>
        <v>#N/A</v>
      </c>
      <c r="T16" t="e">
        <f>VLOOKUP(R16,Windows!$B$4:$D$84,3,FALSE)/1000</f>
        <v>#N/A</v>
      </c>
      <c r="U16">
        <f t="shared" si="17"/>
        <v>0</v>
      </c>
      <c r="V16">
        <f>IF(M16&gt;=3,INDEX(Windows!$B$4:$B$84,MATCH(N16,Windows!$B$4:$B$84,0)+2),0)</f>
        <v>0</v>
      </c>
      <c r="W16" t="e">
        <f>VLOOKUP(V16,Windows!$B$4:$D$84,2,FALSE)/1000</f>
        <v>#N/A</v>
      </c>
      <c r="X16" t="e">
        <f>VLOOKUP(V16,Windows!$B$4:$D$84,3,FALSE)/1000</f>
        <v>#N/A</v>
      </c>
      <c r="Y16">
        <f t="shared" si="18"/>
        <v>0</v>
      </c>
      <c r="Z16">
        <f>IF(M16&gt;=4,INDEX(Windows!$B$4:$B$84,MATCH(N16,Windows!$B$4:$B$84,0)+3),0)</f>
        <v>0</v>
      </c>
      <c r="AA16" t="e">
        <f>VLOOKUP(Z16,Windows!$B$4:$D$84,2,FALSE)/1000</f>
        <v>#N/A</v>
      </c>
      <c r="AB16" t="e">
        <f>VLOOKUP(Z16,Windows!$B$4:$D$84,3,FALSE)/1000</f>
        <v>#N/A</v>
      </c>
      <c r="AC16">
        <f t="shared" si="19"/>
        <v>0</v>
      </c>
      <c r="AD16" t="str">
        <f t="shared" si="20"/>
        <v>N/A</v>
      </c>
      <c r="AE16">
        <f t="shared" si="21"/>
        <v>0</v>
      </c>
      <c r="AG16">
        <f t="shared" si="22"/>
        <v>0</v>
      </c>
      <c r="AH16">
        <f>AG16*Konstanten!$B$4</f>
        <v>0</v>
      </c>
      <c r="AI16">
        <f t="shared" si="23"/>
        <v>0</v>
      </c>
      <c r="AJ16">
        <f t="shared" si="24"/>
        <v>16.7</v>
      </c>
      <c r="AK16">
        <f>AJ16*Konstanten!$B$3</f>
        <v>41.75</v>
      </c>
      <c r="AM16">
        <f t="shared" si="25"/>
        <v>0</v>
      </c>
      <c r="AN16">
        <f t="shared" si="26"/>
        <v>0</v>
      </c>
      <c r="AR16" s="8"/>
      <c r="BA16" s="4"/>
    </row>
    <row r="17" spans="1:53" x14ac:dyDescent="0.25">
      <c r="A17">
        <v>16</v>
      </c>
      <c r="B17">
        <v>3</v>
      </c>
      <c r="C17" t="s">
        <v>23</v>
      </c>
      <c r="D17" t="s">
        <v>217</v>
      </c>
      <c r="F17">
        <v>17</v>
      </c>
      <c r="G17" t="s">
        <v>202</v>
      </c>
      <c r="H17">
        <v>0</v>
      </c>
      <c r="J17">
        <f>2*(98+69)</f>
        <v>334</v>
      </c>
      <c r="L17">
        <f>Konstanten!$B$3</f>
        <v>2.5</v>
      </c>
      <c r="M17">
        <f>COUNTIF(Windows!$A$4:$A$84,D17)</f>
        <v>0</v>
      </c>
      <c r="N17" t="e">
        <f>VLOOKUP(D17,Windows!$A$4:$D$84,2,FALSE)</f>
        <v>#N/A</v>
      </c>
      <c r="O17" t="e">
        <f>VLOOKUP(N17,Windows!$B$4:$D$84,2,FALSE)/1000</f>
        <v>#N/A</v>
      </c>
      <c r="P17" t="e">
        <f>VLOOKUP(N17,Windows!$B$4:$D$84,3,FALSE)/1000</f>
        <v>#N/A</v>
      </c>
      <c r="Q17">
        <f t="shared" si="16"/>
        <v>0</v>
      </c>
      <c r="R17">
        <f>IF(M17&gt;=2,INDEX(Windows!$B$4:$B$84,MATCH(N17,Windows!$B$4:$B$84,0)+1),0)</f>
        <v>0</v>
      </c>
      <c r="S17" t="e">
        <f>VLOOKUP(R17,Windows!$B$4:$D$84,2,FALSE)/1000</f>
        <v>#N/A</v>
      </c>
      <c r="T17" t="e">
        <f>VLOOKUP(R17,Windows!$B$4:$D$84,3,FALSE)/1000</f>
        <v>#N/A</v>
      </c>
      <c r="U17">
        <f t="shared" si="17"/>
        <v>0</v>
      </c>
      <c r="V17">
        <f>IF(M17&gt;=3,INDEX(Windows!$B$4:$B$84,MATCH(N17,Windows!$B$4:$B$84,0)+2),0)</f>
        <v>0</v>
      </c>
      <c r="W17" t="e">
        <f>VLOOKUP(V17,Windows!$B$4:$D$84,2,FALSE)/1000</f>
        <v>#N/A</v>
      </c>
      <c r="X17" t="e">
        <f>VLOOKUP(V17,Windows!$B$4:$D$84,3,FALSE)/1000</f>
        <v>#N/A</v>
      </c>
      <c r="Y17">
        <f t="shared" si="18"/>
        <v>0</v>
      </c>
      <c r="Z17">
        <f>IF(M17&gt;=4,INDEX(Windows!$B$4:$B$84,MATCH(N17,Windows!$B$4:$B$84,0)+3),0)</f>
        <v>0</v>
      </c>
      <c r="AA17" t="e">
        <f>VLOOKUP(Z17,Windows!$B$4:$D$84,2,FALSE)/1000</f>
        <v>#N/A</v>
      </c>
      <c r="AB17" t="e">
        <f>VLOOKUP(Z17,Windows!$B$4:$D$84,3,FALSE)/1000</f>
        <v>#N/A</v>
      </c>
      <c r="AC17">
        <f t="shared" si="19"/>
        <v>0</v>
      </c>
      <c r="AD17" t="str">
        <f t="shared" si="20"/>
        <v>N/A</v>
      </c>
      <c r="AE17">
        <f t="shared" si="21"/>
        <v>0</v>
      </c>
      <c r="AG17">
        <f t="shared" si="22"/>
        <v>0</v>
      </c>
      <c r="AH17">
        <f>AG17*Konstanten!$B$4</f>
        <v>0</v>
      </c>
      <c r="AI17">
        <f t="shared" si="23"/>
        <v>0</v>
      </c>
      <c r="AJ17">
        <f t="shared" si="24"/>
        <v>16.7</v>
      </c>
      <c r="AK17">
        <f>AJ17*Konstanten!$B$3</f>
        <v>41.75</v>
      </c>
      <c r="AM17">
        <f t="shared" si="25"/>
        <v>0</v>
      </c>
      <c r="AN17">
        <f t="shared" si="26"/>
        <v>0</v>
      </c>
      <c r="AR17" s="8"/>
      <c r="BA17" s="4"/>
    </row>
    <row r="18" spans="1:53" x14ac:dyDescent="0.25">
      <c r="A18">
        <v>17</v>
      </c>
      <c r="B18">
        <v>3</v>
      </c>
      <c r="C18" t="s">
        <v>17</v>
      </c>
      <c r="D18" t="s">
        <v>218</v>
      </c>
      <c r="F18">
        <v>160.30000000000001</v>
      </c>
      <c r="G18" t="s">
        <v>202</v>
      </c>
      <c r="H18">
        <v>0</v>
      </c>
      <c r="J18">
        <f>2*(976+69)</f>
        <v>2090</v>
      </c>
      <c r="L18">
        <f>Konstanten!$B$3</f>
        <v>2.5</v>
      </c>
      <c r="M18">
        <f>COUNTIF(Windows!$A$4:$A$84,D18)</f>
        <v>0</v>
      </c>
      <c r="N18" t="e">
        <f>VLOOKUP(D18,Windows!$A$4:$D$84,2,FALSE)</f>
        <v>#N/A</v>
      </c>
      <c r="O18" t="e">
        <f>VLOOKUP(N18,Windows!$B$4:$D$84,2,FALSE)/1000</f>
        <v>#N/A</v>
      </c>
      <c r="P18" t="e">
        <f>VLOOKUP(N18,Windows!$B$4:$D$84,3,FALSE)/1000</f>
        <v>#N/A</v>
      </c>
      <c r="Q18">
        <f t="shared" si="16"/>
        <v>0</v>
      </c>
      <c r="R18">
        <f>IF(M18&gt;=2,INDEX(Windows!$B$4:$B$84,MATCH(N18,Windows!$B$4:$B$84,0)+1),0)</f>
        <v>0</v>
      </c>
      <c r="S18" t="e">
        <f>VLOOKUP(R18,Windows!$B$4:$D$84,2,FALSE)/1000</f>
        <v>#N/A</v>
      </c>
      <c r="T18" t="e">
        <f>VLOOKUP(R18,Windows!$B$4:$D$84,3,FALSE)/1000</f>
        <v>#N/A</v>
      </c>
      <c r="U18">
        <f t="shared" si="17"/>
        <v>0</v>
      </c>
      <c r="V18">
        <f>IF(M18&gt;=3,INDEX(Windows!$B$4:$B$84,MATCH(N18,Windows!$B$4:$B$84,0)+2),0)</f>
        <v>0</v>
      </c>
      <c r="W18" t="e">
        <f>VLOOKUP(V18,Windows!$B$4:$D$84,2,FALSE)/1000</f>
        <v>#N/A</v>
      </c>
      <c r="X18" t="e">
        <f>VLOOKUP(V18,Windows!$B$4:$D$84,3,FALSE)/1000</f>
        <v>#N/A</v>
      </c>
      <c r="Y18">
        <f t="shared" si="18"/>
        <v>0</v>
      </c>
      <c r="Z18">
        <f>IF(M18&gt;=4,INDEX(Windows!$B$4:$B$84,MATCH(N18,Windows!$B$4:$B$84,0)+3),0)</f>
        <v>0</v>
      </c>
      <c r="AA18" t="e">
        <f>VLOOKUP(Z18,Windows!$B$4:$D$84,2,FALSE)/1000</f>
        <v>#N/A</v>
      </c>
      <c r="AB18" t="e">
        <f>VLOOKUP(Z18,Windows!$B$4:$D$84,3,FALSE)/1000</f>
        <v>#N/A</v>
      </c>
      <c r="AC18">
        <f t="shared" si="19"/>
        <v>0</v>
      </c>
      <c r="AD18" t="str">
        <f t="shared" si="20"/>
        <v>N/A</v>
      </c>
      <c r="AE18">
        <f t="shared" si="21"/>
        <v>0</v>
      </c>
      <c r="AG18">
        <f t="shared" si="22"/>
        <v>0</v>
      </c>
      <c r="AH18">
        <f>AG18*Konstanten!$B$4</f>
        <v>0</v>
      </c>
      <c r="AI18">
        <f t="shared" si="23"/>
        <v>0</v>
      </c>
      <c r="AJ18">
        <f t="shared" si="24"/>
        <v>104.5</v>
      </c>
      <c r="AK18">
        <f>AJ18*Konstanten!$B$3</f>
        <v>261.25</v>
      </c>
      <c r="AM18">
        <f t="shared" si="25"/>
        <v>0</v>
      </c>
      <c r="AN18">
        <f t="shared" si="26"/>
        <v>0</v>
      </c>
      <c r="AR18" s="8"/>
      <c r="BA18" s="4"/>
    </row>
    <row r="19" spans="1:53" x14ac:dyDescent="0.25">
      <c r="A19">
        <v>18</v>
      </c>
      <c r="B19">
        <v>3</v>
      </c>
      <c r="C19" t="s">
        <v>17</v>
      </c>
      <c r="D19" t="s">
        <v>219</v>
      </c>
      <c r="F19">
        <v>37.9</v>
      </c>
      <c r="G19" t="s">
        <v>202</v>
      </c>
      <c r="H19">
        <v>0</v>
      </c>
      <c r="J19">
        <f>2*(206+83)</f>
        <v>578</v>
      </c>
      <c r="L19">
        <f>Konstanten!$B$3</f>
        <v>2.5</v>
      </c>
      <c r="M19">
        <f>COUNTIF(Windows!$A$4:$A$84,D19)</f>
        <v>0</v>
      </c>
      <c r="N19" t="e">
        <f>VLOOKUP(D19,Windows!$A$4:$D$84,2,FALSE)</f>
        <v>#N/A</v>
      </c>
      <c r="O19" t="e">
        <f>VLOOKUP(N19,Windows!$B$4:$D$84,2,FALSE)/1000</f>
        <v>#N/A</v>
      </c>
      <c r="P19" t="e">
        <f>VLOOKUP(N19,Windows!$B$4:$D$84,3,FALSE)/1000</f>
        <v>#N/A</v>
      </c>
      <c r="Q19">
        <f t="shared" si="16"/>
        <v>0</v>
      </c>
      <c r="R19">
        <f>IF(M19&gt;=2,INDEX(Windows!$B$4:$B$84,MATCH(N19,Windows!$B$4:$B$84,0)+1),0)</f>
        <v>0</v>
      </c>
      <c r="S19" t="e">
        <f>VLOOKUP(R19,Windows!$B$4:$D$84,2,FALSE)/1000</f>
        <v>#N/A</v>
      </c>
      <c r="T19" t="e">
        <f>VLOOKUP(R19,Windows!$B$4:$D$84,3,FALSE)/1000</f>
        <v>#N/A</v>
      </c>
      <c r="U19">
        <f t="shared" si="17"/>
        <v>0</v>
      </c>
      <c r="V19">
        <f>IF(M19&gt;=3,INDEX(Windows!$B$4:$B$84,MATCH(N19,Windows!$B$4:$B$84,0)+2),0)</f>
        <v>0</v>
      </c>
      <c r="W19" t="e">
        <f>VLOOKUP(V19,Windows!$B$4:$D$84,2,FALSE)/1000</f>
        <v>#N/A</v>
      </c>
      <c r="X19" t="e">
        <f>VLOOKUP(V19,Windows!$B$4:$D$84,3,FALSE)/1000</f>
        <v>#N/A</v>
      </c>
      <c r="Y19">
        <f t="shared" si="18"/>
        <v>0</v>
      </c>
      <c r="Z19">
        <f>IF(M19&gt;=4,INDEX(Windows!$B$4:$B$84,MATCH(N19,Windows!$B$4:$B$84,0)+3),0)</f>
        <v>0</v>
      </c>
      <c r="AA19" t="e">
        <f>VLOOKUP(Z19,Windows!$B$4:$D$84,2,FALSE)/1000</f>
        <v>#N/A</v>
      </c>
      <c r="AB19" t="e">
        <f>VLOOKUP(Z19,Windows!$B$4:$D$84,3,FALSE)/1000</f>
        <v>#N/A</v>
      </c>
      <c r="AC19">
        <f t="shared" si="19"/>
        <v>0</v>
      </c>
      <c r="AD19" t="str">
        <f t="shared" si="20"/>
        <v>N/A</v>
      </c>
      <c r="AE19">
        <f t="shared" si="21"/>
        <v>0</v>
      </c>
      <c r="AG19">
        <f t="shared" si="22"/>
        <v>0</v>
      </c>
      <c r="AH19">
        <f>AG19*Konstanten!$B$4</f>
        <v>0</v>
      </c>
      <c r="AI19">
        <f t="shared" si="23"/>
        <v>0</v>
      </c>
      <c r="AJ19">
        <f t="shared" si="24"/>
        <v>28.900000000000002</v>
      </c>
      <c r="AK19">
        <f>AJ19*Konstanten!$B$3</f>
        <v>72.25</v>
      </c>
      <c r="AM19">
        <f t="shared" si="25"/>
        <v>0</v>
      </c>
      <c r="AN19">
        <f t="shared" si="26"/>
        <v>0</v>
      </c>
      <c r="AR19" s="8"/>
      <c r="BA19" s="4"/>
    </row>
    <row r="20" spans="1:53" x14ac:dyDescent="0.25">
      <c r="A20">
        <v>19</v>
      </c>
      <c r="B20">
        <v>3</v>
      </c>
      <c r="C20" t="s">
        <v>17</v>
      </c>
      <c r="D20" t="s">
        <v>220</v>
      </c>
      <c r="F20">
        <v>21.7</v>
      </c>
      <c r="G20" t="s">
        <v>202</v>
      </c>
      <c r="H20">
        <v>0</v>
      </c>
      <c r="J20">
        <f>2*(48+184)</f>
        <v>464</v>
      </c>
      <c r="L20">
        <f>Konstanten!$B$3</f>
        <v>2.5</v>
      </c>
      <c r="M20">
        <f>COUNTIF(Windows!$A$4:$A$84,D20)</f>
        <v>0</v>
      </c>
      <c r="N20" t="e">
        <f>VLOOKUP(D20,Windows!$A$4:$D$84,2,FALSE)</f>
        <v>#N/A</v>
      </c>
      <c r="O20" t="e">
        <f>VLOOKUP(N20,Windows!$B$4:$D$84,2,FALSE)/1000</f>
        <v>#N/A</v>
      </c>
      <c r="P20" t="e">
        <f>VLOOKUP(N20,Windows!$B$4:$D$84,3,FALSE)/1000</f>
        <v>#N/A</v>
      </c>
      <c r="Q20">
        <f t="shared" si="16"/>
        <v>0</v>
      </c>
      <c r="R20">
        <f>IF(M20&gt;=2,INDEX(Windows!$B$4:$B$84,MATCH(N20,Windows!$B$4:$B$84,0)+1),0)</f>
        <v>0</v>
      </c>
      <c r="S20" t="e">
        <f>VLOOKUP(R20,Windows!$B$4:$D$84,2,FALSE)/1000</f>
        <v>#N/A</v>
      </c>
      <c r="T20" t="e">
        <f>VLOOKUP(R20,Windows!$B$4:$D$84,3,FALSE)/1000</f>
        <v>#N/A</v>
      </c>
      <c r="U20">
        <f t="shared" si="17"/>
        <v>0</v>
      </c>
      <c r="V20">
        <f>IF(M20&gt;=3,INDEX(Windows!$B$4:$B$84,MATCH(N20,Windows!$B$4:$B$84,0)+2),0)</f>
        <v>0</v>
      </c>
      <c r="W20" t="e">
        <f>VLOOKUP(V20,Windows!$B$4:$D$84,2,FALSE)/1000</f>
        <v>#N/A</v>
      </c>
      <c r="X20" t="e">
        <f>VLOOKUP(V20,Windows!$B$4:$D$84,3,FALSE)/1000</f>
        <v>#N/A</v>
      </c>
      <c r="Y20">
        <f t="shared" si="18"/>
        <v>0</v>
      </c>
      <c r="Z20">
        <f>IF(M20&gt;=4,INDEX(Windows!$B$4:$B$84,MATCH(N20,Windows!$B$4:$B$84,0)+3),0)</f>
        <v>0</v>
      </c>
      <c r="AA20" t="e">
        <f>VLOOKUP(Z20,Windows!$B$4:$D$84,2,FALSE)/1000</f>
        <v>#N/A</v>
      </c>
      <c r="AB20" t="e">
        <f>VLOOKUP(Z20,Windows!$B$4:$D$84,3,FALSE)/1000</f>
        <v>#N/A</v>
      </c>
      <c r="AC20">
        <f t="shared" si="19"/>
        <v>0</v>
      </c>
      <c r="AD20" t="str">
        <f t="shared" si="20"/>
        <v>N/A</v>
      </c>
      <c r="AE20">
        <f t="shared" si="21"/>
        <v>0</v>
      </c>
      <c r="AG20">
        <f t="shared" si="22"/>
        <v>0</v>
      </c>
      <c r="AH20">
        <f>AG20*Konstanten!$B$4</f>
        <v>0</v>
      </c>
      <c r="AI20">
        <f t="shared" si="23"/>
        <v>0</v>
      </c>
      <c r="AJ20">
        <f t="shared" si="24"/>
        <v>23.200000000000003</v>
      </c>
      <c r="AK20">
        <f>AJ20*Konstanten!$B$3</f>
        <v>58.000000000000007</v>
      </c>
      <c r="AM20">
        <f t="shared" si="25"/>
        <v>0</v>
      </c>
      <c r="AN20">
        <f t="shared" si="26"/>
        <v>0</v>
      </c>
      <c r="AR20" s="8"/>
      <c r="BA20" s="4"/>
    </row>
    <row r="21" spans="1:53" x14ac:dyDescent="0.25">
      <c r="A21">
        <v>20</v>
      </c>
      <c r="B21">
        <v>3</v>
      </c>
      <c r="C21" t="s">
        <v>23</v>
      </c>
      <c r="D21" t="s">
        <v>114</v>
      </c>
      <c r="F21">
        <v>18.600000000000001</v>
      </c>
      <c r="G21">
        <v>312</v>
      </c>
      <c r="H21">
        <v>63</v>
      </c>
      <c r="I21" t="s">
        <v>201</v>
      </c>
      <c r="J21">
        <f>63+2*119</f>
        <v>301</v>
      </c>
      <c r="L21">
        <f>Konstanten!$B$3</f>
        <v>2.5</v>
      </c>
      <c r="M21">
        <f>COUNTIF(Windows!$A$4:$A$84,D21)</f>
        <v>3</v>
      </c>
      <c r="N21" t="str">
        <f>VLOOKUP(D21,Windows!$A$4:$D$84,2,FALSE)</f>
        <v>IU10-o</v>
      </c>
      <c r="O21">
        <f>VLOOKUP(N21,Windows!$B$4:$D$84,2,FALSE)/1000</f>
        <v>0.96</v>
      </c>
      <c r="P21">
        <f>VLOOKUP(N21,Windows!$B$4:$D$84,3,FALSE)/1000</f>
        <v>1.32</v>
      </c>
      <c r="Q21">
        <f t="shared" si="16"/>
        <v>1.2672000000000001</v>
      </c>
      <c r="R21" t="str">
        <f>IF(M21&gt;=2,INDEX(Windows!$B$4:$B$84,MATCH(N21,Windows!$B$4:$B$84,0)+1),0)</f>
        <v>IU10-v</v>
      </c>
      <c r="S21">
        <f>VLOOKUP(R21,Windows!$B$4:$D$84,2,FALSE)/1000</f>
        <v>0.96</v>
      </c>
      <c r="T21">
        <f>VLOOKUP(R21,Windows!$B$4:$D$84,3,FALSE)/1000</f>
        <v>1.32</v>
      </c>
      <c r="U21">
        <f t="shared" si="17"/>
        <v>1.2672000000000001</v>
      </c>
      <c r="V21" t="str">
        <f>IF(M21&gt;=3,INDEX(Windows!$B$4:$B$84,MATCH(N21,Windows!$B$4:$B$84,0)+2),0)</f>
        <v>IU8,5-v</v>
      </c>
      <c r="W21">
        <f>VLOOKUP(V21,Windows!$B$4:$D$84,2,FALSE)/1000</f>
        <v>0.85499999999999998</v>
      </c>
      <c r="X21">
        <f>VLOOKUP(V21,Windows!$B$4:$D$84,3,FALSE)/1000</f>
        <v>1.32</v>
      </c>
      <c r="Y21">
        <f t="shared" si="18"/>
        <v>1.1286</v>
      </c>
      <c r="Z21">
        <f>IF(M21&gt;=4,INDEX(Windows!$B$4:$B$84,MATCH(N21,Windows!$B$4:$B$84,0)+3),0)</f>
        <v>0</v>
      </c>
      <c r="AA21" t="e">
        <f>VLOOKUP(Z21,Windows!$B$4:$D$84,2,FALSE)/1000</f>
        <v>#N/A</v>
      </c>
      <c r="AB21" t="e">
        <f>VLOOKUP(Z21,Windows!$B$4:$D$84,3,FALSE)/1000</f>
        <v>#N/A</v>
      </c>
      <c r="AC21">
        <f t="shared" si="19"/>
        <v>0</v>
      </c>
      <c r="AD21">
        <f t="shared" si="20"/>
        <v>312</v>
      </c>
      <c r="AE21">
        <f t="shared" si="21"/>
        <v>3.6630000000000003</v>
      </c>
      <c r="AG21">
        <f t="shared" si="22"/>
        <v>3.15</v>
      </c>
      <c r="AH21">
        <f>AG21*Konstanten!$B$4</f>
        <v>13.387499999999999</v>
      </c>
      <c r="AI21">
        <f t="shared" si="23"/>
        <v>9.724499999999999</v>
      </c>
      <c r="AJ21">
        <f t="shared" si="24"/>
        <v>15.05</v>
      </c>
      <c r="AK21">
        <f>AJ21*Konstanten!$B$3</f>
        <v>37.625</v>
      </c>
      <c r="AM21">
        <f t="shared" si="25"/>
        <v>0</v>
      </c>
      <c r="AN21">
        <f t="shared" si="26"/>
        <v>0</v>
      </c>
      <c r="AR21" s="8"/>
      <c r="BA21" s="4"/>
    </row>
    <row r="22" spans="1:53" x14ac:dyDescent="0.25">
      <c r="A22">
        <v>21</v>
      </c>
      <c r="B22">
        <v>3</v>
      </c>
      <c r="C22" t="s">
        <v>23</v>
      </c>
      <c r="D22" t="s">
        <v>125</v>
      </c>
      <c r="F22">
        <v>16.899999999999999</v>
      </c>
      <c r="G22">
        <v>312</v>
      </c>
      <c r="H22">
        <f>57</f>
        <v>57</v>
      </c>
      <c r="I22" t="s">
        <v>201</v>
      </c>
      <c r="J22">
        <f t="shared" ref="J22:J30" si="27">57+2*119</f>
        <v>295</v>
      </c>
      <c r="L22">
        <f>Konstanten!$B$3</f>
        <v>2.5</v>
      </c>
      <c r="M22">
        <f>COUNTIF(Windows!$A$4:$A$84,D22)</f>
        <v>3</v>
      </c>
      <c r="N22" t="str">
        <f>VLOOKUP(D22,Windows!$A$4:$D$84,2,FALSE)</f>
        <v>IU13-v</v>
      </c>
      <c r="O22">
        <f>VLOOKUP(N22,Windows!$B$4:$D$84,2,FALSE)/1000</f>
        <v>1.2949999999999999</v>
      </c>
      <c r="P22">
        <f>VLOOKUP(N22,Windows!$B$4:$D$84,3,FALSE)/1000</f>
        <v>1.32</v>
      </c>
      <c r="Q22">
        <f t="shared" si="16"/>
        <v>1.7094</v>
      </c>
      <c r="R22" t="str">
        <f>IF(M22&gt;=2,INDEX(Windows!$B$4:$B$84,MATCH(N22,Windows!$B$4:$B$84,0)+1),0)</f>
        <v>IU6-o</v>
      </c>
      <c r="S22">
        <f>VLOOKUP(R22,Windows!$B$4:$D$84,2,FALSE)/1000</f>
        <v>0.62</v>
      </c>
      <c r="T22">
        <f>VLOOKUP(R22,Windows!$B$4:$D$84,3,FALSE)/1000</f>
        <v>1.32</v>
      </c>
      <c r="U22">
        <f t="shared" si="17"/>
        <v>0.81840000000000002</v>
      </c>
      <c r="V22" t="str">
        <f>IF(M22&gt;=3,INDEX(Windows!$B$4:$B$84,MATCH(N22,Windows!$B$4:$B$84,0)+2),0)</f>
        <v>IU6-v</v>
      </c>
      <c r="W22">
        <f>VLOOKUP(V22,Windows!$B$4:$D$84,2,FALSE)/1000</f>
        <v>0.62</v>
      </c>
      <c r="X22">
        <f>VLOOKUP(V22,Windows!$B$4:$D$84,3,FALSE)/1000</f>
        <v>1.32</v>
      </c>
      <c r="Y22">
        <f t="shared" si="18"/>
        <v>0.81840000000000002</v>
      </c>
      <c r="Z22">
        <f>IF(M22&gt;=4,INDEX(Windows!$B$4:$B$84,MATCH(N22,Windows!$B$4:$B$84,0)+3),0)</f>
        <v>0</v>
      </c>
      <c r="AA22" t="e">
        <f>VLOOKUP(Z22,Windows!$B$4:$D$84,2,FALSE)/1000</f>
        <v>#N/A</v>
      </c>
      <c r="AB22" t="e">
        <f>VLOOKUP(Z22,Windows!$B$4:$D$84,3,FALSE)/1000</f>
        <v>#N/A</v>
      </c>
      <c r="AC22">
        <f t="shared" si="19"/>
        <v>0</v>
      </c>
      <c r="AD22">
        <f t="shared" si="20"/>
        <v>312</v>
      </c>
      <c r="AE22">
        <f t="shared" si="21"/>
        <v>3.3462000000000001</v>
      </c>
      <c r="AG22">
        <f t="shared" si="22"/>
        <v>2.85</v>
      </c>
      <c r="AH22">
        <f>AG22*Konstanten!$B$4</f>
        <v>12.112500000000001</v>
      </c>
      <c r="AI22">
        <f t="shared" si="23"/>
        <v>8.7663000000000011</v>
      </c>
      <c r="AJ22">
        <f t="shared" si="24"/>
        <v>14.75</v>
      </c>
      <c r="AK22">
        <f>AJ22*Konstanten!$B$3</f>
        <v>36.875</v>
      </c>
      <c r="AM22">
        <f t="shared" si="25"/>
        <v>0</v>
      </c>
      <c r="AN22">
        <f t="shared" si="26"/>
        <v>0</v>
      </c>
      <c r="AR22" s="8"/>
      <c r="BA22" s="4"/>
    </row>
    <row r="23" spans="1:53" x14ac:dyDescent="0.25">
      <c r="A23">
        <v>22</v>
      </c>
      <c r="B23">
        <v>3</v>
      </c>
      <c r="C23" t="s">
        <v>23</v>
      </c>
      <c r="D23" t="s">
        <v>119</v>
      </c>
      <c r="F23">
        <v>16.8</v>
      </c>
      <c r="G23">
        <v>312</v>
      </c>
      <c r="H23">
        <v>57</v>
      </c>
      <c r="I23" t="s">
        <v>201</v>
      </c>
      <c r="J23">
        <f t="shared" si="27"/>
        <v>295</v>
      </c>
      <c r="L23">
        <f>Konstanten!$B$3</f>
        <v>2.5</v>
      </c>
      <c r="M23">
        <f>COUNTIF(Windows!$A$4:$A$84,D23)</f>
        <v>2</v>
      </c>
      <c r="N23" t="str">
        <f>VLOOKUP(D23,Windows!$A$4:$D$84,2,FALSE)</f>
        <v>IU13,5-o</v>
      </c>
      <c r="O23">
        <f>VLOOKUP(N23,Windows!$B$4:$D$84,2,FALSE)/1000</f>
        <v>1.37</v>
      </c>
      <c r="P23">
        <f>VLOOKUP(N23,Windows!$B$4:$D$84,3,FALSE)/1000</f>
        <v>1.32</v>
      </c>
      <c r="Q23">
        <f t="shared" si="16"/>
        <v>1.8084000000000002</v>
      </c>
      <c r="R23" t="str">
        <f>IF(M23&gt;=2,INDEX(Windows!$B$4:$B$84,MATCH(N23,Windows!$B$4:$B$84,0)+1),0)</f>
        <v>IU13,5-v</v>
      </c>
      <c r="S23">
        <f>VLOOKUP(R23,Windows!$B$4:$D$84,2,FALSE)/1000</f>
        <v>1.37</v>
      </c>
      <c r="T23">
        <f>VLOOKUP(R23,Windows!$B$4:$D$84,3,FALSE)/1000</f>
        <v>1.32</v>
      </c>
      <c r="U23">
        <f t="shared" si="17"/>
        <v>1.8084000000000002</v>
      </c>
      <c r="V23">
        <f>IF(M23&gt;=3,INDEX(Windows!$B$4:$B$84,MATCH(N23,Windows!$B$4:$B$84,0)+2),0)</f>
        <v>0</v>
      </c>
      <c r="W23" t="e">
        <f>VLOOKUP(V23,Windows!$B$4:$D$84,2,FALSE)/1000</f>
        <v>#N/A</v>
      </c>
      <c r="X23" t="e">
        <f>VLOOKUP(V23,Windows!$B$4:$D$84,3,FALSE)/1000</f>
        <v>#N/A</v>
      </c>
      <c r="Y23">
        <f t="shared" si="18"/>
        <v>0</v>
      </c>
      <c r="Z23">
        <f>IF(M23&gt;=4,INDEX(Windows!$B$4:$B$84,MATCH(N23,Windows!$B$4:$B$84,0)+3),0)</f>
        <v>0</v>
      </c>
      <c r="AA23" t="e">
        <f>VLOOKUP(Z23,Windows!$B$4:$D$84,2,FALSE)/1000</f>
        <v>#N/A</v>
      </c>
      <c r="AB23" t="e">
        <f>VLOOKUP(Z23,Windows!$B$4:$D$84,3,FALSE)/1000</f>
        <v>#N/A</v>
      </c>
      <c r="AC23">
        <f t="shared" si="19"/>
        <v>0</v>
      </c>
      <c r="AD23">
        <f t="shared" si="20"/>
        <v>312</v>
      </c>
      <c r="AE23">
        <f t="shared" si="21"/>
        <v>3.6168000000000005</v>
      </c>
      <c r="AG23">
        <f t="shared" si="22"/>
        <v>2.85</v>
      </c>
      <c r="AH23">
        <f>AG23*Konstanten!$B$4</f>
        <v>12.112500000000001</v>
      </c>
      <c r="AI23">
        <f t="shared" si="23"/>
        <v>8.4956999999999994</v>
      </c>
      <c r="AJ23">
        <f t="shared" si="24"/>
        <v>14.75</v>
      </c>
      <c r="AK23">
        <f>AJ23*Konstanten!$B$3</f>
        <v>36.875</v>
      </c>
      <c r="AM23">
        <f t="shared" si="25"/>
        <v>0</v>
      </c>
      <c r="AN23">
        <f t="shared" si="26"/>
        <v>0</v>
      </c>
      <c r="AR23" s="8"/>
      <c r="BA23" s="4"/>
    </row>
    <row r="24" spans="1:53" x14ac:dyDescent="0.25">
      <c r="A24">
        <v>23</v>
      </c>
      <c r="B24">
        <v>3</v>
      </c>
      <c r="C24" t="s">
        <v>23</v>
      </c>
      <c r="D24" t="s">
        <v>126</v>
      </c>
      <c r="F24">
        <v>16.899999999999999</v>
      </c>
      <c r="G24">
        <v>312</v>
      </c>
      <c r="H24">
        <v>57</v>
      </c>
      <c r="I24" t="s">
        <v>201</v>
      </c>
      <c r="J24">
        <f t="shared" si="27"/>
        <v>295</v>
      </c>
      <c r="L24">
        <f>Konstanten!$B$3</f>
        <v>2.5</v>
      </c>
      <c r="M24">
        <f>COUNTIF(Windows!$A$4:$A$84,D24)</f>
        <v>3</v>
      </c>
      <c r="N24" t="str">
        <f>VLOOKUP(D24,Windows!$A$4:$D$84,2,FALSE)</f>
        <v>IU13-v</v>
      </c>
      <c r="O24">
        <f>VLOOKUP(N24,Windows!$B$4:$D$84,2,FALSE)/1000</f>
        <v>1.2949999999999999</v>
      </c>
      <c r="P24">
        <f>VLOOKUP(N24,Windows!$B$4:$D$84,3,FALSE)/1000</f>
        <v>1.32</v>
      </c>
      <c r="Q24">
        <f t="shared" si="16"/>
        <v>1.7094</v>
      </c>
      <c r="R24" t="str">
        <f>IF(M24&gt;=2,INDEX(Windows!$B$4:$B$84,MATCH(N24,Windows!$B$4:$B$84,0)+1),0)</f>
        <v>IU6-o</v>
      </c>
      <c r="S24">
        <f>VLOOKUP(R24,Windows!$B$4:$D$84,2,FALSE)/1000</f>
        <v>0.62</v>
      </c>
      <c r="T24">
        <f>VLOOKUP(R24,Windows!$B$4:$D$84,3,FALSE)/1000</f>
        <v>1.32</v>
      </c>
      <c r="U24">
        <f t="shared" si="17"/>
        <v>0.81840000000000002</v>
      </c>
      <c r="V24" t="str">
        <f>IF(M24&gt;=3,INDEX(Windows!$B$4:$B$84,MATCH(N24,Windows!$B$4:$B$84,0)+2),0)</f>
        <v>IU6-v</v>
      </c>
      <c r="W24">
        <f>VLOOKUP(V24,Windows!$B$4:$D$84,2,FALSE)/1000</f>
        <v>0.62</v>
      </c>
      <c r="X24">
        <f>VLOOKUP(V24,Windows!$B$4:$D$84,3,FALSE)/1000</f>
        <v>1.32</v>
      </c>
      <c r="Y24">
        <f t="shared" si="18"/>
        <v>0.81840000000000002</v>
      </c>
      <c r="Z24">
        <f>IF(M24&gt;=4,INDEX(Windows!$B$4:$B$84,MATCH(N24,Windows!$B$4:$B$84,0)+3),0)</f>
        <v>0</v>
      </c>
      <c r="AA24" t="e">
        <f>VLOOKUP(Z24,Windows!$B$4:$D$84,2,FALSE)/1000</f>
        <v>#N/A</v>
      </c>
      <c r="AB24" t="e">
        <f>VLOOKUP(Z24,Windows!$B$4:$D$84,3,FALSE)/1000</f>
        <v>#N/A</v>
      </c>
      <c r="AC24">
        <f t="shared" si="19"/>
        <v>0</v>
      </c>
      <c r="AD24">
        <f t="shared" si="20"/>
        <v>312</v>
      </c>
      <c r="AE24">
        <f t="shared" si="21"/>
        <v>3.3462000000000001</v>
      </c>
      <c r="AG24">
        <f t="shared" si="22"/>
        <v>2.85</v>
      </c>
      <c r="AH24">
        <f>AG24*Konstanten!$B$4</f>
        <v>12.112500000000001</v>
      </c>
      <c r="AI24">
        <f t="shared" si="23"/>
        <v>8.7663000000000011</v>
      </c>
      <c r="AJ24">
        <f t="shared" si="24"/>
        <v>14.75</v>
      </c>
      <c r="AK24">
        <f>AJ24*Konstanten!$B$3</f>
        <v>36.875</v>
      </c>
      <c r="AM24">
        <f t="shared" si="25"/>
        <v>0</v>
      </c>
      <c r="AN24">
        <f t="shared" si="26"/>
        <v>0</v>
      </c>
      <c r="AR24" s="8"/>
      <c r="BA24" s="4"/>
    </row>
    <row r="25" spans="1:53" x14ac:dyDescent="0.25">
      <c r="A25">
        <v>24</v>
      </c>
      <c r="B25">
        <v>3</v>
      </c>
      <c r="C25" t="s">
        <v>23</v>
      </c>
      <c r="D25" t="s">
        <v>127</v>
      </c>
      <c r="F25">
        <v>16.899999999999999</v>
      </c>
      <c r="G25">
        <v>312</v>
      </c>
      <c r="H25">
        <v>57</v>
      </c>
      <c r="I25" t="s">
        <v>201</v>
      </c>
      <c r="J25">
        <f t="shared" si="27"/>
        <v>295</v>
      </c>
      <c r="L25">
        <f>Konstanten!$B$3</f>
        <v>2.5</v>
      </c>
      <c r="M25">
        <f>COUNTIF(Windows!$A$4:$A$84,D25)</f>
        <v>3</v>
      </c>
      <c r="N25" t="str">
        <f>VLOOKUP(D25,Windows!$A$4:$D$84,2,FALSE)</f>
        <v>IU13-v</v>
      </c>
      <c r="O25">
        <f>VLOOKUP(N25,Windows!$B$4:$D$84,2,FALSE)/1000</f>
        <v>1.2949999999999999</v>
      </c>
      <c r="P25">
        <f>VLOOKUP(N25,Windows!$B$4:$D$84,3,FALSE)/1000</f>
        <v>1.32</v>
      </c>
      <c r="Q25">
        <f t="shared" si="16"/>
        <v>1.7094</v>
      </c>
      <c r="R25" t="str">
        <f>IF(M25&gt;=2,INDEX(Windows!$B$4:$B$84,MATCH(N25,Windows!$B$4:$B$84,0)+1),0)</f>
        <v>IU6-o</v>
      </c>
      <c r="S25">
        <f>VLOOKUP(R25,Windows!$B$4:$D$84,2,FALSE)/1000</f>
        <v>0.62</v>
      </c>
      <c r="T25">
        <f>VLOOKUP(R25,Windows!$B$4:$D$84,3,FALSE)/1000</f>
        <v>1.32</v>
      </c>
      <c r="U25">
        <f t="shared" si="17"/>
        <v>0.81840000000000002</v>
      </c>
      <c r="V25" t="str">
        <f>IF(M25&gt;=3,INDEX(Windows!$B$4:$B$84,MATCH(N25,Windows!$B$4:$B$84,0)+2),0)</f>
        <v>IU6-v</v>
      </c>
      <c r="W25">
        <f>VLOOKUP(V25,Windows!$B$4:$D$84,2,FALSE)/1000</f>
        <v>0.62</v>
      </c>
      <c r="X25">
        <f>VLOOKUP(V25,Windows!$B$4:$D$84,3,FALSE)/1000</f>
        <v>1.32</v>
      </c>
      <c r="Y25">
        <f t="shared" si="18"/>
        <v>0.81840000000000002</v>
      </c>
      <c r="Z25">
        <f>IF(M25&gt;=4,INDEX(Windows!$B$4:$B$84,MATCH(N25,Windows!$B$4:$B$84,0)+3),0)</f>
        <v>0</v>
      </c>
      <c r="AA25" t="e">
        <f>VLOOKUP(Z25,Windows!$B$4:$D$84,2,FALSE)/1000</f>
        <v>#N/A</v>
      </c>
      <c r="AB25" t="e">
        <f>VLOOKUP(Z25,Windows!$B$4:$D$84,3,FALSE)/1000</f>
        <v>#N/A</v>
      </c>
      <c r="AC25">
        <f t="shared" si="19"/>
        <v>0</v>
      </c>
      <c r="AD25">
        <f t="shared" si="20"/>
        <v>312</v>
      </c>
      <c r="AE25">
        <f t="shared" si="21"/>
        <v>3.3462000000000001</v>
      </c>
      <c r="AG25">
        <f t="shared" si="22"/>
        <v>2.85</v>
      </c>
      <c r="AH25">
        <f>AG25*Konstanten!$B$4</f>
        <v>12.112500000000001</v>
      </c>
      <c r="AI25">
        <f t="shared" si="23"/>
        <v>8.7663000000000011</v>
      </c>
      <c r="AJ25">
        <f t="shared" si="24"/>
        <v>14.75</v>
      </c>
      <c r="AK25">
        <f>AJ25*Konstanten!$B$3</f>
        <v>36.875</v>
      </c>
      <c r="AM25">
        <f t="shared" si="25"/>
        <v>0</v>
      </c>
      <c r="AN25">
        <f t="shared" si="26"/>
        <v>0</v>
      </c>
      <c r="AR25" s="8"/>
      <c r="BA25" s="4"/>
    </row>
    <row r="26" spans="1:53" x14ac:dyDescent="0.25">
      <c r="A26">
        <v>25</v>
      </c>
      <c r="B26">
        <v>3</v>
      </c>
      <c r="C26" t="s">
        <v>23</v>
      </c>
      <c r="D26" t="s">
        <v>120</v>
      </c>
      <c r="F26">
        <v>16.8</v>
      </c>
      <c r="G26">
        <v>312</v>
      </c>
      <c r="H26">
        <v>57</v>
      </c>
      <c r="I26" t="s">
        <v>201</v>
      </c>
      <c r="J26">
        <f t="shared" si="27"/>
        <v>295</v>
      </c>
      <c r="L26">
        <f>Konstanten!$B$3</f>
        <v>2.5</v>
      </c>
      <c r="M26">
        <f>COUNTIF(Windows!$A$4:$A$84,D26)</f>
        <v>2</v>
      </c>
      <c r="N26" t="str">
        <f>VLOOKUP(D26,Windows!$A$4:$D$84,2,FALSE)</f>
        <v>IU13,5-o</v>
      </c>
      <c r="O26">
        <f>VLOOKUP(N26,Windows!$B$4:$D$84,2,FALSE)/1000</f>
        <v>1.37</v>
      </c>
      <c r="P26">
        <f>VLOOKUP(N26,Windows!$B$4:$D$84,3,FALSE)/1000</f>
        <v>1.32</v>
      </c>
      <c r="Q26">
        <f t="shared" si="16"/>
        <v>1.8084000000000002</v>
      </c>
      <c r="R26" t="str">
        <f>IF(M26&gt;=2,INDEX(Windows!$B$4:$B$84,MATCH(N26,Windows!$B$4:$B$84,0)+1),0)</f>
        <v>IU13,5-v</v>
      </c>
      <c r="S26">
        <f>VLOOKUP(R26,Windows!$B$4:$D$84,2,FALSE)/1000</f>
        <v>1.37</v>
      </c>
      <c r="T26">
        <f>VLOOKUP(R26,Windows!$B$4:$D$84,3,FALSE)/1000</f>
        <v>1.32</v>
      </c>
      <c r="U26">
        <f t="shared" si="17"/>
        <v>1.8084000000000002</v>
      </c>
      <c r="V26">
        <f>IF(M26&gt;=3,INDEX(Windows!$B$4:$B$84,MATCH(N26,Windows!$B$4:$B$84,0)+2),0)</f>
        <v>0</v>
      </c>
      <c r="W26" t="e">
        <f>VLOOKUP(V26,Windows!$B$4:$D$84,2,FALSE)/1000</f>
        <v>#N/A</v>
      </c>
      <c r="X26" t="e">
        <f>VLOOKUP(V26,Windows!$B$4:$D$84,3,FALSE)/1000</f>
        <v>#N/A</v>
      </c>
      <c r="Y26">
        <f t="shared" si="18"/>
        <v>0</v>
      </c>
      <c r="Z26">
        <f>IF(M26&gt;=4,INDEX(Windows!$B$4:$B$84,MATCH(N26,Windows!$B$4:$B$84,0)+3),0)</f>
        <v>0</v>
      </c>
      <c r="AA26" t="e">
        <f>VLOOKUP(Z26,Windows!$B$4:$D$84,2,FALSE)/1000</f>
        <v>#N/A</v>
      </c>
      <c r="AB26" t="e">
        <f>VLOOKUP(Z26,Windows!$B$4:$D$84,3,FALSE)/1000</f>
        <v>#N/A</v>
      </c>
      <c r="AC26">
        <f t="shared" si="19"/>
        <v>0</v>
      </c>
      <c r="AD26">
        <f t="shared" si="20"/>
        <v>312</v>
      </c>
      <c r="AE26">
        <f t="shared" si="21"/>
        <v>3.6168000000000005</v>
      </c>
      <c r="AG26">
        <f t="shared" si="22"/>
        <v>2.85</v>
      </c>
      <c r="AH26">
        <f>AG26*Konstanten!$B$4</f>
        <v>12.112500000000001</v>
      </c>
      <c r="AI26">
        <f t="shared" si="23"/>
        <v>8.4956999999999994</v>
      </c>
      <c r="AJ26">
        <f t="shared" si="24"/>
        <v>14.75</v>
      </c>
      <c r="AK26">
        <f>AJ26*Konstanten!$B$3</f>
        <v>36.875</v>
      </c>
      <c r="AM26">
        <f t="shared" si="25"/>
        <v>0</v>
      </c>
      <c r="AN26">
        <f t="shared" si="26"/>
        <v>0</v>
      </c>
      <c r="AR26" s="8"/>
      <c r="BA26" s="4"/>
    </row>
    <row r="27" spans="1:53" x14ac:dyDescent="0.25">
      <c r="A27">
        <v>26</v>
      </c>
      <c r="B27">
        <v>3</v>
      </c>
      <c r="C27" t="s">
        <v>23</v>
      </c>
      <c r="D27" t="s">
        <v>128</v>
      </c>
      <c r="F27">
        <v>16.899999999999999</v>
      </c>
      <c r="G27">
        <v>312</v>
      </c>
      <c r="H27">
        <v>57</v>
      </c>
      <c r="I27" t="s">
        <v>201</v>
      </c>
      <c r="J27">
        <f t="shared" si="27"/>
        <v>295</v>
      </c>
      <c r="L27">
        <f>Konstanten!$B$3</f>
        <v>2.5</v>
      </c>
      <c r="M27">
        <f>COUNTIF(Windows!$A$4:$A$84,D27)</f>
        <v>3</v>
      </c>
      <c r="N27" t="str">
        <f>VLOOKUP(D27,Windows!$A$4:$D$84,2,FALSE)</f>
        <v>IU13-v</v>
      </c>
      <c r="O27">
        <f>VLOOKUP(N27,Windows!$B$4:$D$84,2,FALSE)/1000</f>
        <v>1.2949999999999999</v>
      </c>
      <c r="P27">
        <f>VLOOKUP(N27,Windows!$B$4:$D$84,3,FALSE)/1000</f>
        <v>1.32</v>
      </c>
      <c r="Q27">
        <f t="shared" si="16"/>
        <v>1.7094</v>
      </c>
      <c r="R27" t="str">
        <f>IF(M27&gt;=2,INDEX(Windows!$B$4:$B$84,MATCH(N27,Windows!$B$4:$B$84,0)+1),0)</f>
        <v>IU6-o</v>
      </c>
      <c r="S27">
        <f>VLOOKUP(R27,Windows!$B$4:$D$84,2,FALSE)/1000</f>
        <v>0.62</v>
      </c>
      <c r="T27">
        <f>VLOOKUP(R27,Windows!$B$4:$D$84,3,FALSE)/1000</f>
        <v>1.32</v>
      </c>
      <c r="U27">
        <f t="shared" si="17"/>
        <v>0.81840000000000002</v>
      </c>
      <c r="V27" t="str">
        <f>IF(M27&gt;=3,INDEX(Windows!$B$4:$B$84,MATCH(N27,Windows!$B$4:$B$84,0)+2),0)</f>
        <v>IU6-v</v>
      </c>
      <c r="W27">
        <f>VLOOKUP(V27,Windows!$B$4:$D$84,2,FALSE)/1000</f>
        <v>0.62</v>
      </c>
      <c r="X27">
        <f>VLOOKUP(V27,Windows!$B$4:$D$84,3,FALSE)/1000</f>
        <v>1.32</v>
      </c>
      <c r="Y27">
        <f t="shared" si="18"/>
        <v>0.81840000000000002</v>
      </c>
      <c r="Z27">
        <f>IF(M27&gt;=4,INDEX(Windows!$B$4:$B$84,MATCH(N27,Windows!$B$4:$B$84,0)+3),0)</f>
        <v>0</v>
      </c>
      <c r="AA27" t="e">
        <f>VLOOKUP(Z27,Windows!$B$4:$D$84,2,FALSE)/1000</f>
        <v>#N/A</v>
      </c>
      <c r="AB27" t="e">
        <f>VLOOKUP(Z27,Windows!$B$4:$D$84,3,FALSE)/1000</f>
        <v>#N/A</v>
      </c>
      <c r="AC27">
        <f t="shared" si="19"/>
        <v>0</v>
      </c>
      <c r="AD27">
        <f t="shared" si="20"/>
        <v>312</v>
      </c>
      <c r="AE27">
        <f t="shared" si="21"/>
        <v>3.3462000000000001</v>
      </c>
      <c r="AG27">
        <f t="shared" si="22"/>
        <v>2.85</v>
      </c>
      <c r="AH27">
        <f>AG27*Konstanten!$B$4</f>
        <v>12.112500000000001</v>
      </c>
      <c r="AI27">
        <f t="shared" si="23"/>
        <v>8.7663000000000011</v>
      </c>
      <c r="AJ27">
        <f t="shared" si="24"/>
        <v>14.75</v>
      </c>
      <c r="AK27">
        <f>AJ27*Konstanten!$B$3</f>
        <v>36.875</v>
      </c>
      <c r="AM27">
        <f t="shared" si="25"/>
        <v>0</v>
      </c>
      <c r="AN27">
        <f t="shared" si="26"/>
        <v>0</v>
      </c>
      <c r="AR27" s="8"/>
      <c r="BA27" s="4"/>
    </row>
    <row r="28" spans="1:53" x14ac:dyDescent="0.25">
      <c r="A28">
        <v>27</v>
      </c>
      <c r="B28">
        <v>3</v>
      </c>
      <c r="C28" t="s">
        <v>23</v>
      </c>
      <c r="D28" t="s">
        <v>129</v>
      </c>
      <c r="F28">
        <v>16.899999999999999</v>
      </c>
      <c r="G28">
        <v>312</v>
      </c>
      <c r="H28">
        <v>57</v>
      </c>
      <c r="I28" t="s">
        <v>201</v>
      </c>
      <c r="J28">
        <f t="shared" si="27"/>
        <v>295</v>
      </c>
      <c r="L28">
        <f>Konstanten!$B$3</f>
        <v>2.5</v>
      </c>
      <c r="M28">
        <f>COUNTIF(Windows!$A$4:$A$84,D28)</f>
        <v>3</v>
      </c>
      <c r="N28" t="str">
        <f>VLOOKUP(D28,Windows!$A$4:$D$84,2,FALSE)</f>
        <v>IU13-v</v>
      </c>
      <c r="O28">
        <f>VLOOKUP(N28,Windows!$B$4:$D$84,2,FALSE)/1000</f>
        <v>1.2949999999999999</v>
      </c>
      <c r="P28">
        <f>VLOOKUP(N28,Windows!$B$4:$D$84,3,FALSE)/1000</f>
        <v>1.32</v>
      </c>
      <c r="Q28">
        <f t="shared" si="16"/>
        <v>1.7094</v>
      </c>
      <c r="R28" t="str">
        <f>IF(M28&gt;=2,INDEX(Windows!$B$4:$B$84,MATCH(N28,Windows!$B$4:$B$84,0)+1),0)</f>
        <v>IU6-o</v>
      </c>
      <c r="S28">
        <f>VLOOKUP(R28,Windows!$B$4:$D$84,2,FALSE)/1000</f>
        <v>0.62</v>
      </c>
      <c r="T28">
        <f>VLOOKUP(R28,Windows!$B$4:$D$84,3,FALSE)/1000</f>
        <v>1.32</v>
      </c>
      <c r="U28">
        <f t="shared" si="17"/>
        <v>0.81840000000000002</v>
      </c>
      <c r="V28" t="str">
        <f>IF(M28&gt;=3,INDEX(Windows!$B$4:$B$84,MATCH(N28,Windows!$B$4:$B$84,0)+2),0)</f>
        <v>IU6-v</v>
      </c>
      <c r="W28">
        <f>VLOOKUP(V28,Windows!$B$4:$D$84,2,FALSE)/1000</f>
        <v>0.62</v>
      </c>
      <c r="X28">
        <f>VLOOKUP(V28,Windows!$B$4:$D$84,3,FALSE)/1000</f>
        <v>1.32</v>
      </c>
      <c r="Y28">
        <f t="shared" si="18"/>
        <v>0.81840000000000002</v>
      </c>
      <c r="Z28">
        <f>IF(M28&gt;=4,INDEX(Windows!$B$4:$B$84,MATCH(N28,Windows!$B$4:$B$84,0)+3),0)</f>
        <v>0</v>
      </c>
      <c r="AA28" t="e">
        <f>VLOOKUP(Z28,Windows!$B$4:$D$84,2,FALSE)/1000</f>
        <v>#N/A</v>
      </c>
      <c r="AB28" t="e">
        <f>VLOOKUP(Z28,Windows!$B$4:$D$84,3,FALSE)/1000</f>
        <v>#N/A</v>
      </c>
      <c r="AC28">
        <f t="shared" si="19"/>
        <v>0</v>
      </c>
      <c r="AD28">
        <f t="shared" si="20"/>
        <v>312</v>
      </c>
      <c r="AE28">
        <f t="shared" si="21"/>
        <v>3.3462000000000001</v>
      </c>
      <c r="AG28">
        <f t="shared" si="22"/>
        <v>2.85</v>
      </c>
      <c r="AH28">
        <f>AG28*Konstanten!$B$4</f>
        <v>12.112500000000001</v>
      </c>
      <c r="AI28">
        <f t="shared" si="23"/>
        <v>8.7663000000000011</v>
      </c>
      <c r="AJ28">
        <f t="shared" si="24"/>
        <v>14.75</v>
      </c>
      <c r="AK28">
        <f>AJ28*Konstanten!$B$3</f>
        <v>36.875</v>
      </c>
      <c r="AM28">
        <f t="shared" si="25"/>
        <v>0</v>
      </c>
      <c r="AN28">
        <f t="shared" si="26"/>
        <v>0</v>
      </c>
      <c r="AR28" s="8"/>
      <c r="BA28" s="4"/>
    </row>
    <row r="29" spans="1:53" x14ac:dyDescent="0.25">
      <c r="A29">
        <v>28</v>
      </c>
      <c r="B29">
        <v>3</v>
      </c>
      <c r="C29" t="s">
        <v>23</v>
      </c>
      <c r="D29" t="s">
        <v>121</v>
      </c>
      <c r="F29">
        <v>16.8</v>
      </c>
      <c r="G29">
        <v>312</v>
      </c>
      <c r="H29">
        <v>57</v>
      </c>
      <c r="I29" t="s">
        <v>201</v>
      </c>
      <c r="J29">
        <f t="shared" si="27"/>
        <v>295</v>
      </c>
      <c r="L29">
        <f>Konstanten!$B$3</f>
        <v>2.5</v>
      </c>
      <c r="M29">
        <f>COUNTIF(Windows!$A$4:$A$84,D29)</f>
        <v>2</v>
      </c>
      <c r="N29" t="str">
        <f>VLOOKUP(D29,Windows!$A$4:$D$84,2,FALSE)</f>
        <v>IU13,5-o</v>
      </c>
      <c r="O29">
        <f>VLOOKUP(N29,Windows!$B$4:$D$84,2,FALSE)/1000</f>
        <v>1.37</v>
      </c>
      <c r="P29">
        <f>VLOOKUP(N29,Windows!$B$4:$D$84,3,FALSE)/1000</f>
        <v>1.32</v>
      </c>
      <c r="Q29">
        <f t="shared" si="16"/>
        <v>1.8084000000000002</v>
      </c>
      <c r="R29" t="str">
        <f>IF(M29&gt;=2,INDEX(Windows!$B$4:$B$84,MATCH(N29,Windows!$B$4:$B$84,0)+1),0)</f>
        <v>IU13,5-v</v>
      </c>
      <c r="S29">
        <f>VLOOKUP(R29,Windows!$B$4:$D$84,2,FALSE)/1000</f>
        <v>1.37</v>
      </c>
      <c r="T29">
        <f>VLOOKUP(R29,Windows!$B$4:$D$84,3,FALSE)/1000</f>
        <v>1.32</v>
      </c>
      <c r="U29">
        <f t="shared" si="17"/>
        <v>1.8084000000000002</v>
      </c>
      <c r="V29">
        <f>IF(M29&gt;=3,INDEX(Windows!$B$4:$B$84,MATCH(N29,Windows!$B$4:$B$84,0)+2),0)</f>
        <v>0</v>
      </c>
      <c r="W29" t="e">
        <f>VLOOKUP(V29,Windows!$B$4:$D$84,2,FALSE)/1000</f>
        <v>#N/A</v>
      </c>
      <c r="X29" t="e">
        <f>VLOOKUP(V29,Windows!$B$4:$D$84,3,FALSE)/1000</f>
        <v>#N/A</v>
      </c>
      <c r="Y29">
        <f t="shared" si="18"/>
        <v>0</v>
      </c>
      <c r="Z29">
        <f>IF(M29&gt;=4,INDEX(Windows!$B$4:$B$84,MATCH(N29,Windows!$B$4:$B$84,0)+3),0)</f>
        <v>0</v>
      </c>
      <c r="AA29" t="e">
        <f>VLOOKUP(Z29,Windows!$B$4:$D$84,2,FALSE)/1000</f>
        <v>#N/A</v>
      </c>
      <c r="AB29" t="e">
        <f>VLOOKUP(Z29,Windows!$B$4:$D$84,3,FALSE)/1000</f>
        <v>#N/A</v>
      </c>
      <c r="AC29">
        <f t="shared" si="19"/>
        <v>0</v>
      </c>
      <c r="AD29">
        <f t="shared" si="20"/>
        <v>312</v>
      </c>
      <c r="AE29">
        <f t="shared" si="21"/>
        <v>3.6168000000000005</v>
      </c>
      <c r="AG29">
        <f t="shared" si="22"/>
        <v>2.85</v>
      </c>
      <c r="AH29">
        <f>AG29*Konstanten!$B$4</f>
        <v>12.112500000000001</v>
      </c>
      <c r="AI29">
        <f t="shared" si="23"/>
        <v>8.4956999999999994</v>
      </c>
      <c r="AJ29">
        <f t="shared" si="24"/>
        <v>14.75</v>
      </c>
      <c r="AK29">
        <f>AJ29*Konstanten!$B$3</f>
        <v>36.875</v>
      </c>
      <c r="AM29">
        <f t="shared" si="25"/>
        <v>0</v>
      </c>
      <c r="AN29">
        <f t="shared" si="26"/>
        <v>0</v>
      </c>
      <c r="AR29" s="8"/>
      <c r="BA29" s="4"/>
    </row>
    <row r="30" spans="1:53" x14ac:dyDescent="0.25">
      <c r="A30">
        <v>29</v>
      </c>
      <c r="B30">
        <v>3</v>
      </c>
      <c r="C30" t="s">
        <v>23</v>
      </c>
      <c r="D30" t="s">
        <v>141</v>
      </c>
      <c r="F30">
        <v>16.899999999999999</v>
      </c>
      <c r="G30">
        <v>312</v>
      </c>
      <c r="H30">
        <v>57</v>
      </c>
      <c r="I30" t="s">
        <v>201</v>
      </c>
      <c r="J30">
        <f t="shared" si="27"/>
        <v>295</v>
      </c>
      <c r="L30">
        <f>Konstanten!$B$3</f>
        <v>2.5</v>
      </c>
      <c r="M30">
        <f>COUNTIF(Windows!$A$4:$A$84,D30)</f>
        <v>3</v>
      </c>
      <c r="N30" t="str">
        <f>VLOOKUP(D30,Windows!$A$4:$D$84,2,FALSE)</f>
        <v>IU6-o</v>
      </c>
      <c r="O30">
        <f>VLOOKUP(N30,Windows!$B$4:$D$84,2,FALSE)/1000</f>
        <v>0.62</v>
      </c>
      <c r="P30">
        <f>VLOOKUP(N30,Windows!$B$4:$D$84,3,FALSE)/1000</f>
        <v>1.32</v>
      </c>
      <c r="Q30">
        <f t="shared" si="16"/>
        <v>0.81840000000000002</v>
      </c>
      <c r="R30" t="str">
        <f>IF(M30&gt;=2,INDEX(Windows!$B$4:$B$84,MATCH(N30,Windows!$B$4:$B$84,0)+1),0)</f>
        <v>IU6-v</v>
      </c>
      <c r="S30">
        <f>VLOOKUP(R30,Windows!$B$4:$D$84,2,FALSE)/1000</f>
        <v>0.62</v>
      </c>
      <c r="T30">
        <f>VLOOKUP(R30,Windows!$B$4:$D$84,3,FALSE)/1000</f>
        <v>1.32</v>
      </c>
      <c r="U30">
        <f t="shared" si="17"/>
        <v>0.81840000000000002</v>
      </c>
      <c r="V30" t="str">
        <f>IF(M30&gt;=3,INDEX(Windows!$B$4:$B$84,MATCH(N30,Windows!$B$4:$B$84,0)+2),0)</f>
        <v>IU13,5-o</v>
      </c>
      <c r="W30">
        <f>VLOOKUP(V30,Windows!$B$4:$D$84,2,FALSE)/1000</f>
        <v>1.37</v>
      </c>
      <c r="X30">
        <f>VLOOKUP(V30,Windows!$B$4:$D$84,3,FALSE)/1000</f>
        <v>1.32</v>
      </c>
      <c r="Y30">
        <f t="shared" si="18"/>
        <v>1.8084000000000002</v>
      </c>
      <c r="Z30">
        <f>IF(M30&gt;=4,INDEX(Windows!$B$4:$B$84,MATCH(N30,Windows!$B$4:$B$84,0)+3),0)</f>
        <v>0</v>
      </c>
      <c r="AA30" t="e">
        <f>VLOOKUP(Z30,Windows!$B$4:$D$84,2,FALSE)/1000</f>
        <v>#N/A</v>
      </c>
      <c r="AB30" t="e">
        <f>VLOOKUP(Z30,Windows!$B$4:$D$84,3,FALSE)/1000</f>
        <v>#N/A</v>
      </c>
      <c r="AC30">
        <f t="shared" si="19"/>
        <v>0</v>
      </c>
      <c r="AD30">
        <f t="shared" si="20"/>
        <v>312</v>
      </c>
      <c r="AE30">
        <f t="shared" si="21"/>
        <v>3.4452000000000003</v>
      </c>
      <c r="AG30">
        <f t="shared" si="22"/>
        <v>2.85</v>
      </c>
      <c r="AH30">
        <f>AG30*Konstanten!$B$4</f>
        <v>12.112500000000001</v>
      </c>
      <c r="AI30">
        <f t="shared" si="23"/>
        <v>8.6673000000000009</v>
      </c>
      <c r="AJ30">
        <f t="shared" si="24"/>
        <v>14.75</v>
      </c>
      <c r="AK30">
        <f>AJ30*Konstanten!$B$3</f>
        <v>36.875</v>
      </c>
      <c r="AM30">
        <f t="shared" si="25"/>
        <v>0</v>
      </c>
      <c r="AN30">
        <f t="shared" si="26"/>
        <v>0</v>
      </c>
      <c r="AR30" s="8"/>
      <c r="BA30" s="4"/>
    </row>
    <row r="31" spans="1:53" x14ac:dyDescent="0.25">
      <c r="A31">
        <v>30</v>
      </c>
      <c r="B31">
        <v>3</v>
      </c>
      <c r="C31" t="s">
        <v>23</v>
      </c>
      <c r="D31" t="s">
        <v>133</v>
      </c>
      <c r="F31">
        <v>17.399999999999999</v>
      </c>
      <c r="G31">
        <v>312</v>
      </c>
      <c r="H31">
        <f>59</f>
        <v>59</v>
      </c>
      <c r="I31" t="s">
        <v>201</v>
      </c>
      <c r="J31">
        <f>59+2*119</f>
        <v>297</v>
      </c>
      <c r="L31">
        <f>Konstanten!$B$3</f>
        <v>2.5</v>
      </c>
      <c r="M31">
        <f>COUNTIF(Windows!$A$4:$A$84,D31)</f>
        <v>2</v>
      </c>
      <c r="N31" t="str">
        <f>VLOOKUP(D31,Windows!$A$4:$D$84,2,FALSE)</f>
        <v>IU17,5-o</v>
      </c>
      <c r="O31">
        <f>VLOOKUP(N31,Windows!$B$4:$D$84,2,FALSE)/1000</f>
        <v>1.77</v>
      </c>
      <c r="P31">
        <f>VLOOKUP(N31,Windows!$B$4:$D$84,3,FALSE)/1000</f>
        <v>1.32</v>
      </c>
      <c r="Q31">
        <f t="shared" si="16"/>
        <v>2.3364000000000003</v>
      </c>
      <c r="R31" t="str">
        <f>IF(M31&gt;=2,INDEX(Windows!$B$4:$B$84,MATCH(N31,Windows!$B$4:$B$84,0)+1),0)</f>
        <v>IU9-v</v>
      </c>
      <c r="S31">
        <f>VLOOKUP(R31,Windows!$B$4:$D$84,2,FALSE)/1000</f>
        <v>0.91</v>
      </c>
      <c r="T31">
        <f>VLOOKUP(R31,Windows!$B$4:$D$84,3,FALSE)/1000</f>
        <v>1.32</v>
      </c>
      <c r="U31">
        <f t="shared" si="17"/>
        <v>1.2012</v>
      </c>
      <c r="V31">
        <f>IF(M31&gt;=3,INDEX(Windows!$B$4:$B$84,MATCH(N31,Windows!$B$4:$B$84,0)+2),0)</f>
        <v>0</v>
      </c>
      <c r="W31" t="e">
        <f>VLOOKUP(V31,Windows!$B$4:$D$84,2,FALSE)/1000</f>
        <v>#N/A</v>
      </c>
      <c r="X31" t="e">
        <f>VLOOKUP(V31,Windows!$B$4:$D$84,3,FALSE)/1000</f>
        <v>#N/A</v>
      </c>
      <c r="Y31">
        <f t="shared" si="18"/>
        <v>0</v>
      </c>
      <c r="Z31">
        <f>IF(M31&gt;=4,INDEX(Windows!$B$4:$B$84,MATCH(N31,Windows!$B$4:$B$84,0)+3),0)</f>
        <v>0</v>
      </c>
      <c r="AA31" t="e">
        <f>VLOOKUP(Z31,Windows!$B$4:$D$84,2,FALSE)/1000</f>
        <v>#N/A</v>
      </c>
      <c r="AB31" t="e">
        <f>VLOOKUP(Z31,Windows!$B$4:$D$84,3,FALSE)/1000</f>
        <v>#N/A</v>
      </c>
      <c r="AC31">
        <f t="shared" si="19"/>
        <v>0</v>
      </c>
      <c r="AD31">
        <f t="shared" si="20"/>
        <v>312</v>
      </c>
      <c r="AE31">
        <f t="shared" si="21"/>
        <v>3.5376000000000003</v>
      </c>
      <c r="AG31">
        <f t="shared" si="22"/>
        <v>2.95</v>
      </c>
      <c r="AH31">
        <f>AG31*Konstanten!$B$4</f>
        <v>12.537500000000001</v>
      </c>
      <c r="AI31">
        <f t="shared" si="23"/>
        <v>8.9999000000000002</v>
      </c>
      <c r="AJ31">
        <f t="shared" si="24"/>
        <v>14.850000000000001</v>
      </c>
      <c r="AK31">
        <f>AJ31*Konstanten!$B$3</f>
        <v>37.125</v>
      </c>
      <c r="AM31">
        <f t="shared" si="25"/>
        <v>0</v>
      </c>
      <c r="AN31">
        <f t="shared" si="26"/>
        <v>0</v>
      </c>
      <c r="AR31" s="8"/>
      <c r="BA31" s="4"/>
    </row>
    <row r="32" spans="1:53" x14ac:dyDescent="0.25">
      <c r="A32">
        <v>31</v>
      </c>
      <c r="B32">
        <v>3</v>
      </c>
      <c r="C32" t="s">
        <v>23</v>
      </c>
      <c r="D32" t="s">
        <v>140</v>
      </c>
      <c r="F32">
        <v>16.7</v>
      </c>
      <c r="G32">
        <v>312</v>
      </c>
      <c r="H32">
        <v>57</v>
      </c>
      <c r="I32" t="s">
        <v>201</v>
      </c>
      <c r="J32">
        <f>57+2*119</f>
        <v>295</v>
      </c>
      <c r="L32">
        <f>Konstanten!$B$3</f>
        <v>2.5</v>
      </c>
      <c r="M32">
        <f>COUNTIF(Windows!$A$4:$A$84,D32)</f>
        <v>4</v>
      </c>
      <c r="N32" t="str">
        <f>VLOOKUP(D32,Windows!$A$4:$D$84,2,FALSE)</f>
        <v>IU4,5-o</v>
      </c>
      <c r="O32">
        <f>VLOOKUP(N32,Windows!$B$4:$D$84,2,FALSE)/1000</f>
        <v>0.44</v>
      </c>
      <c r="P32">
        <f>VLOOKUP(N32,Windows!$B$4:$D$84,3,FALSE)/1000</f>
        <v>1.32</v>
      </c>
      <c r="Q32">
        <f t="shared" si="16"/>
        <v>0.58079999999999998</v>
      </c>
      <c r="R32" t="str">
        <f>IF(M32&gt;=2,INDEX(Windows!$B$4:$B$84,MATCH(N32,Windows!$B$4:$B$84,0)+1),0)</f>
        <v>IU4-v</v>
      </c>
      <c r="S32">
        <f>VLOOKUP(R32,Windows!$B$4:$D$84,2,FALSE)/1000</f>
        <v>0.37</v>
      </c>
      <c r="T32">
        <f>VLOOKUP(R32,Windows!$B$4:$D$84,3,FALSE)/1000</f>
        <v>1.32</v>
      </c>
      <c r="U32">
        <f t="shared" si="17"/>
        <v>0.4884</v>
      </c>
      <c r="V32" t="str">
        <f>IF(M32&gt;=3,INDEX(Windows!$B$4:$B$84,MATCH(N32,Windows!$B$4:$B$84,0)+2),0)</f>
        <v>IU8-o</v>
      </c>
      <c r="W32">
        <f>VLOOKUP(V32,Windows!$B$4:$D$84,2,FALSE)/1000</f>
        <v>0.82</v>
      </c>
      <c r="X32">
        <f>VLOOKUP(V32,Windows!$B$4:$D$84,3,FALSE)/1000</f>
        <v>1.32</v>
      </c>
      <c r="Y32">
        <f t="shared" si="18"/>
        <v>1.0824</v>
      </c>
      <c r="Z32" t="str">
        <f>IF(M32&gt;=4,INDEX(Windows!$B$4:$B$84,MATCH(N32,Windows!$B$4:$B$84,0)+3),0)</f>
        <v>IU9-v</v>
      </c>
      <c r="AA32">
        <f>VLOOKUP(Z32,Windows!$B$4:$D$84,2,FALSE)/1000</f>
        <v>0.91</v>
      </c>
      <c r="AB32">
        <f>VLOOKUP(Z32,Windows!$B$4:$D$84,3,FALSE)/1000</f>
        <v>1.32</v>
      </c>
      <c r="AC32">
        <f t="shared" si="19"/>
        <v>1.2012</v>
      </c>
      <c r="AD32">
        <f t="shared" si="20"/>
        <v>312</v>
      </c>
      <c r="AE32">
        <f t="shared" si="21"/>
        <v>3.3528000000000002</v>
      </c>
      <c r="AG32">
        <f t="shared" si="22"/>
        <v>2.85</v>
      </c>
      <c r="AH32">
        <f>AG32*Konstanten!$B$4</f>
        <v>12.112500000000001</v>
      </c>
      <c r="AI32">
        <f t="shared" si="23"/>
        <v>8.7597000000000005</v>
      </c>
      <c r="AJ32">
        <f t="shared" si="24"/>
        <v>14.75</v>
      </c>
      <c r="AK32">
        <f>AJ32*Konstanten!$B$3</f>
        <v>36.875</v>
      </c>
      <c r="AM32">
        <f t="shared" si="25"/>
        <v>0</v>
      </c>
      <c r="AN32">
        <f t="shared" si="26"/>
        <v>0</v>
      </c>
      <c r="AR32" s="8"/>
      <c r="BA32" s="4"/>
    </row>
    <row r="33" spans="1:53" x14ac:dyDescent="0.25">
      <c r="A33">
        <v>32</v>
      </c>
      <c r="B33">
        <v>3</v>
      </c>
      <c r="C33" t="s">
        <v>23</v>
      </c>
      <c r="D33" t="s">
        <v>135</v>
      </c>
      <c r="F33">
        <v>16.7</v>
      </c>
      <c r="G33">
        <v>312</v>
      </c>
      <c r="H33">
        <v>57</v>
      </c>
      <c r="I33" t="s">
        <v>201</v>
      </c>
      <c r="J33">
        <f>57+2*119</f>
        <v>295</v>
      </c>
      <c r="L33">
        <f>Konstanten!$B$3</f>
        <v>2.5</v>
      </c>
      <c r="M33">
        <f>COUNTIF(Windows!$A$4:$A$84,D33)</f>
        <v>2</v>
      </c>
      <c r="N33" t="str">
        <f>VLOOKUP(D33,Windows!$A$4:$D$84,2,FALSE)</f>
        <v>IU17,5-v</v>
      </c>
      <c r="O33">
        <f>VLOOKUP(N33,Windows!$B$4:$D$84,2,FALSE)/1000</f>
        <v>1.73</v>
      </c>
      <c r="P33">
        <f>VLOOKUP(N33,Windows!$B$4:$D$84,3,FALSE)/1000</f>
        <v>1.32</v>
      </c>
      <c r="Q33">
        <f t="shared" si="16"/>
        <v>2.2836000000000003</v>
      </c>
      <c r="R33" t="str">
        <f>IF(M33&gt;=2,INDEX(Windows!$B$4:$B$84,MATCH(N33,Windows!$B$4:$B$84,0)+1),0)</f>
        <v>IU9,5-o</v>
      </c>
      <c r="S33">
        <f>VLOOKUP(R33,Windows!$B$4:$D$84,2,FALSE)/1000</f>
        <v>0.96</v>
      </c>
      <c r="T33">
        <f>VLOOKUP(R33,Windows!$B$4:$D$84,3,FALSE)/1000</f>
        <v>1.32</v>
      </c>
      <c r="U33">
        <f t="shared" si="17"/>
        <v>1.2672000000000001</v>
      </c>
      <c r="V33">
        <f>IF(M33&gt;=3,INDEX(Windows!$B$4:$B$84,MATCH(N33,Windows!$B$4:$B$84,0)+2),0)</f>
        <v>0</v>
      </c>
      <c r="W33" t="e">
        <f>VLOOKUP(V33,Windows!$B$4:$D$84,2,FALSE)/1000</f>
        <v>#N/A</v>
      </c>
      <c r="X33" t="e">
        <f>VLOOKUP(V33,Windows!$B$4:$D$84,3,FALSE)/1000</f>
        <v>#N/A</v>
      </c>
      <c r="Y33">
        <f t="shared" si="18"/>
        <v>0</v>
      </c>
      <c r="Z33">
        <f>IF(M33&gt;=4,INDEX(Windows!$B$4:$B$84,MATCH(N33,Windows!$B$4:$B$84,0)+3),0)</f>
        <v>0</v>
      </c>
      <c r="AA33" t="e">
        <f>VLOOKUP(Z33,Windows!$B$4:$D$84,2,FALSE)/1000</f>
        <v>#N/A</v>
      </c>
      <c r="AB33" t="e">
        <f>VLOOKUP(Z33,Windows!$B$4:$D$84,3,FALSE)/1000</f>
        <v>#N/A</v>
      </c>
      <c r="AC33">
        <f t="shared" si="19"/>
        <v>0</v>
      </c>
      <c r="AD33">
        <f t="shared" si="20"/>
        <v>312</v>
      </c>
      <c r="AE33">
        <f t="shared" si="21"/>
        <v>3.5508000000000006</v>
      </c>
      <c r="AG33">
        <f t="shared" si="22"/>
        <v>2.85</v>
      </c>
      <c r="AH33">
        <f>AG33*Konstanten!$B$4</f>
        <v>12.112500000000001</v>
      </c>
      <c r="AI33">
        <f t="shared" si="23"/>
        <v>8.5617000000000001</v>
      </c>
      <c r="AJ33">
        <f t="shared" si="24"/>
        <v>14.75</v>
      </c>
      <c r="AK33">
        <f>AJ33*Konstanten!$B$3</f>
        <v>36.875</v>
      </c>
      <c r="AM33">
        <f t="shared" si="25"/>
        <v>0</v>
      </c>
      <c r="AN33">
        <f t="shared" si="26"/>
        <v>0</v>
      </c>
      <c r="AR33" s="8"/>
      <c r="BA33" s="4"/>
    </row>
    <row r="34" spans="1:53" x14ac:dyDescent="0.25">
      <c r="A34">
        <v>33</v>
      </c>
      <c r="B34">
        <v>3</v>
      </c>
      <c r="C34" t="s">
        <v>23</v>
      </c>
      <c r="D34" t="s">
        <v>117</v>
      </c>
      <c r="F34">
        <v>16.7</v>
      </c>
      <c r="G34">
        <v>312</v>
      </c>
      <c r="H34">
        <v>57</v>
      </c>
      <c r="I34" t="s">
        <v>201</v>
      </c>
      <c r="J34">
        <f>57+2*119</f>
        <v>295</v>
      </c>
      <c r="L34">
        <f>Konstanten!$B$3</f>
        <v>2.5</v>
      </c>
      <c r="M34">
        <f>COUNTIF(Windows!$A$4:$A$84,D34)</f>
        <v>3</v>
      </c>
      <c r="N34" t="str">
        <f>VLOOKUP(D34,Windows!$A$4:$D$84,2,FALSE)</f>
        <v>IU11-v</v>
      </c>
      <c r="O34">
        <f>VLOOKUP(N34,Windows!$B$4:$D$84,2,FALSE)/1000</f>
        <v>1.1200000000000001</v>
      </c>
      <c r="P34">
        <f>VLOOKUP(N34,Windows!$B$4:$D$84,3,FALSE)/1000</f>
        <v>1.32</v>
      </c>
      <c r="Q34">
        <f t="shared" si="16"/>
        <v>1.4784000000000002</v>
      </c>
      <c r="R34" t="str">
        <f>IF(M34&gt;=2,INDEX(Windows!$B$4:$B$84,MATCH(N34,Windows!$B$4:$B$84,0)+1),0)</f>
        <v>IU9-o</v>
      </c>
      <c r="S34">
        <f>VLOOKUP(R34,Windows!$B$4:$D$84,2,FALSE)/1000</f>
        <v>0.89500000000000002</v>
      </c>
      <c r="T34">
        <f>VLOOKUP(R34,Windows!$B$4:$D$84,3,FALSE)/1000</f>
        <v>1.32</v>
      </c>
      <c r="U34">
        <f t="shared" si="17"/>
        <v>1.1814</v>
      </c>
      <c r="V34" t="str">
        <f>IF(M34&gt;=3,INDEX(Windows!$B$4:$B$84,MATCH(N34,Windows!$B$4:$B$84,0)+2),0)</f>
        <v>IU9-v</v>
      </c>
      <c r="W34">
        <f>VLOOKUP(V34,Windows!$B$4:$D$84,2,FALSE)/1000</f>
        <v>0.91</v>
      </c>
      <c r="X34">
        <f>VLOOKUP(V34,Windows!$B$4:$D$84,3,FALSE)/1000</f>
        <v>1.32</v>
      </c>
      <c r="Y34">
        <f t="shared" si="18"/>
        <v>1.2012</v>
      </c>
      <c r="Z34">
        <f>IF(M34&gt;=4,INDEX(Windows!$B$4:$B$84,MATCH(N34,Windows!$B$4:$B$84,0)+3),0)</f>
        <v>0</v>
      </c>
      <c r="AA34" t="e">
        <f>VLOOKUP(Z34,Windows!$B$4:$D$84,2,FALSE)/1000</f>
        <v>#N/A</v>
      </c>
      <c r="AB34" t="e">
        <f>VLOOKUP(Z34,Windows!$B$4:$D$84,3,FALSE)/1000</f>
        <v>#N/A</v>
      </c>
      <c r="AC34">
        <f t="shared" si="19"/>
        <v>0</v>
      </c>
      <c r="AD34">
        <f t="shared" si="20"/>
        <v>312</v>
      </c>
      <c r="AE34">
        <f t="shared" si="21"/>
        <v>3.8610000000000002</v>
      </c>
      <c r="AG34">
        <f t="shared" si="22"/>
        <v>2.85</v>
      </c>
      <c r="AH34">
        <f>AG34*Konstanten!$B$4</f>
        <v>12.112500000000001</v>
      </c>
      <c r="AI34">
        <f t="shared" si="23"/>
        <v>8.2515000000000001</v>
      </c>
      <c r="AJ34">
        <f t="shared" si="24"/>
        <v>14.75</v>
      </c>
      <c r="AK34">
        <f>AJ34*Konstanten!$B$3</f>
        <v>36.875</v>
      </c>
      <c r="AM34">
        <f t="shared" si="25"/>
        <v>0</v>
      </c>
      <c r="AN34">
        <f t="shared" si="26"/>
        <v>0</v>
      </c>
      <c r="AR34" s="8"/>
      <c r="BA34" s="4"/>
    </row>
    <row r="35" spans="1:53" x14ac:dyDescent="0.25">
      <c r="A35">
        <v>34</v>
      </c>
      <c r="B35">
        <v>3</v>
      </c>
      <c r="C35" t="s">
        <v>23</v>
      </c>
      <c r="D35" t="s">
        <v>122</v>
      </c>
      <c r="F35">
        <v>19.2</v>
      </c>
      <c r="G35">
        <v>312</v>
      </c>
      <c r="H35">
        <v>57</v>
      </c>
      <c r="I35" t="s">
        <v>201</v>
      </c>
      <c r="J35">
        <f>57+2*143</f>
        <v>343</v>
      </c>
      <c r="L35">
        <f>Konstanten!$B$3</f>
        <v>2.5</v>
      </c>
      <c r="M35">
        <f>COUNTIF(Windows!$A$4:$A$84,D35)</f>
        <v>2</v>
      </c>
      <c r="N35" t="str">
        <f>VLOOKUP(D35,Windows!$A$4:$D$84,2,FALSE)</f>
        <v>IU13,5-o</v>
      </c>
      <c r="O35">
        <f>VLOOKUP(N35,Windows!$B$4:$D$84,2,FALSE)/1000</f>
        <v>1.37</v>
      </c>
      <c r="P35">
        <f>VLOOKUP(N35,Windows!$B$4:$D$84,3,FALSE)/1000</f>
        <v>1.32</v>
      </c>
      <c r="Q35">
        <f t="shared" si="16"/>
        <v>1.8084000000000002</v>
      </c>
      <c r="R35" t="str">
        <f>IF(M35&gt;=2,INDEX(Windows!$B$4:$B$84,MATCH(N35,Windows!$B$4:$B$84,0)+1),0)</f>
        <v>IU13,5-v</v>
      </c>
      <c r="S35">
        <f>VLOOKUP(R35,Windows!$B$4:$D$84,2,FALSE)/1000</f>
        <v>1.37</v>
      </c>
      <c r="T35">
        <f>VLOOKUP(R35,Windows!$B$4:$D$84,3,FALSE)/1000</f>
        <v>1.32</v>
      </c>
      <c r="U35">
        <f t="shared" si="17"/>
        <v>1.8084000000000002</v>
      </c>
      <c r="V35">
        <f>IF(M35&gt;=3,INDEX(Windows!$B$4:$B$84,MATCH(N35,Windows!$B$4:$B$84,0)+2),0)</f>
        <v>0</v>
      </c>
      <c r="W35" t="e">
        <f>VLOOKUP(V35,Windows!$B$4:$D$84,2,FALSE)/1000</f>
        <v>#N/A</v>
      </c>
      <c r="X35" t="e">
        <f>VLOOKUP(V35,Windows!$B$4:$D$84,3,FALSE)/1000</f>
        <v>#N/A</v>
      </c>
      <c r="Y35">
        <f t="shared" si="18"/>
        <v>0</v>
      </c>
      <c r="Z35">
        <f>IF(M35&gt;=4,INDEX(Windows!$B$4:$B$84,MATCH(N35,Windows!$B$4:$B$84,0)+3),0)</f>
        <v>0</v>
      </c>
      <c r="AA35" t="e">
        <f>VLOOKUP(Z35,Windows!$B$4:$D$84,2,FALSE)/1000</f>
        <v>#N/A</v>
      </c>
      <c r="AB35" t="e">
        <f>VLOOKUP(Z35,Windows!$B$4:$D$84,3,FALSE)/1000</f>
        <v>#N/A</v>
      </c>
      <c r="AC35">
        <f t="shared" si="19"/>
        <v>0</v>
      </c>
      <c r="AD35">
        <f>IF(M35&gt;0,G35,"N/A")</f>
        <v>312</v>
      </c>
      <c r="AE35">
        <f t="shared" si="21"/>
        <v>3.6168000000000005</v>
      </c>
      <c r="AG35">
        <f>H35*50/1000</f>
        <v>2.85</v>
      </c>
      <c r="AH35">
        <f>AG35*Konstanten!$B$4</f>
        <v>12.112500000000001</v>
      </c>
      <c r="AI35">
        <f>IF(AH35-AE35&lt;=0, 0, AH35-AE35)</f>
        <v>8.4956999999999994</v>
      </c>
      <c r="AJ35">
        <f>50/1000*J35</f>
        <v>17.150000000000002</v>
      </c>
      <c r="AK35">
        <f>AJ35*Konstanten!$B$3</f>
        <v>42.875000000000007</v>
      </c>
      <c r="AM35">
        <f>IF(B35=9,1,0)</f>
        <v>0</v>
      </c>
      <c r="AN35">
        <f>IF(B35=1,1,0)</f>
        <v>0</v>
      </c>
      <c r="AR35" s="8"/>
      <c r="BA35" s="4"/>
    </row>
    <row r="36" spans="1:53" x14ac:dyDescent="0.25">
      <c r="A36">
        <v>35</v>
      </c>
      <c r="B36">
        <v>3</v>
      </c>
      <c r="C36" t="s">
        <v>20</v>
      </c>
      <c r="D36" t="s">
        <v>134</v>
      </c>
      <c r="F36">
        <v>16.399999999999999</v>
      </c>
      <c r="G36">
        <v>312</v>
      </c>
      <c r="H36">
        <v>45</v>
      </c>
      <c r="I36" t="s">
        <v>201</v>
      </c>
      <c r="J36">
        <f>45+2*143</f>
        <v>331</v>
      </c>
      <c r="L36">
        <f>Konstanten!$B$3</f>
        <v>2.5</v>
      </c>
      <c r="M36">
        <f>COUNTIF(Windows!$A$4:$A$84,D36)</f>
        <v>1</v>
      </c>
      <c r="N36" t="str">
        <f>VLOOKUP(D36,Windows!$A$4:$D$84,2,FALSE)</f>
        <v>IU17,5-v+VTL3-o</v>
      </c>
      <c r="O36">
        <f>VLOOKUP(N36,Windows!$B$4:$D$84,2,FALSE)/1000</f>
        <v>2.0249999999999999</v>
      </c>
      <c r="P36">
        <f>VLOOKUP(N36,Windows!$B$4:$D$84,3,FALSE)/1000</f>
        <v>1.32</v>
      </c>
      <c r="Q36">
        <f t="shared" si="16"/>
        <v>2.673</v>
      </c>
      <c r="R36">
        <f>IF(M36&gt;=2,INDEX(Windows!$B$4:$B$84,MATCH(N36,Windows!$B$4:$B$84,0)+1),0)</f>
        <v>0</v>
      </c>
      <c r="S36" t="e">
        <f>VLOOKUP(R36,Windows!$B$4:$D$84,2,FALSE)/1000</f>
        <v>#N/A</v>
      </c>
      <c r="T36" t="e">
        <f>VLOOKUP(R36,Windows!$B$4:$D$84,3,FALSE)/1000</f>
        <v>#N/A</v>
      </c>
      <c r="U36">
        <f t="shared" si="17"/>
        <v>0</v>
      </c>
      <c r="V36">
        <f>IF(M36&gt;=3,INDEX(Windows!$B$4:$B$84,MATCH(N36,Windows!$B$4:$B$84,0)+2),0)</f>
        <v>0</v>
      </c>
      <c r="W36" t="e">
        <f>VLOOKUP(V36,Windows!$B$4:$D$84,2,FALSE)/1000</f>
        <v>#N/A</v>
      </c>
      <c r="X36" t="e">
        <f>VLOOKUP(V36,Windows!$B$4:$D$84,3,FALSE)/1000</f>
        <v>#N/A</v>
      </c>
      <c r="Y36">
        <f t="shared" si="18"/>
        <v>0</v>
      </c>
      <c r="Z36">
        <f>IF(M36&gt;=4,INDEX(Windows!$B$4:$B$84,MATCH(N36,Windows!$B$4:$B$84,0)+3),0)</f>
        <v>0</v>
      </c>
      <c r="AA36" t="e">
        <f>VLOOKUP(Z36,Windows!$B$4:$D$84,2,FALSE)/1000</f>
        <v>#N/A</v>
      </c>
      <c r="AB36" t="e">
        <f>VLOOKUP(Z36,Windows!$B$4:$D$84,3,FALSE)/1000</f>
        <v>#N/A</v>
      </c>
      <c r="AC36">
        <f t="shared" si="19"/>
        <v>0</v>
      </c>
      <c r="AD36">
        <f>IF(M36&gt;0,G36,"N/A")</f>
        <v>312</v>
      </c>
      <c r="AE36">
        <f t="shared" si="21"/>
        <v>2.673</v>
      </c>
      <c r="AG36">
        <f>H36*50/1000</f>
        <v>2.25</v>
      </c>
      <c r="AH36">
        <f>AG36*Konstanten!$B$4</f>
        <v>9.5625</v>
      </c>
      <c r="AI36">
        <f>IF(AH36-AE36&lt;=0, 0, AH36-AE36)</f>
        <v>6.8895</v>
      </c>
      <c r="AJ36">
        <f>50/1000*J36</f>
        <v>16.55</v>
      </c>
      <c r="AK36">
        <f>AJ36*Konstanten!$B$3</f>
        <v>41.375</v>
      </c>
      <c r="AM36">
        <f>IF(B36=9,1,0)</f>
        <v>0</v>
      </c>
      <c r="AN36">
        <f>IF(B36=1,1,0)</f>
        <v>0</v>
      </c>
      <c r="AR36" s="8"/>
      <c r="BA36" s="4"/>
    </row>
    <row r="37" spans="1:53" x14ac:dyDescent="0.25">
      <c r="A37">
        <v>36</v>
      </c>
      <c r="B37">
        <v>3</v>
      </c>
      <c r="C37" t="s">
        <v>65</v>
      </c>
      <c r="D37" t="s">
        <v>221</v>
      </c>
      <c r="F37">
        <v>8</v>
      </c>
      <c r="G37">
        <v>42</v>
      </c>
      <c r="H37">
        <v>31</v>
      </c>
      <c r="I37" t="s">
        <v>201</v>
      </c>
      <c r="J37">
        <f>31+2*104</f>
        <v>239</v>
      </c>
      <c r="L37">
        <f>Konstanten!$B$3</f>
        <v>2.5</v>
      </c>
      <c r="M37">
        <f>COUNTIF(Windows!$A$4:$A$84,D37)</f>
        <v>0</v>
      </c>
      <c r="N37" t="e">
        <f>VLOOKUP(D37,Windows!$A$4:$D$84,2,FALSE)</f>
        <v>#N/A</v>
      </c>
      <c r="O37" t="e">
        <f>VLOOKUP(N37,Windows!$B$4:$D$84,2,FALSE)/1000</f>
        <v>#N/A</v>
      </c>
      <c r="P37" t="e">
        <f>VLOOKUP(N37,Windows!$B$4:$D$84,3,FALSE)/1000</f>
        <v>#N/A</v>
      </c>
      <c r="Q37">
        <f t="shared" si="16"/>
        <v>0</v>
      </c>
      <c r="R37">
        <f>IF(M37&gt;=2,INDEX(Windows!$B$4:$B$84,MATCH(N37,Windows!$B$4:$B$84,0)+1),0)</f>
        <v>0</v>
      </c>
      <c r="S37" t="e">
        <f>VLOOKUP(R37,Windows!$B$4:$D$84,2,FALSE)/1000</f>
        <v>#N/A</v>
      </c>
      <c r="T37" t="e">
        <f>VLOOKUP(R37,Windows!$B$4:$D$84,3,FALSE)/1000</f>
        <v>#N/A</v>
      </c>
      <c r="U37">
        <f t="shared" si="17"/>
        <v>0</v>
      </c>
      <c r="V37">
        <f>IF(M37&gt;=3,INDEX(Windows!$B$4:$B$84,MATCH(N37,Windows!$B$4:$B$84,0)+2),0)</f>
        <v>0</v>
      </c>
      <c r="W37" t="e">
        <f>VLOOKUP(V37,Windows!$B$4:$D$84,2,FALSE)/1000</f>
        <v>#N/A</v>
      </c>
      <c r="X37" t="e">
        <f>VLOOKUP(V37,Windows!$B$4:$D$84,3,FALSE)/1000</f>
        <v>#N/A</v>
      </c>
      <c r="Y37">
        <f t="shared" si="18"/>
        <v>0</v>
      </c>
      <c r="Z37">
        <f>IF(M37&gt;=4,INDEX(Windows!$B$4:$B$84,MATCH(N37,Windows!$B$4:$B$84,0)+3),0)</f>
        <v>0</v>
      </c>
      <c r="AA37" t="e">
        <f>VLOOKUP(Z37,Windows!$B$4:$D$84,2,FALSE)/1000</f>
        <v>#N/A</v>
      </c>
      <c r="AB37" t="e">
        <f>VLOOKUP(Z37,Windows!$B$4:$D$84,3,FALSE)/1000</f>
        <v>#N/A</v>
      </c>
      <c r="AC37">
        <f t="shared" si="19"/>
        <v>0</v>
      </c>
      <c r="AD37" t="str">
        <f>IF(M37&gt;0,G37,"N/A")</f>
        <v>N/A</v>
      </c>
      <c r="AE37">
        <f t="shared" si="21"/>
        <v>0</v>
      </c>
      <c r="AG37">
        <f>H37*50/1000</f>
        <v>1.55</v>
      </c>
      <c r="AH37">
        <f>AG37*Konstanten!$B$4</f>
        <v>6.5875000000000004</v>
      </c>
      <c r="AI37">
        <f>IF(AH37-AE37&lt;=0, 0, AH37-AE37)</f>
        <v>6.5875000000000004</v>
      </c>
      <c r="AJ37">
        <f>50/1000*J37</f>
        <v>11.950000000000001</v>
      </c>
      <c r="AK37">
        <f>AJ37*Konstanten!$B$3</f>
        <v>29.875000000000004</v>
      </c>
      <c r="AM37">
        <f>IF(B37=9,1,0)</f>
        <v>0</v>
      </c>
      <c r="AN37">
        <f>IF(B37=1,1,0)</f>
        <v>0</v>
      </c>
      <c r="AR37" s="8"/>
      <c r="BA37" s="4"/>
    </row>
    <row r="38" spans="1:53" x14ac:dyDescent="0.25">
      <c r="A38">
        <v>37</v>
      </c>
      <c r="B38">
        <v>3</v>
      </c>
      <c r="C38" t="s">
        <v>65</v>
      </c>
      <c r="D38" t="s">
        <v>222</v>
      </c>
      <c r="F38">
        <v>8.4</v>
      </c>
      <c r="G38" t="s">
        <v>202</v>
      </c>
      <c r="H38">
        <v>0</v>
      </c>
      <c r="J38">
        <f>2*(37+97)</f>
        <v>268</v>
      </c>
      <c r="L38">
        <f>Konstanten!$B$3</f>
        <v>2.5</v>
      </c>
      <c r="M38">
        <f>COUNTIF(Windows!$A$4:$A$84,D38)</f>
        <v>0</v>
      </c>
      <c r="N38" t="e">
        <f>VLOOKUP(D38,Windows!$A$4:$D$84,2,FALSE)</f>
        <v>#N/A</v>
      </c>
      <c r="O38" t="e">
        <f>VLOOKUP(N38,Windows!$B$4:$D$84,2,FALSE)/1000</f>
        <v>#N/A</v>
      </c>
      <c r="P38" t="e">
        <f>VLOOKUP(N38,Windows!$B$4:$D$84,3,FALSE)/1000</f>
        <v>#N/A</v>
      </c>
      <c r="Q38">
        <f t="shared" si="16"/>
        <v>0</v>
      </c>
      <c r="R38">
        <f>IF(M38&gt;=2,INDEX(Windows!$B$4:$B$84,MATCH(N38,Windows!$B$4:$B$84,0)+1),0)</f>
        <v>0</v>
      </c>
      <c r="S38" t="e">
        <f>VLOOKUP(R38,Windows!$B$4:$D$84,2,FALSE)/1000</f>
        <v>#N/A</v>
      </c>
      <c r="T38" t="e">
        <f>VLOOKUP(R38,Windows!$B$4:$D$84,3,FALSE)/1000</f>
        <v>#N/A</v>
      </c>
      <c r="U38">
        <f t="shared" si="17"/>
        <v>0</v>
      </c>
      <c r="V38">
        <f>IF(M38&gt;=3,INDEX(Windows!$B$4:$B$84,MATCH(N38,Windows!$B$4:$B$84,0)+2),0)</f>
        <v>0</v>
      </c>
      <c r="W38" t="e">
        <f>VLOOKUP(V38,Windows!$B$4:$D$84,2,FALSE)/1000</f>
        <v>#N/A</v>
      </c>
      <c r="X38" t="e">
        <f>VLOOKUP(V38,Windows!$B$4:$D$84,3,FALSE)/1000</f>
        <v>#N/A</v>
      </c>
      <c r="Y38">
        <f t="shared" si="18"/>
        <v>0</v>
      </c>
      <c r="Z38">
        <f>IF(M38&gt;=4,INDEX(Windows!$B$4:$B$84,MATCH(N38,Windows!$B$4:$B$84,0)+3),0)</f>
        <v>0</v>
      </c>
      <c r="AA38" t="e">
        <f>VLOOKUP(Z38,Windows!$B$4:$D$84,2,FALSE)/1000</f>
        <v>#N/A</v>
      </c>
      <c r="AB38" t="e">
        <f>VLOOKUP(Z38,Windows!$B$4:$D$84,3,FALSE)/1000</f>
        <v>#N/A</v>
      </c>
      <c r="AC38">
        <f t="shared" si="19"/>
        <v>0</v>
      </c>
      <c r="AD38" t="str">
        <f>IF(M38&gt;0,G38,"N/A")</f>
        <v>N/A</v>
      </c>
      <c r="AE38">
        <f t="shared" si="21"/>
        <v>0</v>
      </c>
      <c r="AG38">
        <f>H38*50/1000</f>
        <v>0</v>
      </c>
      <c r="AH38">
        <f>AG38*Konstanten!$B$4</f>
        <v>0</v>
      </c>
      <c r="AI38">
        <f>IF(AH38-AE38&lt;=0, 0, AH38-AE38)</f>
        <v>0</v>
      </c>
      <c r="AJ38">
        <f>50/1000*J38</f>
        <v>13.4</v>
      </c>
      <c r="AK38">
        <f>AJ38*Konstanten!$B$3</f>
        <v>33.5</v>
      </c>
      <c r="AM38">
        <f>IF(B38=9,1,0)</f>
        <v>0</v>
      </c>
      <c r="AN38">
        <f>IF(B38=1,1,0)</f>
        <v>0</v>
      </c>
      <c r="AR38" s="8"/>
      <c r="BA38" s="4"/>
    </row>
    <row r="39" spans="1:53" x14ac:dyDescent="0.25">
      <c r="A39">
        <v>38</v>
      </c>
      <c r="B39">
        <v>3</v>
      </c>
      <c r="C39" t="s">
        <v>23</v>
      </c>
      <c r="D39" t="s">
        <v>223</v>
      </c>
      <c r="F39">
        <v>17.2</v>
      </c>
      <c r="G39" t="s">
        <v>202</v>
      </c>
      <c r="H39">
        <v>0</v>
      </c>
      <c r="J39">
        <f>2*(71+99)</f>
        <v>340</v>
      </c>
      <c r="L39">
        <f>Konstanten!$B$3</f>
        <v>2.5</v>
      </c>
      <c r="M39">
        <f>COUNTIF(Windows!$A$4:$A$84,D39)</f>
        <v>0</v>
      </c>
      <c r="N39" t="e">
        <f>VLOOKUP(D39,Windows!$A$4:$D$84,2,FALSE)</f>
        <v>#N/A</v>
      </c>
      <c r="O39" t="e">
        <f>VLOOKUP(N39,Windows!$B$4:$D$84,2,FALSE)/1000</f>
        <v>#N/A</v>
      </c>
      <c r="P39" t="e">
        <f>VLOOKUP(N39,Windows!$B$4:$D$84,3,FALSE)/1000</f>
        <v>#N/A</v>
      </c>
      <c r="Q39">
        <f t="shared" ref="Q39:Q42" si="28">IF(ISNA(P39*O39),0,O39*P39)</f>
        <v>0</v>
      </c>
      <c r="R39">
        <f>IF(M39&gt;=2,INDEX(Windows!$B$4:$B$84,MATCH(N39,Windows!$B$4:$B$84,0)+1),0)</f>
        <v>0</v>
      </c>
      <c r="S39" t="e">
        <f>VLOOKUP(R39,Windows!$B$4:$D$84,2,FALSE)/1000</f>
        <v>#N/A</v>
      </c>
      <c r="T39" t="e">
        <f>VLOOKUP(R39,Windows!$B$4:$D$84,3,FALSE)/1000</f>
        <v>#N/A</v>
      </c>
      <c r="U39">
        <f t="shared" ref="U39:U42" si="29">IF(ISNA(T39*S39),0,S39*T39)</f>
        <v>0</v>
      </c>
      <c r="V39">
        <f>IF(M39&gt;=3,INDEX(Windows!$B$4:$B$84,MATCH(N39,Windows!$B$4:$B$84,0)+2),0)</f>
        <v>0</v>
      </c>
      <c r="W39" t="e">
        <f>VLOOKUP(V39,Windows!$B$4:$D$84,2,FALSE)/1000</f>
        <v>#N/A</v>
      </c>
      <c r="X39" t="e">
        <f>VLOOKUP(V39,Windows!$B$4:$D$84,3,FALSE)/1000</f>
        <v>#N/A</v>
      </c>
      <c r="Y39">
        <f t="shared" ref="Y39:Y42" si="30">IF(ISNA(X39*W39),0,W39*X39)</f>
        <v>0</v>
      </c>
      <c r="Z39">
        <f>IF(M39&gt;=4,INDEX(Windows!$B$4:$B$84,MATCH(N39,Windows!$B$4:$B$84,0)+3),0)</f>
        <v>0</v>
      </c>
      <c r="AA39" t="e">
        <f>VLOOKUP(Z39,Windows!$B$4:$D$84,2,FALSE)/1000</f>
        <v>#N/A</v>
      </c>
      <c r="AB39" t="e">
        <f>VLOOKUP(Z39,Windows!$B$4:$D$84,3,FALSE)/1000</f>
        <v>#N/A</v>
      </c>
      <c r="AC39">
        <f t="shared" ref="AC39:AC42" si="31">IF(ISNA(AB39*AA39),0,AA39*AB39)</f>
        <v>0</v>
      </c>
      <c r="AD39" t="str">
        <f t="shared" ref="AD39:AD42" si="32">IF(M39&gt;0,G39,"N/A")</f>
        <v>N/A</v>
      </c>
      <c r="AE39">
        <f t="shared" ref="AE39:AE42" si="33">SUM(Q39,U39,Y39,AC39)</f>
        <v>0</v>
      </c>
      <c r="AG39">
        <f t="shared" ref="AG39:AG42" si="34">H39*50/1000</f>
        <v>0</v>
      </c>
      <c r="AH39">
        <f>AG39*Konstanten!$B$4</f>
        <v>0</v>
      </c>
      <c r="AI39">
        <f t="shared" ref="AI39:AI42" si="35">IF(AH39-AE39&lt;=0, 0, AH39-AE39)</f>
        <v>0</v>
      </c>
      <c r="AJ39">
        <f t="shared" ref="AJ39:AJ42" si="36">50/1000*J39</f>
        <v>17</v>
      </c>
      <c r="AK39">
        <f>AJ39*Konstanten!$B$3</f>
        <v>42.5</v>
      </c>
      <c r="AM39">
        <f t="shared" ref="AM39:AM42" si="37">IF(B39=9,1,0)</f>
        <v>0</v>
      </c>
      <c r="AN39">
        <f t="shared" ref="AN39:AN42" si="38">IF(B39=1,1,0)</f>
        <v>0</v>
      </c>
      <c r="AR39" s="8"/>
      <c r="BA39" s="4"/>
    </row>
    <row r="40" spans="1:53" x14ac:dyDescent="0.25">
      <c r="A40">
        <v>39</v>
      </c>
      <c r="B40">
        <v>3</v>
      </c>
      <c r="C40" t="s">
        <v>23</v>
      </c>
      <c r="D40" t="s">
        <v>224</v>
      </c>
      <c r="F40">
        <v>17.100000000000001</v>
      </c>
      <c r="G40" t="s">
        <v>202</v>
      </c>
      <c r="H40">
        <v>0</v>
      </c>
      <c r="J40">
        <f>2*(71+99)</f>
        <v>340</v>
      </c>
      <c r="L40">
        <f>Konstanten!$B$3</f>
        <v>2.5</v>
      </c>
      <c r="M40">
        <f>COUNTIF(Windows!$A$4:$A$84,D40)</f>
        <v>0</v>
      </c>
      <c r="N40" t="e">
        <f>VLOOKUP(D40,Windows!$A$4:$D$84,2,FALSE)</f>
        <v>#N/A</v>
      </c>
      <c r="O40" t="e">
        <f>VLOOKUP(N40,Windows!$B$4:$D$84,2,FALSE)/1000</f>
        <v>#N/A</v>
      </c>
      <c r="P40" t="e">
        <f>VLOOKUP(N40,Windows!$B$4:$D$84,3,FALSE)/1000</f>
        <v>#N/A</v>
      </c>
      <c r="Q40">
        <f t="shared" si="28"/>
        <v>0</v>
      </c>
      <c r="R40">
        <f>IF(M40&gt;=2,INDEX(Windows!$B$4:$B$84,MATCH(N40,Windows!$B$4:$B$84,0)+1),0)</f>
        <v>0</v>
      </c>
      <c r="S40" t="e">
        <f>VLOOKUP(R40,Windows!$B$4:$D$84,2,FALSE)/1000</f>
        <v>#N/A</v>
      </c>
      <c r="T40" t="e">
        <f>VLOOKUP(R40,Windows!$B$4:$D$84,3,FALSE)/1000</f>
        <v>#N/A</v>
      </c>
      <c r="U40">
        <f t="shared" si="29"/>
        <v>0</v>
      </c>
      <c r="V40">
        <f>IF(M40&gt;=3,INDEX(Windows!$B$4:$B$84,MATCH(N40,Windows!$B$4:$B$84,0)+2),0)</f>
        <v>0</v>
      </c>
      <c r="W40" t="e">
        <f>VLOOKUP(V40,Windows!$B$4:$D$84,2,FALSE)/1000</f>
        <v>#N/A</v>
      </c>
      <c r="X40" t="e">
        <f>VLOOKUP(V40,Windows!$B$4:$D$84,3,FALSE)/1000</f>
        <v>#N/A</v>
      </c>
      <c r="Y40">
        <f t="shared" si="30"/>
        <v>0</v>
      </c>
      <c r="Z40">
        <f>IF(M40&gt;=4,INDEX(Windows!$B$4:$B$84,MATCH(N40,Windows!$B$4:$B$84,0)+3),0)</f>
        <v>0</v>
      </c>
      <c r="AA40" t="e">
        <f>VLOOKUP(Z40,Windows!$B$4:$D$84,2,FALSE)/1000</f>
        <v>#N/A</v>
      </c>
      <c r="AB40" t="e">
        <f>VLOOKUP(Z40,Windows!$B$4:$D$84,3,FALSE)/1000</f>
        <v>#N/A</v>
      </c>
      <c r="AC40">
        <f t="shared" si="31"/>
        <v>0</v>
      </c>
      <c r="AD40" t="str">
        <f t="shared" si="32"/>
        <v>N/A</v>
      </c>
      <c r="AE40">
        <f t="shared" si="33"/>
        <v>0</v>
      </c>
      <c r="AG40">
        <f t="shared" si="34"/>
        <v>0</v>
      </c>
      <c r="AH40">
        <f>AG40*Konstanten!$B$4</f>
        <v>0</v>
      </c>
      <c r="AI40">
        <f t="shared" si="35"/>
        <v>0</v>
      </c>
      <c r="AJ40">
        <f t="shared" si="36"/>
        <v>17</v>
      </c>
      <c r="AK40">
        <f>AJ40*Konstanten!$B$3</f>
        <v>42.5</v>
      </c>
      <c r="AM40">
        <f t="shared" si="37"/>
        <v>0</v>
      </c>
      <c r="AN40">
        <f t="shared" si="38"/>
        <v>0</v>
      </c>
      <c r="AR40" s="8"/>
      <c r="BA40" s="4"/>
    </row>
    <row r="41" spans="1:53" x14ac:dyDescent="0.25">
      <c r="A41">
        <v>40</v>
      </c>
      <c r="B41">
        <v>3</v>
      </c>
      <c r="C41" t="s">
        <v>19</v>
      </c>
      <c r="D41" t="s">
        <v>225</v>
      </c>
      <c r="F41">
        <v>11.5</v>
      </c>
      <c r="G41" t="s">
        <v>202</v>
      </c>
      <c r="H41">
        <v>0</v>
      </c>
      <c r="J41">
        <f>2*(48+99)</f>
        <v>294</v>
      </c>
      <c r="L41">
        <f>Konstanten!$B$3</f>
        <v>2.5</v>
      </c>
      <c r="M41">
        <f>COUNTIF(Windows!$A$4:$A$84,D41)</f>
        <v>0</v>
      </c>
      <c r="N41" t="e">
        <f>VLOOKUP(D41,Windows!$A$4:$D$84,2,FALSE)</f>
        <v>#N/A</v>
      </c>
      <c r="O41" t="e">
        <f>VLOOKUP(N41,Windows!$B$4:$D$84,2,FALSE)/1000</f>
        <v>#N/A</v>
      </c>
      <c r="P41" t="e">
        <f>VLOOKUP(N41,Windows!$B$4:$D$84,3,FALSE)/1000</f>
        <v>#N/A</v>
      </c>
      <c r="Q41">
        <f t="shared" si="28"/>
        <v>0</v>
      </c>
      <c r="R41">
        <f>IF(M41&gt;=2,INDEX(Windows!$B$4:$B$84,MATCH(N41,Windows!$B$4:$B$84,0)+1),0)</f>
        <v>0</v>
      </c>
      <c r="S41" t="e">
        <f>VLOOKUP(R41,Windows!$B$4:$D$84,2,FALSE)/1000</f>
        <v>#N/A</v>
      </c>
      <c r="T41" t="e">
        <f>VLOOKUP(R41,Windows!$B$4:$D$84,3,FALSE)/1000</f>
        <v>#N/A</v>
      </c>
      <c r="U41">
        <f t="shared" si="29"/>
        <v>0</v>
      </c>
      <c r="V41">
        <f>IF(M41&gt;=3,INDEX(Windows!$B$4:$B$84,MATCH(N41,Windows!$B$4:$B$84,0)+2),0)</f>
        <v>0</v>
      </c>
      <c r="W41" t="e">
        <f>VLOOKUP(V41,Windows!$B$4:$D$84,2,FALSE)/1000</f>
        <v>#N/A</v>
      </c>
      <c r="X41" t="e">
        <f>VLOOKUP(V41,Windows!$B$4:$D$84,3,FALSE)/1000</f>
        <v>#N/A</v>
      </c>
      <c r="Y41">
        <f t="shared" si="30"/>
        <v>0</v>
      </c>
      <c r="Z41">
        <f>IF(M41&gt;=4,INDEX(Windows!$B$4:$B$84,MATCH(N41,Windows!$B$4:$B$84,0)+3),0)</f>
        <v>0</v>
      </c>
      <c r="AA41" t="e">
        <f>VLOOKUP(Z41,Windows!$B$4:$D$84,2,FALSE)/1000</f>
        <v>#N/A</v>
      </c>
      <c r="AB41" t="e">
        <f>VLOOKUP(Z41,Windows!$B$4:$D$84,3,FALSE)/1000</f>
        <v>#N/A</v>
      </c>
      <c r="AC41">
        <f t="shared" si="31"/>
        <v>0</v>
      </c>
      <c r="AD41" t="str">
        <f t="shared" si="32"/>
        <v>N/A</v>
      </c>
      <c r="AE41">
        <f t="shared" si="33"/>
        <v>0</v>
      </c>
      <c r="AG41">
        <f t="shared" si="34"/>
        <v>0</v>
      </c>
      <c r="AH41">
        <f>AG41*Konstanten!$B$4</f>
        <v>0</v>
      </c>
      <c r="AI41">
        <f t="shared" si="35"/>
        <v>0</v>
      </c>
      <c r="AJ41">
        <f t="shared" si="36"/>
        <v>14.700000000000001</v>
      </c>
      <c r="AK41">
        <f>AJ41*Konstanten!$B$3</f>
        <v>36.75</v>
      </c>
      <c r="AM41">
        <f t="shared" si="37"/>
        <v>0</v>
      </c>
      <c r="AN41">
        <f t="shared" si="38"/>
        <v>0</v>
      </c>
      <c r="AR41" s="8"/>
      <c r="BA41" s="4"/>
    </row>
    <row r="42" spans="1:53" x14ac:dyDescent="0.25">
      <c r="A42">
        <v>41</v>
      </c>
      <c r="B42">
        <v>3</v>
      </c>
      <c r="C42" t="s">
        <v>23</v>
      </c>
      <c r="D42" t="s">
        <v>226</v>
      </c>
      <c r="F42">
        <v>17.2</v>
      </c>
      <c r="G42" t="s">
        <v>202</v>
      </c>
      <c r="H42">
        <v>0</v>
      </c>
      <c r="J42">
        <f>2*(71+99)</f>
        <v>340</v>
      </c>
      <c r="L42">
        <f>Konstanten!$B$3</f>
        <v>2.5</v>
      </c>
      <c r="M42">
        <f>COUNTIF(Windows!$A$4:$A$84,D42)</f>
        <v>0</v>
      </c>
      <c r="N42" t="e">
        <f>VLOOKUP(D42,Windows!$A$4:$D$84,2,FALSE)</f>
        <v>#N/A</v>
      </c>
      <c r="O42" t="e">
        <f>VLOOKUP(N42,Windows!$B$4:$D$84,2,FALSE)/1000</f>
        <v>#N/A</v>
      </c>
      <c r="P42" t="e">
        <f>VLOOKUP(N42,Windows!$B$4:$D$84,3,FALSE)/1000</f>
        <v>#N/A</v>
      </c>
      <c r="Q42">
        <f t="shared" si="28"/>
        <v>0</v>
      </c>
      <c r="R42">
        <f>IF(M42&gt;=2,INDEX(Windows!$B$4:$B$84,MATCH(N42,Windows!$B$4:$B$84,0)+1),0)</f>
        <v>0</v>
      </c>
      <c r="S42" t="e">
        <f>VLOOKUP(R42,Windows!$B$4:$D$84,2,FALSE)/1000</f>
        <v>#N/A</v>
      </c>
      <c r="T42" t="e">
        <f>VLOOKUP(R42,Windows!$B$4:$D$84,3,FALSE)/1000</f>
        <v>#N/A</v>
      </c>
      <c r="U42">
        <f t="shared" si="29"/>
        <v>0</v>
      </c>
      <c r="V42">
        <f>IF(M42&gt;=3,INDEX(Windows!$B$4:$B$84,MATCH(N42,Windows!$B$4:$B$84,0)+2),0)</f>
        <v>0</v>
      </c>
      <c r="W42" t="e">
        <f>VLOOKUP(V42,Windows!$B$4:$D$84,2,FALSE)/1000</f>
        <v>#N/A</v>
      </c>
      <c r="X42" t="e">
        <f>VLOOKUP(V42,Windows!$B$4:$D$84,3,FALSE)/1000</f>
        <v>#N/A</v>
      </c>
      <c r="Y42">
        <f t="shared" si="30"/>
        <v>0</v>
      </c>
      <c r="Z42">
        <f>IF(M42&gt;=4,INDEX(Windows!$B$4:$B$84,MATCH(N42,Windows!$B$4:$B$84,0)+3),0)</f>
        <v>0</v>
      </c>
      <c r="AA42" t="e">
        <f>VLOOKUP(Z42,Windows!$B$4:$D$84,2,FALSE)/1000</f>
        <v>#N/A</v>
      </c>
      <c r="AB42" t="e">
        <f>VLOOKUP(Z42,Windows!$B$4:$D$84,3,FALSE)/1000</f>
        <v>#N/A</v>
      </c>
      <c r="AC42">
        <f t="shared" si="31"/>
        <v>0</v>
      </c>
      <c r="AD42" t="str">
        <f t="shared" si="32"/>
        <v>N/A</v>
      </c>
      <c r="AE42">
        <f t="shared" si="33"/>
        <v>0</v>
      </c>
      <c r="AG42">
        <f t="shared" si="34"/>
        <v>0</v>
      </c>
      <c r="AH42">
        <f>AG42*Konstanten!$B$4</f>
        <v>0</v>
      </c>
      <c r="AI42">
        <f t="shared" si="35"/>
        <v>0</v>
      </c>
      <c r="AJ42">
        <f t="shared" si="36"/>
        <v>17</v>
      </c>
      <c r="AK42">
        <f>AJ42*Konstanten!$B$3</f>
        <v>42.5</v>
      </c>
      <c r="AM42">
        <f t="shared" si="37"/>
        <v>0</v>
      </c>
      <c r="AN42">
        <f t="shared" si="38"/>
        <v>0</v>
      </c>
      <c r="AR42" s="8"/>
      <c r="BA42" s="4"/>
    </row>
    <row r="43" spans="1:53" x14ac:dyDescent="0.25">
      <c r="A43">
        <v>42</v>
      </c>
      <c r="B43">
        <v>3</v>
      </c>
      <c r="C43" t="s">
        <v>23</v>
      </c>
      <c r="D43" t="s">
        <v>227</v>
      </c>
      <c r="F43">
        <v>17</v>
      </c>
      <c r="G43" t="s">
        <v>202</v>
      </c>
      <c r="H43">
        <v>0</v>
      </c>
      <c r="J43">
        <f>2*(71+99)</f>
        <v>340</v>
      </c>
      <c r="L43">
        <f>Konstanten!$B$3</f>
        <v>2.5</v>
      </c>
      <c r="M43">
        <f>COUNTIF(Windows!$A$4:$A$84,D43)</f>
        <v>0</v>
      </c>
      <c r="N43" t="e">
        <f>VLOOKUP(D43,Windows!$A$4:$D$84,2,FALSE)</f>
        <v>#N/A</v>
      </c>
      <c r="O43" t="e">
        <f>VLOOKUP(N43,Windows!$B$4:$D$84,2,FALSE)/1000</f>
        <v>#N/A</v>
      </c>
      <c r="P43" t="e">
        <f>VLOOKUP(N43,Windows!$B$4:$D$84,3,FALSE)/1000</f>
        <v>#N/A</v>
      </c>
      <c r="Q43">
        <f t="shared" ref="Q43:Q55" si="39">IF(ISNA(P43*O43),0,O43*P43)</f>
        <v>0</v>
      </c>
      <c r="R43">
        <f>IF(M43&gt;=2,INDEX(Windows!$B$4:$B$84,MATCH(N43,Windows!$B$4:$B$84,0)+1),0)</f>
        <v>0</v>
      </c>
      <c r="S43" t="e">
        <f>VLOOKUP(R43,Windows!$B$4:$D$84,2,FALSE)/1000</f>
        <v>#N/A</v>
      </c>
      <c r="T43" t="e">
        <f>VLOOKUP(R43,Windows!$B$4:$D$84,3,FALSE)/1000</f>
        <v>#N/A</v>
      </c>
      <c r="U43">
        <f t="shared" ref="U43:U55" si="40">IF(ISNA(T43*S43),0,S43*T43)</f>
        <v>0</v>
      </c>
      <c r="V43">
        <f>IF(M43&gt;=3,INDEX(Windows!$B$4:$B$84,MATCH(N43,Windows!$B$4:$B$84,0)+2),0)</f>
        <v>0</v>
      </c>
      <c r="W43" t="e">
        <f>VLOOKUP(V43,Windows!$B$4:$D$84,2,FALSE)/1000</f>
        <v>#N/A</v>
      </c>
      <c r="X43" t="e">
        <f>VLOOKUP(V43,Windows!$B$4:$D$84,3,FALSE)/1000</f>
        <v>#N/A</v>
      </c>
      <c r="Y43">
        <f t="shared" ref="Y43:Y55" si="41">IF(ISNA(X43*W43),0,W43*X43)</f>
        <v>0</v>
      </c>
      <c r="Z43">
        <f>IF(M43&gt;=4,INDEX(Windows!$B$4:$B$84,MATCH(N43,Windows!$B$4:$B$84,0)+3),0)</f>
        <v>0</v>
      </c>
      <c r="AA43" t="e">
        <f>VLOOKUP(Z43,Windows!$B$4:$D$84,2,FALSE)/1000</f>
        <v>#N/A</v>
      </c>
      <c r="AB43" t="e">
        <f>VLOOKUP(Z43,Windows!$B$4:$D$84,3,FALSE)/1000</f>
        <v>#N/A</v>
      </c>
      <c r="AC43">
        <f t="shared" ref="AC43:AC55" si="42">IF(ISNA(AB43*AA43),0,AA43*AB43)</f>
        <v>0</v>
      </c>
      <c r="AD43" t="str">
        <f t="shared" ref="AD43:AD55" si="43">IF(M43&gt;0,G43,"N/A")</f>
        <v>N/A</v>
      </c>
      <c r="AE43">
        <f t="shared" ref="AE43:AE55" si="44">SUM(Q43,U43,Y43,AC43)</f>
        <v>0</v>
      </c>
      <c r="AG43">
        <f t="shared" ref="AG43:AG55" si="45">H43*50/1000</f>
        <v>0</v>
      </c>
      <c r="AH43">
        <f>AG43*Konstanten!$B$4</f>
        <v>0</v>
      </c>
      <c r="AI43">
        <f t="shared" ref="AI43:AI55" si="46">IF(AH43-AE43&lt;=0, 0, AH43-AE43)</f>
        <v>0</v>
      </c>
      <c r="AJ43">
        <f t="shared" ref="AJ43:AJ55" si="47">50/1000*J43</f>
        <v>17</v>
      </c>
      <c r="AK43">
        <f>AJ43*Konstanten!$B$3</f>
        <v>42.5</v>
      </c>
      <c r="AM43">
        <f t="shared" ref="AM43:AM55" si="48">IF(B43=9,1,0)</f>
        <v>0</v>
      </c>
      <c r="AN43">
        <f t="shared" ref="AN43:AN55" si="49">IF(B43=1,1,0)</f>
        <v>0</v>
      </c>
      <c r="AR43" s="8"/>
      <c r="BA43" s="4"/>
    </row>
    <row r="44" spans="1:53" x14ac:dyDescent="0.25">
      <c r="A44">
        <v>43</v>
      </c>
      <c r="B44">
        <v>3</v>
      </c>
      <c r="C44" t="s">
        <v>23</v>
      </c>
      <c r="D44" t="s">
        <v>228</v>
      </c>
      <c r="F44">
        <v>17</v>
      </c>
      <c r="G44" t="s">
        <v>202</v>
      </c>
      <c r="H44">
        <v>0</v>
      </c>
      <c r="J44">
        <f>2*(71+99)</f>
        <v>340</v>
      </c>
      <c r="L44">
        <f>Konstanten!$B$3</f>
        <v>2.5</v>
      </c>
      <c r="M44">
        <f>COUNTIF(Windows!$A$4:$A$84,D44)</f>
        <v>0</v>
      </c>
      <c r="N44" t="e">
        <f>VLOOKUP(D44,Windows!$A$4:$D$84,2,FALSE)</f>
        <v>#N/A</v>
      </c>
      <c r="O44" t="e">
        <f>VLOOKUP(N44,Windows!$B$4:$D$84,2,FALSE)/1000</f>
        <v>#N/A</v>
      </c>
      <c r="P44" t="e">
        <f>VLOOKUP(N44,Windows!$B$4:$D$84,3,FALSE)/1000</f>
        <v>#N/A</v>
      </c>
      <c r="Q44">
        <f t="shared" si="39"/>
        <v>0</v>
      </c>
      <c r="R44">
        <f>IF(M44&gt;=2,INDEX(Windows!$B$4:$B$84,MATCH(N44,Windows!$B$4:$B$84,0)+1),0)</f>
        <v>0</v>
      </c>
      <c r="S44" t="e">
        <f>VLOOKUP(R44,Windows!$B$4:$D$84,2,FALSE)/1000</f>
        <v>#N/A</v>
      </c>
      <c r="T44" t="e">
        <f>VLOOKUP(R44,Windows!$B$4:$D$84,3,FALSE)/1000</f>
        <v>#N/A</v>
      </c>
      <c r="U44">
        <f t="shared" si="40"/>
        <v>0</v>
      </c>
      <c r="V44">
        <f>IF(M44&gt;=3,INDEX(Windows!$B$4:$B$84,MATCH(N44,Windows!$B$4:$B$84,0)+2),0)</f>
        <v>0</v>
      </c>
      <c r="W44" t="e">
        <f>VLOOKUP(V44,Windows!$B$4:$D$84,2,FALSE)/1000</f>
        <v>#N/A</v>
      </c>
      <c r="X44" t="e">
        <f>VLOOKUP(V44,Windows!$B$4:$D$84,3,FALSE)/1000</f>
        <v>#N/A</v>
      </c>
      <c r="Y44">
        <f t="shared" si="41"/>
        <v>0</v>
      </c>
      <c r="Z44">
        <f>IF(M44&gt;=4,INDEX(Windows!$B$4:$B$84,MATCH(N44,Windows!$B$4:$B$84,0)+3),0)</f>
        <v>0</v>
      </c>
      <c r="AA44" t="e">
        <f>VLOOKUP(Z44,Windows!$B$4:$D$84,2,FALSE)/1000</f>
        <v>#N/A</v>
      </c>
      <c r="AB44" t="e">
        <f>VLOOKUP(Z44,Windows!$B$4:$D$84,3,FALSE)/1000</f>
        <v>#N/A</v>
      </c>
      <c r="AC44">
        <f t="shared" si="42"/>
        <v>0</v>
      </c>
      <c r="AD44" t="str">
        <f t="shared" si="43"/>
        <v>N/A</v>
      </c>
      <c r="AE44">
        <f t="shared" si="44"/>
        <v>0</v>
      </c>
      <c r="AG44">
        <f t="shared" si="45"/>
        <v>0</v>
      </c>
      <c r="AH44">
        <f>AG44*Konstanten!$B$4</f>
        <v>0</v>
      </c>
      <c r="AI44">
        <f t="shared" si="46"/>
        <v>0</v>
      </c>
      <c r="AJ44">
        <f t="shared" si="47"/>
        <v>17</v>
      </c>
      <c r="AK44">
        <f>AJ44*Konstanten!$B$3</f>
        <v>42.5</v>
      </c>
      <c r="AM44">
        <f t="shared" si="48"/>
        <v>0</v>
      </c>
      <c r="AN44">
        <f t="shared" si="49"/>
        <v>0</v>
      </c>
      <c r="AR44" s="8"/>
      <c r="BA44" s="4"/>
    </row>
    <row r="45" spans="1:53" x14ac:dyDescent="0.25">
      <c r="A45">
        <v>44</v>
      </c>
      <c r="B45">
        <v>3</v>
      </c>
      <c r="C45" t="s">
        <v>23</v>
      </c>
      <c r="D45" t="s">
        <v>229</v>
      </c>
      <c r="F45">
        <v>17</v>
      </c>
      <c r="G45" t="s">
        <v>202</v>
      </c>
      <c r="H45">
        <v>0</v>
      </c>
      <c r="J45">
        <f>2*(71+99)</f>
        <v>340</v>
      </c>
      <c r="L45">
        <f>Konstanten!$B$3</f>
        <v>2.5</v>
      </c>
      <c r="M45">
        <f>COUNTIF(Windows!$A$4:$A$84,D45)</f>
        <v>0</v>
      </c>
      <c r="N45" t="e">
        <f>VLOOKUP(D45,Windows!$A$4:$D$84,2,FALSE)</f>
        <v>#N/A</v>
      </c>
      <c r="O45" t="e">
        <f>VLOOKUP(N45,Windows!$B$4:$D$84,2,FALSE)/1000</f>
        <v>#N/A</v>
      </c>
      <c r="P45" t="e">
        <f>VLOOKUP(N45,Windows!$B$4:$D$84,3,FALSE)/1000</f>
        <v>#N/A</v>
      </c>
      <c r="Q45">
        <f t="shared" si="39"/>
        <v>0</v>
      </c>
      <c r="R45">
        <f>IF(M45&gt;=2,INDEX(Windows!$B$4:$B$84,MATCH(N45,Windows!$B$4:$B$84,0)+1),0)</f>
        <v>0</v>
      </c>
      <c r="S45" t="e">
        <f>VLOOKUP(R45,Windows!$B$4:$D$84,2,FALSE)/1000</f>
        <v>#N/A</v>
      </c>
      <c r="T45" t="e">
        <f>VLOOKUP(R45,Windows!$B$4:$D$84,3,FALSE)/1000</f>
        <v>#N/A</v>
      </c>
      <c r="U45">
        <f t="shared" si="40"/>
        <v>0</v>
      </c>
      <c r="V45">
        <f>IF(M45&gt;=3,INDEX(Windows!$B$4:$B$84,MATCH(N45,Windows!$B$4:$B$84,0)+2),0)</f>
        <v>0</v>
      </c>
      <c r="W45" t="e">
        <f>VLOOKUP(V45,Windows!$B$4:$D$84,2,FALSE)/1000</f>
        <v>#N/A</v>
      </c>
      <c r="X45" t="e">
        <f>VLOOKUP(V45,Windows!$B$4:$D$84,3,FALSE)/1000</f>
        <v>#N/A</v>
      </c>
      <c r="Y45">
        <f t="shared" si="41"/>
        <v>0</v>
      </c>
      <c r="Z45">
        <f>IF(M45&gt;=4,INDEX(Windows!$B$4:$B$84,MATCH(N45,Windows!$B$4:$B$84,0)+3),0)</f>
        <v>0</v>
      </c>
      <c r="AA45" t="e">
        <f>VLOOKUP(Z45,Windows!$B$4:$D$84,2,FALSE)/1000</f>
        <v>#N/A</v>
      </c>
      <c r="AB45" t="e">
        <f>VLOOKUP(Z45,Windows!$B$4:$D$84,3,FALSE)/1000</f>
        <v>#N/A</v>
      </c>
      <c r="AC45">
        <f t="shared" si="42"/>
        <v>0</v>
      </c>
      <c r="AD45" t="str">
        <f t="shared" si="43"/>
        <v>N/A</v>
      </c>
      <c r="AE45">
        <f t="shared" si="44"/>
        <v>0</v>
      </c>
      <c r="AG45">
        <f t="shared" si="45"/>
        <v>0</v>
      </c>
      <c r="AH45">
        <f>AG45*Konstanten!$B$4</f>
        <v>0</v>
      </c>
      <c r="AI45">
        <f t="shared" si="46"/>
        <v>0</v>
      </c>
      <c r="AJ45">
        <f t="shared" si="47"/>
        <v>17</v>
      </c>
      <c r="AK45">
        <f>AJ45*Konstanten!$B$3</f>
        <v>42.5</v>
      </c>
      <c r="AM45">
        <f t="shared" si="48"/>
        <v>0</v>
      </c>
      <c r="AN45">
        <f t="shared" si="49"/>
        <v>0</v>
      </c>
      <c r="AR45" s="8"/>
      <c r="BA45" s="4"/>
    </row>
    <row r="46" spans="1:53" x14ac:dyDescent="0.25">
      <c r="A46">
        <v>45</v>
      </c>
      <c r="B46">
        <v>3</v>
      </c>
      <c r="C46" t="s">
        <v>65</v>
      </c>
      <c r="D46" t="s">
        <v>230</v>
      </c>
      <c r="F46">
        <v>9</v>
      </c>
      <c r="G46" t="s">
        <v>202</v>
      </c>
      <c r="H46">
        <v>0</v>
      </c>
      <c r="J46">
        <f>2*(98+37)</f>
        <v>270</v>
      </c>
      <c r="L46">
        <f>Konstanten!$B$3</f>
        <v>2.5</v>
      </c>
      <c r="M46">
        <f>COUNTIF(Windows!$A$4:$A$84,D46)</f>
        <v>0</v>
      </c>
      <c r="N46" t="e">
        <f>VLOOKUP(D46,Windows!$A$4:$D$84,2,FALSE)</f>
        <v>#N/A</v>
      </c>
      <c r="O46" t="e">
        <f>VLOOKUP(N46,Windows!$B$4:$D$84,2,FALSE)/1000</f>
        <v>#N/A</v>
      </c>
      <c r="P46" t="e">
        <f>VLOOKUP(N46,Windows!$B$4:$D$84,3,FALSE)/1000</f>
        <v>#N/A</v>
      </c>
      <c r="Q46">
        <f t="shared" si="39"/>
        <v>0</v>
      </c>
      <c r="R46">
        <f>IF(M46&gt;=2,INDEX(Windows!$B$4:$B$84,MATCH(N46,Windows!$B$4:$B$84,0)+1),0)</f>
        <v>0</v>
      </c>
      <c r="S46" t="e">
        <f>VLOOKUP(R46,Windows!$B$4:$D$84,2,FALSE)/1000</f>
        <v>#N/A</v>
      </c>
      <c r="T46" t="e">
        <f>VLOOKUP(R46,Windows!$B$4:$D$84,3,FALSE)/1000</f>
        <v>#N/A</v>
      </c>
      <c r="U46">
        <f t="shared" si="40"/>
        <v>0</v>
      </c>
      <c r="V46">
        <f>IF(M46&gt;=3,INDEX(Windows!$B$4:$B$84,MATCH(N46,Windows!$B$4:$B$84,0)+2),0)</f>
        <v>0</v>
      </c>
      <c r="W46" t="e">
        <f>VLOOKUP(V46,Windows!$B$4:$D$84,2,FALSE)/1000</f>
        <v>#N/A</v>
      </c>
      <c r="X46" t="e">
        <f>VLOOKUP(V46,Windows!$B$4:$D$84,3,FALSE)/1000</f>
        <v>#N/A</v>
      </c>
      <c r="Y46">
        <f t="shared" si="41"/>
        <v>0</v>
      </c>
      <c r="Z46">
        <f>IF(M46&gt;=4,INDEX(Windows!$B$4:$B$84,MATCH(N46,Windows!$B$4:$B$84,0)+3),0)</f>
        <v>0</v>
      </c>
      <c r="AA46" t="e">
        <f>VLOOKUP(Z46,Windows!$B$4:$D$84,2,FALSE)/1000</f>
        <v>#N/A</v>
      </c>
      <c r="AB46" t="e">
        <f>VLOOKUP(Z46,Windows!$B$4:$D$84,3,FALSE)/1000</f>
        <v>#N/A</v>
      </c>
      <c r="AC46">
        <f t="shared" si="42"/>
        <v>0</v>
      </c>
      <c r="AD46" t="str">
        <f t="shared" si="43"/>
        <v>N/A</v>
      </c>
      <c r="AE46">
        <f t="shared" si="44"/>
        <v>0</v>
      </c>
      <c r="AG46">
        <f t="shared" si="45"/>
        <v>0</v>
      </c>
      <c r="AH46">
        <f>AG46*Konstanten!$B$4</f>
        <v>0</v>
      </c>
      <c r="AI46">
        <f t="shared" si="46"/>
        <v>0</v>
      </c>
      <c r="AJ46">
        <f t="shared" si="47"/>
        <v>13.5</v>
      </c>
      <c r="AK46">
        <f>AJ46*Konstanten!$B$3</f>
        <v>33.75</v>
      </c>
      <c r="AM46">
        <f t="shared" si="48"/>
        <v>0</v>
      </c>
      <c r="AN46">
        <f t="shared" si="49"/>
        <v>0</v>
      </c>
      <c r="AR46" s="8"/>
      <c r="BA46" s="4"/>
    </row>
    <row r="47" spans="1:53" x14ac:dyDescent="0.25">
      <c r="A47">
        <v>46</v>
      </c>
      <c r="B47">
        <v>3</v>
      </c>
      <c r="C47" t="s">
        <v>65</v>
      </c>
      <c r="D47" t="s">
        <v>231</v>
      </c>
      <c r="F47">
        <v>9.1999999999999993</v>
      </c>
      <c r="G47">
        <v>222</v>
      </c>
      <c r="H47">
        <v>54</v>
      </c>
      <c r="I47" t="s">
        <v>201</v>
      </c>
      <c r="J47">
        <f>2*(37+98)-54</f>
        <v>216</v>
      </c>
      <c r="K47" t="s">
        <v>90</v>
      </c>
      <c r="L47">
        <f>Konstanten!$B$3</f>
        <v>2.5</v>
      </c>
      <c r="M47">
        <f>COUNTIF(Windows!$A$4:$A$84,D47)</f>
        <v>0</v>
      </c>
      <c r="N47" t="e">
        <f>VLOOKUP(D47,Windows!$A$4:$D$84,2,FALSE)</f>
        <v>#N/A</v>
      </c>
      <c r="O47" t="e">
        <f>VLOOKUP(N47,Windows!$B$4:$D$84,2,FALSE)/1000</f>
        <v>#N/A</v>
      </c>
      <c r="P47" t="e">
        <f>VLOOKUP(N47,Windows!$B$4:$D$84,3,FALSE)/1000</f>
        <v>#N/A</v>
      </c>
      <c r="Q47">
        <f t="shared" si="39"/>
        <v>0</v>
      </c>
      <c r="R47">
        <f>IF(M47&gt;=2,INDEX(Windows!$B$4:$B$84,MATCH(N47,Windows!$B$4:$B$84,0)+1),0)</f>
        <v>0</v>
      </c>
      <c r="S47" t="e">
        <f>VLOOKUP(R47,Windows!$B$4:$D$84,2,FALSE)/1000</f>
        <v>#N/A</v>
      </c>
      <c r="T47" t="e">
        <f>VLOOKUP(R47,Windows!$B$4:$D$84,3,FALSE)/1000</f>
        <v>#N/A</v>
      </c>
      <c r="U47">
        <f t="shared" si="40"/>
        <v>0</v>
      </c>
      <c r="V47">
        <f>IF(M47&gt;=3,INDEX(Windows!$B$4:$B$84,MATCH(N47,Windows!$B$4:$B$84,0)+2),0)</f>
        <v>0</v>
      </c>
      <c r="W47" t="e">
        <f>VLOOKUP(V47,Windows!$B$4:$D$84,2,FALSE)/1000</f>
        <v>#N/A</v>
      </c>
      <c r="X47" t="e">
        <f>VLOOKUP(V47,Windows!$B$4:$D$84,3,FALSE)/1000</f>
        <v>#N/A</v>
      </c>
      <c r="Y47">
        <f t="shared" si="41"/>
        <v>0</v>
      </c>
      <c r="Z47">
        <f>IF(M47&gt;=4,INDEX(Windows!$B$4:$B$84,MATCH(N47,Windows!$B$4:$B$84,0)+3),0)</f>
        <v>0</v>
      </c>
      <c r="AA47" t="e">
        <f>VLOOKUP(Z47,Windows!$B$4:$D$84,2,FALSE)/1000</f>
        <v>#N/A</v>
      </c>
      <c r="AB47" t="e">
        <f>VLOOKUP(Z47,Windows!$B$4:$D$84,3,FALSE)/1000</f>
        <v>#N/A</v>
      </c>
      <c r="AC47">
        <f t="shared" si="42"/>
        <v>0</v>
      </c>
      <c r="AD47" t="str">
        <f t="shared" si="43"/>
        <v>N/A</v>
      </c>
      <c r="AE47">
        <f t="shared" si="44"/>
        <v>0</v>
      </c>
      <c r="AG47">
        <f t="shared" si="45"/>
        <v>2.7</v>
      </c>
      <c r="AH47">
        <f>AG47*Konstanten!$B$4</f>
        <v>11.475000000000001</v>
      </c>
      <c r="AI47">
        <f t="shared" si="46"/>
        <v>11.475000000000001</v>
      </c>
      <c r="AJ47">
        <f t="shared" si="47"/>
        <v>10.8</v>
      </c>
      <c r="AK47">
        <f>AJ47*Konstanten!$B$3</f>
        <v>27</v>
      </c>
      <c r="AM47">
        <f t="shared" si="48"/>
        <v>0</v>
      </c>
      <c r="AN47">
        <f t="shared" si="49"/>
        <v>0</v>
      </c>
      <c r="AR47" s="8"/>
      <c r="BA47" s="4"/>
    </row>
    <row r="48" spans="1:53" x14ac:dyDescent="0.25">
      <c r="A48">
        <v>47</v>
      </c>
      <c r="B48">
        <v>3</v>
      </c>
      <c r="C48" t="s">
        <v>23</v>
      </c>
      <c r="D48" t="s">
        <v>232</v>
      </c>
      <c r="F48">
        <v>17.399999999999999</v>
      </c>
      <c r="G48" t="s">
        <v>202</v>
      </c>
      <c r="H48">
        <v>0</v>
      </c>
      <c r="J48">
        <f>2*(98+71)</f>
        <v>338</v>
      </c>
      <c r="L48">
        <f>Konstanten!$B$3</f>
        <v>2.5</v>
      </c>
      <c r="M48">
        <f>COUNTIF(Windows!$A$4:$A$84,D48)</f>
        <v>0</v>
      </c>
      <c r="N48" t="e">
        <f>VLOOKUP(D48,Windows!$A$4:$D$84,2,FALSE)</f>
        <v>#N/A</v>
      </c>
      <c r="O48" t="e">
        <f>VLOOKUP(N48,Windows!$B$4:$D$84,2,FALSE)/1000</f>
        <v>#N/A</v>
      </c>
      <c r="P48" t="e">
        <f>VLOOKUP(N48,Windows!$B$4:$D$84,3,FALSE)/1000</f>
        <v>#N/A</v>
      </c>
      <c r="Q48">
        <f t="shared" si="39"/>
        <v>0</v>
      </c>
      <c r="R48">
        <f>IF(M48&gt;=2,INDEX(Windows!$B$4:$B$84,MATCH(N48,Windows!$B$4:$B$84,0)+1),0)</f>
        <v>0</v>
      </c>
      <c r="S48" t="e">
        <f>VLOOKUP(R48,Windows!$B$4:$D$84,2,FALSE)/1000</f>
        <v>#N/A</v>
      </c>
      <c r="T48" t="e">
        <f>VLOOKUP(R48,Windows!$B$4:$D$84,3,FALSE)/1000</f>
        <v>#N/A</v>
      </c>
      <c r="U48">
        <f t="shared" si="40"/>
        <v>0</v>
      </c>
      <c r="V48">
        <f>IF(M48&gt;=3,INDEX(Windows!$B$4:$B$84,MATCH(N48,Windows!$B$4:$B$84,0)+2),0)</f>
        <v>0</v>
      </c>
      <c r="W48" t="e">
        <f>VLOOKUP(V48,Windows!$B$4:$D$84,2,FALSE)/1000</f>
        <v>#N/A</v>
      </c>
      <c r="X48" t="e">
        <f>VLOOKUP(V48,Windows!$B$4:$D$84,3,FALSE)/1000</f>
        <v>#N/A</v>
      </c>
      <c r="Y48">
        <f t="shared" si="41"/>
        <v>0</v>
      </c>
      <c r="Z48">
        <f>IF(M48&gt;=4,INDEX(Windows!$B$4:$B$84,MATCH(N48,Windows!$B$4:$B$84,0)+3),0)</f>
        <v>0</v>
      </c>
      <c r="AA48" t="e">
        <f>VLOOKUP(Z48,Windows!$B$4:$D$84,2,FALSE)/1000</f>
        <v>#N/A</v>
      </c>
      <c r="AB48" t="e">
        <f>VLOOKUP(Z48,Windows!$B$4:$D$84,3,FALSE)/1000</f>
        <v>#N/A</v>
      </c>
      <c r="AC48">
        <f t="shared" si="42"/>
        <v>0</v>
      </c>
      <c r="AD48" t="str">
        <f t="shared" si="43"/>
        <v>N/A</v>
      </c>
      <c r="AE48">
        <f t="shared" si="44"/>
        <v>0</v>
      </c>
      <c r="AG48">
        <f t="shared" si="45"/>
        <v>0</v>
      </c>
      <c r="AH48">
        <f>AG48*Konstanten!$B$4</f>
        <v>0</v>
      </c>
      <c r="AI48">
        <f t="shared" si="46"/>
        <v>0</v>
      </c>
      <c r="AJ48">
        <f t="shared" si="47"/>
        <v>16.900000000000002</v>
      </c>
      <c r="AK48">
        <f>AJ48*Konstanten!$B$3</f>
        <v>42.250000000000007</v>
      </c>
      <c r="AM48">
        <f t="shared" si="48"/>
        <v>0</v>
      </c>
      <c r="AN48">
        <f t="shared" si="49"/>
        <v>0</v>
      </c>
      <c r="AR48" s="8"/>
      <c r="BA48" s="4"/>
    </row>
    <row r="49" spans="1:53" x14ac:dyDescent="0.25">
      <c r="A49">
        <v>48</v>
      </c>
      <c r="B49">
        <v>3</v>
      </c>
      <c r="C49" t="s">
        <v>17</v>
      </c>
      <c r="D49" t="s">
        <v>233</v>
      </c>
      <c r="F49">
        <v>14.9</v>
      </c>
      <c r="G49" t="s">
        <v>202</v>
      </c>
      <c r="H49">
        <v>0</v>
      </c>
      <c r="J49">
        <f>2*(126+48)</f>
        <v>348</v>
      </c>
      <c r="L49">
        <f>Konstanten!$B$3</f>
        <v>2.5</v>
      </c>
      <c r="M49">
        <f>COUNTIF(Windows!$A$4:$A$84,D49)</f>
        <v>0</v>
      </c>
      <c r="N49" t="e">
        <f>VLOOKUP(D49,Windows!$A$4:$D$84,2,FALSE)</f>
        <v>#N/A</v>
      </c>
      <c r="O49" t="e">
        <f>VLOOKUP(N49,Windows!$B$4:$D$84,2,FALSE)/1000</f>
        <v>#N/A</v>
      </c>
      <c r="P49" t="e">
        <f>VLOOKUP(N49,Windows!$B$4:$D$84,3,FALSE)/1000</f>
        <v>#N/A</v>
      </c>
      <c r="Q49">
        <f t="shared" si="39"/>
        <v>0</v>
      </c>
      <c r="R49">
        <f>IF(M49&gt;=2,INDEX(Windows!$B$4:$B$84,MATCH(N49,Windows!$B$4:$B$84,0)+1),0)</f>
        <v>0</v>
      </c>
      <c r="S49" t="e">
        <f>VLOOKUP(R49,Windows!$B$4:$D$84,2,FALSE)/1000</f>
        <v>#N/A</v>
      </c>
      <c r="T49" t="e">
        <f>VLOOKUP(R49,Windows!$B$4:$D$84,3,FALSE)/1000</f>
        <v>#N/A</v>
      </c>
      <c r="U49">
        <f t="shared" si="40"/>
        <v>0</v>
      </c>
      <c r="V49">
        <f>IF(M49&gt;=3,INDEX(Windows!$B$4:$B$84,MATCH(N49,Windows!$B$4:$B$84,0)+2),0)</f>
        <v>0</v>
      </c>
      <c r="W49" t="e">
        <f>VLOOKUP(V49,Windows!$B$4:$D$84,2,FALSE)/1000</f>
        <v>#N/A</v>
      </c>
      <c r="X49" t="e">
        <f>VLOOKUP(V49,Windows!$B$4:$D$84,3,FALSE)/1000</f>
        <v>#N/A</v>
      </c>
      <c r="Y49">
        <f t="shared" si="41"/>
        <v>0</v>
      </c>
      <c r="Z49">
        <f>IF(M49&gt;=4,INDEX(Windows!$B$4:$B$84,MATCH(N49,Windows!$B$4:$B$84,0)+3),0)</f>
        <v>0</v>
      </c>
      <c r="AA49" t="e">
        <f>VLOOKUP(Z49,Windows!$B$4:$D$84,2,FALSE)/1000</f>
        <v>#N/A</v>
      </c>
      <c r="AB49" t="e">
        <f>VLOOKUP(Z49,Windows!$B$4:$D$84,3,FALSE)/1000</f>
        <v>#N/A</v>
      </c>
      <c r="AC49">
        <f t="shared" si="42"/>
        <v>0</v>
      </c>
      <c r="AD49" t="str">
        <f t="shared" si="43"/>
        <v>N/A</v>
      </c>
      <c r="AE49">
        <f t="shared" si="44"/>
        <v>0</v>
      </c>
      <c r="AG49">
        <f>J49*50/1000</f>
        <v>17.399999999999999</v>
      </c>
      <c r="AH49">
        <f>AG49*Konstanten!$B$4</f>
        <v>73.949999999999989</v>
      </c>
      <c r="AI49">
        <f t="shared" si="46"/>
        <v>73.949999999999989</v>
      </c>
      <c r="AJ49" t="e">
        <f>50/1000*#REF!</f>
        <v>#REF!</v>
      </c>
      <c r="AK49" t="e">
        <f>AJ49*Konstanten!$B$3</f>
        <v>#REF!</v>
      </c>
      <c r="AM49">
        <f t="shared" si="48"/>
        <v>0</v>
      </c>
      <c r="AN49">
        <f t="shared" si="49"/>
        <v>0</v>
      </c>
      <c r="AR49" s="8"/>
      <c r="BA49" s="4"/>
    </row>
    <row r="50" spans="1:53" x14ac:dyDescent="0.25">
      <c r="A50">
        <v>49</v>
      </c>
      <c r="B50">
        <v>3</v>
      </c>
      <c r="C50" t="s">
        <v>17</v>
      </c>
      <c r="D50" t="s">
        <v>234</v>
      </c>
      <c r="F50">
        <v>77.2</v>
      </c>
      <c r="G50" t="s">
        <v>202</v>
      </c>
      <c r="H50">
        <v>0</v>
      </c>
      <c r="J50">
        <f>2*(511+46+23+15+21+56)</f>
        <v>1344</v>
      </c>
      <c r="L50">
        <f>Konstanten!$B$3</f>
        <v>2.5</v>
      </c>
      <c r="M50">
        <f>COUNTIF(Windows!$A$4:$A$84,D50)</f>
        <v>0</v>
      </c>
      <c r="N50" t="e">
        <f>VLOOKUP(D50,Windows!$A$4:$D$84,2,FALSE)</f>
        <v>#N/A</v>
      </c>
      <c r="O50" t="e">
        <f>VLOOKUP(N50,Windows!$B$4:$D$84,2,FALSE)/1000</f>
        <v>#N/A</v>
      </c>
      <c r="P50" t="e">
        <f>VLOOKUP(N50,Windows!$B$4:$D$84,3,FALSE)/1000</f>
        <v>#N/A</v>
      </c>
      <c r="Q50">
        <f t="shared" si="39"/>
        <v>0</v>
      </c>
      <c r="R50">
        <f>IF(M50&gt;=2,INDEX(Windows!$B$4:$B$84,MATCH(N50,Windows!$B$4:$B$84,0)+1),0)</f>
        <v>0</v>
      </c>
      <c r="S50" t="e">
        <f>VLOOKUP(R50,Windows!$B$4:$D$84,2,FALSE)/1000</f>
        <v>#N/A</v>
      </c>
      <c r="T50" t="e">
        <f>VLOOKUP(R50,Windows!$B$4:$D$84,3,FALSE)/1000</f>
        <v>#N/A</v>
      </c>
      <c r="U50">
        <f t="shared" si="40"/>
        <v>0</v>
      </c>
      <c r="V50">
        <f>IF(M50&gt;=3,INDEX(Windows!$B$4:$B$84,MATCH(N50,Windows!$B$4:$B$84,0)+2),0)</f>
        <v>0</v>
      </c>
      <c r="W50" t="e">
        <f>VLOOKUP(V50,Windows!$B$4:$D$84,2,FALSE)/1000</f>
        <v>#N/A</v>
      </c>
      <c r="X50" t="e">
        <f>VLOOKUP(V50,Windows!$B$4:$D$84,3,FALSE)/1000</f>
        <v>#N/A</v>
      </c>
      <c r="Y50">
        <f t="shared" si="41"/>
        <v>0</v>
      </c>
      <c r="Z50">
        <f>IF(M50&gt;=4,INDEX(Windows!$B$4:$B$84,MATCH(N50,Windows!$B$4:$B$84,0)+3),0)</f>
        <v>0</v>
      </c>
      <c r="AA50" t="e">
        <f>VLOOKUP(Z50,Windows!$B$4:$D$84,2,FALSE)/1000</f>
        <v>#N/A</v>
      </c>
      <c r="AB50" t="e">
        <f>VLOOKUP(Z50,Windows!$B$4:$D$84,3,FALSE)/1000</f>
        <v>#N/A</v>
      </c>
      <c r="AC50">
        <f t="shared" si="42"/>
        <v>0</v>
      </c>
      <c r="AD50" t="str">
        <f t="shared" si="43"/>
        <v>N/A</v>
      </c>
      <c r="AE50">
        <f t="shared" si="44"/>
        <v>0</v>
      </c>
      <c r="AG50">
        <f t="shared" si="45"/>
        <v>0</v>
      </c>
      <c r="AH50">
        <f>AG50*Konstanten!$B$4</f>
        <v>0</v>
      </c>
      <c r="AI50">
        <f t="shared" si="46"/>
        <v>0</v>
      </c>
      <c r="AJ50">
        <f t="shared" si="47"/>
        <v>67.2</v>
      </c>
      <c r="AK50">
        <f>AJ50*Konstanten!$B$3</f>
        <v>168</v>
      </c>
      <c r="AM50">
        <f t="shared" si="48"/>
        <v>0</v>
      </c>
      <c r="AN50">
        <f t="shared" si="49"/>
        <v>0</v>
      </c>
      <c r="AR50" s="8"/>
      <c r="BA50" s="4"/>
    </row>
    <row r="51" spans="1:53" x14ac:dyDescent="0.25">
      <c r="A51">
        <v>50</v>
      </c>
      <c r="B51">
        <v>3</v>
      </c>
      <c r="C51" t="s">
        <v>17</v>
      </c>
      <c r="D51" t="s">
        <v>235</v>
      </c>
      <c r="F51">
        <v>22.3</v>
      </c>
      <c r="G51" t="s">
        <v>202</v>
      </c>
      <c r="H51">
        <v>0</v>
      </c>
      <c r="J51">
        <f>2*(68+161)</f>
        <v>458</v>
      </c>
      <c r="L51">
        <f>Konstanten!$B$3</f>
        <v>2.5</v>
      </c>
      <c r="M51">
        <f>COUNTIF(Windows!$A$4:$A$84,D51)</f>
        <v>0</v>
      </c>
      <c r="N51" t="e">
        <f>VLOOKUP(D51,Windows!$A$4:$D$84,2,FALSE)</f>
        <v>#N/A</v>
      </c>
      <c r="O51" t="e">
        <f>VLOOKUP(N51,Windows!$B$4:$D$84,2,FALSE)/1000</f>
        <v>#N/A</v>
      </c>
      <c r="P51" t="e">
        <f>VLOOKUP(N51,Windows!$B$4:$D$84,3,FALSE)/1000</f>
        <v>#N/A</v>
      </c>
      <c r="Q51">
        <f t="shared" si="39"/>
        <v>0</v>
      </c>
      <c r="R51">
        <f>IF(M51&gt;=2,INDEX(Windows!$B$4:$B$84,MATCH(N51,Windows!$B$4:$B$84,0)+1),0)</f>
        <v>0</v>
      </c>
      <c r="S51" t="e">
        <f>VLOOKUP(R51,Windows!$B$4:$D$84,2,FALSE)/1000</f>
        <v>#N/A</v>
      </c>
      <c r="T51" t="e">
        <f>VLOOKUP(R51,Windows!$B$4:$D$84,3,FALSE)/1000</f>
        <v>#N/A</v>
      </c>
      <c r="U51">
        <f t="shared" si="40"/>
        <v>0</v>
      </c>
      <c r="V51">
        <f>IF(M51&gt;=3,INDEX(Windows!$B$4:$B$84,MATCH(N51,Windows!$B$4:$B$84,0)+2),0)</f>
        <v>0</v>
      </c>
      <c r="W51" t="e">
        <f>VLOOKUP(V51,Windows!$B$4:$D$84,2,FALSE)/1000</f>
        <v>#N/A</v>
      </c>
      <c r="X51" t="e">
        <f>VLOOKUP(V51,Windows!$B$4:$D$84,3,FALSE)/1000</f>
        <v>#N/A</v>
      </c>
      <c r="Y51">
        <f t="shared" si="41"/>
        <v>0</v>
      </c>
      <c r="Z51">
        <f>IF(M51&gt;=4,INDEX(Windows!$B$4:$B$84,MATCH(N51,Windows!$B$4:$B$84,0)+3),0)</f>
        <v>0</v>
      </c>
      <c r="AA51" t="e">
        <f>VLOOKUP(Z51,Windows!$B$4:$D$84,2,FALSE)/1000</f>
        <v>#N/A</v>
      </c>
      <c r="AB51" t="e">
        <f>VLOOKUP(Z51,Windows!$B$4:$D$84,3,FALSE)/1000</f>
        <v>#N/A</v>
      </c>
      <c r="AC51">
        <f t="shared" si="42"/>
        <v>0</v>
      </c>
      <c r="AD51" t="str">
        <f t="shared" si="43"/>
        <v>N/A</v>
      </c>
      <c r="AE51">
        <f t="shared" si="44"/>
        <v>0</v>
      </c>
      <c r="AG51">
        <f t="shared" si="45"/>
        <v>0</v>
      </c>
      <c r="AH51">
        <f>AG51*Konstanten!$B$4</f>
        <v>0</v>
      </c>
      <c r="AI51">
        <f t="shared" si="46"/>
        <v>0</v>
      </c>
      <c r="AJ51">
        <f t="shared" si="47"/>
        <v>22.900000000000002</v>
      </c>
      <c r="AK51">
        <f>AJ51*Konstanten!$B$3</f>
        <v>57.250000000000007</v>
      </c>
      <c r="AM51">
        <f t="shared" si="48"/>
        <v>0</v>
      </c>
      <c r="AN51">
        <f t="shared" si="49"/>
        <v>0</v>
      </c>
      <c r="AR51" s="8"/>
      <c r="BA51" s="4"/>
    </row>
    <row r="52" spans="1:53" x14ac:dyDescent="0.25">
      <c r="A52">
        <v>51</v>
      </c>
      <c r="B52">
        <v>3</v>
      </c>
      <c r="C52" t="s">
        <v>17</v>
      </c>
      <c r="D52" t="s">
        <v>236</v>
      </c>
      <c r="F52">
        <v>51.5</v>
      </c>
      <c r="G52">
        <v>132</v>
      </c>
      <c r="H52">
        <v>310</v>
      </c>
      <c r="I52" t="s">
        <v>201</v>
      </c>
      <c r="J52">
        <f>2*(350+48)-310</f>
        <v>486</v>
      </c>
      <c r="L52">
        <f>Konstanten!$B$3</f>
        <v>2.5</v>
      </c>
      <c r="M52">
        <v>1</v>
      </c>
      <c r="N52" s="14" t="s">
        <v>237</v>
      </c>
      <c r="O52">
        <f>218*50/1000</f>
        <v>10.9</v>
      </c>
      <c r="P52">
        <f>Konstanten!B2</f>
        <v>1.35</v>
      </c>
      <c r="Q52">
        <f t="shared" si="39"/>
        <v>14.715000000000002</v>
      </c>
      <c r="R52">
        <f>IF(M52&gt;=2,INDEX(Windows!$B$4:$B$84,MATCH(N52,Windows!$B$4:$B$84,0)+1),0)</f>
        <v>0</v>
      </c>
      <c r="S52" t="e">
        <f>VLOOKUP(R52,Windows!$B$4:$D$84,2,FALSE)/1000</f>
        <v>#N/A</v>
      </c>
      <c r="T52" t="e">
        <f>VLOOKUP(R52,Windows!$B$4:$D$84,3,FALSE)/1000</f>
        <v>#N/A</v>
      </c>
      <c r="U52">
        <f t="shared" si="40"/>
        <v>0</v>
      </c>
      <c r="V52">
        <f>IF(M52&gt;=3,INDEX(Windows!$B$4:$B$84,MATCH(N52,Windows!$B$4:$B$84,0)+2),0)</f>
        <v>0</v>
      </c>
      <c r="W52" t="e">
        <f>VLOOKUP(V52,Windows!$B$4:$D$84,2,FALSE)/1000</f>
        <v>#N/A</v>
      </c>
      <c r="X52" t="e">
        <f>VLOOKUP(V52,Windows!$B$4:$D$84,3,FALSE)/1000</f>
        <v>#N/A</v>
      </c>
      <c r="Y52">
        <f t="shared" si="41"/>
        <v>0</v>
      </c>
      <c r="Z52">
        <f>IF(M52&gt;=4,INDEX(Windows!$B$4:$B$84,MATCH(N52,Windows!$B$4:$B$84,0)+3),0)</f>
        <v>0</v>
      </c>
      <c r="AA52" t="e">
        <f>VLOOKUP(Z52,Windows!$B$4:$D$84,2,FALSE)/1000</f>
        <v>#N/A</v>
      </c>
      <c r="AB52" t="e">
        <f>VLOOKUP(Z52,Windows!$B$4:$D$84,3,FALSE)/1000</f>
        <v>#N/A</v>
      </c>
      <c r="AC52">
        <f t="shared" si="42"/>
        <v>0</v>
      </c>
      <c r="AD52">
        <f t="shared" si="43"/>
        <v>132</v>
      </c>
      <c r="AE52">
        <f t="shared" si="44"/>
        <v>14.715000000000002</v>
      </c>
      <c r="AG52">
        <f t="shared" si="45"/>
        <v>15.5</v>
      </c>
      <c r="AH52">
        <f>AG52*Konstanten!$B$4</f>
        <v>65.875</v>
      </c>
      <c r="AI52">
        <f t="shared" si="46"/>
        <v>51.16</v>
      </c>
      <c r="AJ52">
        <f t="shared" si="47"/>
        <v>24.3</v>
      </c>
      <c r="AK52">
        <f>AJ52*Konstanten!$B$3</f>
        <v>60.75</v>
      </c>
      <c r="AM52">
        <f t="shared" si="48"/>
        <v>0</v>
      </c>
      <c r="AN52">
        <f t="shared" si="49"/>
        <v>0</v>
      </c>
      <c r="AR52" s="8"/>
      <c r="BA52" s="4"/>
    </row>
    <row r="53" spans="1:53" x14ac:dyDescent="0.25">
      <c r="A53">
        <v>52</v>
      </c>
      <c r="B53">
        <v>3</v>
      </c>
      <c r="C53" t="s">
        <v>104</v>
      </c>
      <c r="D53" t="s">
        <v>238</v>
      </c>
      <c r="F53">
        <v>12.6</v>
      </c>
      <c r="G53" t="s">
        <v>202</v>
      </c>
      <c r="H53">
        <v>0</v>
      </c>
      <c r="J53">
        <f>2*(70+92)</f>
        <v>324</v>
      </c>
      <c r="L53">
        <f>Konstanten!$B$3</f>
        <v>2.5</v>
      </c>
      <c r="M53">
        <f>COUNTIF(Windows!$A$4:$A$84,D53)</f>
        <v>0</v>
      </c>
      <c r="N53" t="e">
        <f>VLOOKUP(D53,Windows!$A$4:$D$84,2,FALSE)</f>
        <v>#N/A</v>
      </c>
      <c r="O53" t="e">
        <f>VLOOKUP(N53,Windows!$B$4:$D$84,2,FALSE)/1000</f>
        <v>#N/A</v>
      </c>
      <c r="P53" t="e">
        <f>VLOOKUP(N53,Windows!$B$4:$D$84,3,FALSE)/1000</f>
        <v>#N/A</v>
      </c>
      <c r="Q53">
        <f t="shared" si="39"/>
        <v>0</v>
      </c>
      <c r="R53">
        <f>IF(M53&gt;=2,INDEX(Windows!$B$4:$B$84,MATCH(N53,Windows!$B$4:$B$84,0)+1),0)</f>
        <v>0</v>
      </c>
      <c r="S53" t="e">
        <f>VLOOKUP(R53,Windows!$B$4:$D$84,2,FALSE)/1000</f>
        <v>#N/A</v>
      </c>
      <c r="T53" t="e">
        <f>VLOOKUP(R53,Windows!$B$4:$D$84,3,FALSE)/1000</f>
        <v>#N/A</v>
      </c>
      <c r="U53">
        <f t="shared" si="40"/>
        <v>0</v>
      </c>
      <c r="V53">
        <f>IF(M53&gt;=3,INDEX(Windows!$B$4:$B$84,MATCH(N53,Windows!$B$4:$B$84,0)+2),0)</f>
        <v>0</v>
      </c>
      <c r="W53" t="e">
        <f>VLOOKUP(V53,Windows!$B$4:$D$84,2,FALSE)/1000</f>
        <v>#N/A</v>
      </c>
      <c r="X53" t="e">
        <f>VLOOKUP(V53,Windows!$B$4:$D$84,3,FALSE)/1000</f>
        <v>#N/A</v>
      </c>
      <c r="Y53">
        <f t="shared" si="41"/>
        <v>0</v>
      </c>
      <c r="Z53">
        <f>IF(M53&gt;=4,INDEX(Windows!$B$4:$B$84,MATCH(N53,Windows!$B$4:$B$84,0)+3),0)</f>
        <v>0</v>
      </c>
      <c r="AA53" t="e">
        <f>VLOOKUP(Z53,Windows!$B$4:$D$84,2,FALSE)/1000</f>
        <v>#N/A</v>
      </c>
      <c r="AB53" t="e">
        <f>VLOOKUP(Z53,Windows!$B$4:$D$84,3,FALSE)/1000</f>
        <v>#N/A</v>
      </c>
      <c r="AC53">
        <f t="shared" si="42"/>
        <v>0</v>
      </c>
      <c r="AD53" t="str">
        <f t="shared" si="43"/>
        <v>N/A</v>
      </c>
      <c r="AE53">
        <f t="shared" si="44"/>
        <v>0</v>
      </c>
      <c r="AG53">
        <f t="shared" si="45"/>
        <v>0</v>
      </c>
      <c r="AH53">
        <f>AG53*Konstanten!$B$4</f>
        <v>0</v>
      </c>
      <c r="AI53">
        <f t="shared" si="46"/>
        <v>0</v>
      </c>
      <c r="AJ53">
        <f t="shared" si="47"/>
        <v>16.2</v>
      </c>
      <c r="AK53">
        <f>AJ53*Konstanten!$B$3</f>
        <v>40.5</v>
      </c>
      <c r="AM53">
        <f t="shared" si="48"/>
        <v>0</v>
      </c>
      <c r="AN53">
        <f t="shared" si="49"/>
        <v>0</v>
      </c>
      <c r="AR53" s="8"/>
      <c r="BA53" s="4"/>
    </row>
    <row r="54" spans="1:53" x14ac:dyDescent="0.25">
      <c r="A54">
        <v>53</v>
      </c>
      <c r="B54">
        <v>3</v>
      </c>
      <c r="C54" t="s">
        <v>23</v>
      </c>
      <c r="D54" t="s">
        <v>239</v>
      </c>
      <c r="F54">
        <v>17.100000000000001</v>
      </c>
      <c r="G54" t="s">
        <v>202</v>
      </c>
      <c r="H54">
        <v>0</v>
      </c>
      <c r="J54">
        <f>2*(88+99)</f>
        <v>374</v>
      </c>
      <c r="L54">
        <f>Konstanten!$B$3</f>
        <v>2.5</v>
      </c>
      <c r="M54">
        <f>COUNTIF(Windows!$A$4:$A$84,D54)</f>
        <v>0</v>
      </c>
      <c r="N54" t="e">
        <f>VLOOKUP(D54,Windows!$A$4:$D$84,2,FALSE)</f>
        <v>#N/A</v>
      </c>
      <c r="O54" t="e">
        <f>VLOOKUP(N54,Windows!$B$4:$D$84,2,FALSE)/1000</f>
        <v>#N/A</v>
      </c>
      <c r="P54" t="e">
        <f>VLOOKUP(N54,Windows!$B$4:$D$84,3,FALSE)/1000</f>
        <v>#N/A</v>
      </c>
      <c r="Q54">
        <f t="shared" si="39"/>
        <v>0</v>
      </c>
      <c r="R54">
        <f>IF(M54&gt;=2,INDEX(Windows!$B$4:$B$84,MATCH(N54,Windows!$B$4:$B$84,0)+1),0)</f>
        <v>0</v>
      </c>
      <c r="S54" t="e">
        <f>VLOOKUP(R54,Windows!$B$4:$D$84,2,FALSE)/1000</f>
        <v>#N/A</v>
      </c>
      <c r="T54" t="e">
        <f>VLOOKUP(R54,Windows!$B$4:$D$84,3,FALSE)/1000</f>
        <v>#N/A</v>
      </c>
      <c r="U54">
        <f t="shared" si="40"/>
        <v>0</v>
      </c>
      <c r="V54">
        <f>IF(M54&gt;=3,INDEX(Windows!$B$4:$B$84,MATCH(N54,Windows!$B$4:$B$84,0)+2),0)</f>
        <v>0</v>
      </c>
      <c r="W54" t="e">
        <f>VLOOKUP(V54,Windows!$B$4:$D$84,2,FALSE)/1000</f>
        <v>#N/A</v>
      </c>
      <c r="X54" t="e">
        <f>VLOOKUP(V54,Windows!$B$4:$D$84,3,FALSE)/1000</f>
        <v>#N/A</v>
      </c>
      <c r="Y54">
        <f t="shared" si="41"/>
        <v>0</v>
      </c>
      <c r="Z54">
        <f>IF(M54&gt;=4,INDEX(Windows!$B$4:$B$84,MATCH(N54,Windows!$B$4:$B$84,0)+3),0)</f>
        <v>0</v>
      </c>
      <c r="AA54" t="e">
        <f>VLOOKUP(Z54,Windows!$B$4:$D$84,2,FALSE)/1000</f>
        <v>#N/A</v>
      </c>
      <c r="AB54" t="e">
        <f>VLOOKUP(Z54,Windows!$B$4:$D$84,3,FALSE)/1000</f>
        <v>#N/A</v>
      </c>
      <c r="AC54">
        <f t="shared" si="42"/>
        <v>0</v>
      </c>
      <c r="AD54" t="str">
        <f t="shared" si="43"/>
        <v>N/A</v>
      </c>
      <c r="AE54">
        <f t="shared" si="44"/>
        <v>0</v>
      </c>
      <c r="AG54">
        <f t="shared" si="45"/>
        <v>0</v>
      </c>
      <c r="AH54">
        <f>AG54*Konstanten!$B$4</f>
        <v>0</v>
      </c>
      <c r="AI54">
        <f t="shared" si="46"/>
        <v>0</v>
      </c>
      <c r="AJ54">
        <f t="shared" si="47"/>
        <v>18.7</v>
      </c>
      <c r="AK54">
        <f>AJ54*Konstanten!$B$3</f>
        <v>46.75</v>
      </c>
      <c r="AM54">
        <f t="shared" si="48"/>
        <v>0</v>
      </c>
      <c r="AN54">
        <f t="shared" si="49"/>
        <v>0</v>
      </c>
      <c r="AR54" s="8"/>
      <c r="BA54" s="4"/>
    </row>
    <row r="55" spans="1:53" x14ac:dyDescent="0.25">
      <c r="A55">
        <v>54</v>
      </c>
      <c r="B55">
        <v>3</v>
      </c>
      <c r="C55" t="s">
        <v>15</v>
      </c>
      <c r="D55" t="s">
        <v>240</v>
      </c>
      <c r="F55">
        <v>1.9</v>
      </c>
      <c r="G55" t="s">
        <v>202</v>
      </c>
      <c r="H55">
        <v>0</v>
      </c>
      <c r="J55">
        <f>2*(24+31)</f>
        <v>110</v>
      </c>
      <c r="L55">
        <f>Konstanten!$B$3</f>
        <v>2.5</v>
      </c>
      <c r="M55">
        <f>COUNTIF(Windows!$A$4:$A$84,D55)</f>
        <v>0</v>
      </c>
      <c r="N55" t="e">
        <f>VLOOKUP(D55,Windows!$A$4:$D$84,2,FALSE)</f>
        <v>#N/A</v>
      </c>
      <c r="O55" t="e">
        <f>VLOOKUP(N55,Windows!$B$4:$D$84,2,FALSE)/1000</f>
        <v>#N/A</v>
      </c>
      <c r="P55" t="e">
        <f>VLOOKUP(N55,Windows!$B$4:$D$84,3,FALSE)/1000</f>
        <v>#N/A</v>
      </c>
      <c r="Q55">
        <f t="shared" si="39"/>
        <v>0</v>
      </c>
      <c r="R55">
        <f>IF(M55&gt;=2,INDEX(Windows!$B$4:$B$84,MATCH(N55,Windows!$B$4:$B$84,0)+1),0)</f>
        <v>0</v>
      </c>
      <c r="S55" t="e">
        <f>VLOOKUP(R55,Windows!$B$4:$D$84,2,FALSE)/1000</f>
        <v>#N/A</v>
      </c>
      <c r="T55" t="e">
        <f>VLOOKUP(R55,Windows!$B$4:$D$84,3,FALSE)/1000</f>
        <v>#N/A</v>
      </c>
      <c r="U55">
        <f t="shared" si="40"/>
        <v>0</v>
      </c>
      <c r="V55">
        <f>IF(M55&gt;=3,INDEX(Windows!$B$4:$B$84,MATCH(N55,Windows!$B$4:$B$84,0)+2),0)</f>
        <v>0</v>
      </c>
      <c r="W55" t="e">
        <f>VLOOKUP(V55,Windows!$B$4:$D$84,2,FALSE)/1000</f>
        <v>#N/A</v>
      </c>
      <c r="X55" t="e">
        <f>VLOOKUP(V55,Windows!$B$4:$D$84,3,FALSE)/1000</f>
        <v>#N/A</v>
      </c>
      <c r="Y55">
        <f t="shared" si="41"/>
        <v>0</v>
      </c>
      <c r="Z55">
        <f>IF(M55&gt;=4,INDEX(Windows!$B$4:$B$84,MATCH(N55,Windows!$B$4:$B$84,0)+3),0)</f>
        <v>0</v>
      </c>
      <c r="AA55" t="e">
        <f>VLOOKUP(Z55,Windows!$B$4:$D$84,2,FALSE)/1000</f>
        <v>#N/A</v>
      </c>
      <c r="AB55" t="e">
        <f>VLOOKUP(Z55,Windows!$B$4:$D$84,3,FALSE)/1000</f>
        <v>#N/A</v>
      </c>
      <c r="AC55">
        <f t="shared" si="42"/>
        <v>0</v>
      </c>
      <c r="AD55" t="str">
        <f t="shared" si="43"/>
        <v>N/A</v>
      </c>
      <c r="AE55">
        <f t="shared" si="44"/>
        <v>0</v>
      </c>
      <c r="AG55">
        <f t="shared" si="45"/>
        <v>0</v>
      </c>
      <c r="AH55">
        <f>AG55*Konstanten!$B$4</f>
        <v>0</v>
      </c>
      <c r="AI55">
        <f t="shared" si="46"/>
        <v>0</v>
      </c>
      <c r="AJ55">
        <f t="shared" si="47"/>
        <v>5.5</v>
      </c>
      <c r="AK55">
        <f>AJ55*Konstanten!$B$3</f>
        <v>13.75</v>
      </c>
      <c r="AM55">
        <f t="shared" si="48"/>
        <v>0</v>
      </c>
      <c r="AN55">
        <f t="shared" si="49"/>
        <v>0</v>
      </c>
      <c r="AR55" s="8"/>
      <c r="BA55" s="4"/>
    </row>
    <row r="56" spans="1:53" x14ac:dyDescent="0.25">
      <c r="A56">
        <v>55</v>
      </c>
      <c r="B56">
        <v>3</v>
      </c>
      <c r="C56" t="s">
        <v>15</v>
      </c>
      <c r="D56" t="s">
        <v>241</v>
      </c>
      <c r="F56">
        <v>1.9</v>
      </c>
      <c r="G56" t="s">
        <v>202</v>
      </c>
      <c r="H56">
        <v>0</v>
      </c>
      <c r="J56">
        <f>2*(24+31)</f>
        <v>110</v>
      </c>
      <c r="L56">
        <f>Konstanten!$B$3</f>
        <v>2.5</v>
      </c>
      <c r="M56">
        <f>COUNTIF(Windows!$A$4:$A$84,D56)</f>
        <v>0</v>
      </c>
      <c r="N56" t="e">
        <f>VLOOKUP(D56,Windows!$A$4:$D$84,2,FALSE)</f>
        <v>#N/A</v>
      </c>
      <c r="O56" t="e">
        <f>VLOOKUP(N56,Windows!$B$4:$D$84,2,FALSE)/1000</f>
        <v>#N/A</v>
      </c>
      <c r="P56" t="e">
        <f>VLOOKUP(N56,Windows!$B$4:$D$84,3,FALSE)/1000</f>
        <v>#N/A</v>
      </c>
      <c r="Q56">
        <f t="shared" ref="Q56:Q68" si="50">IF(ISNA(P56*O56),0,O56*P56)</f>
        <v>0</v>
      </c>
      <c r="R56">
        <f>IF(M56&gt;=2,INDEX(Windows!$B$4:$B$84,MATCH(N56,Windows!$B$4:$B$84,0)+1),0)</f>
        <v>0</v>
      </c>
      <c r="S56" t="e">
        <f>VLOOKUP(R56,Windows!$B$4:$D$84,2,FALSE)/1000</f>
        <v>#N/A</v>
      </c>
      <c r="T56" t="e">
        <f>VLOOKUP(R56,Windows!$B$4:$D$84,3,FALSE)/1000</f>
        <v>#N/A</v>
      </c>
      <c r="U56">
        <f t="shared" ref="U56:U68" si="51">IF(ISNA(T56*S56),0,S56*T56)</f>
        <v>0</v>
      </c>
      <c r="V56">
        <f>IF(M56&gt;=3,INDEX(Windows!$B$4:$B$84,MATCH(N56,Windows!$B$4:$B$84,0)+2),0)</f>
        <v>0</v>
      </c>
      <c r="W56" t="e">
        <f>VLOOKUP(V56,Windows!$B$4:$D$84,2,FALSE)/1000</f>
        <v>#N/A</v>
      </c>
      <c r="X56" t="e">
        <f>VLOOKUP(V56,Windows!$B$4:$D$84,3,FALSE)/1000</f>
        <v>#N/A</v>
      </c>
      <c r="Y56">
        <f t="shared" ref="Y56:Y68" si="52">IF(ISNA(X56*W56),0,W56*X56)</f>
        <v>0</v>
      </c>
      <c r="Z56">
        <f>IF(M56&gt;=4,INDEX(Windows!$B$4:$B$84,MATCH(N56,Windows!$B$4:$B$84,0)+3),0)</f>
        <v>0</v>
      </c>
      <c r="AA56" t="e">
        <f>VLOOKUP(Z56,Windows!$B$4:$D$84,2,FALSE)/1000</f>
        <v>#N/A</v>
      </c>
      <c r="AB56" t="e">
        <f>VLOOKUP(Z56,Windows!$B$4:$D$84,3,FALSE)/1000</f>
        <v>#N/A</v>
      </c>
      <c r="AC56">
        <f t="shared" ref="AC56:AC68" si="53">IF(ISNA(AB56*AA56),0,AA56*AB56)</f>
        <v>0</v>
      </c>
      <c r="AD56" t="str">
        <f t="shared" ref="AD56:AD68" si="54">IF(M56&gt;0,G56,"N/A")</f>
        <v>N/A</v>
      </c>
      <c r="AE56">
        <f t="shared" ref="AE56:AE68" si="55">SUM(Q56,U56,Y56,AC56)</f>
        <v>0</v>
      </c>
      <c r="AG56">
        <f t="shared" ref="AG56:AG68" si="56">H56*50/1000</f>
        <v>0</v>
      </c>
      <c r="AH56">
        <f>AG56*Konstanten!$B$4</f>
        <v>0</v>
      </c>
      <c r="AI56">
        <f t="shared" ref="AI56:AI68" si="57">IF(AH56-AE56&lt;=0, 0, AH56-AE56)</f>
        <v>0</v>
      </c>
      <c r="AJ56">
        <f t="shared" ref="AJ56:AJ68" si="58">50/1000*J56</f>
        <v>5.5</v>
      </c>
      <c r="AK56">
        <f>AJ56*Konstanten!$B$3</f>
        <v>13.75</v>
      </c>
      <c r="AM56">
        <f t="shared" ref="AM56:AM68" si="59">IF(B56=9,1,0)</f>
        <v>0</v>
      </c>
      <c r="AN56">
        <f t="shared" ref="AN56:AN68" si="60">IF(B56=1,1,0)</f>
        <v>0</v>
      </c>
      <c r="AR56" s="8"/>
      <c r="BA56" s="4"/>
    </row>
    <row r="57" spans="1:53" x14ac:dyDescent="0.25">
      <c r="A57">
        <v>56</v>
      </c>
      <c r="B57">
        <v>3</v>
      </c>
      <c r="C57" t="s">
        <v>23</v>
      </c>
      <c r="D57" t="s">
        <v>242</v>
      </c>
      <c r="F57">
        <v>17.100000000000001</v>
      </c>
      <c r="G57" t="s">
        <v>202</v>
      </c>
      <c r="H57">
        <v>0</v>
      </c>
      <c r="J57">
        <f>2*(71+99)</f>
        <v>340</v>
      </c>
      <c r="L57">
        <f>Konstanten!$B$3</f>
        <v>2.5</v>
      </c>
      <c r="M57">
        <f>COUNTIF(Windows!$A$4:$A$84,D57)</f>
        <v>0</v>
      </c>
      <c r="N57" t="e">
        <f>VLOOKUP(D57,Windows!$A$4:$D$84,2,FALSE)</f>
        <v>#N/A</v>
      </c>
      <c r="O57" t="e">
        <f>VLOOKUP(N57,Windows!$B$4:$D$84,2,FALSE)/1000</f>
        <v>#N/A</v>
      </c>
      <c r="P57" t="e">
        <f>VLOOKUP(N57,Windows!$B$4:$D$84,3,FALSE)/1000</f>
        <v>#N/A</v>
      </c>
      <c r="Q57">
        <f t="shared" si="50"/>
        <v>0</v>
      </c>
      <c r="R57">
        <f>IF(M57&gt;=2,INDEX(Windows!$B$4:$B$84,MATCH(N57,Windows!$B$4:$B$84,0)+1),0)</f>
        <v>0</v>
      </c>
      <c r="S57" t="e">
        <f>VLOOKUP(R57,Windows!$B$4:$D$84,2,FALSE)/1000</f>
        <v>#N/A</v>
      </c>
      <c r="T57" t="e">
        <f>VLOOKUP(R57,Windows!$B$4:$D$84,3,FALSE)/1000</f>
        <v>#N/A</v>
      </c>
      <c r="U57">
        <f t="shared" si="51"/>
        <v>0</v>
      </c>
      <c r="V57">
        <f>IF(M57&gt;=3,INDEX(Windows!$B$4:$B$84,MATCH(N57,Windows!$B$4:$B$84,0)+2),0)</f>
        <v>0</v>
      </c>
      <c r="W57" t="e">
        <f>VLOOKUP(V57,Windows!$B$4:$D$84,2,FALSE)/1000</f>
        <v>#N/A</v>
      </c>
      <c r="X57" t="e">
        <f>VLOOKUP(V57,Windows!$B$4:$D$84,3,FALSE)/1000</f>
        <v>#N/A</v>
      </c>
      <c r="Y57">
        <f t="shared" si="52"/>
        <v>0</v>
      </c>
      <c r="Z57">
        <f>IF(M57&gt;=4,INDEX(Windows!$B$4:$B$84,MATCH(N57,Windows!$B$4:$B$84,0)+3),0)</f>
        <v>0</v>
      </c>
      <c r="AA57" t="e">
        <f>VLOOKUP(Z57,Windows!$B$4:$D$84,2,FALSE)/1000</f>
        <v>#N/A</v>
      </c>
      <c r="AB57" t="e">
        <f>VLOOKUP(Z57,Windows!$B$4:$D$84,3,FALSE)/1000</f>
        <v>#N/A</v>
      </c>
      <c r="AC57">
        <f t="shared" si="53"/>
        <v>0</v>
      </c>
      <c r="AD57" t="str">
        <f t="shared" si="54"/>
        <v>N/A</v>
      </c>
      <c r="AE57">
        <f t="shared" si="55"/>
        <v>0</v>
      </c>
      <c r="AG57">
        <f t="shared" si="56"/>
        <v>0</v>
      </c>
      <c r="AH57">
        <f>AG57*Konstanten!$B$4</f>
        <v>0</v>
      </c>
      <c r="AI57">
        <f t="shared" si="57"/>
        <v>0</v>
      </c>
      <c r="AJ57">
        <f t="shared" si="58"/>
        <v>17</v>
      </c>
      <c r="AK57">
        <f>AJ57*Konstanten!$B$3</f>
        <v>42.5</v>
      </c>
      <c r="AM57">
        <f t="shared" si="59"/>
        <v>0</v>
      </c>
      <c r="AN57">
        <f t="shared" si="60"/>
        <v>0</v>
      </c>
      <c r="AR57" s="8"/>
      <c r="BA57" s="4"/>
    </row>
    <row r="58" spans="1:53" x14ac:dyDescent="0.25">
      <c r="A58">
        <v>57</v>
      </c>
      <c r="B58">
        <v>3</v>
      </c>
      <c r="C58" t="s">
        <v>23</v>
      </c>
      <c r="D58" t="s">
        <v>243</v>
      </c>
      <c r="F58">
        <v>17.100000000000001</v>
      </c>
      <c r="G58" t="s">
        <v>202</v>
      </c>
      <c r="H58">
        <v>0</v>
      </c>
      <c r="J58">
        <f>2*(71+99)</f>
        <v>340</v>
      </c>
      <c r="L58">
        <f>Konstanten!$B$3</f>
        <v>2.5</v>
      </c>
      <c r="M58">
        <f>COUNTIF(Windows!$A$4:$A$84,D58)</f>
        <v>0</v>
      </c>
      <c r="N58" t="e">
        <f>VLOOKUP(D58,Windows!$A$4:$D$84,2,FALSE)</f>
        <v>#N/A</v>
      </c>
      <c r="O58" t="e">
        <f>VLOOKUP(N58,Windows!$B$4:$D$84,2,FALSE)/1000</f>
        <v>#N/A</v>
      </c>
      <c r="P58" t="e">
        <f>VLOOKUP(N58,Windows!$B$4:$D$84,3,FALSE)/1000</f>
        <v>#N/A</v>
      </c>
      <c r="Q58">
        <f t="shared" si="50"/>
        <v>0</v>
      </c>
      <c r="R58">
        <f>IF(M58&gt;=2,INDEX(Windows!$B$4:$B$84,MATCH(N58,Windows!$B$4:$B$84,0)+1),0)</f>
        <v>0</v>
      </c>
      <c r="S58" t="e">
        <f>VLOOKUP(R58,Windows!$B$4:$D$84,2,FALSE)/1000</f>
        <v>#N/A</v>
      </c>
      <c r="T58" t="e">
        <f>VLOOKUP(R58,Windows!$B$4:$D$84,3,FALSE)/1000</f>
        <v>#N/A</v>
      </c>
      <c r="U58">
        <f t="shared" si="51"/>
        <v>0</v>
      </c>
      <c r="V58">
        <f>IF(M58&gt;=3,INDEX(Windows!$B$4:$B$84,MATCH(N58,Windows!$B$4:$B$84,0)+2),0)</f>
        <v>0</v>
      </c>
      <c r="W58" t="e">
        <f>VLOOKUP(V58,Windows!$B$4:$D$84,2,FALSE)/1000</f>
        <v>#N/A</v>
      </c>
      <c r="X58" t="e">
        <f>VLOOKUP(V58,Windows!$B$4:$D$84,3,FALSE)/1000</f>
        <v>#N/A</v>
      </c>
      <c r="Y58">
        <f t="shared" si="52"/>
        <v>0</v>
      </c>
      <c r="Z58">
        <f>IF(M58&gt;=4,INDEX(Windows!$B$4:$B$84,MATCH(N58,Windows!$B$4:$B$84,0)+3),0)</f>
        <v>0</v>
      </c>
      <c r="AA58" t="e">
        <f>VLOOKUP(Z58,Windows!$B$4:$D$84,2,FALSE)/1000</f>
        <v>#N/A</v>
      </c>
      <c r="AB58" t="e">
        <f>VLOOKUP(Z58,Windows!$B$4:$D$84,3,FALSE)/1000</f>
        <v>#N/A</v>
      </c>
      <c r="AC58">
        <f t="shared" si="53"/>
        <v>0</v>
      </c>
      <c r="AD58" t="str">
        <f t="shared" si="54"/>
        <v>N/A</v>
      </c>
      <c r="AE58">
        <f t="shared" si="55"/>
        <v>0</v>
      </c>
      <c r="AG58">
        <f t="shared" si="56"/>
        <v>0</v>
      </c>
      <c r="AH58">
        <f>AG58*Konstanten!$B$4</f>
        <v>0</v>
      </c>
      <c r="AI58">
        <f t="shared" si="57"/>
        <v>0</v>
      </c>
      <c r="AJ58">
        <f t="shared" si="58"/>
        <v>17</v>
      </c>
      <c r="AK58">
        <f>AJ58*Konstanten!$B$3</f>
        <v>42.5</v>
      </c>
      <c r="AM58">
        <f t="shared" si="59"/>
        <v>0</v>
      </c>
      <c r="AN58">
        <f t="shared" si="60"/>
        <v>0</v>
      </c>
      <c r="AR58" s="8"/>
      <c r="BA58" s="4"/>
    </row>
    <row r="59" spans="1:53" x14ac:dyDescent="0.25">
      <c r="A59">
        <v>58</v>
      </c>
      <c r="B59">
        <v>3</v>
      </c>
      <c r="C59" t="s">
        <v>23</v>
      </c>
      <c r="D59" t="s">
        <v>244</v>
      </c>
      <c r="F59">
        <v>12.9</v>
      </c>
      <c r="G59" t="s">
        <v>202</v>
      </c>
      <c r="H59">
        <v>0</v>
      </c>
      <c r="J59">
        <f>2*(97+54)</f>
        <v>302</v>
      </c>
      <c r="L59">
        <f>Konstanten!$B$3</f>
        <v>2.5</v>
      </c>
      <c r="M59">
        <f>COUNTIF(Windows!$A$4:$A$84,D59)</f>
        <v>0</v>
      </c>
      <c r="N59" t="e">
        <f>VLOOKUP(D59,Windows!$A$4:$D$84,2,FALSE)</f>
        <v>#N/A</v>
      </c>
      <c r="O59" t="e">
        <f>VLOOKUP(N59,Windows!$B$4:$D$84,2,FALSE)/1000</f>
        <v>#N/A</v>
      </c>
      <c r="P59" t="e">
        <f>VLOOKUP(N59,Windows!$B$4:$D$84,3,FALSE)/1000</f>
        <v>#N/A</v>
      </c>
      <c r="Q59">
        <f t="shared" si="50"/>
        <v>0</v>
      </c>
      <c r="R59">
        <f>IF(M59&gt;=2,INDEX(Windows!$B$4:$B$84,MATCH(N59,Windows!$B$4:$B$84,0)+1),0)</f>
        <v>0</v>
      </c>
      <c r="S59" t="e">
        <f>VLOOKUP(R59,Windows!$B$4:$D$84,2,FALSE)/1000</f>
        <v>#N/A</v>
      </c>
      <c r="T59" t="e">
        <f>VLOOKUP(R59,Windows!$B$4:$D$84,3,FALSE)/1000</f>
        <v>#N/A</v>
      </c>
      <c r="U59">
        <f t="shared" si="51"/>
        <v>0</v>
      </c>
      <c r="V59">
        <f>IF(M59&gt;=3,INDEX(Windows!$B$4:$B$84,MATCH(N59,Windows!$B$4:$B$84,0)+2),0)</f>
        <v>0</v>
      </c>
      <c r="W59" t="e">
        <f>VLOOKUP(V59,Windows!$B$4:$D$84,2,FALSE)/1000</f>
        <v>#N/A</v>
      </c>
      <c r="X59" t="e">
        <f>VLOOKUP(V59,Windows!$B$4:$D$84,3,FALSE)/1000</f>
        <v>#N/A</v>
      </c>
      <c r="Y59">
        <f t="shared" si="52"/>
        <v>0</v>
      </c>
      <c r="Z59">
        <f>IF(M59&gt;=4,INDEX(Windows!$B$4:$B$84,MATCH(N59,Windows!$B$4:$B$84,0)+3),0)</f>
        <v>0</v>
      </c>
      <c r="AA59" t="e">
        <f>VLOOKUP(Z59,Windows!$B$4:$D$84,2,FALSE)/1000</f>
        <v>#N/A</v>
      </c>
      <c r="AB59" t="e">
        <f>VLOOKUP(Z59,Windows!$B$4:$D$84,3,FALSE)/1000</f>
        <v>#N/A</v>
      </c>
      <c r="AC59">
        <f t="shared" si="53"/>
        <v>0</v>
      </c>
      <c r="AD59" t="str">
        <f t="shared" si="54"/>
        <v>N/A</v>
      </c>
      <c r="AE59">
        <f t="shared" si="55"/>
        <v>0</v>
      </c>
      <c r="AG59">
        <f t="shared" si="56"/>
        <v>0</v>
      </c>
      <c r="AH59">
        <f>AG59*Konstanten!$B$4</f>
        <v>0</v>
      </c>
      <c r="AI59">
        <f t="shared" si="57"/>
        <v>0</v>
      </c>
      <c r="AJ59">
        <f t="shared" si="58"/>
        <v>15.100000000000001</v>
      </c>
      <c r="AK59">
        <f>AJ59*Konstanten!$B$3</f>
        <v>37.75</v>
      </c>
      <c r="AM59">
        <f t="shared" si="59"/>
        <v>0</v>
      </c>
      <c r="AN59">
        <f t="shared" si="60"/>
        <v>0</v>
      </c>
      <c r="AR59" s="8"/>
      <c r="BA59" s="4"/>
    </row>
    <row r="60" spans="1:53" x14ac:dyDescent="0.25">
      <c r="A60">
        <v>59</v>
      </c>
      <c r="B60">
        <v>3</v>
      </c>
      <c r="C60" t="s">
        <v>15</v>
      </c>
      <c r="D60" t="s">
        <v>245</v>
      </c>
      <c r="F60">
        <v>4.4000000000000004</v>
      </c>
      <c r="G60" t="s">
        <v>202</v>
      </c>
      <c r="H60">
        <v>0</v>
      </c>
      <c r="J60">
        <f>2*(42+42)</f>
        <v>168</v>
      </c>
      <c r="L60">
        <f>Konstanten!$B$3</f>
        <v>2.5</v>
      </c>
      <c r="M60">
        <f>COUNTIF(Windows!$A$4:$A$84,D60)</f>
        <v>0</v>
      </c>
      <c r="N60" t="e">
        <f>VLOOKUP(D60,Windows!$A$4:$D$84,2,FALSE)</f>
        <v>#N/A</v>
      </c>
      <c r="O60" t="e">
        <f>VLOOKUP(N60,Windows!$B$4:$D$84,2,FALSE)/1000</f>
        <v>#N/A</v>
      </c>
      <c r="P60" t="e">
        <f>VLOOKUP(N60,Windows!$B$4:$D$84,3,FALSE)/1000</f>
        <v>#N/A</v>
      </c>
      <c r="Q60">
        <f t="shared" si="50"/>
        <v>0</v>
      </c>
      <c r="R60">
        <f>IF(M60&gt;=2,INDEX(Windows!$B$4:$B$84,MATCH(N60,Windows!$B$4:$B$84,0)+1),0)</f>
        <v>0</v>
      </c>
      <c r="S60" t="e">
        <f>VLOOKUP(R60,Windows!$B$4:$D$84,2,FALSE)/1000</f>
        <v>#N/A</v>
      </c>
      <c r="T60" t="e">
        <f>VLOOKUP(R60,Windows!$B$4:$D$84,3,FALSE)/1000</f>
        <v>#N/A</v>
      </c>
      <c r="U60">
        <f t="shared" si="51"/>
        <v>0</v>
      </c>
      <c r="V60">
        <f>IF(M60&gt;=3,INDEX(Windows!$B$4:$B$84,MATCH(N60,Windows!$B$4:$B$84,0)+2),0)</f>
        <v>0</v>
      </c>
      <c r="W60" t="e">
        <f>VLOOKUP(V60,Windows!$B$4:$D$84,2,FALSE)/1000</f>
        <v>#N/A</v>
      </c>
      <c r="X60" t="e">
        <f>VLOOKUP(V60,Windows!$B$4:$D$84,3,FALSE)/1000</f>
        <v>#N/A</v>
      </c>
      <c r="Y60">
        <f t="shared" si="52"/>
        <v>0</v>
      </c>
      <c r="Z60">
        <f>IF(M60&gt;=4,INDEX(Windows!$B$4:$B$84,MATCH(N60,Windows!$B$4:$B$84,0)+3),0)</f>
        <v>0</v>
      </c>
      <c r="AA60" t="e">
        <f>VLOOKUP(Z60,Windows!$B$4:$D$84,2,FALSE)/1000</f>
        <v>#N/A</v>
      </c>
      <c r="AB60" t="e">
        <f>VLOOKUP(Z60,Windows!$B$4:$D$84,3,FALSE)/1000</f>
        <v>#N/A</v>
      </c>
      <c r="AC60">
        <f t="shared" si="53"/>
        <v>0</v>
      </c>
      <c r="AD60" t="str">
        <f t="shared" si="54"/>
        <v>N/A</v>
      </c>
      <c r="AE60">
        <f t="shared" si="55"/>
        <v>0</v>
      </c>
      <c r="AG60">
        <f t="shared" si="56"/>
        <v>0</v>
      </c>
      <c r="AH60">
        <f>AG60*Konstanten!$B$4</f>
        <v>0</v>
      </c>
      <c r="AI60">
        <f t="shared" si="57"/>
        <v>0</v>
      </c>
      <c r="AJ60">
        <f t="shared" si="58"/>
        <v>8.4</v>
      </c>
      <c r="AK60">
        <f>AJ60*Konstanten!$B$3</f>
        <v>21</v>
      </c>
      <c r="AM60">
        <f t="shared" si="59"/>
        <v>0</v>
      </c>
      <c r="AN60">
        <f t="shared" si="60"/>
        <v>0</v>
      </c>
      <c r="AR60" s="8"/>
      <c r="BA60" s="4"/>
    </row>
    <row r="61" spans="1:53" x14ac:dyDescent="0.25">
      <c r="A61">
        <v>60</v>
      </c>
      <c r="B61">
        <v>3</v>
      </c>
      <c r="C61" t="s">
        <v>23</v>
      </c>
      <c r="D61" t="s">
        <v>130</v>
      </c>
      <c r="F61">
        <v>13.7</v>
      </c>
      <c r="G61">
        <v>42</v>
      </c>
      <c r="H61">
        <f>76</f>
        <v>76</v>
      </c>
      <c r="I61" t="s">
        <v>201</v>
      </c>
      <c r="J61">
        <f>2*70+76</f>
        <v>216</v>
      </c>
      <c r="L61">
        <f>Konstanten!$B$3</f>
        <v>2.5</v>
      </c>
      <c r="M61">
        <f>COUNTIF(Windows!$A$4:$A$84,D61)</f>
        <v>2</v>
      </c>
      <c r="N61" t="str">
        <f>VLOOKUP(D61,Windows!$A$4:$D$84,2,FALSE)</f>
        <v>IU14,5-o</v>
      </c>
      <c r="O61">
        <f>VLOOKUP(N61,Windows!$B$4:$D$84,2,FALSE)/1000</f>
        <v>1.47</v>
      </c>
      <c r="P61">
        <f>VLOOKUP(N61,Windows!$B$4:$D$84,3,FALSE)/1000</f>
        <v>1.32</v>
      </c>
      <c r="Q61">
        <f t="shared" si="50"/>
        <v>1.9404000000000001</v>
      </c>
      <c r="R61" t="str">
        <f>IF(M61&gt;=2,INDEX(Windows!$B$4:$B$84,MATCH(N61,Windows!$B$4:$B$84,0)+1),0)</f>
        <v>IU5,5-v</v>
      </c>
      <c r="S61">
        <f>VLOOKUP(R61,Windows!$B$4:$D$84,2,FALSE)/1000</f>
        <v>0.56999999999999995</v>
      </c>
      <c r="T61">
        <f>VLOOKUP(R61,Windows!$B$4:$D$84,3,FALSE)/1000</f>
        <v>1.32</v>
      </c>
      <c r="U61">
        <f t="shared" si="51"/>
        <v>0.75239999999999996</v>
      </c>
      <c r="V61">
        <f>IF(M61&gt;=3,INDEX(Windows!$B$4:$B$84,MATCH(N61,Windows!$B$4:$B$84,0)+2),0)</f>
        <v>0</v>
      </c>
      <c r="W61" t="e">
        <f>VLOOKUP(V61,Windows!$B$4:$D$84,2,FALSE)/1000</f>
        <v>#N/A</v>
      </c>
      <c r="X61" t="e">
        <f>VLOOKUP(V61,Windows!$B$4:$D$84,3,FALSE)/1000</f>
        <v>#N/A</v>
      </c>
      <c r="Y61">
        <f t="shared" si="52"/>
        <v>0</v>
      </c>
      <c r="Z61">
        <f>IF(M61&gt;=4,INDEX(Windows!$B$4:$B$84,MATCH(N61,Windows!$B$4:$B$84,0)+3),0)</f>
        <v>0</v>
      </c>
      <c r="AA61" t="e">
        <f>VLOOKUP(Z61,Windows!$B$4:$D$84,2,FALSE)/1000</f>
        <v>#N/A</v>
      </c>
      <c r="AB61" t="e">
        <f>VLOOKUP(Z61,Windows!$B$4:$D$84,3,FALSE)/1000</f>
        <v>#N/A</v>
      </c>
      <c r="AC61">
        <f t="shared" si="53"/>
        <v>0</v>
      </c>
      <c r="AD61">
        <f t="shared" si="54"/>
        <v>42</v>
      </c>
      <c r="AE61">
        <f t="shared" si="55"/>
        <v>2.6928000000000001</v>
      </c>
      <c r="AG61">
        <f t="shared" si="56"/>
        <v>3.8</v>
      </c>
      <c r="AH61">
        <f>AG61*Konstanten!$B$4</f>
        <v>16.149999999999999</v>
      </c>
      <c r="AI61">
        <f t="shared" si="57"/>
        <v>13.457199999999998</v>
      </c>
      <c r="AJ61">
        <f t="shared" si="58"/>
        <v>10.8</v>
      </c>
      <c r="AK61">
        <f>AJ61*Konstanten!$B$3</f>
        <v>27</v>
      </c>
      <c r="AM61">
        <f t="shared" si="59"/>
        <v>0</v>
      </c>
      <c r="AN61">
        <f t="shared" si="60"/>
        <v>0</v>
      </c>
      <c r="AR61" s="8"/>
      <c r="BA61" s="4"/>
    </row>
    <row r="62" spans="1:53" x14ac:dyDescent="0.25">
      <c r="A62">
        <v>61</v>
      </c>
      <c r="B62">
        <v>3</v>
      </c>
      <c r="C62" t="s">
        <v>23</v>
      </c>
      <c r="D62" t="s">
        <v>137</v>
      </c>
      <c r="F62">
        <v>14.2</v>
      </c>
      <c r="G62">
        <v>42</v>
      </c>
      <c r="H62">
        <v>82</v>
      </c>
      <c r="I62" t="s">
        <v>201</v>
      </c>
      <c r="J62">
        <f>2*70+82</f>
        <v>222</v>
      </c>
      <c r="L62">
        <f>Konstanten!$B$3</f>
        <v>2.5</v>
      </c>
      <c r="M62">
        <f>COUNTIF(Windows!$A$4:$A$84,D62)</f>
        <v>3</v>
      </c>
      <c r="N62" t="str">
        <f>VLOOKUP(D62,Windows!$A$4:$D$84,2,FALSE)</f>
        <v>IU5-o</v>
      </c>
      <c r="O62">
        <f>VLOOKUP(N62,Windows!$B$4:$D$84,2,FALSE)/1000</f>
        <v>0.49</v>
      </c>
      <c r="P62">
        <f>VLOOKUP(N62,Windows!$B$4:$D$84,3,FALSE)/1000</f>
        <v>1.32</v>
      </c>
      <c r="Q62">
        <f t="shared" si="50"/>
        <v>0.64680000000000004</v>
      </c>
      <c r="R62" t="str">
        <f>IF(M62&gt;=2,INDEX(Windows!$B$4:$B$84,MATCH(N62,Windows!$B$4:$B$84,0)+1),0)</f>
        <v>IU21-v</v>
      </c>
      <c r="S62">
        <f>VLOOKUP(R62,Windows!$B$4:$D$84,2,FALSE)/1000</f>
        <v>2.12</v>
      </c>
      <c r="T62">
        <f>VLOOKUP(R62,Windows!$B$4:$D$84,3,FALSE)/1000</f>
        <v>1.32</v>
      </c>
      <c r="U62">
        <f t="shared" si="51"/>
        <v>2.7984000000000004</v>
      </c>
      <c r="V62" t="str">
        <f>IF(M62&gt;=3,INDEX(Windows!$B$4:$B$84,MATCH(N62,Windows!$B$4:$B$84,0)+2),0)</f>
        <v>IU9,5-o</v>
      </c>
      <c r="W62">
        <f>VLOOKUP(V62,Windows!$B$4:$D$84,2,FALSE)/1000</f>
        <v>0.96</v>
      </c>
      <c r="X62">
        <f>VLOOKUP(V62,Windows!$B$4:$D$84,3,FALSE)/1000</f>
        <v>1.32</v>
      </c>
      <c r="Y62">
        <f t="shared" si="52"/>
        <v>1.2672000000000001</v>
      </c>
      <c r="Z62">
        <f>IF(M62&gt;=4,INDEX(Windows!$B$4:$B$84,MATCH(N62,Windows!$B$4:$B$84,0)+3),0)</f>
        <v>0</v>
      </c>
      <c r="AA62" t="e">
        <f>VLOOKUP(Z62,Windows!$B$4:$D$84,2,FALSE)/1000</f>
        <v>#N/A</v>
      </c>
      <c r="AB62" t="e">
        <f>VLOOKUP(Z62,Windows!$B$4:$D$84,3,FALSE)/1000</f>
        <v>#N/A</v>
      </c>
      <c r="AC62">
        <f t="shared" si="53"/>
        <v>0</v>
      </c>
      <c r="AD62">
        <f t="shared" si="54"/>
        <v>42</v>
      </c>
      <c r="AE62">
        <f t="shared" si="55"/>
        <v>4.7124000000000006</v>
      </c>
      <c r="AG62">
        <f t="shared" si="56"/>
        <v>4.0999999999999996</v>
      </c>
      <c r="AH62">
        <f>AG62*Konstanten!$B$4</f>
        <v>17.424999999999997</v>
      </c>
      <c r="AI62">
        <f t="shared" si="57"/>
        <v>12.712599999999997</v>
      </c>
      <c r="AJ62">
        <f t="shared" si="58"/>
        <v>11.100000000000001</v>
      </c>
      <c r="AK62">
        <f>AJ62*Konstanten!$B$3</f>
        <v>27.750000000000004</v>
      </c>
      <c r="AM62">
        <f t="shared" si="59"/>
        <v>0</v>
      </c>
      <c r="AN62">
        <f t="shared" si="60"/>
        <v>0</v>
      </c>
      <c r="AR62" s="8"/>
      <c r="BA62" s="4"/>
    </row>
    <row r="63" spans="1:53" x14ac:dyDescent="0.25">
      <c r="A63">
        <v>62</v>
      </c>
      <c r="B63">
        <v>3</v>
      </c>
      <c r="C63" t="s">
        <v>23</v>
      </c>
      <c r="D63" t="s">
        <v>138</v>
      </c>
      <c r="F63">
        <v>15.1</v>
      </c>
      <c r="G63">
        <v>42</v>
      </c>
      <c r="H63">
        <v>66</v>
      </c>
      <c r="I63" t="s">
        <v>201</v>
      </c>
      <c r="J63">
        <f>2*92+66</f>
        <v>250</v>
      </c>
      <c r="L63">
        <f>Konstanten!$B$3</f>
        <v>2.5</v>
      </c>
      <c r="M63">
        <f>COUNTIF(Windows!$A$4:$A$84,D63)</f>
        <v>2</v>
      </c>
      <c r="N63" t="str">
        <f>VLOOKUP(D63,Windows!$A$4:$D$84,2,FALSE)</f>
        <v>IU21-o</v>
      </c>
      <c r="O63">
        <f>VLOOKUP(N63,Windows!$B$4:$D$84,2,FALSE)/1000</f>
        <v>2.12</v>
      </c>
      <c r="P63">
        <f>VLOOKUP(N63,Windows!$B$4:$D$84,3,FALSE)/1000</f>
        <v>1.32</v>
      </c>
      <c r="Q63">
        <f t="shared" si="50"/>
        <v>2.7984000000000004</v>
      </c>
      <c r="R63" t="str">
        <f>IF(M63&gt;=2,INDEX(Windows!$B$4:$B$84,MATCH(N63,Windows!$B$4:$B$84,0)+1),0)</f>
        <v>IU9,5-v</v>
      </c>
      <c r="S63">
        <f>VLOOKUP(R63,Windows!$B$4:$D$84,2,FALSE)/1000</f>
        <v>0.92</v>
      </c>
      <c r="T63">
        <f>VLOOKUP(R63,Windows!$B$4:$D$84,3,FALSE)/1000</f>
        <v>1.32</v>
      </c>
      <c r="U63">
        <f t="shared" si="51"/>
        <v>1.2144000000000001</v>
      </c>
      <c r="V63">
        <f>IF(M63&gt;=3,INDEX(Windows!$B$4:$B$84,MATCH(N63,Windows!$B$4:$B$84,0)+2),0)</f>
        <v>0</v>
      </c>
      <c r="W63" t="e">
        <f>VLOOKUP(V63,Windows!$B$4:$D$84,2,FALSE)/1000</f>
        <v>#N/A</v>
      </c>
      <c r="X63" t="e">
        <f>VLOOKUP(V63,Windows!$B$4:$D$84,3,FALSE)/1000</f>
        <v>#N/A</v>
      </c>
      <c r="Y63">
        <f t="shared" si="52"/>
        <v>0</v>
      </c>
      <c r="Z63">
        <f>IF(M63&gt;=4,INDEX(Windows!$B$4:$B$84,MATCH(N63,Windows!$B$4:$B$84,0)+3),0)</f>
        <v>0</v>
      </c>
      <c r="AA63" t="e">
        <f>VLOOKUP(Z63,Windows!$B$4:$D$84,2,FALSE)/1000</f>
        <v>#N/A</v>
      </c>
      <c r="AB63" t="e">
        <f>VLOOKUP(Z63,Windows!$B$4:$D$84,3,FALSE)/1000</f>
        <v>#N/A</v>
      </c>
      <c r="AC63">
        <f t="shared" si="53"/>
        <v>0</v>
      </c>
      <c r="AD63">
        <f t="shared" si="54"/>
        <v>42</v>
      </c>
      <c r="AE63">
        <f t="shared" si="55"/>
        <v>4.0128000000000004</v>
      </c>
      <c r="AG63">
        <f t="shared" si="56"/>
        <v>3.3</v>
      </c>
      <c r="AH63">
        <f>AG63*Konstanten!$B$4</f>
        <v>14.024999999999999</v>
      </c>
      <c r="AI63">
        <f t="shared" si="57"/>
        <v>10.012199999999998</v>
      </c>
      <c r="AJ63">
        <f t="shared" si="58"/>
        <v>12.5</v>
      </c>
      <c r="AK63">
        <f>AJ63*Konstanten!$B$3</f>
        <v>31.25</v>
      </c>
      <c r="AM63">
        <f t="shared" si="59"/>
        <v>0</v>
      </c>
      <c r="AN63">
        <f t="shared" si="60"/>
        <v>0</v>
      </c>
      <c r="AR63" s="8"/>
      <c r="BA63" s="4"/>
    </row>
    <row r="64" spans="1:53" x14ac:dyDescent="0.25">
      <c r="A64">
        <v>63</v>
      </c>
      <c r="B64">
        <v>3</v>
      </c>
      <c r="C64" t="s">
        <v>23</v>
      </c>
      <c r="D64" t="s">
        <v>139</v>
      </c>
      <c r="F64">
        <v>15.1</v>
      </c>
      <c r="G64">
        <v>42</v>
      </c>
      <c r="H64">
        <v>66</v>
      </c>
      <c r="I64" t="s">
        <v>201</v>
      </c>
      <c r="J64">
        <f>2*92+66</f>
        <v>250</v>
      </c>
      <c r="L64">
        <f>Konstanten!$B$3</f>
        <v>2.5</v>
      </c>
      <c r="M64">
        <f>COUNTIF(Windows!$A$4:$A$84,D64)</f>
        <v>2</v>
      </c>
      <c r="N64" t="str">
        <f>VLOOKUP(D64,Windows!$A$4:$D$84,2,FALSE)</f>
        <v>IU21-v</v>
      </c>
      <c r="O64">
        <f>VLOOKUP(N64,Windows!$B$4:$D$84,2,FALSE)/1000</f>
        <v>2.12</v>
      </c>
      <c r="P64">
        <f>VLOOKUP(N64,Windows!$B$4:$D$84,3,FALSE)/1000</f>
        <v>1.32</v>
      </c>
      <c r="Q64">
        <f t="shared" si="50"/>
        <v>2.7984000000000004</v>
      </c>
      <c r="R64" t="str">
        <f>IF(M64&gt;=2,INDEX(Windows!$B$4:$B$84,MATCH(N64,Windows!$B$4:$B$84,0)+1),0)</f>
        <v>IU5-o</v>
      </c>
      <c r="S64">
        <f>VLOOKUP(R64,Windows!$B$4:$D$84,2,FALSE)/1000</f>
        <v>0.49</v>
      </c>
      <c r="T64">
        <f>VLOOKUP(R64,Windows!$B$4:$D$84,3,FALSE)/1000</f>
        <v>1.32</v>
      </c>
      <c r="U64">
        <f t="shared" si="51"/>
        <v>0.64680000000000004</v>
      </c>
      <c r="V64">
        <f>IF(M64&gt;=3,INDEX(Windows!$B$4:$B$84,MATCH(N64,Windows!$B$4:$B$84,0)+2),0)</f>
        <v>0</v>
      </c>
      <c r="W64" t="e">
        <f>VLOOKUP(V64,Windows!$B$4:$D$84,2,FALSE)/1000</f>
        <v>#N/A</v>
      </c>
      <c r="X64" t="e">
        <f>VLOOKUP(V64,Windows!$B$4:$D$84,3,FALSE)/1000</f>
        <v>#N/A</v>
      </c>
      <c r="Y64">
        <f t="shared" si="52"/>
        <v>0</v>
      </c>
      <c r="Z64">
        <f>IF(M64&gt;=4,INDEX(Windows!$B$4:$B$84,MATCH(N64,Windows!$B$4:$B$84,0)+3),0)</f>
        <v>0</v>
      </c>
      <c r="AA64" t="e">
        <f>VLOOKUP(Z64,Windows!$B$4:$D$84,2,FALSE)/1000</f>
        <v>#N/A</v>
      </c>
      <c r="AB64" t="e">
        <f>VLOOKUP(Z64,Windows!$B$4:$D$84,3,FALSE)/1000</f>
        <v>#N/A</v>
      </c>
      <c r="AC64">
        <f t="shared" si="53"/>
        <v>0</v>
      </c>
      <c r="AD64">
        <f t="shared" si="54"/>
        <v>42</v>
      </c>
      <c r="AE64">
        <f t="shared" si="55"/>
        <v>3.4452000000000007</v>
      </c>
      <c r="AG64">
        <f t="shared" si="56"/>
        <v>3.3</v>
      </c>
      <c r="AH64">
        <f>AG64*Konstanten!$B$4</f>
        <v>14.024999999999999</v>
      </c>
      <c r="AI64">
        <f t="shared" si="57"/>
        <v>10.579799999999999</v>
      </c>
      <c r="AJ64">
        <f t="shared" si="58"/>
        <v>12.5</v>
      </c>
      <c r="AK64">
        <f>AJ64*Konstanten!$B$3</f>
        <v>31.25</v>
      </c>
      <c r="AM64">
        <f t="shared" si="59"/>
        <v>0</v>
      </c>
      <c r="AN64">
        <f t="shared" si="60"/>
        <v>0</v>
      </c>
      <c r="AR64" s="8"/>
      <c r="BA64" s="4"/>
    </row>
    <row r="65" spans="1:53" x14ac:dyDescent="0.25">
      <c r="A65">
        <v>64</v>
      </c>
      <c r="B65">
        <v>3</v>
      </c>
      <c r="C65" t="s">
        <v>23</v>
      </c>
      <c r="D65" t="s">
        <v>113</v>
      </c>
      <c r="F65">
        <v>16.899999999999999</v>
      </c>
      <c r="G65">
        <v>42</v>
      </c>
      <c r="H65">
        <v>66</v>
      </c>
      <c r="I65" t="s">
        <v>201</v>
      </c>
      <c r="J65">
        <f>92+66</f>
        <v>158</v>
      </c>
      <c r="L65">
        <f>Konstanten!$B$3</f>
        <v>2.5</v>
      </c>
      <c r="M65">
        <f>COUNTIF(Windows!$A$4:$A$84,D65)</f>
        <v>3</v>
      </c>
      <c r="N65" t="str">
        <f>VLOOKUP(D65,Windows!$A$4:$D$84,2,FALSE)</f>
        <v>IU10,5-v</v>
      </c>
      <c r="O65">
        <f>VLOOKUP(N65,Windows!$B$4:$D$84,2,FALSE)/1000</f>
        <v>1.03</v>
      </c>
      <c r="P65">
        <f>VLOOKUP(N65,Windows!$B$4:$D$84,3,FALSE)/1000</f>
        <v>1.32</v>
      </c>
      <c r="Q65">
        <f t="shared" si="50"/>
        <v>1.3596000000000001</v>
      </c>
      <c r="R65" t="str">
        <f>IF(M65&gt;=2,INDEX(Windows!$B$4:$B$84,MATCH(N65,Windows!$B$4:$B$84,0)+1),0)</f>
        <v>IU8,5-o</v>
      </c>
      <c r="S65">
        <f>VLOOKUP(R65,Windows!$B$4:$D$84,2,FALSE)/1000</f>
        <v>0.85499999999999998</v>
      </c>
      <c r="T65">
        <f>VLOOKUP(R65,Windows!$B$4:$D$84,3,FALSE)/1000</f>
        <v>1.32</v>
      </c>
      <c r="U65">
        <f t="shared" si="51"/>
        <v>1.1286</v>
      </c>
      <c r="V65" t="str">
        <f>IF(M65&gt;=3,INDEX(Windows!$B$4:$B$84,MATCH(N65,Windows!$B$4:$B$84,0)+2),0)</f>
        <v>IU9-o</v>
      </c>
      <c r="W65">
        <f>VLOOKUP(V65,Windows!$B$4:$D$84,2,FALSE)/1000</f>
        <v>0.89500000000000002</v>
      </c>
      <c r="X65">
        <f>VLOOKUP(V65,Windows!$B$4:$D$84,3,FALSE)/1000</f>
        <v>1.32</v>
      </c>
      <c r="Y65">
        <f t="shared" si="52"/>
        <v>1.1814</v>
      </c>
      <c r="Z65">
        <f>IF(M65&gt;=4,INDEX(Windows!$B$4:$B$84,MATCH(N65,Windows!$B$4:$B$84,0)+3),0)</f>
        <v>0</v>
      </c>
      <c r="AA65" t="e">
        <f>VLOOKUP(Z65,Windows!$B$4:$D$84,2,FALSE)/1000</f>
        <v>#N/A</v>
      </c>
      <c r="AB65" t="e">
        <f>VLOOKUP(Z65,Windows!$B$4:$D$84,3,FALSE)/1000</f>
        <v>#N/A</v>
      </c>
      <c r="AC65">
        <f t="shared" si="53"/>
        <v>0</v>
      </c>
      <c r="AD65">
        <f t="shared" si="54"/>
        <v>42</v>
      </c>
      <c r="AE65">
        <f t="shared" si="55"/>
        <v>3.6696</v>
      </c>
      <c r="AG65">
        <f t="shared" si="56"/>
        <v>3.3</v>
      </c>
      <c r="AH65">
        <f>AG65*Konstanten!$B$4</f>
        <v>14.024999999999999</v>
      </c>
      <c r="AI65">
        <f t="shared" si="57"/>
        <v>10.355399999999999</v>
      </c>
      <c r="AJ65">
        <f t="shared" si="58"/>
        <v>7.9</v>
      </c>
      <c r="AK65">
        <f>AJ65*Konstanten!$B$3</f>
        <v>19.75</v>
      </c>
      <c r="AM65">
        <f t="shared" si="59"/>
        <v>0</v>
      </c>
      <c r="AN65">
        <f t="shared" si="60"/>
        <v>0</v>
      </c>
      <c r="AR65" s="8"/>
      <c r="BA65" s="4"/>
    </row>
    <row r="66" spans="1:53" x14ac:dyDescent="0.25">
      <c r="A66">
        <v>65</v>
      </c>
      <c r="B66">
        <v>3</v>
      </c>
      <c r="D66" t="s">
        <v>113</v>
      </c>
      <c r="F66">
        <v>0</v>
      </c>
      <c r="G66">
        <v>132</v>
      </c>
      <c r="H66">
        <v>92</v>
      </c>
      <c r="I66" t="s">
        <v>201</v>
      </c>
      <c r="J66">
        <v>0</v>
      </c>
      <c r="L66">
        <f>Konstanten!$B$3</f>
        <v>2.5</v>
      </c>
      <c r="M66">
        <v>0</v>
      </c>
      <c r="O66" t="e">
        <f>VLOOKUP(N66,Windows!$B$4:$D$84,2,FALSE)/1000</f>
        <v>#N/A</v>
      </c>
      <c r="P66" t="e">
        <f>VLOOKUP(N66,Windows!$B$4:$D$84,3,FALSE)/1000</f>
        <v>#N/A</v>
      </c>
      <c r="Q66">
        <f t="shared" si="50"/>
        <v>0</v>
      </c>
      <c r="R66">
        <f>IF(M66&gt;=2,INDEX(Windows!$B$4:$B$84,MATCH(N66,Windows!$B$4:$B$84,0)+1),0)</f>
        <v>0</v>
      </c>
      <c r="S66" t="e">
        <f>VLOOKUP(R66,Windows!$B$4:$D$84,2,FALSE)/1000</f>
        <v>#N/A</v>
      </c>
      <c r="T66" t="e">
        <f>VLOOKUP(R66,Windows!$B$4:$D$84,3,FALSE)/1000</f>
        <v>#N/A</v>
      </c>
      <c r="U66">
        <f t="shared" si="51"/>
        <v>0</v>
      </c>
      <c r="V66">
        <f>IF(M66&gt;=3,INDEX(Windows!$B$4:$B$84,MATCH(N66,Windows!$B$4:$B$84,0)+2),0)</f>
        <v>0</v>
      </c>
      <c r="W66" t="e">
        <f>VLOOKUP(V66,Windows!$B$4:$D$84,2,FALSE)/1000</f>
        <v>#N/A</v>
      </c>
      <c r="X66" t="e">
        <f>VLOOKUP(V66,Windows!$B$4:$D$84,3,FALSE)/1000</f>
        <v>#N/A</v>
      </c>
      <c r="Y66">
        <f t="shared" si="52"/>
        <v>0</v>
      </c>
      <c r="Z66">
        <f>IF(M66&gt;=4,INDEX(Windows!$B$4:$B$84,MATCH(N66,Windows!$B$4:$B$84,0)+3),0)</f>
        <v>0</v>
      </c>
      <c r="AA66" t="e">
        <f>VLOOKUP(Z66,Windows!$B$4:$D$84,2,FALSE)/1000</f>
        <v>#N/A</v>
      </c>
      <c r="AB66" t="e">
        <f>VLOOKUP(Z66,Windows!$B$4:$D$84,3,FALSE)/1000</f>
        <v>#N/A</v>
      </c>
      <c r="AC66">
        <f t="shared" si="53"/>
        <v>0</v>
      </c>
      <c r="AD66" t="str">
        <f t="shared" si="54"/>
        <v>N/A</v>
      </c>
      <c r="AE66">
        <f t="shared" si="55"/>
        <v>0</v>
      </c>
      <c r="AG66">
        <f t="shared" si="56"/>
        <v>4.5999999999999996</v>
      </c>
      <c r="AH66">
        <f>AG66*Konstanten!$B$4</f>
        <v>19.549999999999997</v>
      </c>
      <c r="AI66">
        <f t="shared" si="57"/>
        <v>19.549999999999997</v>
      </c>
      <c r="AJ66">
        <f t="shared" si="58"/>
        <v>0</v>
      </c>
      <c r="AK66">
        <f>AJ66*Konstanten!$B$3</f>
        <v>0</v>
      </c>
      <c r="AM66">
        <f t="shared" si="59"/>
        <v>0</v>
      </c>
      <c r="AN66">
        <f t="shared" si="60"/>
        <v>0</v>
      </c>
      <c r="AR66" s="8"/>
      <c r="BA66" s="4"/>
    </row>
    <row r="67" spans="1:53" x14ac:dyDescent="0.25">
      <c r="A67">
        <v>66</v>
      </c>
      <c r="B67">
        <v>3</v>
      </c>
      <c r="C67" t="s">
        <v>19</v>
      </c>
      <c r="D67" t="s">
        <v>246</v>
      </c>
      <c r="F67">
        <v>17</v>
      </c>
      <c r="G67" t="s">
        <v>202</v>
      </c>
      <c r="H67">
        <v>0</v>
      </c>
      <c r="J67">
        <f>2*(88+82)</f>
        <v>340</v>
      </c>
      <c r="L67">
        <f>Konstanten!$B$3</f>
        <v>2.5</v>
      </c>
      <c r="M67">
        <f>COUNTIF(Windows!$A$4:$A$84,D67)</f>
        <v>0</v>
      </c>
      <c r="N67" t="e">
        <f>VLOOKUP(D67,Windows!$A$4:$D$84,2,FALSE)</f>
        <v>#N/A</v>
      </c>
      <c r="O67" t="e">
        <f>VLOOKUP(N67,Windows!$B$4:$D$84,2,FALSE)/1000</f>
        <v>#N/A</v>
      </c>
      <c r="P67" t="e">
        <f>VLOOKUP(N67,Windows!$B$4:$D$84,3,FALSE)/1000</f>
        <v>#N/A</v>
      </c>
      <c r="Q67">
        <f t="shared" si="50"/>
        <v>0</v>
      </c>
      <c r="R67">
        <f>IF(M67&gt;=2,INDEX(Windows!$B$4:$B$84,MATCH(N67,Windows!$B$4:$B$84,0)+1),0)</f>
        <v>0</v>
      </c>
      <c r="S67" t="e">
        <f>VLOOKUP(R67,Windows!$B$4:$D$84,2,FALSE)/1000</f>
        <v>#N/A</v>
      </c>
      <c r="T67" t="e">
        <f>VLOOKUP(R67,Windows!$B$4:$D$84,3,FALSE)/1000</f>
        <v>#N/A</v>
      </c>
      <c r="U67">
        <f t="shared" si="51"/>
        <v>0</v>
      </c>
      <c r="V67">
        <f>IF(M67&gt;=3,INDEX(Windows!$B$4:$B$84,MATCH(N67,Windows!$B$4:$B$84,0)+2),0)</f>
        <v>0</v>
      </c>
      <c r="W67" t="e">
        <f>VLOOKUP(V67,Windows!$B$4:$D$84,2,FALSE)/1000</f>
        <v>#N/A</v>
      </c>
      <c r="X67" t="e">
        <f>VLOOKUP(V67,Windows!$B$4:$D$84,3,FALSE)/1000</f>
        <v>#N/A</v>
      </c>
      <c r="Y67">
        <f t="shared" si="52"/>
        <v>0</v>
      </c>
      <c r="Z67">
        <f>IF(M67&gt;=4,INDEX(Windows!$B$4:$B$84,MATCH(N67,Windows!$B$4:$B$84,0)+3),0)</f>
        <v>0</v>
      </c>
      <c r="AA67" t="e">
        <f>VLOOKUP(Z67,Windows!$B$4:$D$84,2,FALSE)/1000</f>
        <v>#N/A</v>
      </c>
      <c r="AB67" t="e">
        <f>VLOOKUP(Z67,Windows!$B$4:$D$84,3,FALSE)/1000</f>
        <v>#N/A</v>
      </c>
      <c r="AC67">
        <f t="shared" si="53"/>
        <v>0</v>
      </c>
      <c r="AD67" t="str">
        <f t="shared" si="54"/>
        <v>N/A</v>
      </c>
      <c r="AE67">
        <f t="shared" si="55"/>
        <v>0</v>
      </c>
      <c r="AG67">
        <f t="shared" si="56"/>
        <v>0</v>
      </c>
      <c r="AH67">
        <f>AG67*Konstanten!$B$4</f>
        <v>0</v>
      </c>
      <c r="AI67">
        <f t="shared" si="57"/>
        <v>0</v>
      </c>
      <c r="AJ67">
        <f t="shared" si="58"/>
        <v>17</v>
      </c>
      <c r="AK67">
        <f>AJ67*Konstanten!$B$3</f>
        <v>42.5</v>
      </c>
      <c r="AM67">
        <f t="shared" si="59"/>
        <v>0</v>
      </c>
      <c r="AN67">
        <f t="shared" si="60"/>
        <v>0</v>
      </c>
      <c r="AR67" s="8"/>
      <c r="BA67" s="4"/>
    </row>
    <row r="68" spans="1:53" x14ac:dyDescent="0.25">
      <c r="A68">
        <v>67</v>
      </c>
      <c r="B68">
        <v>3</v>
      </c>
      <c r="C68" t="s">
        <v>23</v>
      </c>
      <c r="D68" t="s">
        <v>247</v>
      </c>
      <c r="F68">
        <v>16.600000000000001</v>
      </c>
      <c r="G68" t="s">
        <v>202</v>
      </c>
      <c r="H68">
        <v>0</v>
      </c>
      <c r="J68">
        <f>2*(83+81)</f>
        <v>328</v>
      </c>
      <c r="L68">
        <f>Konstanten!$B$3</f>
        <v>2.5</v>
      </c>
      <c r="M68">
        <f>COUNTIF(Windows!$A$4:$A$84,D68)</f>
        <v>0</v>
      </c>
      <c r="N68" t="e">
        <f>VLOOKUP(D68,Windows!$A$4:$D$84,2,FALSE)</f>
        <v>#N/A</v>
      </c>
      <c r="O68" t="e">
        <f>VLOOKUP(N68,Windows!$B$4:$D$84,2,FALSE)/1000</f>
        <v>#N/A</v>
      </c>
      <c r="P68" t="e">
        <f>VLOOKUP(N68,Windows!$B$4:$D$84,3,FALSE)/1000</f>
        <v>#N/A</v>
      </c>
      <c r="Q68">
        <f t="shared" si="50"/>
        <v>0</v>
      </c>
      <c r="R68">
        <f>IF(M68&gt;=2,INDEX(Windows!$B$4:$B$84,MATCH(N68,Windows!$B$4:$B$84,0)+1),0)</f>
        <v>0</v>
      </c>
      <c r="S68" t="e">
        <f>VLOOKUP(R68,Windows!$B$4:$D$84,2,FALSE)/1000</f>
        <v>#N/A</v>
      </c>
      <c r="T68" t="e">
        <f>VLOOKUP(R68,Windows!$B$4:$D$84,3,FALSE)/1000</f>
        <v>#N/A</v>
      </c>
      <c r="U68">
        <f t="shared" si="51"/>
        <v>0</v>
      </c>
      <c r="V68">
        <f>IF(M68&gt;=3,INDEX(Windows!$B$4:$B$84,MATCH(N68,Windows!$B$4:$B$84,0)+2),0)</f>
        <v>0</v>
      </c>
      <c r="W68" t="e">
        <f>VLOOKUP(V68,Windows!$B$4:$D$84,2,FALSE)/1000</f>
        <v>#N/A</v>
      </c>
      <c r="X68" t="e">
        <f>VLOOKUP(V68,Windows!$B$4:$D$84,3,FALSE)/1000</f>
        <v>#N/A</v>
      </c>
      <c r="Y68">
        <f t="shared" si="52"/>
        <v>0</v>
      </c>
      <c r="Z68">
        <f>IF(M68&gt;=4,INDEX(Windows!$B$4:$B$84,MATCH(N68,Windows!$B$4:$B$84,0)+3),0)</f>
        <v>0</v>
      </c>
      <c r="AA68" t="e">
        <f>VLOOKUP(Z68,Windows!$B$4:$D$84,2,FALSE)/1000</f>
        <v>#N/A</v>
      </c>
      <c r="AB68" t="e">
        <f>VLOOKUP(Z68,Windows!$B$4:$D$84,3,FALSE)/1000</f>
        <v>#N/A</v>
      </c>
      <c r="AC68">
        <f t="shared" si="53"/>
        <v>0</v>
      </c>
      <c r="AD68" t="str">
        <f t="shared" si="54"/>
        <v>N/A</v>
      </c>
      <c r="AE68">
        <f t="shared" si="55"/>
        <v>0</v>
      </c>
      <c r="AG68">
        <f t="shared" si="56"/>
        <v>0</v>
      </c>
      <c r="AH68">
        <f>AG68*Konstanten!$B$4</f>
        <v>0</v>
      </c>
      <c r="AI68">
        <f t="shared" si="57"/>
        <v>0</v>
      </c>
      <c r="AJ68">
        <f t="shared" si="58"/>
        <v>16.400000000000002</v>
      </c>
      <c r="AK68">
        <f>AJ68*Konstanten!$B$3</f>
        <v>41.000000000000007</v>
      </c>
      <c r="AM68">
        <f t="shared" si="59"/>
        <v>0</v>
      </c>
      <c r="AN68">
        <f t="shared" si="60"/>
        <v>0</v>
      </c>
      <c r="AR68" s="8"/>
      <c r="BA68" s="4"/>
    </row>
    <row r="69" spans="1:53" x14ac:dyDescent="0.25">
      <c r="A69">
        <v>68</v>
      </c>
      <c r="B69">
        <v>3</v>
      </c>
      <c r="C69" t="s">
        <v>23</v>
      </c>
      <c r="D69" t="s">
        <v>248</v>
      </c>
      <c r="F69">
        <v>16.399999999999999</v>
      </c>
      <c r="G69" t="s">
        <v>202</v>
      </c>
      <c r="H69">
        <v>0</v>
      </c>
      <c r="J69">
        <f>2*(82+81)</f>
        <v>326</v>
      </c>
      <c r="L69">
        <f>Konstanten!$B$3</f>
        <v>2.5</v>
      </c>
      <c r="M69">
        <f>COUNTIF(Windows!$A$4:$A$84,D69)</f>
        <v>0</v>
      </c>
      <c r="N69" t="e">
        <f>VLOOKUP(D69,Windows!$A$4:$D$84,2,FALSE)</f>
        <v>#N/A</v>
      </c>
      <c r="O69" t="e">
        <f>VLOOKUP(N69,Windows!$B$4:$D$84,2,FALSE)/1000</f>
        <v>#N/A</v>
      </c>
      <c r="P69" t="e">
        <f>VLOOKUP(N69,Windows!$B$4:$D$84,3,FALSE)/1000</f>
        <v>#N/A</v>
      </c>
      <c r="Q69">
        <f t="shared" ref="Q69:Q71" si="61">IF(ISNA(P69*O69),0,O69*P69)</f>
        <v>0</v>
      </c>
      <c r="R69">
        <f>IF(M69&gt;=2,INDEX(Windows!$B$4:$B$84,MATCH(N69,Windows!$B$4:$B$84,0)+1),0)</f>
        <v>0</v>
      </c>
      <c r="S69" t="e">
        <f>VLOOKUP(R69,Windows!$B$4:$D$84,2,FALSE)/1000</f>
        <v>#N/A</v>
      </c>
      <c r="T69" t="e">
        <f>VLOOKUP(R69,Windows!$B$4:$D$84,3,FALSE)/1000</f>
        <v>#N/A</v>
      </c>
      <c r="U69">
        <f t="shared" ref="U69:U71" si="62">IF(ISNA(T69*S69),0,S69*T69)</f>
        <v>0</v>
      </c>
      <c r="V69">
        <f>IF(M69&gt;=3,INDEX(Windows!$B$4:$B$84,MATCH(N69,Windows!$B$4:$B$84,0)+2),0)</f>
        <v>0</v>
      </c>
      <c r="W69" t="e">
        <f>VLOOKUP(V69,Windows!$B$4:$D$84,2,FALSE)/1000</f>
        <v>#N/A</v>
      </c>
      <c r="X69" t="e">
        <f>VLOOKUP(V69,Windows!$B$4:$D$84,3,FALSE)/1000</f>
        <v>#N/A</v>
      </c>
      <c r="Y69">
        <f t="shared" ref="Y69:Y71" si="63">IF(ISNA(X69*W69),0,W69*X69)</f>
        <v>0</v>
      </c>
      <c r="Z69">
        <f>IF(M69&gt;=4,INDEX(Windows!$B$4:$B$84,MATCH(N69,Windows!$B$4:$B$84,0)+3),0)</f>
        <v>0</v>
      </c>
      <c r="AA69" t="e">
        <f>VLOOKUP(Z69,Windows!$B$4:$D$84,2,FALSE)/1000</f>
        <v>#N/A</v>
      </c>
      <c r="AB69" t="e">
        <f>VLOOKUP(Z69,Windows!$B$4:$D$84,3,FALSE)/1000</f>
        <v>#N/A</v>
      </c>
      <c r="AC69">
        <f t="shared" ref="AC69:AC71" si="64">IF(ISNA(AB69*AA69),0,AA69*AB69)</f>
        <v>0</v>
      </c>
      <c r="AD69" t="str">
        <f t="shared" ref="AD69:AD74" si="65">IF(M69&gt;0,G69,"N/A")</f>
        <v>N/A</v>
      </c>
      <c r="AE69">
        <f t="shared" ref="AE69:AE74" si="66">SUM(Q69,U69,Y69,AC69)</f>
        <v>0</v>
      </c>
      <c r="AG69">
        <f t="shared" ref="AG69:AG74" si="67">H69*50/1000</f>
        <v>0</v>
      </c>
      <c r="AH69">
        <f>AG69*Konstanten!$B$4</f>
        <v>0</v>
      </c>
      <c r="AI69">
        <f t="shared" ref="AI69:AI74" si="68">IF(AH69-AE69&lt;=0, 0, AH69-AE69)</f>
        <v>0</v>
      </c>
      <c r="AJ69">
        <f t="shared" ref="AJ69:AJ74" si="69">50/1000*J69</f>
        <v>16.3</v>
      </c>
      <c r="AK69">
        <f>AJ69*Konstanten!$B$3</f>
        <v>40.75</v>
      </c>
      <c r="AM69">
        <f t="shared" ref="AM69:AM74" si="70">IF(B69=9,1,0)</f>
        <v>0</v>
      </c>
      <c r="AN69">
        <f t="shared" ref="AN69:AN74" si="71">IF(B69=1,1,0)</f>
        <v>0</v>
      </c>
      <c r="AR69" s="8"/>
      <c r="BA69" s="4"/>
    </row>
    <row r="70" spans="1:53" x14ac:dyDescent="0.25">
      <c r="A70">
        <v>69</v>
      </c>
      <c r="B70">
        <v>3</v>
      </c>
      <c r="C70" t="s">
        <v>15</v>
      </c>
      <c r="D70" t="s">
        <v>249</v>
      </c>
      <c r="F70">
        <v>2.5</v>
      </c>
      <c r="G70" t="s">
        <v>202</v>
      </c>
      <c r="H70">
        <v>0</v>
      </c>
      <c r="J70">
        <f>2*(27+38)</f>
        <v>130</v>
      </c>
      <c r="L70">
        <f>Konstanten!$B$3</f>
        <v>2.5</v>
      </c>
      <c r="M70">
        <f>COUNTIF(Windows!$A$4:$A$84,D70)</f>
        <v>0</v>
      </c>
      <c r="N70" t="e">
        <f>VLOOKUP(D70,Windows!$A$4:$D$84,2,FALSE)</f>
        <v>#N/A</v>
      </c>
      <c r="O70" t="e">
        <f>VLOOKUP(N70,Windows!$B$4:$D$84,2,FALSE)/1000</f>
        <v>#N/A</v>
      </c>
      <c r="P70" t="e">
        <f>VLOOKUP(N70,Windows!$B$4:$D$84,3,FALSE)/1000</f>
        <v>#N/A</v>
      </c>
      <c r="Q70">
        <f t="shared" si="61"/>
        <v>0</v>
      </c>
      <c r="R70">
        <f>IF(M70&gt;=2,INDEX(Windows!$B$4:$B$84,MATCH(N70,Windows!$B$4:$B$84,0)+1),0)</f>
        <v>0</v>
      </c>
      <c r="S70" t="e">
        <f>VLOOKUP(R70,Windows!$B$4:$D$84,2,FALSE)/1000</f>
        <v>#N/A</v>
      </c>
      <c r="T70" t="e">
        <f>VLOOKUP(R70,Windows!$B$4:$D$84,3,FALSE)/1000</f>
        <v>#N/A</v>
      </c>
      <c r="U70">
        <f t="shared" si="62"/>
        <v>0</v>
      </c>
      <c r="V70">
        <f>IF(M70&gt;=3,INDEX(Windows!$B$4:$B$84,MATCH(N70,Windows!$B$4:$B$84,0)+2),0)</f>
        <v>0</v>
      </c>
      <c r="W70" t="e">
        <f>VLOOKUP(V70,Windows!$B$4:$D$84,2,FALSE)/1000</f>
        <v>#N/A</v>
      </c>
      <c r="X70" t="e">
        <f>VLOOKUP(V70,Windows!$B$4:$D$84,3,FALSE)/1000</f>
        <v>#N/A</v>
      </c>
      <c r="Y70">
        <f t="shared" si="63"/>
        <v>0</v>
      </c>
      <c r="Z70">
        <f>IF(M70&gt;=4,INDEX(Windows!$B$4:$B$84,MATCH(N70,Windows!$B$4:$B$84,0)+3),0)</f>
        <v>0</v>
      </c>
      <c r="AA70" t="e">
        <f>VLOOKUP(Z70,Windows!$B$4:$D$84,2,FALSE)/1000</f>
        <v>#N/A</v>
      </c>
      <c r="AB70" t="e">
        <f>VLOOKUP(Z70,Windows!$B$4:$D$84,3,FALSE)/1000</f>
        <v>#N/A</v>
      </c>
      <c r="AC70">
        <f t="shared" si="64"/>
        <v>0</v>
      </c>
      <c r="AD70" t="str">
        <f t="shared" si="65"/>
        <v>N/A</v>
      </c>
      <c r="AE70">
        <f t="shared" si="66"/>
        <v>0</v>
      </c>
      <c r="AG70">
        <f t="shared" si="67"/>
        <v>0</v>
      </c>
      <c r="AH70">
        <f>AG70*Konstanten!$B$4</f>
        <v>0</v>
      </c>
      <c r="AI70">
        <f t="shared" si="68"/>
        <v>0</v>
      </c>
      <c r="AJ70">
        <f t="shared" si="69"/>
        <v>6.5</v>
      </c>
      <c r="AK70">
        <f>AJ70*Konstanten!$B$3</f>
        <v>16.25</v>
      </c>
      <c r="AM70">
        <f t="shared" si="70"/>
        <v>0</v>
      </c>
      <c r="AN70">
        <f t="shared" si="71"/>
        <v>0</v>
      </c>
      <c r="AR70" s="8"/>
      <c r="BA70" s="4"/>
    </row>
    <row r="71" spans="1:53" x14ac:dyDescent="0.25">
      <c r="A71">
        <v>70</v>
      </c>
      <c r="B71">
        <v>3</v>
      </c>
      <c r="C71" t="s">
        <v>15</v>
      </c>
      <c r="D71" t="s">
        <v>250</v>
      </c>
      <c r="F71">
        <v>2.5</v>
      </c>
      <c r="G71" t="s">
        <v>202</v>
      </c>
      <c r="H71">
        <v>0</v>
      </c>
      <c r="J71">
        <f>2*(27+38)</f>
        <v>130</v>
      </c>
      <c r="L71">
        <f>Konstanten!$B$3</f>
        <v>2.5</v>
      </c>
      <c r="M71">
        <f>COUNTIF(Windows!$A$4:$A$84,D71)</f>
        <v>0</v>
      </c>
      <c r="N71" t="e">
        <f>VLOOKUP(D71,Windows!$A$4:$D$84,2,FALSE)</f>
        <v>#N/A</v>
      </c>
      <c r="O71" t="e">
        <f>VLOOKUP(N71,Windows!$B$4:$D$84,2,FALSE)/1000</f>
        <v>#N/A</v>
      </c>
      <c r="P71" t="e">
        <f>VLOOKUP(N71,Windows!$B$4:$D$84,3,FALSE)/1000</f>
        <v>#N/A</v>
      </c>
      <c r="Q71">
        <f t="shared" si="61"/>
        <v>0</v>
      </c>
      <c r="R71">
        <f>IF(M71&gt;=2,INDEX(Windows!$B$4:$B$84,MATCH(N71,Windows!$B$4:$B$84,0)+1),0)</f>
        <v>0</v>
      </c>
      <c r="S71" t="e">
        <f>VLOOKUP(R71,Windows!$B$4:$D$84,2,FALSE)/1000</f>
        <v>#N/A</v>
      </c>
      <c r="T71" t="e">
        <f>VLOOKUP(R71,Windows!$B$4:$D$84,3,FALSE)/1000</f>
        <v>#N/A</v>
      </c>
      <c r="U71">
        <f t="shared" si="62"/>
        <v>0</v>
      </c>
      <c r="V71">
        <f>IF(M71&gt;=3,INDEX(Windows!$B$4:$B$84,MATCH(N71,Windows!$B$4:$B$84,0)+2),0)</f>
        <v>0</v>
      </c>
      <c r="W71" t="e">
        <f>VLOOKUP(V71,Windows!$B$4:$D$84,2,FALSE)/1000</f>
        <v>#N/A</v>
      </c>
      <c r="X71" t="e">
        <f>VLOOKUP(V71,Windows!$B$4:$D$84,3,FALSE)/1000</f>
        <v>#N/A</v>
      </c>
      <c r="Y71">
        <f t="shared" si="63"/>
        <v>0</v>
      </c>
      <c r="Z71">
        <f>IF(M71&gt;=4,INDEX(Windows!$B$4:$B$84,MATCH(N71,Windows!$B$4:$B$84,0)+3),0)</f>
        <v>0</v>
      </c>
      <c r="AA71" t="e">
        <f>VLOOKUP(Z71,Windows!$B$4:$D$84,2,FALSE)/1000</f>
        <v>#N/A</v>
      </c>
      <c r="AB71" t="e">
        <f>VLOOKUP(Z71,Windows!$B$4:$D$84,3,FALSE)/1000</f>
        <v>#N/A</v>
      </c>
      <c r="AC71">
        <f t="shared" si="64"/>
        <v>0</v>
      </c>
      <c r="AD71" t="str">
        <f t="shared" si="65"/>
        <v>N/A</v>
      </c>
      <c r="AE71">
        <f t="shared" si="66"/>
        <v>0</v>
      </c>
      <c r="AG71">
        <f t="shared" si="67"/>
        <v>0</v>
      </c>
      <c r="AH71">
        <f>AG71*Konstanten!$B$4</f>
        <v>0</v>
      </c>
      <c r="AI71">
        <f t="shared" si="68"/>
        <v>0</v>
      </c>
      <c r="AJ71">
        <f t="shared" si="69"/>
        <v>6.5</v>
      </c>
      <c r="AK71">
        <f>AJ71*Konstanten!$B$3</f>
        <v>16.25</v>
      </c>
      <c r="AM71">
        <f t="shared" si="70"/>
        <v>0</v>
      </c>
      <c r="AN71">
        <f t="shared" si="71"/>
        <v>0</v>
      </c>
      <c r="AR71" s="8"/>
      <c r="BA71" s="4"/>
    </row>
    <row r="72" spans="1:53" x14ac:dyDescent="0.25">
      <c r="A72">
        <v>71</v>
      </c>
      <c r="B72">
        <v>3</v>
      </c>
      <c r="C72" t="s">
        <v>23</v>
      </c>
      <c r="D72" t="s">
        <v>251</v>
      </c>
      <c r="F72">
        <v>17</v>
      </c>
      <c r="G72" t="s">
        <v>202</v>
      </c>
      <c r="H72">
        <v>0</v>
      </c>
      <c r="J72">
        <f>2*(86+79)</f>
        <v>330</v>
      </c>
      <c r="L72">
        <f>Konstanten!$B$3</f>
        <v>2.5</v>
      </c>
      <c r="M72">
        <f>COUNTIF(Windows!$A$4:$A$84,D72)</f>
        <v>0</v>
      </c>
      <c r="N72" t="e">
        <f>VLOOKUP(D72,Windows!$A$4:$D$84,2,FALSE)</f>
        <v>#N/A</v>
      </c>
      <c r="O72" t="e">
        <f>VLOOKUP(N72,Windows!$B$4:$D$84,2,FALSE)/1000</f>
        <v>#N/A</v>
      </c>
      <c r="P72" t="e">
        <f>VLOOKUP(N72,Windows!$B$4:$D$84,3,FALSE)/1000</f>
        <v>#N/A</v>
      </c>
      <c r="Q72">
        <f t="shared" ref="Q72:Q74" si="72">IF(ISNA(P72*O72),0,O72*P72)</f>
        <v>0</v>
      </c>
      <c r="R72">
        <f>IF(M72&gt;=2,INDEX(Windows!$B$4:$B$84,MATCH(N72,Windows!$B$4:$B$84,0)+1),0)</f>
        <v>0</v>
      </c>
      <c r="S72" t="e">
        <f>VLOOKUP(R72,Windows!$B$4:$D$84,2,FALSE)/1000</f>
        <v>#N/A</v>
      </c>
      <c r="T72" t="e">
        <f>VLOOKUP(R72,Windows!$B$4:$D$84,3,FALSE)/1000</f>
        <v>#N/A</v>
      </c>
      <c r="U72">
        <f t="shared" ref="U72:U74" si="73">IF(ISNA(T72*S72),0,S72*T72)</f>
        <v>0</v>
      </c>
      <c r="V72">
        <f>IF(M72&gt;=3,INDEX(Windows!$B$4:$B$84,MATCH(N72,Windows!$B$4:$B$84,0)+2),0)</f>
        <v>0</v>
      </c>
      <c r="W72" t="e">
        <f>VLOOKUP(V72,Windows!$B$4:$D$84,2,FALSE)/1000</f>
        <v>#N/A</v>
      </c>
      <c r="X72" t="e">
        <f>VLOOKUP(V72,Windows!$B$4:$D$84,3,FALSE)/1000</f>
        <v>#N/A</v>
      </c>
      <c r="Y72">
        <f t="shared" ref="Y72:Y74" si="74">IF(ISNA(X72*W72),0,W72*X72)</f>
        <v>0</v>
      </c>
      <c r="Z72">
        <f>IF(M72&gt;=4,INDEX(Windows!$B$4:$B$84,MATCH(N72,Windows!$B$4:$B$84,0)+3),0)</f>
        <v>0</v>
      </c>
      <c r="AA72" t="e">
        <f>VLOOKUP(Z72,Windows!$B$4:$D$84,2,FALSE)/1000</f>
        <v>#N/A</v>
      </c>
      <c r="AB72" t="e">
        <f>VLOOKUP(Z72,Windows!$B$4:$D$84,3,FALSE)/1000</f>
        <v>#N/A</v>
      </c>
      <c r="AC72">
        <f t="shared" ref="AC72:AC74" si="75">IF(ISNA(AB72*AA72),0,AA72*AB72)</f>
        <v>0</v>
      </c>
      <c r="AD72" t="str">
        <f t="shared" si="65"/>
        <v>N/A</v>
      </c>
      <c r="AE72">
        <f t="shared" si="66"/>
        <v>0</v>
      </c>
      <c r="AG72">
        <f t="shared" si="67"/>
        <v>0</v>
      </c>
      <c r="AH72">
        <f>AG72*Konstanten!$B$4</f>
        <v>0</v>
      </c>
      <c r="AI72">
        <f t="shared" si="68"/>
        <v>0</v>
      </c>
      <c r="AJ72">
        <f t="shared" si="69"/>
        <v>16.5</v>
      </c>
      <c r="AK72">
        <f>AJ72*Konstanten!$B$3</f>
        <v>41.25</v>
      </c>
      <c r="AM72">
        <f t="shared" si="70"/>
        <v>0</v>
      </c>
      <c r="AN72">
        <f t="shared" si="71"/>
        <v>0</v>
      </c>
      <c r="AR72" s="8"/>
      <c r="BA72" s="4"/>
    </row>
    <row r="73" spans="1:53" x14ac:dyDescent="0.25">
      <c r="A73">
        <v>72</v>
      </c>
      <c r="B73">
        <v>3</v>
      </c>
      <c r="C73" t="s">
        <v>23</v>
      </c>
      <c r="D73" t="s">
        <v>252</v>
      </c>
      <c r="F73">
        <v>16.8</v>
      </c>
      <c r="G73" t="s">
        <v>202</v>
      </c>
      <c r="H73">
        <v>0</v>
      </c>
      <c r="J73">
        <f>2*(87+79)</f>
        <v>332</v>
      </c>
      <c r="L73">
        <f>Konstanten!$B$3</f>
        <v>2.5</v>
      </c>
      <c r="M73">
        <f>COUNTIF(Windows!$A$4:$A$84,D73)</f>
        <v>0</v>
      </c>
      <c r="N73" t="e">
        <f>VLOOKUP(D73,Windows!$A$4:$D$84,2,FALSE)</f>
        <v>#N/A</v>
      </c>
      <c r="O73" t="e">
        <f>VLOOKUP(N73,Windows!$B$4:$D$84,2,FALSE)/1000</f>
        <v>#N/A</v>
      </c>
      <c r="P73" t="e">
        <f>VLOOKUP(N73,Windows!$B$4:$D$84,3,FALSE)/1000</f>
        <v>#N/A</v>
      </c>
      <c r="Q73">
        <f t="shared" si="72"/>
        <v>0</v>
      </c>
      <c r="R73">
        <f>IF(M73&gt;=2,INDEX(Windows!$B$4:$B$84,MATCH(N73,Windows!$B$4:$B$84,0)+1),0)</f>
        <v>0</v>
      </c>
      <c r="S73" t="e">
        <f>VLOOKUP(R73,Windows!$B$4:$D$84,2,FALSE)/1000</f>
        <v>#N/A</v>
      </c>
      <c r="T73" t="e">
        <f>VLOOKUP(R73,Windows!$B$4:$D$84,3,FALSE)/1000</f>
        <v>#N/A</v>
      </c>
      <c r="U73">
        <f t="shared" si="73"/>
        <v>0</v>
      </c>
      <c r="V73">
        <f>IF(M73&gt;=3,INDEX(Windows!$B$4:$B$84,MATCH(N73,Windows!$B$4:$B$84,0)+2),0)</f>
        <v>0</v>
      </c>
      <c r="W73" t="e">
        <f>VLOOKUP(V73,Windows!$B$4:$D$84,2,FALSE)/1000</f>
        <v>#N/A</v>
      </c>
      <c r="X73" t="e">
        <f>VLOOKUP(V73,Windows!$B$4:$D$84,3,FALSE)/1000</f>
        <v>#N/A</v>
      </c>
      <c r="Y73">
        <f t="shared" si="74"/>
        <v>0</v>
      </c>
      <c r="Z73">
        <f>IF(M73&gt;=4,INDEX(Windows!$B$4:$B$84,MATCH(N73,Windows!$B$4:$B$84,0)+3),0)</f>
        <v>0</v>
      </c>
      <c r="AA73" t="e">
        <f>VLOOKUP(Z73,Windows!$B$4:$D$84,2,FALSE)/1000</f>
        <v>#N/A</v>
      </c>
      <c r="AB73" t="e">
        <f>VLOOKUP(Z73,Windows!$B$4:$D$84,3,FALSE)/1000</f>
        <v>#N/A</v>
      </c>
      <c r="AC73">
        <f t="shared" si="75"/>
        <v>0</v>
      </c>
      <c r="AD73" t="str">
        <f t="shared" si="65"/>
        <v>N/A</v>
      </c>
      <c r="AE73">
        <f t="shared" si="66"/>
        <v>0</v>
      </c>
      <c r="AG73">
        <f t="shared" si="67"/>
        <v>0</v>
      </c>
      <c r="AH73">
        <f>AG73*Konstanten!$B$4</f>
        <v>0</v>
      </c>
      <c r="AI73">
        <f t="shared" si="68"/>
        <v>0</v>
      </c>
      <c r="AJ73">
        <f t="shared" si="69"/>
        <v>16.600000000000001</v>
      </c>
      <c r="AK73">
        <f>AJ73*Konstanten!$B$3</f>
        <v>41.5</v>
      </c>
      <c r="AM73">
        <f t="shared" si="70"/>
        <v>0</v>
      </c>
      <c r="AN73">
        <f t="shared" si="71"/>
        <v>0</v>
      </c>
      <c r="AR73" s="8"/>
      <c r="BA73" s="4"/>
    </row>
    <row r="74" spans="1:53" x14ac:dyDescent="0.25">
      <c r="A74">
        <v>73</v>
      </c>
      <c r="B74">
        <v>3</v>
      </c>
      <c r="C74" t="s">
        <v>23</v>
      </c>
      <c r="D74" t="s">
        <v>253</v>
      </c>
      <c r="F74">
        <v>17.899999999999999</v>
      </c>
      <c r="G74" t="s">
        <v>202</v>
      </c>
      <c r="H74">
        <v>0</v>
      </c>
      <c r="J74">
        <f>2*(79+90)</f>
        <v>338</v>
      </c>
      <c r="L74">
        <f>Konstanten!$B$3</f>
        <v>2.5</v>
      </c>
      <c r="M74">
        <f>COUNTIF(Windows!$A$4:$A$84,D74)</f>
        <v>0</v>
      </c>
      <c r="N74" t="e">
        <f>VLOOKUP(D74,Windows!$A$4:$D$84,2,FALSE)</f>
        <v>#N/A</v>
      </c>
      <c r="O74" t="e">
        <f>VLOOKUP(N74,Windows!$B$4:$D$84,2,FALSE)/1000</f>
        <v>#N/A</v>
      </c>
      <c r="P74" t="e">
        <f>VLOOKUP(N74,Windows!$B$4:$D$84,3,FALSE)/1000</f>
        <v>#N/A</v>
      </c>
      <c r="Q74">
        <f t="shared" si="72"/>
        <v>0</v>
      </c>
      <c r="R74">
        <f>IF(M74&gt;=2,INDEX(Windows!$B$4:$B$84,MATCH(N74,Windows!$B$4:$B$84,0)+1),0)</f>
        <v>0</v>
      </c>
      <c r="S74" t="e">
        <f>VLOOKUP(R74,Windows!$B$4:$D$84,2,FALSE)/1000</f>
        <v>#N/A</v>
      </c>
      <c r="T74" t="e">
        <f>VLOOKUP(R74,Windows!$B$4:$D$84,3,FALSE)/1000</f>
        <v>#N/A</v>
      </c>
      <c r="U74">
        <f t="shared" si="73"/>
        <v>0</v>
      </c>
      <c r="V74">
        <f>IF(M74&gt;=3,INDEX(Windows!$B$4:$B$84,MATCH(N74,Windows!$B$4:$B$84,0)+2),0)</f>
        <v>0</v>
      </c>
      <c r="W74" t="e">
        <f>VLOOKUP(V74,Windows!$B$4:$D$84,2,FALSE)/1000</f>
        <v>#N/A</v>
      </c>
      <c r="X74" t="e">
        <f>VLOOKUP(V74,Windows!$B$4:$D$84,3,FALSE)/1000</f>
        <v>#N/A</v>
      </c>
      <c r="Y74">
        <f t="shared" si="74"/>
        <v>0</v>
      </c>
      <c r="Z74">
        <f>IF(M74&gt;=4,INDEX(Windows!$B$4:$B$84,MATCH(N74,Windows!$B$4:$B$84,0)+3),0)</f>
        <v>0</v>
      </c>
      <c r="AA74" t="e">
        <f>VLOOKUP(Z74,Windows!$B$4:$D$84,2,FALSE)/1000</f>
        <v>#N/A</v>
      </c>
      <c r="AB74" t="e">
        <f>VLOOKUP(Z74,Windows!$B$4:$D$84,3,FALSE)/1000</f>
        <v>#N/A</v>
      </c>
      <c r="AC74">
        <f t="shared" si="75"/>
        <v>0</v>
      </c>
      <c r="AD74" t="str">
        <f t="shared" si="65"/>
        <v>N/A</v>
      </c>
      <c r="AE74">
        <f t="shared" si="66"/>
        <v>0</v>
      </c>
      <c r="AG74">
        <f t="shared" si="67"/>
        <v>0</v>
      </c>
      <c r="AH74">
        <f>AG74*Konstanten!$B$4</f>
        <v>0</v>
      </c>
      <c r="AI74">
        <f t="shared" si="68"/>
        <v>0</v>
      </c>
      <c r="AJ74">
        <f t="shared" si="69"/>
        <v>16.900000000000002</v>
      </c>
      <c r="AK74">
        <f>AJ74*Konstanten!$B$3</f>
        <v>42.250000000000007</v>
      </c>
      <c r="AM74">
        <f t="shared" si="70"/>
        <v>0</v>
      </c>
      <c r="AN74">
        <f t="shared" si="71"/>
        <v>0</v>
      </c>
      <c r="AR74" s="8"/>
      <c r="BA74" s="4"/>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1"/>
  <sheetViews>
    <sheetView zoomScale="85" zoomScaleNormal="85" workbookViewId="0">
      <pane xSplit="4" ySplit="1" topLeftCell="S2" activePane="bottomRight" state="frozen"/>
      <selection pane="topRight" activeCell="F1" sqref="F1"/>
      <selection pane="bottomLeft" activeCell="A2" sqref="A2"/>
      <selection pane="bottomRight" activeCell="C34" sqref="C34"/>
    </sheetView>
  </sheetViews>
  <sheetFormatPr baseColWidth="10" defaultRowHeight="15" x14ac:dyDescent="0.25"/>
  <cols>
    <col min="1" max="1" width="6.28515625" bestFit="1" customWidth="1"/>
    <col min="2" max="2" width="6" bestFit="1" customWidth="1"/>
    <col min="3" max="3" width="25.85546875" bestFit="1" customWidth="1"/>
    <col min="4" max="4" width="15.7109375" bestFit="1" customWidth="1"/>
    <col min="5" max="5" width="20.140625" bestFit="1" customWidth="1"/>
    <col min="6" max="6" width="13.140625" bestFit="1" customWidth="1"/>
    <col min="7" max="7" width="25" bestFit="1" customWidth="1"/>
    <col min="8" max="8" width="33.42578125" bestFit="1" customWidth="1"/>
    <col min="9" max="9" width="24" bestFit="1" customWidth="1"/>
    <col min="10" max="10" width="32.7109375" bestFit="1" customWidth="1"/>
    <col min="11" max="11" width="16.7109375" bestFit="1" customWidth="1"/>
    <col min="12" max="12" width="23.7109375" bestFit="1" customWidth="1"/>
    <col min="13" max="29" width="9.28515625" customWidth="1"/>
    <col min="30" max="30" width="23.140625" bestFit="1" customWidth="1"/>
    <col min="31" max="31" width="18" bestFit="1" customWidth="1"/>
    <col min="32" max="32" width="22.140625" bestFit="1" customWidth="1"/>
    <col min="33" max="34" width="9.28515625" customWidth="1"/>
    <col min="35" max="35" width="19.85546875" bestFit="1" customWidth="1"/>
    <col min="36" max="36" width="9.28515625" customWidth="1"/>
    <col min="37" max="37" width="19.28515625" bestFit="1" customWidth="1"/>
    <col min="38" max="38" width="23.42578125" bestFit="1" customWidth="1"/>
    <col min="39" max="39" width="14.85546875" bestFit="1" customWidth="1"/>
    <col min="40" max="40" width="10.42578125" bestFit="1" customWidth="1"/>
    <col min="41" max="41" width="18.7109375" bestFit="1" customWidth="1"/>
    <col min="42" max="42" width="20.140625" bestFit="1" customWidth="1"/>
    <col min="43" max="43" width="29.7109375" style="8" customWidth="1"/>
  </cols>
  <sheetData>
    <row r="1" spans="1:57" s="1" customFormat="1" ht="16.5" thickBot="1" x14ac:dyDescent="0.3">
      <c r="A1" s="1" t="s">
        <v>24</v>
      </c>
      <c r="B1" s="1" t="s">
        <v>0</v>
      </c>
      <c r="C1" s="10" t="s">
        <v>27</v>
      </c>
      <c r="D1" s="10" t="s">
        <v>26</v>
      </c>
      <c r="E1" s="10" t="s">
        <v>28</v>
      </c>
      <c r="F1" s="10" t="s">
        <v>25</v>
      </c>
      <c r="G1" s="10" t="s">
        <v>38</v>
      </c>
      <c r="H1" s="10" t="s">
        <v>108</v>
      </c>
      <c r="I1" s="10" t="s">
        <v>31</v>
      </c>
      <c r="J1" s="10" t="s">
        <v>109</v>
      </c>
      <c r="K1" s="10" t="s">
        <v>42</v>
      </c>
      <c r="L1" s="7" t="s">
        <v>32</v>
      </c>
      <c r="M1" s="1" t="s">
        <v>14</v>
      </c>
      <c r="N1" s="1" t="s">
        <v>43</v>
      </c>
      <c r="O1" s="1" t="s">
        <v>47</v>
      </c>
      <c r="P1" s="1" t="s">
        <v>47</v>
      </c>
      <c r="Q1" s="1" t="s">
        <v>46</v>
      </c>
      <c r="R1" s="1" t="s">
        <v>44</v>
      </c>
      <c r="S1" s="1" t="s">
        <v>48</v>
      </c>
      <c r="T1" s="1" t="s">
        <v>48</v>
      </c>
      <c r="U1" s="1" t="s">
        <v>45</v>
      </c>
      <c r="V1" s="1" t="s">
        <v>49</v>
      </c>
      <c r="W1" s="1" t="s">
        <v>50</v>
      </c>
      <c r="X1" s="1" t="s">
        <v>50</v>
      </c>
      <c r="Y1" s="1" t="s">
        <v>51</v>
      </c>
      <c r="Z1" s="1" t="s">
        <v>61</v>
      </c>
      <c r="AA1" s="1" t="s">
        <v>62</v>
      </c>
      <c r="AB1" s="1" t="s">
        <v>62</v>
      </c>
      <c r="AC1" s="1" t="s">
        <v>63</v>
      </c>
      <c r="AD1" s="7" t="s">
        <v>37</v>
      </c>
      <c r="AE1" s="7" t="s">
        <v>29</v>
      </c>
      <c r="AF1" s="7" t="s">
        <v>33</v>
      </c>
      <c r="AG1" s="1" t="s">
        <v>64</v>
      </c>
      <c r="AH1" s="1" t="s">
        <v>53</v>
      </c>
      <c r="AI1" s="7" t="s">
        <v>30</v>
      </c>
      <c r="AJ1" s="1" t="s">
        <v>16</v>
      </c>
      <c r="AK1" s="7" t="s">
        <v>36</v>
      </c>
      <c r="AL1" s="7" t="s">
        <v>39</v>
      </c>
      <c r="AM1" s="7" t="s">
        <v>35</v>
      </c>
      <c r="AN1" s="7" t="s">
        <v>34</v>
      </c>
      <c r="AO1" s="7" t="s">
        <v>40</v>
      </c>
      <c r="AP1" s="7" t="s">
        <v>41</v>
      </c>
      <c r="AQ1" s="11"/>
      <c r="AR1" s="1" t="s">
        <v>1</v>
      </c>
      <c r="AS1" s="1" t="s">
        <v>2</v>
      </c>
      <c r="AT1" s="1" t="s">
        <v>10</v>
      </c>
      <c r="AU1" s="1" t="s">
        <v>3</v>
      </c>
      <c r="AV1" s="1" t="s">
        <v>4</v>
      </c>
      <c r="AW1" s="1" t="s">
        <v>7</v>
      </c>
      <c r="AX1" s="1" t="s">
        <v>5</v>
      </c>
      <c r="AY1" s="1" t="s">
        <v>6</v>
      </c>
      <c r="BA1" s="3" t="s">
        <v>8</v>
      </c>
      <c r="BB1" s="1" t="s">
        <v>9</v>
      </c>
      <c r="BC1" s="1" t="s">
        <v>11</v>
      </c>
      <c r="BD1" s="1" t="s">
        <v>12</v>
      </c>
      <c r="BE1" s="1" t="s">
        <v>13</v>
      </c>
    </row>
    <row r="2" spans="1:57" ht="15.75" thickTop="1" x14ac:dyDescent="0.25">
      <c r="A2">
        <v>1</v>
      </c>
      <c r="B2">
        <v>3</v>
      </c>
      <c r="C2" t="s">
        <v>17</v>
      </c>
      <c r="D2" t="s">
        <v>254</v>
      </c>
      <c r="F2">
        <v>41.4</v>
      </c>
      <c r="G2" t="s">
        <v>202</v>
      </c>
      <c r="H2">
        <v>0</v>
      </c>
      <c r="J2">
        <f>59+33+48+69+29+111+48+80+168+48</f>
        <v>693</v>
      </c>
      <c r="L2">
        <f>Konstanten!$B$3</f>
        <v>2.5</v>
      </c>
      <c r="M2">
        <f>COUNTIF(Windows!$A$4:$A$84,D2)</f>
        <v>0</v>
      </c>
      <c r="N2" t="e">
        <f>VLOOKUP(D2,Windows!$A$4:$D$84,2,FALSE)</f>
        <v>#N/A</v>
      </c>
      <c r="O2" t="e">
        <f>VLOOKUP(N2,Windows!$B$4:$D$84,2,FALSE)/1000</f>
        <v>#N/A</v>
      </c>
      <c r="P2" t="e">
        <f>VLOOKUP(N2,Windows!$B$4:$D$84,3,FALSE)/1000</f>
        <v>#N/A</v>
      </c>
      <c r="Q2">
        <f t="shared" ref="Q2:Q6" si="0">IF(ISNA(P2*O2),0,O2*P2)</f>
        <v>0</v>
      </c>
      <c r="R2">
        <f>IF(M2&gt;=2,INDEX(Windows!$B$4:$B$84,MATCH(N2,Windows!$B$4:$B$84,0)+1),0)</f>
        <v>0</v>
      </c>
      <c r="S2" t="e">
        <f>VLOOKUP(R2,Windows!$B$4:$D$84,2,FALSE)/1000</f>
        <v>#N/A</v>
      </c>
      <c r="T2" t="e">
        <f>VLOOKUP(R2,Windows!$B$4:$D$84,3,FALSE)/1000</f>
        <v>#N/A</v>
      </c>
      <c r="U2">
        <f t="shared" ref="U2:U6" si="1">IF(ISNA(T2*S2),0,S2*T2)</f>
        <v>0</v>
      </c>
      <c r="V2">
        <f>IF(M2&gt;=3,INDEX(Windows!$B$4:$B$84,MATCH(N2,Windows!$B$4:$B$84,0)+2),0)</f>
        <v>0</v>
      </c>
      <c r="W2" t="e">
        <f>VLOOKUP(V2,Windows!$B$4:$D$84,2,FALSE)/1000</f>
        <v>#N/A</v>
      </c>
      <c r="X2" t="e">
        <f>VLOOKUP(V2,Windows!$B$4:$D$84,3,FALSE)/1000</f>
        <v>#N/A</v>
      </c>
      <c r="Y2">
        <f t="shared" ref="Y2:Y6" si="2">IF(ISNA(X2*W2),0,W2*X2)</f>
        <v>0</v>
      </c>
      <c r="Z2">
        <f>IF(M2&gt;=4,INDEX(Windows!$B$4:$B$84,MATCH(N2,Windows!$B$4:$B$84,0)+3),0)</f>
        <v>0</v>
      </c>
      <c r="AA2" t="e">
        <f>VLOOKUP(Z2,Windows!$B$4:$D$84,2,FALSE)/1000</f>
        <v>#N/A</v>
      </c>
      <c r="AB2" t="e">
        <f>VLOOKUP(Z2,Windows!$B$4:$D$84,3,FALSE)/1000</f>
        <v>#N/A</v>
      </c>
      <c r="AC2">
        <f t="shared" ref="AC2:AC6" si="3">IF(ISNA(AB2*AA2),0,AA2*AB2)</f>
        <v>0</v>
      </c>
      <c r="AD2" t="str">
        <f>IF(M2&gt;0,G2,"N/A")</f>
        <v>N/A</v>
      </c>
      <c r="AE2">
        <f>SUM(Q2,U2,Y2,AC2)</f>
        <v>0</v>
      </c>
      <c r="AG2">
        <f>H2*50/1000</f>
        <v>0</v>
      </c>
      <c r="AH2">
        <f>AG2*Konstanten!$B$4</f>
        <v>0</v>
      </c>
      <c r="AI2">
        <f>IF(AH2-AE2&lt;=0, 0, AH2-AE2)</f>
        <v>0</v>
      </c>
      <c r="AJ2">
        <f>50/1000*J2</f>
        <v>34.65</v>
      </c>
      <c r="AK2">
        <f>AJ2*Konstanten!$B$3</f>
        <v>86.625</v>
      </c>
      <c r="AM2">
        <f>IF(B2=9,1,0)</f>
        <v>0</v>
      </c>
      <c r="AN2">
        <f>IF(B2=1,1,0)</f>
        <v>0</v>
      </c>
      <c r="AR2" s="8"/>
      <c r="BA2" s="4"/>
    </row>
    <row r="3" spans="1:57" x14ac:dyDescent="0.25">
      <c r="A3">
        <v>2</v>
      </c>
      <c r="B3">
        <v>3</v>
      </c>
      <c r="C3" t="s">
        <v>17</v>
      </c>
      <c r="D3" t="s">
        <v>255</v>
      </c>
      <c r="F3">
        <v>9.5</v>
      </c>
      <c r="G3" t="s">
        <v>202</v>
      </c>
      <c r="H3">
        <v>0</v>
      </c>
      <c r="J3">
        <f>2*(42+92)</f>
        <v>268</v>
      </c>
      <c r="L3">
        <f>Konstanten!$B$3</f>
        <v>2.5</v>
      </c>
      <c r="M3">
        <f>COUNTIF(Windows!$A$4:$A$84,D3)</f>
        <v>0</v>
      </c>
      <c r="N3" t="e">
        <f>VLOOKUP(D3,Windows!$A$4:$D$84,2,FALSE)</f>
        <v>#N/A</v>
      </c>
      <c r="O3" t="e">
        <f>VLOOKUP(N3,Windows!$B$4:$D$84,2,FALSE)/1000</f>
        <v>#N/A</v>
      </c>
      <c r="P3" t="e">
        <f>VLOOKUP(N3,Windows!$B$4:$D$84,3,FALSE)/1000</f>
        <v>#N/A</v>
      </c>
      <c r="Q3">
        <f t="shared" si="0"/>
        <v>0</v>
      </c>
      <c r="R3">
        <f>IF(M3&gt;=2,INDEX(Windows!$B$4:$B$84,MATCH(N3,Windows!$B$4:$B$84,0)+1),0)</f>
        <v>0</v>
      </c>
      <c r="S3" t="e">
        <f>VLOOKUP(R3,Windows!$B$4:$D$84,2,FALSE)/1000</f>
        <v>#N/A</v>
      </c>
      <c r="T3" t="e">
        <f>VLOOKUP(R3,Windows!$B$4:$D$84,3,FALSE)/1000</f>
        <v>#N/A</v>
      </c>
      <c r="U3">
        <f t="shared" si="1"/>
        <v>0</v>
      </c>
      <c r="V3">
        <f>IF(M3&gt;=3,INDEX(Windows!$B$4:$B$84,MATCH(N3,Windows!$B$4:$B$84,0)+2),0)</f>
        <v>0</v>
      </c>
      <c r="W3" t="e">
        <f>VLOOKUP(V3,Windows!$B$4:$D$84,2,FALSE)/1000</f>
        <v>#N/A</v>
      </c>
      <c r="X3" t="e">
        <f>VLOOKUP(V3,Windows!$B$4:$D$84,3,FALSE)/1000</f>
        <v>#N/A</v>
      </c>
      <c r="Y3">
        <f t="shared" si="2"/>
        <v>0</v>
      </c>
      <c r="Z3">
        <f>IF(M3&gt;=4,INDEX(Windows!$B$4:$B$84,MATCH(N3,Windows!$B$4:$B$84,0)+3),0)</f>
        <v>0</v>
      </c>
      <c r="AA3" t="e">
        <f>VLOOKUP(Z3,Windows!$B$4:$D$84,2,FALSE)/1000</f>
        <v>#N/A</v>
      </c>
      <c r="AB3" t="e">
        <f>VLOOKUP(Z3,Windows!$B$4:$D$84,3,FALSE)/1000</f>
        <v>#N/A</v>
      </c>
      <c r="AC3">
        <f t="shared" si="3"/>
        <v>0</v>
      </c>
      <c r="AD3" t="str">
        <f>IF(M3&gt;0,G3,"N/A")</f>
        <v>N/A</v>
      </c>
      <c r="AE3">
        <f t="shared" ref="AE3:AE7" si="4">SUM(Q3,U3,Y3,AC3)</f>
        <v>0</v>
      </c>
      <c r="AG3">
        <f>H3*50/1000</f>
        <v>0</v>
      </c>
      <c r="AH3">
        <f>AG3*Konstanten!$B$4</f>
        <v>0</v>
      </c>
      <c r="AI3">
        <f>IF(AH3-AE3&lt;=0, 0, AH3-AE3)</f>
        <v>0</v>
      </c>
      <c r="AJ3">
        <f>50/1000*J3</f>
        <v>13.4</v>
      </c>
      <c r="AK3">
        <f>AJ3*Konstanten!$B$3</f>
        <v>33.5</v>
      </c>
      <c r="AM3">
        <f>IF(B3=9,1,0)</f>
        <v>0</v>
      </c>
      <c r="AN3">
        <f>IF(B3=1,1,0)</f>
        <v>0</v>
      </c>
      <c r="AR3" s="8"/>
      <c r="BA3" s="4"/>
    </row>
    <row r="4" spans="1:57" x14ac:dyDescent="0.25">
      <c r="A4">
        <v>3</v>
      </c>
      <c r="B4">
        <v>3</v>
      </c>
      <c r="C4" t="s">
        <v>17</v>
      </c>
      <c r="D4" t="s">
        <v>256</v>
      </c>
      <c r="F4">
        <v>44.7</v>
      </c>
      <c r="G4" t="s">
        <v>202</v>
      </c>
      <c r="H4">
        <v>0</v>
      </c>
      <c r="J4">
        <f>211+48+193+116+48+134</f>
        <v>750</v>
      </c>
      <c r="L4">
        <f>Konstanten!$B$3</f>
        <v>2.5</v>
      </c>
      <c r="M4">
        <f>COUNTIF(Windows!$A$4:$A$84,D4)</f>
        <v>0</v>
      </c>
      <c r="N4" t="e">
        <f>VLOOKUP(D4,Windows!$A$4:$D$84,2,FALSE)</f>
        <v>#N/A</v>
      </c>
      <c r="O4" t="e">
        <f>VLOOKUP(N4,Windows!$B$4:$D$84,2,FALSE)/1000</f>
        <v>#N/A</v>
      </c>
      <c r="P4" t="e">
        <f>VLOOKUP(N4,Windows!$B$4:$D$84,3,FALSE)/1000</f>
        <v>#N/A</v>
      </c>
      <c r="Q4">
        <f t="shared" si="0"/>
        <v>0</v>
      </c>
      <c r="R4">
        <f>IF(M4&gt;=2,INDEX(Windows!$B$4:$B$84,MATCH(N4,Windows!$B$4:$B$84,0)+1),0)</f>
        <v>0</v>
      </c>
      <c r="S4" t="e">
        <f>VLOOKUP(R4,Windows!$B$4:$D$84,2,FALSE)/1000</f>
        <v>#N/A</v>
      </c>
      <c r="T4" t="e">
        <f>VLOOKUP(R4,Windows!$B$4:$D$84,3,FALSE)/1000</f>
        <v>#N/A</v>
      </c>
      <c r="U4">
        <f t="shared" si="1"/>
        <v>0</v>
      </c>
      <c r="V4">
        <f>IF(M4&gt;=3,INDEX(Windows!$B$4:$B$84,MATCH(N4,Windows!$B$4:$B$84,0)+2),0)</f>
        <v>0</v>
      </c>
      <c r="W4" t="e">
        <f>VLOOKUP(V4,Windows!$B$4:$D$84,2,FALSE)/1000</f>
        <v>#N/A</v>
      </c>
      <c r="X4" t="e">
        <f>VLOOKUP(V4,Windows!$B$4:$D$84,3,FALSE)/1000</f>
        <v>#N/A</v>
      </c>
      <c r="Y4">
        <f t="shared" si="2"/>
        <v>0</v>
      </c>
      <c r="Z4">
        <f>IF(M4&gt;=4,INDEX(Windows!$B$4:$B$84,MATCH(N4,Windows!$B$4:$B$84,0)+3),0)</f>
        <v>0</v>
      </c>
      <c r="AA4" t="e">
        <f>VLOOKUP(Z4,Windows!$B$4:$D$84,2,FALSE)/1000</f>
        <v>#N/A</v>
      </c>
      <c r="AB4" t="e">
        <f>VLOOKUP(Z4,Windows!$B$4:$D$84,3,FALSE)/1000</f>
        <v>#N/A</v>
      </c>
      <c r="AC4">
        <f t="shared" si="3"/>
        <v>0</v>
      </c>
      <c r="AD4" t="str">
        <f>IF(M4&gt;0,G4,"N/A")</f>
        <v>N/A</v>
      </c>
      <c r="AE4">
        <f t="shared" si="4"/>
        <v>0</v>
      </c>
      <c r="AG4">
        <f>H4*50/1000</f>
        <v>0</v>
      </c>
      <c r="AH4">
        <f>AG4*Konstanten!$B$4</f>
        <v>0</v>
      </c>
      <c r="AI4">
        <f>IF(AH4-AE4&lt;=0, 0, AH4-AE4)</f>
        <v>0</v>
      </c>
      <c r="AJ4">
        <f>50/1000*J4</f>
        <v>37.5</v>
      </c>
      <c r="AK4">
        <f>AJ4*Konstanten!$B$3</f>
        <v>93.75</v>
      </c>
      <c r="AM4">
        <f>IF(B4=9,1,0)</f>
        <v>0</v>
      </c>
      <c r="AN4">
        <f>IF(B4=1,1,0)</f>
        <v>0</v>
      </c>
      <c r="AR4" s="8"/>
      <c r="BA4" s="4"/>
    </row>
    <row r="5" spans="1:57" x14ac:dyDescent="0.25">
      <c r="A5">
        <v>4</v>
      </c>
      <c r="B5">
        <v>3</v>
      </c>
      <c r="C5" t="s">
        <v>17</v>
      </c>
      <c r="D5" t="s">
        <v>257</v>
      </c>
      <c r="F5">
        <v>44.8</v>
      </c>
      <c r="G5" t="s">
        <v>202</v>
      </c>
      <c r="H5">
        <v>0</v>
      </c>
      <c r="J5">
        <f>84+358+48+55+316</f>
        <v>861</v>
      </c>
      <c r="L5">
        <f>Konstanten!$B$3</f>
        <v>2.5</v>
      </c>
      <c r="M5">
        <f>COUNTIF(Windows!$A$4:$A$84,D5)</f>
        <v>0</v>
      </c>
      <c r="N5" t="e">
        <f>VLOOKUP(D5,Windows!$A$4:$D$84,2,FALSE)</f>
        <v>#N/A</v>
      </c>
      <c r="O5" t="e">
        <f>VLOOKUP(N5,Windows!$B$4:$D$84,2,FALSE)/1000</f>
        <v>#N/A</v>
      </c>
      <c r="P5" t="e">
        <f>VLOOKUP(N5,Windows!$B$4:$D$84,3,FALSE)/1000</f>
        <v>#N/A</v>
      </c>
      <c r="Q5">
        <f t="shared" si="0"/>
        <v>0</v>
      </c>
      <c r="R5">
        <f>IF(M5&gt;=2,INDEX(Windows!$B$4:$B$84,MATCH(N5,Windows!$B$4:$B$84,0)+1),0)</f>
        <v>0</v>
      </c>
      <c r="S5" t="e">
        <f>VLOOKUP(R5,Windows!$B$4:$D$84,2,FALSE)/1000</f>
        <v>#N/A</v>
      </c>
      <c r="T5" t="e">
        <f>VLOOKUP(R5,Windows!$B$4:$D$84,3,FALSE)/1000</f>
        <v>#N/A</v>
      </c>
      <c r="U5">
        <f t="shared" si="1"/>
        <v>0</v>
      </c>
      <c r="V5">
        <f>IF(M5&gt;=3,INDEX(Windows!$B$4:$B$84,MATCH(N5,Windows!$B$4:$B$84,0)+2),0)</f>
        <v>0</v>
      </c>
      <c r="W5" t="e">
        <f>VLOOKUP(V5,Windows!$B$4:$D$84,2,FALSE)/1000</f>
        <v>#N/A</v>
      </c>
      <c r="X5" t="e">
        <f>VLOOKUP(V5,Windows!$B$4:$D$84,3,FALSE)/1000</f>
        <v>#N/A</v>
      </c>
      <c r="Y5">
        <f t="shared" si="2"/>
        <v>0</v>
      </c>
      <c r="Z5">
        <f>IF(M5&gt;=4,INDEX(Windows!$B$4:$B$84,MATCH(N5,Windows!$B$4:$B$84,0)+3),0)</f>
        <v>0</v>
      </c>
      <c r="AA5" t="e">
        <f>VLOOKUP(Z5,Windows!$B$4:$D$84,2,FALSE)/1000</f>
        <v>#N/A</v>
      </c>
      <c r="AB5" t="e">
        <f>VLOOKUP(Z5,Windows!$B$4:$D$84,3,FALSE)/1000</f>
        <v>#N/A</v>
      </c>
      <c r="AC5">
        <f t="shared" si="3"/>
        <v>0</v>
      </c>
      <c r="AD5" t="str">
        <f>IF(M5&gt;0,G5,"N/A")</f>
        <v>N/A</v>
      </c>
      <c r="AE5">
        <f t="shared" si="4"/>
        <v>0</v>
      </c>
      <c r="AG5">
        <f>H5*50/1000</f>
        <v>0</v>
      </c>
      <c r="AH5">
        <f>AG5*Konstanten!$B$4</f>
        <v>0</v>
      </c>
      <c r="AI5">
        <f>IF(AH5-AE5&lt;=0, 0, AH5-AE5)</f>
        <v>0</v>
      </c>
      <c r="AJ5">
        <f>50/1000*J5</f>
        <v>43.050000000000004</v>
      </c>
      <c r="AK5">
        <f>AJ5*Konstanten!$B$3</f>
        <v>107.62500000000001</v>
      </c>
      <c r="AM5">
        <f>IF(B5=9,1,0)</f>
        <v>0</v>
      </c>
      <c r="AN5">
        <f>IF(B5=1,1,0)</f>
        <v>0</v>
      </c>
      <c r="AR5" s="8"/>
      <c r="BA5" s="4"/>
    </row>
    <row r="6" spans="1:57" x14ac:dyDescent="0.25">
      <c r="A6">
        <v>5</v>
      </c>
      <c r="B6">
        <v>3</v>
      </c>
      <c r="C6" t="s">
        <v>17</v>
      </c>
      <c r="D6" t="s">
        <v>258</v>
      </c>
      <c r="F6">
        <v>23.6</v>
      </c>
      <c r="G6" t="s">
        <v>202</v>
      </c>
      <c r="H6">
        <v>0</v>
      </c>
      <c r="J6">
        <f>83+48+105+89+32+25</f>
        <v>382</v>
      </c>
      <c r="L6">
        <f>Konstanten!$B$3</f>
        <v>2.5</v>
      </c>
      <c r="M6">
        <f>COUNTIF(Windows!$A$4:$A$84,D6)</f>
        <v>0</v>
      </c>
      <c r="N6" t="e">
        <f>VLOOKUP(D6,Windows!$A$4:$D$84,2,FALSE)</f>
        <v>#N/A</v>
      </c>
      <c r="O6" t="e">
        <f>VLOOKUP(N6,Windows!$B$4:$D$84,2,FALSE)/1000</f>
        <v>#N/A</v>
      </c>
      <c r="P6" t="e">
        <f>VLOOKUP(N6,Windows!$B$4:$D$84,3,FALSE)/1000</f>
        <v>#N/A</v>
      </c>
      <c r="Q6">
        <f t="shared" si="0"/>
        <v>0</v>
      </c>
      <c r="R6">
        <f>IF(M6&gt;=2,INDEX(Windows!$B$4:$B$84,MATCH(N6,Windows!$B$4:$B$84,0)+1),0)</f>
        <v>0</v>
      </c>
      <c r="S6" t="e">
        <f>VLOOKUP(R6,Windows!$B$4:$D$84,2,FALSE)/1000</f>
        <v>#N/A</v>
      </c>
      <c r="T6" t="e">
        <f>VLOOKUP(R6,Windows!$B$4:$D$84,3,FALSE)/1000</f>
        <v>#N/A</v>
      </c>
      <c r="U6">
        <f t="shared" si="1"/>
        <v>0</v>
      </c>
      <c r="V6">
        <f>IF(M6&gt;=3,INDEX(Windows!$B$4:$B$84,MATCH(N6,Windows!$B$4:$B$84,0)+2),0)</f>
        <v>0</v>
      </c>
      <c r="W6" t="e">
        <f>VLOOKUP(V6,Windows!$B$4:$D$84,2,FALSE)/1000</f>
        <v>#N/A</v>
      </c>
      <c r="X6" t="e">
        <f>VLOOKUP(V6,Windows!$B$4:$D$84,3,FALSE)/1000</f>
        <v>#N/A</v>
      </c>
      <c r="Y6">
        <f t="shared" si="2"/>
        <v>0</v>
      </c>
      <c r="Z6">
        <f>IF(M6&gt;=4,INDEX(Windows!$B$4:$B$84,MATCH(N6,Windows!$B$4:$B$84,0)+3),0)</f>
        <v>0</v>
      </c>
      <c r="AA6" t="e">
        <f>VLOOKUP(Z6,Windows!$B$4:$D$84,2,FALSE)/1000</f>
        <v>#N/A</v>
      </c>
      <c r="AB6" t="e">
        <f>VLOOKUP(Z6,Windows!$B$4:$D$84,3,FALSE)/1000</f>
        <v>#N/A</v>
      </c>
      <c r="AC6">
        <f t="shared" si="3"/>
        <v>0</v>
      </c>
      <c r="AD6" t="str">
        <f>IF(M6&gt;0,G6,"N/A")</f>
        <v>N/A</v>
      </c>
      <c r="AE6">
        <f t="shared" si="4"/>
        <v>0</v>
      </c>
      <c r="AG6">
        <f>H6*50/1000</f>
        <v>0</v>
      </c>
      <c r="AH6">
        <f>AG6*Konstanten!$B$4</f>
        <v>0</v>
      </c>
      <c r="AI6">
        <f>IF(AH6-AE6&lt;=0, 0, AH6-AE6)</f>
        <v>0</v>
      </c>
      <c r="AJ6">
        <f>50/1000*J6</f>
        <v>19.100000000000001</v>
      </c>
      <c r="AK6">
        <f>AJ6*Konstanten!$B$3</f>
        <v>47.75</v>
      </c>
      <c r="AM6">
        <f>IF(B6=9,1,0)</f>
        <v>0</v>
      </c>
      <c r="AN6">
        <f>IF(B6=1,1,0)</f>
        <v>0</v>
      </c>
      <c r="AR6" s="8"/>
      <c r="BA6" s="4"/>
    </row>
    <row r="7" spans="1:57" x14ac:dyDescent="0.25">
      <c r="A7">
        <v>6</v>
      </c>
      <c r="B7">
        <v>3</v>
      </c>
      <c r="C7" t="s">
        <v>102</v>
      </c>
      <c r="D7" t="s">
        <v>259</v>
      </c>
      <c r="F7">
        <v>20.5</v>
      </c>
      <c r="G7" t="s">
        <v>202</v>
      </c>
      <c r="H7">
        <v>0</v>
      </c>
      <c r="J7">
        <f>2*(90+93)</f>
        <v>366</v>
      </c>
      <c r="L7">
        <f>Konstanten!$B$3</f>
        <v>2.5</v>
      </c>
      <c r="M7">
        <f>COUNTIF(Windows!$A$4:$A$84,D7)</f>
        <v>0</v>
      </c>
      <c r="N7" t="e">
        <f>VLOOKUP(D7,Windows!$A$4:$D$84,2,FALSE)</f>
        <v>#N/A</v>
      </c>
      <c r="O7" t="e">
        <f>VLOOKUP(N7,Windows!$B$4:$D$84,2,FALSE)/1000</f>
        <v>#N/A</v>
      </c>
      <c r="P7" t="e">
        <f>VLOOKUP(N7,Windows!$B$4:$D$84,3,FALSE)/1000</f>
        <v>#N/A</v>
      </c>
      <c r="Q7">
        <f t="shared" ref="Q7:Q41" si="5">IF(ISNA(P7*O7),0,O7*P7)</f>
        <v>0</v>
      </c>
      <c r="R7">
        <f>IF(M7&gt;=2,INDEX(Windows!$B$4:$B$84,MATCH(N7,Windows!$B$4:$B$84,0)+1),0)</f>
        <v>0</v>
      </c>
      <c r="S7" t="e">
        <f>VLOOKUP(R7,Windows!$B$4:$D$84,2,FALSE)/1000</f>
        <v>#N/A</v>
      </c>
      <c r="T7" t="e">
        <f>VLOOKUP(R7,Windows!$B$4:$D$84,3,FALSE)/1000</f>
        <v>#N/A</v>
      </c>
      <c r="U7">
        <f t="shared" ref="U7:U41" si="6">IF(ISNA(T7*S7),0,S7*T7)</f>
        <v>0</v>
      </c>
      <c r="V7">
        <f>IF(M7&gt;=3,INDEX(Windows!$B$4:$B$84,MATCH(N7,Windows!$B$4:$B$84,0)+2),0)</f>
        <v>0</v>
      </c>
      <c r="W7" t="e">
        <f>VLOOKUP(V7,Windows!$B$4:$D$84,2,FALSE)/1000</f>
        <v>#N/A</v>
      </c>
      <c r="X7" t="e">
        <f>VLOOKUP(V7,Windows!$B$4:$D$84,3,FALSE)/1000</f>
        <v>#N/A</v>
      </c>
      <c r="Y7">
        <f t="shared" ref="Y7:Y41" si="7">IF(ISNA(X7*W7),0,W7*X7)</f>
        <v>0</v>
      </c>
      <c r="Z7">
        <f>IF(M7&gt;=4,INDEX(Windows!$B$4:$B$84,MATCH(N7,Windows!$B$4:$B$84,0)+3),0)</f>
        <v>0</v>
      </c>
      <c r="AA7" t="e">
        <f>VLOOKUP(Z7,Windows!$B$4:$D$84,2,FALSE)/1000</f>
        <v>#N/A</v>
      </c>
      <c r="AB7" t="e">
        <f>VLOOKUP(Z7,Windows!$B$4:$D$84,3,FALSE)/1000</f>
        <v>#N/A</v>
      </c>
      <c r="AC7">
        <f t="shared" ref="AC7:AC41" si="8">IF(ISNA(AB7*AA7),0,AA7*AB7)</f>
        <v>0</v>
      </c>
      <c r="AD7" t="str">
        <f t="shared" ref="AD7:AD41" si="9">IF(M7&gt;0,G7,"N/A")</f>
        <v>N/A</v>
      </c>
      <c r="AE7">
        <f t="shared" si="4"/>
        <v>0</v>
      </c>
      <c r="AG7">
        <f t="shared" ref="AG7:AG41" si="10">H7*50/1000</f>
        <v>0</v>
      </c>
      <c r="AH7">
        <f>AG7*Konstanten!$B$4</f>
        <v>0</v>
      </c>
      <c r="AI7">
        <f t="shared" ref="AI7:AI41" si="11">IF(AH7-AE7&lt;=0, 0, AH7-AE7)</f>
        <v>0</v>
      </c>
      <c r="AJ7">
        <f t="shared" ref="AJ7:AJ41" si="12">50/1000*J7</f>
        <v>18.3</v>
      </c>
      <c r="AK7">
        <f>AJ7*Konstanten!$B$3</f>
        <v>45.75</v>
      </c>
      <c r="AM7">
        <f t="shared" ref="AM7:AM41" si="13">IF(B7=9,1,0)</f>
        <v>0</v>
      </c>
      <c r="AN7">
        <f t="shared" ref="AN7:AN41" si="14">IF(B7=1,1,0)</f>
        <v>0</v>
      </c>
      <c r="AR7" s="8"/>
      <c r="BA7" s="4"/>
    </row>
    <row r="8" spans="1:57" x14ac:dyDescent="0.25">
      <c r="A8">
        <v>7</v>
      </c>
      <c r="B8">
        <v>3</v>
      </c>
      <c r="C8" t="s">
        <v>102</v>
      </c>
      <c r="D8" t="s">
        <v>260</v>
      </c>
      <c r="F8">
        <v>15.4</v>
      </c>
      <c r="G8" t="s">
        <v>202</v>
      </c>
      <c r="H8">
        <v>0</v>
      </c>
      <c r="J8">
        <f>2*(93+67)</f>
        <v>320</v>
      </c>
      <c r="L8">
        <f>Konstanten!$B$3</f>
        <v>2.5</v>
      </c>
      <c r="M8">
        <f>COUNTIF(Windows!$A$4:$A$84,D8)</f>
        <v>0</v>
      </c>
      <c r="N8" t="e">
        <f>VLOOKUP(D8,Windows!$A$4:$D$84,2,FALSE)</f>
        <v>#N/A</v>
      </c>
      <c r="O8" t="e">
        <f>VLOOKUP(N8,Windows!$B$4:$D$84,2,FALSE)/1000</f>
        <v>#N/A</v>
      </c>
      <c r="P8" t="e">
        <f>VLOOKUP(N8,Windows!$B$4:$D$84,3,FALSE)/1000</f>
        <v>#N/A</v>
      </c>
      <c r="Q8">
        <f t="shared" si="5"/>
        <v>0</v>
      </c>
      <c r="R8">
        <f>IF(M8&gt;=2,INDEX(Windows!$B$4:$B$84,MATCH(N8,Windows!$B$4:$B$84,0)+1),0)</f>
        <v>0</v>
      </c>
      <c r="S8" t="e">
        <f>VLOOKUP(R8,Windows!$B$4:$D$84,2,FALSE)/1000</f>
        <v>#N/A</v>
      </c>
      <c r="T8" t="e">
        <f>VLOOKUP(R8,Windows!$B$4:$D$84,3,FALSE)/1000</f>
        <v>#N/A</v>
      </c>
      <c r="U8">
        <f t="shared" si="6"/>
        <v>0</v>
      </c>
      <c r="V8">
        <f>IF(M8&gt;=3,INDEX(Windows!$B$4:$B$84,MATCH(N8,Windows!$B$4:$B$84,0)+2),0)</f>
        <v>0</v>
      </c>
      <c r="W8" t="e">
        <f>VLOOKUP(V8,Windows!$B$4:$D$84,2,FALSE)/1000</f>
        <v>#N/A</v>
      </c>
      <c r="X8" t="e">
        <f>VLOOKUP(V8,Windows!$B$4:$D$84,3,FALSE)/1000</f>
        <v>#N/A</v>
      </c>
      <c r="Y8">
        <f t="shared" si="7"/>
        <v>0</v>
      </c>
      <c r="Z8">
        <f>IF(M8&gt;=4,INDEX(Windows!$B$4:$B$84,MATCH(N8,Windows!$B$4:$B$84,0)+3),0)</f>
        <v>0</v>
      </c>
      <c r="AA8" t="e">
        <f>VLOOKUP(Z8,Windows!$B$4:$D$84,2,FALSE)/1000</f>
        <v>#N/A</v>
      </c>
      <c r="AB8" t="e">
        <f>VLOOKUP(Z8,Windows!$B$4:$D$84,3,FALSE)/1000</f>
        <v>#N/A</v>
      </c>
      <c r="AC8">
        <f t="shared" si="8"/>
        <v>0</v>
      </c>
      <c r="AD8" t="str">
        <f t="shared" si="9"/>
        <v>N/A</v>
      </c>
      <c r="AE8">
        <f t="shared" ref="AE8:AE41" si="15">SUM(Q8,U8,Y8,AC8)</f>
        <v>0</v>
      </c>
      <c r="AG8">
        <f t="shared" si="10"/>
        <v>0</v>
      </c>
      <c r="AH8">
        <f>AG8*Konstanten!$B$4</f>
        <v>0</v>
      </c>
      <c r="AI8">
        <f t="shared" si="11"/>
        <v>0</v>
      </c>
      <c r="AJ8">
        <f t="shared" si="12"/>
        <v>16</v>
      </c>
      <c r="AK8">
        <f>AJ8*Konstanten!$B$3</f>
        <v>40</v>
      </c>
      <c r="AM8">
        <f t="shared" si="13"/>
        <v>0</v>
      </c>
      <c r="AN8">
        <f t="shared" si="14"/>
        <v>0</v>
      </c>
      <c r="AR8" s="8"/>
      <c r="BA8" s="4"/>
    </row>
    <row r="9" spans="1:57" x14ac:dyDescent="0.25">
      <c r="A9">
        <v>8</v>
      </c>
      <c r="B9">
        <v>3</v>
      </c>
      <c r="C9" t="s">
        <v>102</v>
      </c>
      <c r="D9" t="s">
        <v>261</v>
      </c>
      <c r="F9">
        <v>18.5</v>
      </c>
      <c r="G9" t="s">
        <v>202</v>
      </c>
      <c r="H9">
        <v>0</v>
      </c>
      <c r="J9">
        <f>16+33+104+35+94+71</f>
        <v>353</v>
      </c>
      <c r="L9">
        <f>Konstanten!$B$3</f>
        <v>2.5</v>
      </c>
      <c r="M9">
        <f>COUNTIF(Windows!$A$4:$A$84,D9)</f>
        <v>0</v>
      </c>
      <c r="N9" t="e">
        <f>VLOOKUP(D9,Windows!$A$4:$D$84,2,FALSE)</f>
        <v>#N/A</v>
      </c>
      <c r="O9" t="e">
        <f>VLOOKUP(N9,Windows!$B$4:$D$84,2,FALSE)/1000</f>
        <v>#N/A</v>
      </c>
      <c r="P9" t="e">
        <f>VLOOKUP(N9,Windows!$B$4:$D$84,3,FALSE)/1000</f>
        <v>#N/A</v>
      </c>
      <c r="Q9">
        <f t="shared" si="5"/>
        <v>0</v>
      </c>
      <c r="R9">
        <f>IF(M9&gt;=2,INDEX(Windows!$B$4:$B$84,MATCH(N9,Windows!$B$4:$B$84,0)+1),0)</f>
        <v>0</v>
      </c>
      <c r="S9" t="e">
        <f>VLOOKUP(R9,Windows!$B$4:$D$84,2,FALSE)/1000</f>
        <v>#N/A</v>
      </c>
      <c r="T9" t="e">
        <f>VLOOKUP(R9,Windows!$B$4:$D$84,3,FALSE)/1000</f>
        <v>#N/A</v>
      </c>
      <c r="U9">
        <f t="shared" si="6"/>
        <v>0</v>
      </c>
      <c r="V9">
        <f>IF(M9&gt;=3,INDEX(Windows!$B$4:$B$84,MATCH(N9,Windows!$B$4:$B$84,0)+2),0)</f>
        <v>0</v>
      </c>
      <c r="W9" t="e">
        <f>VLOOKUP(V9,Windows!$B$4:$D$84,2,FALSE)/1000</f>
        <v>#N/A</v>
      </c>
      <c r="X9" t="e">
        <f>VLOOKUP(V9,Windows!$B$4:$D$84,3,FALSE)/1000</f>
        <v>#N/A</v>
      </c>
      <c r="Y9">
        <f t="shared" si="7"/>
        <v>0</v>
      </c>
      <c r="Z9">
        <f>IF(M9&gt;=4,INDEX(Windows!$B$4:$B$84,MATCH(N9,Windows!$B$4:$B$84,0)+3),0)</f>
        <v>0</v>
      </c>
      <c r="AA9" t="e">
        <f>VLOOKUP(Z9,Windows!$B$4:$D$84,2,FALSE)/1000</f>
        <v>#N/A</v>
      </c>
      <c r="AB9" t="e">
        <f>VLOOKUP(Z9,Windows!$B$4:$D$84,3,FALSE)/1000</f>
        <v>#N/A</v>
      </c>
      <c r="AC9">
        <f t="shared" si="8"/>
        <v>0</v>
      </c>
      <c r="AD9" t="str">
        <f t="shared" si="9"/>
        <v>N/A</v>
      </c>
      <c r="AE9">
        <f t="shared" si="15"/>
        <v>0</v>
      </c>
      <c r="AG9">
        <f t="shared" si="10"/>
        <v>0</v>
      </c>
      <c r="AH9">
        <f>AG9*Konstanten!$B$4</f>
        <v>0</v>
      </c>
      <c r="AI9">
        <f t="shared" si="11"/>
        <v>0</v>
      </c>
      <c r="AJ9">
        <f t="shared" si="12"/>
        <v>17.650000000000002</v>
      </c>
      <c r="AK9">
        <f>AJ9*Konstanten!$B$3</f>
        <v>44.125000000000007</v>
      </c>
      <c r="AM9">
        <f t="shared" si="13"/>
        <v>0</v>
      </c>
      <c r="AN9">
        <f t="shared" si="14"/>
        <v>0</v>
      </c>
      <c r="AR9" s="8"/>
      <c r="BA9" s="4"/>
    </row>
    <row r="10" spans="1:57" x14ac:dyDescent="0.25">
      <c r="A10">
        <v>9</v>
      </c>
      <c r="B10">
        <v>3</v>
      </c>
      <c r="C10" t="s">
        <v>23</v>
      </c>
      <c r="D10" t="s">
        <v>145</v>
      </c>
      <c r="F10">
        <v>13.6</v>
      </c>
      <c r="G10">
        <v>42</v>
      </c>
      <c r="H10">
        <v>45</v>
      </c>
      <c r="I10" t="s">
        <v>201</v>
      </c>
      <c r="J10">
        <f>2*(61+90)-45</f>
        <v>257</v>
      </c>
      <c r="L10">
        <f>Konstanten!$B$3</f>
        <v>2.5</v>
      </c>
      <c r="M10">
        <f>COUNTIF(Windows!$A$4:$A$84,D10)</f>
        <v>2</v>
      </c>
      <c r="N10" t="str">
        <f>VLOOKUP(D10,Windows!$A$4:$D$84,2,FALSE)</f>
        <v>IUA16-v</v>
      </c>
      <c r="O10">
        <f>VLOOKUP(N10,Windows!$B$4:$D$84,2,FALSE)/1000</f>
        <v>1.605</v>
      </c>
      <c r="P10">
        <f>VLOOKUP(N10,Windows!$B$4:$D$84,3,FALSE)/1000</f>
        <v>1.67</v>
      </c>
      <c r="Q10">
        <f t="shared" si="5"/>
        <v>2.6803499999999998</v>
      </c>
      <c r="R10" t="str">
        <f>IF(M10&gt;=2,INDEX(Windows!$B$4:$B$84,MATCH(N10,Windows!$B$4:$B$84,0)+1),0)</f>
        <v>IUA5-o</v>
      </c>
      <c r="S10">
        <f>VLOOKUP(R10,Windows!$B$4:$D$84,2,FALSE)/1000</f>
        <v>0.51500000000000001</v>
      </c>
      <c r="T10">
        <f>VLOOKUP(R10,Windows!$B$4:$D$84,3,FALSE)/1000</f>
        <v>1.67</v>
      </c>
      <c r="U10">
        <f t="shared" si="6"/>
        <v>0.86004999999999998</v>
      </c>
      <c r="V10">
        <f>IF(M10&gt;=3,INDEX(Windows!$B$4:$B$84,MATCH(N10,Windows!$B$4:$B$84,0)+2),0)</f>
        <v>0</v>
      </c>
      <c r="W10" t="e">
        <f>VLOOKUP(V10,Windows!$B$4:$D$84,2,FALSE)/1000</f>
        <v>#N/A</v>
      </c>
      <c r="X10" t="e">
        <f>VLOOKUP(V10,Windows!$B$4:$D$84,3,FALSE)/1000</f>
        <v>#N/A</v>
      </c>
      <c r="Y10">
        <f t="shared" si="7"/>
        <v>0</v>
      </c>
      <c r="Z10">
        <f>IF(M10&gt;=4,INDEX(Windows!$B$4:$B$84,MATCH(N10,Windows!$B$4:$B$84,0)+3),0)</f>
        <v>0</v>
      </c>
      <c r="AA10" t="e">
        <f>VLOOKUP(Z10,Windows!$B$4:$D$84,2,FALSE)/1000</f>
        <v>#N/A</v>
      </c>
      <c r="AB10" t="e">
        <f>VLOOKUP(Z10,Windows!$B$4:$D$84,3,FALSE)/1000</f>
        <v>#N/A</v>
      </c>
      <c r="AC10">
        <f t="shared" si="8"/>
        <v>0</v>
      </c>
      <c r="AD10">
        <f t="shared" si="9"/>
        <v>42</v>
      </c>
      <c r="AE10">
        <f t="shared" si="15"/>
        <v>3.5404</v>
      </c>
      <c r="AG10">
        <f t="shared" si="10"/>
        <v>2.25</v>
      </c>
      <c r="AH10">
        <f>AG10*Konstanten!$B$4</f>
        <v>9.5625</v>
      </c>
      <c r="AI10">
        <f t="shared" si="11"/>
        <v>6.0221</v>
      </c>
      <c r="AJ10">
        <f t="shared" si="12"/>
        <v>12.850000000000001</v>
      </c>
      <c r="AK10">
        <f>AJ10*Konstanten!$B$3</f>
        <v>32.125</v>
      </c>
      <c r="AM10">
        <f t="shared" si="13"/>
        <v>0</v>
      </c>
      <c r="AN10">
        <f t="shared" si="14"/>
        <v>0</v>
      </c>
      <c r="AR10" s="8"/>
      <c r="BA10" s="4"/>
    </row>
    <row r="11" spans="1:57" x14ac:dyDescent="0.25">
      <c r="A11">
        <v>10</v>
      </c>
      <c r="B11">
        <v>3</v>
      </c>
      <c r="C11" t="s">
        <v>98</v>
      </c>
      <c r="D11" t="s">
        <v>262</v>
      </c>
      <c r="F11">
        <v>6.4</v>
      </c>
      <c r="G11" t="s">
        <v>202</v>
      </c>
      <c r="H11">
        <v>0</v>
      </c>
      <c r="J11">
        <f>2*(52+51)</f>
        <v>206</v>
      </c>
      <c r="L11">
        <f>Konstanten!$B$3</f>
        <v>2.5</v>
      </c>
      <c r="M11">
        <f>COUNTIF(Windows!$A$4:$A$84,D11)</f>
        <v>0</v>
      </c>
      <c r="N11" t="e">
        <f>VLOOKUP(D11,Windows!$A$4:$D$84,2,FALSE)</f>
        <v>#N/A</v>
      </c>
      <c r="O11" t="e">
        <f>VLOOKUP(N11,Windows!$B$4:$D$84,2,FALSE)/1000</f>
        <v>#N/A</v>
      </c>
      <c r="P11" t="e">
        <f>VLOOKUP(N11,Windows!$B$4:$D$84,3,FALSE)/1000</f>
        <v>#N/A</v>
      </c>
      <c r="Q11">
        <f t="shared" si="5"/>
        <v>0</v>
      </c>
      <c r="R11">
        <f>IF(M11&gt;=2,INDEX(Windows!$B$4:$B$84,MATCH(N11,Windows!$B$4:$B$84,0)+1),0)</f>
        <v>0</v>
      </c>
      <c r="S11" t="e">
        <f>VLOOKUP(R11,Windows!$B$4:$D$84,2,FALSE)/1000</f>
        <v>#N/A</v>
      </c>
      <c r="T11" t="e">
        <f>VLOOKUP(R11,Windows!$B$4:$D$84,3,FALSE)/1000</f>
        <v>#N/A</v>
      </c>
      <c r="U11">
        <f t="shared" si="6"/>
        <v>0</v>
      </c>
      <c r="V11">
        <f>IF(M11&gt;=3,INDEX(Windows!$B$4:$B$84,MATCH(N11,Windows!$B$4:$B$84,0)+2),0)</f>
        <v>0</v>
      </c>
      <c r="W11" t="e">
        <f>VLOOKUP(V11,Windows!$B$4:$D$84,2,FALSE)/1000</f>
        <v>#N/A</v>
      </c>
      <c r="X11" t="e">
        <f>VLOOKUP(V11,Windows!$B$4:$D$84,3,FALSE)/1000</f>
        <v>#N/A</v>
      </c>
      <c r="Y11">
        <f t="shared" si="7"/>
        <v>0</v>
      </c>
      <c r="Z11">
        <f>IF(M11&gt;=4,INDEX(Windows!$B$4:$B$84,MATCH(N11,Windows!$B$4:$B$84,0)+3),0)</f>
        <v>0</v>
      </c>
      <c r="AA11" t="e">
        <f>VLOOKUP(Z11,Windows!$B$4:$D$84,2,FALSE)/1000</f>
        <v>#N/A</v>
      </c>
      <c r="AB11" t="e">
        <f>VLOOKUP(Z11,Windows!$B$4:$D$84,3,FALSE)/1000</f>
        <v>#N/A</v>
      </c>
      <c r="AC11">
        <f t="shared" si="8"/>
        <v>0</v>
      </c>
      <c r="AD11" t="str">
        <f t="shared" si="9"/>
        <v>N/A</v>
      </c>
      <c r="AE11">
        <f t="shared" si="15"/>
        <v>0</v>
      </c>
      <c r="AG11">
        <f t="shared" si="10"/>
        <v>0</v>
      </c>
      <c r="AH11">
        <f>AG11*Konstanten!$B$4</f>
        <v>0</v>
      </c>
      <c r="AI11">
        <f t="shared" si="11"/>
        <v>0</v>
      </c>
      <c r="AJ11">
        <f t="shared" si="12"/>
        <v>10.3</v>
      </c>
      <c r="AK11">
        <f>AJ11*Konstanten!$B$3</f>
        <v>25.75</v>
      </c>
      <c r="AM11">
        <f t="shared" si="13"/>
        <v>0</v>
      </c>
      <c r="AN11">
        <f t="shared" si="14"/>
        <v>0</v>
      </c>
      <c r="AR11" s="8"/>
      <c r="BA11" s="4"/>
    </row>
    <row r="12" spans="1:57" x14ac:dyDescent="0.25">
      <c r="A12">
        <v>11</v>
      </c>
      <c r="B12">
        <v>3</v>
      </c>
      <c r="C12" t="s">
        <v>21</v>
      </c>
      <c r="D12" t="s">
        <v>263</v>
      </c>
      <c r="E12" t="s">
        <v>144</v>
      </c>
      <c r="F12">
        <v>5.5</v>
      </c>
      <c r="G12" t="s">
        <v>202</v>
      </c>
      <c r="H12">
        <v>0</v>
      </c>
      <c r="J12">
        <f>2*(50+40)</f>
        <v>180</v>
      </c>
      <c r="L12">
        <f>Konstanten!$B$3</f>
        <v>2.5</v>
      </c>
      <c r="M12">
        <f>COUNTIF(Windows!$A$4:$A$84,D12)</f>
        <v>0</v>
      </c>
      <c r="N12" t="e">
        <f>VLOOKUP(D12,Windows!$A$4:$D$84,2,FALSE)</f>
        <v>#N/A</v>
      </c>
      <c r="O12" t="e">
        <f>VLOOKUP(N12,Windows!$B$4:$D$84,2,FALSE)/1000</f>
        <v>#N/A</v>
      </c>
      <c r="P12" t="e">
        <f>VLOOKUP(N12,Windows!$B$4:$D$84,3,FALSE)/1000</f>
        <v>#N/A</v>
      </c>
      <c r="Q12">
        <f t="shared" si="5"/>
        <v>0</v>
      </c>
      <c r="R12">
        <f>IF(M12&gt;=2,INDEX(Windows!$B$4:$B$84,MATCH(N12,Windows!$B$4:$B$84,0)+1),0)</f>
        <v>0</v>
      </c>
      <c r="S12" t="e">
        <f>VLOOKUP(R12,Windows!$B$4:$D$84,2,FALSE)/1000</f>
        <v>#N/A</v>
      </c>
      <c r="T12" t="e">
        <f>VLOOKUP(R12,Windows!$B$4:$D$84,3,FALSE)/1000</f>
        <v>#N/A</v>
      </c>
      <c r="U12">
        <f t="shared" si="6"/>
        <v>0</v>
      </c>
      <c r="V12">
        <f>IF(M12&gt;=3,INDEX(Windows!$B$4:$B$84,MATCH(N12,Windows!$B$4:$B$84,0)+2),0)</f>
        <v>0</v>
      </c>
      <c r="W12" t="e">
        <f>VLOOKUP(V12,Windows!$B$4:$D$84,2,FALSE)/1000</f>
        <v>#N/A</v>
      </c>
      <c r="X12" t="e">
        <f>VLOOKUP(V12,Windows!$B$4:$D$84,3,FALSE)/1000</f>
        <v>#N/A</v>
      </c>
      <c r="Y12">
        <f t="shared" si="7"/>
        <v>0</v>
      </c>
      <c r="Z12">
        <f>IF(M12&gt;=4,INDEX(Windows!$B$4:$B$84,MATCH(N12,Windows!$B$4:$B$84,0)+3),0)</f>
        <v>0</v>
      </c>
      <c r="AA12" t="e">
        <f>VLOOKUP(Z12,Windows!$B$4:$D$84,2,FALSE)/1000</f>
        <v>#N/A</v>
      </c>
      <c r="AB12" t="e">
        <f>VLOOKUP(Z12,Windows!$B$4:$D$84,3,FALSE)/1000</f>
        <v>#N/A</v>
      </c>
      <c r="AC12">
        <f t="shared" si="8"/>
        <v>0</v>
      </c>
      <c r="AD12" t="str">
        <f t="shared" si="9"/>
        <v>N/A</v>
      </c>
      <c r="AE12">
        <f t="shared" si="15"/>
        <v>0</v>
      </c>
      <c r="AG12">
        <f t="shared" si="10"/>
        <v>0</v>
      </c>
      <c r="AH12">
        <f>AG12*Konstanten!$B$4</f>
        <v>0</v>
      </c>
      <c r="AI12">
        <f t="shared" si="11"/>
        <v>0</v>
      </c>
      <c r="AJ12">
        <f t="shared" si="12"/>
        <v>9</v>
      </c>
      <c r="AK12">
        <f>AJ12*Konstanten!$B$3</f>
        <v>22.5</v>
      </c>
      <c r="AM12">
        <f t="shared" si="13"/>
        <v>0</v>
      </c>
      <c r="AN12">
        <f t="shared" si="14"/>
        <v>0</v>
      </c>
      <c r="AR12" s="8"/>
      <c r="BA12" s="4"/>
    </row>
    <row r="13" spans="1:57" x14ac:dyDescent="0.25">
      <c r="A13">
        <v>12</v>
      </c>
      <c r="B13">
        <v>3</v>
      </c>
      <c r="C13" t="s">
        <v>22</v>
      </c>
      <c r="D13" t="s">
        <v>144</v>
      </c>
      <c r="F13">
        <v>19.100000000000001</v>
      </c>
      <c r="G13">
        <v>42</v>
      </c>
      <c r="H13">
        <v>86</v>
      </c>
      <c r="I13" t="s">
        <v>201</v>
      </c>
      <c r="J13">
        <f>86+2*90</f>
        <v>266</v>
      </c>
      <c r="L13">
        <f>Konstanten!$B$3</f>
        <v>2.5</v>
      </c>
      <c r="M13">
        <f>COUNTIF(Windows!$A$4:$A$84,D13)</f>
        <v>3</v>
      </c>
      <c r="N13" t="str">
        <f>VLOOKUP(D13,Windows!$A$4:$D$84,2,FALSE)</f>
        <v>IUA10,5-o</v>
      </c>
      <c r="O13">
        <f>VLOOKUP(N13,Windows!$B$4:$D$84,2,FALSE)/1000</f>
        <v>1.05</v>
      </c>
      <c r="P13">
        <f>VLOOKUP(N13,Windows!$B$4:$D$84,3,FALSE)/1000</f>
        <v>1.67</v>
      </c>
      <c r="Q13">
        <f t="shared" si="5"/>
        <v>1.7535000000000001</v>
      </c>
      <c r="R13" t="str">
        <f>IF(M13&gt;=2,INDEX(Windows!$B$4:$B$84,MATCH(N13,Windows!$B$4:$B$84,0)+1),0)</f>
        <v>IUA13,5-v</v>
      </c>
      <c r="S13">
        <f>VLOOKUP(R13,Windows!$B$4:$D$84,2,FALSE)/1000</f>
        <v>1.345</v>
      </c>
      <c r="T13">
        <f>VLOOKUP(R13,Windows!$B$4:$D$84,3,FALSE)/1000</f>
        <v>1.67</v>
      </c>
      <c r="U13">
        <f t="shared" si="6"/>
        <v>2.2461499999999996</v>
      </c>
      <c r="V13" t="str">
        <f>IF(M13&gt;=3,INDEX(Windows!$B$4:$B$84,MATCH(N13,Windows!$B$4:$B$84,0)+2),0)</f>
        <v>IUA7,5-o</v>
      </c>
      <c r="W13">
        <f>VLOOKUP(V13,Windows!$B$4:$D$84,2,FALSE)/1000</f>
        <v>0.745</v>
      </c>
      <c r="X13">
        <f>VLOOKUP(V13,Windows!$B$4:$D$84,3,FALSE)/1000</f>
        <v>1.67</v>
      </c>
      <c r="Y13">
        <f t="shared" si="7"/>
        <v>1.2441499999999999</v>
      </c>
      <c r="Z13">
        <f>IF(M13&gt;=4,INDEX(Windows!$B$4:$B$84,MATCH(N13,Windows!$B$4:$B$84,0)+3),0)</f>
        <v>0</v>
      </c>
      <c r="AA13" t="e">
        <f>VLOOKUP(Z13,Windows!$B$4:$D$84,2,FALSE)/1000</f>
        <v>#N/A</v>
      </c>
      <c r="AB13" t="e">
        <f>VLOOKUP(Z13,Windows!$B$4:$D$84,3,FALSE)/1000</f>
        <v>#N/A</v>
      </c>
      <c r="AC13">
        <f t="shared" si="8"/>
        <v>0</v>
      </c>
      <c r="AD13">
        <f t="shared" si="9"/>
        <v>42</v>
      </c>
      <c r="AE13">
        <f t="shared" si="15"/>
        <v>5.2438000000000002</v>
      </c>
      <c r="AG13">
        <f t="shared" si="10"/>
        <v>4.3</v>
      </c>
      <c r="AH13">
        <f>AG13*Konstanten!$B$4</f>
        <v>18.274999999999999</v>
      </c>
      <c r="AI13">
        <f t="shared" si="11"/>
        <v>13.031199999999998</v>
      </c>
      <c r="AJ13">
        <f t="shared" si="12"/>
        <v>13.3</v>
      </c>
      <c r="AK13">
        <f>AJ13*Konstanten!$B$3</f>
        <v>33.25</v>
      </c>
      <c r="AM13">
        <f t="shared" si="13"/>
        <v>0</v>
      </c>
      <c r="AN13">
        <f t="shared" si="14"/>
        <v>0</v>
      </c>
      <c r="AR13" s="8"/>
      <c r="BA13" s="4"/>
    </row>
    <row r="14" spans="1:57" x14ac:dyDescent="0.25">
      <c r="A14">
        <v>13</v>
      </c>
      <c r="B14">
        <v>3</v>
      </c>
      <c r="C14" t="s">
        <v>18</v>
      </c>
      <c r="D14" t="s">
        <v>264</v>
      </c>
      <c r="F14">
        <v>4.8</v>
      </c>
      <c r="G14" t="s">
        <v>202</v>
      </c>
      <c r="H14">
        <v>0</v>
      </c>
      <c r="J14">
        <f>2*(51+43)</f>
        <v>188</v>
      </c>
      <c r="L14">
        <f>Konstanten!$B$3</f>
        <v>2.5</v>
      </c>
      <c r="M14">
        <f>COUNTIF(Windows!$A$4:$A$84,D14)</f>
        <v>0</v>
      </c>
      <c r="N14" t="e">
        <f>VLOOKUP(D14,Windows!$A$4:$D$84,2,FALSE)</f>
        <v>#N/A</v>
      </c>
      <c r="O14" t="e">
        <f>VLOOKUP(N14,Windows!$B$4:$D$84,2,FALSE)/1000</f>
        <v>#N/A</v>
      </c>
      <c r="P14" t="e">
        <f>VLOOKUP(N14,Windows!$B$4:$D$84,3,FALSE)/1000</f>
        <v>#N/A</v>
      </c>
      <c r="Q14">
        <f t="shared" si="5"/>
        <v>0</v>
      </c>
      <c r="R14">
        <f>IF(M14&gt;=2,INDEX(Windows!$B$4:$B$84,MATCH(N14,Windows!$B$4:$B$84,0)+1),0)</f>
        <v>0</v>
      </c>
      <c r="S14" t="e">
        <f>VLOOKUP(R14,Windows!$B$4:$D$84,2,FALSE)/1000</f>
        <v>#N/A</v>
      </c>
      <c r="T14" t="e">
        <f>VLOOKUP(R14,Windows!$B$4:$D$84,3,FALSE)/1000</f>
        <v>#N/A</v>
      </c>
      <c r="U14">
        <f t="shared" si="6"/>
        <v>0</v>
      </c>
      <c r="V14">
        <f>IF(M14&gt;=3,INDEX(Windows!$B$4:$B$84,MATCH(N14,Windows!$B$4:$B$84,0)+2),0)</f>
        <v>0</v>
      </c>
      <c r="W14" t="e">
        <f>VLOOKUP(V14,Windows!$B$4:$D$84,2,FALSE)/1000</f>
        <v>#N/A</v>
      </c>
      <c r="X14" t="e">
        <f>VLOOKUP(V14,Windows!$B$4:$D$84,3,FALSE)/1000</f>
        <v>#N/A</v>
      </c>
      <c r="Y14">
        <f t="shared" si="7"/>
        <v>0</v>
      </c>
      <c r="Z14">
        <f>IF(M14&gt;=4,INDEX(Windows!$B$4:$B$84,MATCH(N14,Windows!$B$4:$B$84,0)+3),0)</f>
        <v>0</v>
      </c>
      <c r="AA14" t="e">
        <f>VLOOKUP(Z14,Windows!$B$4:$D$84,2,FALSE)/1000</f>
        <v>#N/A</v>
      </c>
      <c r="AB14" t="e">
        <f>VLOOKUP(Z14,Windows!$B$4:$D$84,3,FALSE)/1000</f>
        <v>#N/A</v>
      </c>
      <c r="AC14">
        <f t="shared" si="8"/>
        <v>0</v>
      </c>
      <c r="AD14" t="str">
        <f t="shared" si="9"/>
        <v>N/A</v>
      </c>
      <c r="AE14">
        <f t="shared" si="15"/>
        <v>0</v>
      </c>
      <c r="AG14">
        <f t="shared" si="10"/>
        <v>0</v>
      </c>
      <c r="AH14">
        <f>AG14*Konstanten!$B$4</f>
        <v>0</v>
      </c>
      <c r="AI14">
        <f t="shared" si="11"/>
        <v>0</v>
      </c>
      <c r="AJ14">
        <f t="shared" si="12"/>
        <v>9.4</v>
      </c>
      <c r="AK14">
        <f>AJ14*Konstanten!$B$3</f>
        <v>23.5</v>
      </c>
      <c r="AM14">
        <f t="shared" si="13"/>
        <v>0</v>
      </c>
      <c r="AN14">
        <f t="shared" si="14"/>
        <v>0</v>
      </c>
      <c r="AR14" s="8"/>
      <c r="BA14" s="4"/>
    </row>
    <row r="15" spans="1:57" x14ac:dyDescent="0.25">
      <c r="A15">
        <v>14</v>
      </c>
      <c r="B15">
        <v>3</v>
      </c>
      <c r="C15" t="s">
        <v>15</v>
      </c>
      <c r="D15" t="s">
        <v>265</v>
      </c>
      <c r="F15">
        <v>3.9</v>
      </c>
      <c r="G15" t="s">
        <v>202</v>
      </c>
      <c r="H15">
        <v>0</v>
      </c>
      <c r="J15">
        <f>2*(51+30)</f>
        <v>162</v>
      </c>
      <c r="L15">
        <f>Konstanten!$B$3</f>
        <v>2.5</v>
      </c>
      <c r="M15">
        <f>COUNTIF(Windows!$A$4:$A$84,D15)</f>
        <v>0</v>
      </c>
      <c r="N15" t="e">
        <f>VLOOKUP(D15,Windows!$A$4:$D$84,2,FALSE)</f>
        <v>#N/A</v>
      </c>
      <c r="O15" t="e">
        <f>VLOOKUP(N15,Windows!$B$4:$D$84,2,FALSE)/1000</f>
        <v>#N/A</v>
      </c>
      <c r="P15" t="e">
        <f>VLOOKUP(N15,Windows!$B$4:$D$84,3,FALSE)/1000</f>
        <v>#N/A</v>
      </c>
      <c r="Q15">
        <f t="shared" si="5"/>
        <v>0</v>
      </c>
      <c r="R15">
        <f>IF(M15&gt;=2,INDEX(Windows!$B$4:$B$84,MATCH(N15,Windows!$B$4:$B$84,0)+1),0)</f>
        <v>0</v>
      </c>
      <c r="S15" t="e">
        <f>VLOOKUP(R15,Windows!$B$4:$D$84,2,FALSE)/1000</f>
        <v>#N/A</v>
      </c>
      <c r="T15" t="e">
        <f>VLOOKUP(R15,Windows!$B$4:$D$84,3,FALSE)/1000</f>
        <v>#N/A</v>
      </c>
      <c r="U15">
        <f t="shared" si="6"/>
        <v>0</v>
      </c>
      <c r="V15">
        <f>IF(M15&gt;=3,INDEX(Windows!$B$4:$B$84,MATCH(N15,Windows!$B$4:$B$84,0)+2),0)</f>
        <v>0</v>
      </c>
      <c r="W15" t="e">
        <f>VLOOKUP(V15,Windows!$B$4:$D$84,2,FALSE)/1000</f>
        <v>#N/A</v>
      </c>
      <c r="X15" t="e">
        <f>VLOOKUP(V15,Windows!$B$4:$D$84,3,FALSE)/1000</f>
        <v>#N/A</v>
      </c>
      <c r="Y15">
        <f t="shared" si="7"/>
        <v>0</v>
      </c>
      <c r="Z15">
        <f>IF(M15&gt;=4,INDEX(Windows!$B$4:$B$84,MATCH(N15,Windows!$B$4:$B$84,0)+3),0)</f>
        <v>0</v>
      </c>
      <c r="AA15" t="e">
        <f>VLOOKUP(Z15,Windows!$B$4:$D$84,2,FALSE)/1000</f>
        <v>#N/A</v>
      </c>
      <c r="AB15" t="e">
        <f>VLOOKUP(Z15,Windows!$B$4:$D$84,3,FALSE)/1000</f>
        <v>#N/A</v>
      </c>
      <c r="AC15">
        <f t="shared" si="8"/>
        <v>0</v>
      </c>
      <c r="AD15" t="str">
        <f t="shared" si="9"/>
        <v>N/A</v>
      </c>
      <c r="AE15">
        <f t="shared" si="15"/>
        <v>0</v>
      </c>
      <c r="AG15">
        <f t="shared" si="10"/>
        <v>0</v>
      </c>
      <c r="AH15">
        <f>AG15*Konstanten!$B$4</f>
        <v>0</v>
      </c>
      <c r="AI15">
        <f t="shared" si="11"/>
        <v>0</v>
      </c>
      <c r="AJ15">
        <f t="shared" si="12"/>
        <v>8.1</v>
      </c>
      <c r="AK15">
        <f>AJ15*Konstanten!$B$3</f>
        <v>20.25</v>
      </c>
      <c r="AM15">
        <f t="shared" si="13"/>
        <v>0</v>
      </c>
      <c r="AN15">
        <f t="shared" si="14"/>
        <v>0</v>
      </c>
      <c r="AR15" s="8"/>
      <c r="BA15" s="4"/>
    </row>
    <row r="16" spans="1:57" x14ac:dyDescent="0.25">
      <c r="A16">
        <v>15</v>
      </c>
      <c r="B16">
        <v>3</v>
      </c>
      <c r="C16" t="s">
        <v>21</v>
      </c>
      <c r="D16" t="s">
        <v>266</v>
      </c>
      <c r="E16" t="s">
        <v>111</v>
      </c>
      <c r="F16">
        <v>5.5</v>
      </c>
      <c r="G16" t="s">
        <v>202</v>
      </c>
      <c r="H16">
        <v>0</v>
      </c>
      <c r="J16">
        <f>2*(44+50)</f>
        <v>188</v>
      </c>
      <c r="L16">
        <f>Konstanten!$B$3</f>
        <v>2.5</v>
      </c>
      <c r="M16">
        <f>COUNTIF(Windows!$A$4:$A$84,D16)</f>
        <v>0</v>
      </c>
      <c r="N16" t="e">
        <f>VLOOKUP(D16,Windows!$A$4:$D$84,2,FALSE)</f>
        <v>#N/A</v>
      </c>
      <c r="O16" t="e">
        <f>VLOOKUP(N16,Windows!$B$4:$D$84,2,FALSE)/1000</f>
        <v>#N/A</v>
      </c>
      <c r="P16" t="e">
        <f>VLOOKUP(N16,Windows!$B$4:$D$84,3,FALSE)/1000</f>
        <v>#N/A</v>
      </c>
      <c r="Q16">
        <f t="shared" si="5"/>
        <v>0</v>
      </c>
      <c r="R16">
        <f>IF(M16&gt;=2,INDEX(Windows!$B$4:$B$84,MATCH(N16,Windows!$B$4:$B$84,0)+1),0)</f>
        <v>0</v>
      </c>
      <c r="S16" t="e">
        <f>VLOOKUP(R16,Windows!$B$4:$D$84,2,FALSE)/1000</f>
        <v>#N/A</v>
      </c>
      <c r="T16" t="e">
        <f>VLOOKUP(R16,Windows!$B$4:$D$84,3,FALSE)/1000</f>
        <v>#N/A</v>
      </c>
      <c r="U16">
        <f t="shared" si="6"/>
        <v>0</v>
      </c>
      <c r="V16">
        <f>IF(M16&gt;=3,INDEX(Windows!$B$4:$B$84,MATCH(N16,Windows!$B$4:$B$84,0)+2),0)</f>
        <v>0</v>
      </c>
      <c r="W16" t="e">
        <f>VLOOKUP(V16,Windows!$B$4:$D$84,2,FALSE)/1000</f>
        <v>#N/A</v>
      </c>
      <c r="X16" t="e">
        <f>VLOOKUP(V16,Windows!$B$4:$D$84,3,FALSE)/1000</f>
        <v>#N/A</v>
      </c>
      <c r="Y16">
        <f t="shared" si="7"/>
        <v>0</v>
      </c>
      <c r="Z16">
        <f>IF(M16&gt;=4,INDEX(Windows!$B$4:$B$84,MATCH(N16,Windows!$B$4:$B$84,0)+3),0)</f>
        <v>0</v>
      </c>
      <c r="AA16" t="e">
        <f>VLOOKUP(Z16,Windows!$B$4:$D$84,2,FALSE)/1000</f>
        <v>#N/A</v>
      </c>
      <c r="AB16" t="e">
        <f>VLOOKUP(Z16,Windows!$B$4:$D$84,3,FALSE)/1000</f>
        <v>#N/A</v>
      </c>
      <c r="AC16">
        <f t="shared" si="8"/>
        <v>0</v>
      </c>
      <c r="AD16" t="str">
        <f t="shared" si="9"/>
        <v>N/A</v>
      </c>
      <c r="AE16">
        <f t="shared" si="15"/>
        <v>0</v>
      </c>
      <c r="AG16">
        <f t="shared" si="10"/>
        <v>0</v>
      </c>
      <c r="AH16">
        <f>AG16*Konstanten!$B$4</f>
        <v>0</v>
      </c>
      <c r="AI16">
        <f t="shared" si="11"/>
        <v>0</v>
      </c>
      <c r="AJ16">
        <f t="shared" si="12"/>
        <v>9.4</v>
      </c>
      <c r="AK16">
        <f>AJ16*Konstanten!$B$3</f>
        <v>23.5</v>
      </c>
      <c r="AM16">
        <f t="shared" si="13"/>
        <v>0</v>
      </c>
      <c r="AN16">
        <f t="shared" si="14"/>
        <v>0</v>
      </c>
      <c r="AR16" s="8"/>
      <c r="BA16" s="4"/>
    </row>
    <row r="17" spans="1:53" x14ac:dyDescent="0.25">
      <c r="A17">
        <v>16</v>
      </c>
      <c r="B17">
        <v>3</v>
      </c>
      <c r="C17" t="s">
        <v>22</v>
      </c>
      <c r="D17" t="s">
        <v>111</v>
      </c>
      <c r="F17">
        <v>17.2</v>
      </c>
      <c r="G17">
        <v>42</v>
      </c>
      <c r="H17">
        <f>76</f>
        <v>76</v>
      </c>
      <c r="I17" t="s">
        <v>201</v>
      </c>
      <c r="J17">
        <f>2*90+76</f>
        <v>256</v>
      </c>
      <c r="L17">
        <f>Konstanten!$B$3</f>
        <v>2.5</v>
      </c>
      <c r="M17">
        <f>COUNTIF(Windows!$A$4:$A$84,D17)</f>
        <v>2</v>
      </c>
      <c r="N17" t="str">
        <f>VLOOKUP(D17,Windows!$A$4:$D$84,2,FALSE)</f>
        <v>IU10,5-v+OTL3-v</v>
      </c>
      <c r="O17">
        <f>VLOOKUP(N17,Windows!$B$4:$D$84,2,FALSE)/1000</f>
        <v>1.325</v>
      </c>
      <c r="P17">
        <f>VLOOKUP(N17,Windows!$B$4:$D$84,3,FALSE)/1000</f>
        <v>1.67</v>
      </c>
      <c r="Q17">
        <f t="shared" si="5"/>
        <v>2.2127499999999998</v>
      </c>
      <c r="R17" t="str">
        <f>IF(M17&gt;=2,INDEX(Windows!$B$4:$B$84,MATCH(N17,Windows!$B$4:$B$84,0)+1),0)</f>
        <v>IU20-o</v>
      </c>
      <c r="S17">
        <f>VLOOKUP(R17,Windows!$B$4:$D$84,2,FALSE)/1000</f>
        <v>1.9950000000000001</v>
      </c>
      <c r="T17">
        <f>VLOOKUP(R17,Windows!$B$4:$D$84,3,FALSE)/1000</f>
        <v>1.67</v>
      </c>
      <c r="U17">
        <f t="shared" si="6"/>
        <v>3.3316500000000002</v>
      </c>
      <c r="V17">
        <f>IF(M17&gt;=3,INDEX(Windows!$B$4:$B$84,MATCH(N17,Windows!$B$4:$B$84,0)+2),0)</f>
        <v>0</v>
      </c>
      <c r="W17" t="e">
        <f>VLOOKUP(V17,Windows!$B$4:$D$84,2,FALSE)/1000</f>
        <v>#N/A</v>
      </c>
      <c r="X17" t="e">
        <f>VLOOKUP(V17,Windows!$B$4:$D$84,3,FALSE)/1000</f>
        <v>#N/A</v>
      </c>
      <c r="Y17">
        <f t="shared" si="7"/>
        <v>0</v>
      </c>
      <c r="Z17">
        <f>IF(M17&gt;=4,INDEX(Windows!$B$4:$B$84,MATCH(N17,Windows!$B$4:$B$84,0)+3),0)</f>
        <v>0</v>
      </c>
      <c r="AA17" t="e">
        <f>VLOOKUP(Z17,Windows!$B$4:$D$84,2,FALSE)/1000</f>
        <v>#N/A</v>
      </c>
      <c r="AB17" t="e">
        <f>VLOOKUP(Z17,Windows!$B$4:$D$84,3,FALSE)/1000</f>
        <v>#N/A</v>
      </c>
      <c r="AC17">
        <f t="shared" si="8"/>
        <v>0</v>
      </c>
      <c r="AD17">
        <f t="shared" si="9"/>
        <v>42</v>
      </c>
      <c r="AE17">
        <f t="shared" si="15"/>
        <v>5.5443999999999996</v>
      </c>
      <c r="AG17">
        <f t="shared" si="10"/>
        <v>3.8</v>
      </c>
      <c r="AH17">
        <f>AG17*Konstanten!$B$4</f>
        <v>16.149999999999999</v>
      </c>
      <c r="AI17">
        <f t="shared" si="11"/>
        <v>10.605599999999999</v>
      </c>
      <c r="AJ17">
        <f t="shared" si="12"/>
        <v>12.8</v>
      </c>
      <c r="AK17">
        <f>AJ17*Konstanten!$B$3</f>
        <v>32</v>
      </c>
      <c r="AM17">
        <f t="shared" si="13"/>
        <v>0</v>
      </c>
      <c r="AN17">
        <f t="shared" si="14"/>
        <v>0</v>
      </c>
      <c r="AR17" s="8"/>
      <c r="BA17" s="4"/>
    </row>
    <row r="18" spans="1:53" x14ac:dyDescent="0.25">
      <c r="A18">
        <v>17</v>
      </c>
      <c r="B18">
        <v>3</v>
      </c>
      <c r="C18" t="s">
        <v>18</v>
      </c>
      <c r="D18" t="s">
        <v>267</v>
      </c>
      <c r="E18" t="s">
        <v>111</v>
      </c>
      <c r="F18">
        <v>5.5</v>
      </c>
      <c r="G18">
        <v>42</v>
      </c>
      <c r="H18">
        <v>44</v>
      </c>
      <c r="I18" t="s">
        <v>201</v>
      </c>
      <c r="J18">
        <f>44+2*53</f>
        <v>150</v>
      </c>
      <c r="L18">
        <f>Konstanten!$B$3</f>
        <v>2.5</v>
      </c>
      <c r="M18">
        <f>COUNTIF(Windows!$A$4:$A$84,D18)</f>
        <v>0</v>
      </c>
      <c r="N18" t="e">
        <f>VLOOKUP(D18,Windows!$A$4:$D$84,2,FALSE)</f>
        <v>#N/A</v>
      </c>
      <c r="O18" t="e">
        <f>VLOOKUP(N18,Windows!$B$4:$D$84,2,FALSE)/1000</f>
        <v>#N/A</v>
      </c>
      <c r="P18" t="e">
        <f>VLOOKUP(N18,Windows!$B$4:$D$84,3,FALSE)/1000</f>
        <v>#N/A</v>
      </c>
      <c r="Q18">
        <f t="shared" si="5"/>
        <v>0</v>
      </c>
      <c r="R18">
        <f>IF(M18&gt;=2,INDEX(Windows!$B$4:$B$84,MATCH(N18,Windows!$B$4:$B$84,0)+1),0)</f>
        <v>0</v>
      </c>
      <c r="S18" t="e">
        <f>VLOOKUP(R18,Windows!$B$4:$D$84,2,FALSE)/1000</f>
        <v>#N/A</v>
      </c>
      <c r="T18" t="e">
        <f>VLOOKUP(R18,Windows!$B$4:$D$84,3,FALSE)/1000</f>
        <v>#N/A</v>
      </c>
      <c r="U18">
        <f t="shared" si="6"/>
        <v>0</v>
      </c>
      <c r="V18">
        <f>IF(M18&gt;=3,INDEX(Windows!$B$4:$B$84,MATCH(N18,Windows!$B$4:$B$84,0)+2),0)</f>
        <v>0</v>
      </c>
      <c r="W18" t="e">
        <f>VLOOKUP(V18,Windows!$B$4:$D$84,2,FALSE)/1000</f>
        <v>#N/A</v>
      </c>
      <c r="X18" t="e">
        <f>VLOOKUP(V18,Windows!$B$4:$D$84,3,FALSE)/1000</f>
        <v>#N/A</v>
      </c>
      <c r="Y18">
        <f t="shared" si="7"/>
        <v>0</v>
      </c>
      <c r="Z18">
        <f>IF(M18&gt;=4,INDEX(Windows!$B$4:$B$84,MATCH(N18,Windows!$B$4:$B$84,0)+3),0)</f>
        <v>0</v>
      </c>
      <c r="AA18" t="e">
        <f>VLOOKUP(Z18,Windows!$B$4:$D$84,2,FALSE)/1000</f>
        <v>#N/A</v>
      </c>
      <c r="AB18" t="e">
        <f>VLOOKUP(Z18,Windows!$B$4:$D$84,3,FALSE)/1000</f>
        <v>#N/A</v>
      </c>
      <c r="AC18">
        <f t="shared" si="8"/>
        <v>0</v>
      </c>
      <c r="AD18" t="str">
        <f t="shared" si="9"/>
        <v>N/A</v>
      </c>
      <c r="AE18">
        <f t="shared" si="15"/>
        <v>0</v>
      </c>
      <c r="AG18">
        <f t="shared" si="10"/>
        <v>2.2000000000000002</v>
      </c>
      <c r="AH18">
        <f>AG18*Konstanten!$B$4</f>
        <v>9.3500000000000014</v>
      </c>
      <c r="AI18">
        <f t="shared" si="11"/>
        <v>9.3500000000000014</v>
      </c>
      <c r="AJ18">
        <f t="shared" si="12"/>
        <v>7.5</v>
      </c>
      <c r="AK18">
        <f>AJ18*Konstanten!$B$3</f>
        <v>18.75</v>
      </c>
      <c r="AM18">
        <f t="shared" si="13"/>
        <v>0</v>
      </c>
      <c r="AN18">
        <f t="shared" si="14"/>
        <v>0</v>
      </c>
      <c r="AR18" s="8"/>
      <c r="BA18" s="4"/>
    </row>
    <row r="19" spans="1:53" x14ac:dyDescent="0.25">
      <c r="A19">
        <v>18</v>
      </c>
      <c r="B19">
        <v>3</v>
      </c>
      <c r="C19" t="s">
        <v>65</v>
      </c>
      <c r="D19" t="s">
        <v>268</v>
      </c>
      <c r="F19">
        <v>9.5</v>
      </c>
      <c r="G19" t="s">
        <v>202</v>
      </c>
      <c r="H19">
        <v>0</v>
      </c>
      <c r="J19">
        <f>2*(44+87)</f>
        <v>262</v>
      </c>
      <c r="L19">
        <f>Konstanten!$B$3</f>
        <v>2.5</v>
      </c>
      <c r="M19">
        <f>COUNTIF(Windows!$A$4:$A$84,D19)</f>
        <v>0</v>
      </c>
      <c r="N19" t="e">
        <f>VLOOKUP(D19,Windows!$A$4:$D$84,2,FALSE)</f>
        <v>#N/A</v>
      </c>
      <c r="O19" t="e">
        <f>VLOOKUP(N19,Windows!$B$4:$D$84,2,FALSE)/1000</f>
        <v>#N/A</v>
      </c>
      <c r="P19" t="e">
        <f>VLOOKUP(N19,Windows!$B$4:$D$84,3,FALSE)/1000</f>
        <v>#N/A</v>
      </c>
      <c r="Q19">
        <f t="shared" si="5"/>
        <v>0</v>
      </c>
      <c r="R19">
        <f>IF(M19&gt;=2,INDEX(Windows!$B$4:$B$84,MATCH(N19,Windows!$B$4:$B$84,0)+1),0)</f>
        <v>0</v>
      </c>
      <c r="S19" t="e">
        <f>VLOOKUP(R19,Windows!$B$4:$D$84,2,FALSE)/1000</f>
        <v>#N/A</v>
      </c>
      <c r="T19" t="e">
        <f>VLOOKUP(R19,Windows!$B$4:$D$84,3,FALSE)/1000</f>
        <v>#N/A</v>
      </c>
      <c r="U19">
        <f t="shared" si="6"/>
        <v>0</v>
      </c>
      <c r="V19">
        <f>IF(M19&gt;=3,INDEX(Windows!$B$4:$B$84,MATCH(N19,Windows!$B$4:$B$84,0)+2),0)</f>
        <v>0</v>
      </c>
      <c r="W19" t="e">
        <f>VLOOKUP(V19,Windows!$B$4:$D$84,2,FALSE)/1000</f>
        <v>#N/A</v>
      </c>
      <c r="X19" t="e">
        <f>VLOOKUP(V19,Windows!$B$4:$D$84,3,FALSE)/1000</f>
        <v>#N/A</v>
      </c>
      <c r="Y19">
        <f t="shared" si="7"/>
        <v>0</v>
      </c>
      <c r="Z19">
        <f>IF(M19&gt;=4,INDEX(Windows!$B$4:$B$84,MATCH(N19,Windows!$B$4:$B$84,0)+3),0)</f>
        <v>0</v>
      </c>
      <c r="AA19" t="e">
        <f>VLOOKUP(Z19,Windows!$B$4:$D$84,2,FALSE)/1000</f>
        <v>#N/A</v>
      </c>
      <c r="AB19" t="e">
        <f>VLOOKUP(Z19,Windows!$B$4:$D$84,3,FALSE)/1000</f>
        <v>#N/A</v>
      </c>
      <c r="AC19">
        <f t="shared" si="8"/>
        <v>0</v>
      </c>
      <c r="AD19" t="str">
        <f t="shared" si="9"/>
        <v>N/A</v>
      </c>
      <c r="AE19">
        <f t="shared" si="15"/>
        <v>0</v>
      </c>
      <c r="AG19">
        <f t="shared" si="10"/>
        <v>0</v>
      </c>
      <c r="AH19">
        <f>AG19*Konstanten!$B$4</f>
        <v>0</v>
      </c>
      <c r="AI19">
        <f t="shared" si="11"/>
        <v>0</v>
      </c>
      <c r="AJ19">
        <f t="shared" si="12"/>
        <v>13.100000000000001</v>
      </c>
      <c r="AK19">
        <f>AJ19*Konstanten!$B$3</f>
        <v>32.75</v>
      </c>
      <c r="AM19">
        <f t="shared" si="13"/>
        <v>0</v>
      </c>
      <c r="AN19">
        <f t="shared" si="14"/>
        <v>0</v>
      </c>
      <c r="AR19" s="8"/>
      <c r="BA19" s="4"/>
    </row>
    <row r="20" spans="1:53" x14ac:dyDescent="0.25">
      <c r="A20">
        <v>19</v>
      </c>
      <c r="B20">
        <v>3</v>
      </c>
      <c r="C20" t="s">
        <v>65</v>
      </c>
      <c r="D20" t="s">
        <v>269</v>
      </c>
      <c r="F20">
        <v>6.6</v>
      </c>
      <c r="G20" t="s">
        <v>202</v>
      </c>
      <c r="H20">
        <v>0</v>
      </c>
      <c r="J20">
        <f>2*(44+59)</f>
        <v>206</v>
      </c>
      <c r="L20">
        <f>Konstanten!$B$3</f>
        <v>2.5</v>
      </c>
      <c r="M20">
        <f>COUNTIF(Windows!$A$4:$A$84,D20)</f>
        <v>0</v>
      </c>
      <c r="N20" t="e">
        <f>VLOOKUP(D20,Windows!$A$4:$D$84,2,FALSE)</f>
        <v>#N/A</v>
      </c>
      <c r="O20" t="e">
        <f>VLOOKUP(N20,Windows!$B$4:$D$84,2,FALSE)/1000</f>
        <v>#N/A</v>
      </c>
      <c r="P20" t="e">
        <f>VLOOKUP(N20,Windows!$B$4:$D$84,3,FALSE)/1000</f>
        <v>#N/A</v>
      </c>
      <c r="Q20">
        <f t="shared" si="5"/>
        <v>0</v>
      </c>
      <c r="R20">
        <f>IF(M20&gt;=2,INDEX(Windows!$B$4:$B$84,MATCH(N20,Windows!$B$4:$B$84,0)+1),0)</f>
        <v>0</v>
      </c>
      <c r="S20" t="e">
        <f>VLOOKUP(R20,Windows!$B$4:$D$84,2,FALSE)/1000</f>
        <v>#N/A</v>
      </c>
      <c r="T20" t="e">
        <f>VLOOKUP(R20,Windows!$B$4:$D$84,3,FALSE)/1000</f>
        <v>#N/A</v>
      </c>
      <c r="U20">
        <f t="shared" si="6"/>
        <v>0</v>
      </c>
      <c r="V20">
        <f>IF(M20&gt;=3,INDEX(Windows!$B$4:$B$84,MATCH(N20,Windows!$B$4:$B$84,0)+2),0)</f>
        <v>0</v>
      </c>
      <c r="W20" t="e">
        <f>VLOOKUP(V20,Windows!$B$4:$D$84,2,FALSE)/1000</f>
        <v>#N/A</v>
      </c>
      <c r="X20" t="e">
        <f>VLOOKUP(V20,Windows!$B$4:$D$84,3,FALSE)/1000</f>
        <v>#N/A</v>
      </c>
      <c r="Y20">
        <f t="shared" si="7"/>
        <v>0</v>
      </c>
      <c r="Z20">
        <f>IF(M20&gt;=4,INDEX(Windows!$B$4:$B$84,MATCH(N20,Windows!$B$4:$B$84,0)+3),0)</f>
        <v>0</v>
      </c>
      <c r="AA20" t="e">
        <f>VLOOKUP(Z20,Windows!$B$4:$D$84,2,FALSE)/1000</f>
        <v>#N/A</v>
      </c>
      <c r="AB20" t="e">
        <f>VLOOKUP(Z20,Windows!$B$4:$D$84,3,FALSE)/1000</f>
        <v>#N/A</v>
      </c>
      <c r="AC20">
        <f t="shared" si="8"/>
        <v>0</v>
      </c>
      <c r="AD20" t="str">
        <f t="shared" si="9"/>
        <v>N/A</v>
      </c>
      <c r="AE20">
        <f t="shared" si="15"/>
        <v>0</v>
      </c>
      <c r="AG20">
        <f t="shared" si="10"/>
        <v>0</v>
      </c>
      <c r="AH20">
        <f>AG20*Konstanten!$B$4</f>
        <v>0</v>
      </c>
      <c r="AI20">
        <f t="shared" si="11"/>
        <v>0</v>
      </c>
      <c r="AJ20">
        <f t="shared" si="12"/>
        <v>10.3</v>
      </c>
      <c r="AK20">
        <f>AJ20*Konstanten!$B$3</f>
        <v>25.75</v>
      </c>
      <c r="AM20">
        <f t="shared" si="13"/>
        <v>0</v>
      </c>
      <c r="AN20">
        <f t="shared" si="14"/>
        <v>0</v>
      </c>
      <c r="AR20" s="8"/>
      <c r="BA20" s="4"/>
    </row>
    <row r="21" spans="1:53" x14ac:dyDescent="0.25">
      <c r="A21">
        <v>20</v>
      </c>
      <c r="B21">
        <v>3</v>
      </c>
      <c r="C21" t="s">
        <v>59</v>
      </c>
      <c r="D21" t="s">
        <v>115</v>
      </c>
      <c r="F21">
        <v>231.7</v>
      </c>
      <c r="G21">
        <v>132</v>
      </c>
      <c r="H21">
        <v>240</v>
      </c>
      <c r="I21" t="s">
        <v>201</v>
      </c>
      <c r="J21">
        <f>2*(192+101+80+240+44)</f>
        <v>1314</v>
      </c>
      <c r="L21">
        <f>Konstanten!$B$3</f>
        <v>2.5</v>
      </c>
      <c r="M21">
        <v>4</v>
      </c>
      <c r="N21" t="str">
        <f>VLOOKUP(D21,Windows!$A$4:$D$84,2,FALSE)</f>
        <v>IU11-o+OTL3-v</v>
      </c>
      <c r="O21">
        <f>VLOOKUP(N21,Windows!$B$4:$D$84,2,FALSE)/1000</f>
        <v>1.35</v>
      </c>
      <c r="P21">
        <v>2</v>
      </c>
      <c r="Q21">
        <f t="shared" si="5"/>
        <v>2.7</v>
      </c>
      <c r="R21" t="str">
        <f>IF(M21&gt;=2,INDEX(Windows!$B$4:$B$84,MATCH(N21,Windows!$B$4:$B$84,0)+1),0)</f>
        <v>IU11-o+VTL3-o</v>
      </c>
      <c r="S21">
        <f>VLOOKUP(R21,Windows!$B$4:$D$84,2,FALSE)/1000</f>
        <v>1.35</v>
      </c>
      <c r="T21">
        <v>2</v>
      </c>
      <c r="U21">
        <f t="shared" si="6"/>
        <v>2.7</v>
      </c>
      <c r="V21" t="str">
        <f>IF(M21&gt;=3,INDEX(Windows!$B$4:$B$84,MATCH(N21,Windows!$B$4:$B$84,0)+2),0)</f>
        <v>IU19,5-o</v>
      </c>
      <c r="W21">
        <v>1.35</v>
      </c>
      <c r="X21">
        <v>2</v>
      </c>
      <c r="Y21">
        <f t="shared" si="7"/>
        <v>2.7</v>
      </c>
      <c r="Z21" t="str">
        <f>IF(M21&gt;=4,INDEX(Windows!$B$4:$B$84,MATCH(N21,Windows!$B$4:$B$84,0)+3),0)</f>
        <v>IU21-o</v>
      </c>
      <c r="AA21">
        <v>1.35</v>
      </c>
      <c r="AB21">
        <v>2</v>
      </c>
      <c r="AC21">
        <f t="shared" si="8"/>
        <v>2.7</v>
      </c>
      <c r="AD21">
        <f t="shared" si="9"/>
        <v>132</v>
      </c>
      <c r="AE21">
        <f t="shared" si="15"/>
        <v>10.8</v>
      </c>
      <c r="AG21">
        <f t="shared" si="10"/>
        <v>12</v>
      </c>
      <c r="AH21">
        <f>AG21*Konstanten!$B$4</f>
        <v>51</v>
      </c>
      <c r="AI21">
        <f t="shared" si="11"/>
        <v>40.200000000000003</v>
      </c>
      <c r="AJ21">
        <f t="shared" si="12"/>
        <v>65.7</v>
      </c>
      <c r="AK21">
        <f>AJ21*Konstanten!$B$3</f>
        <v>164.25</v>
      </c>
      <c r="AM21">
        <f t="shared" si="13"/>
        <v>0</v>
      </c>
      <c r="AN21">
        <f t="shared" si="14"/>
        <v>0</v>
      </c>
      <c r="AR21" s="8"/>
      <c r="BA21" s="4"/>
    </row>
    <row r="22" spans="1:53" x14ac:dyDescent="0.25">
      <c r="A22">
        <v>21</v>
      </c>
      <c r="B22">
        <v>3</v>
      </c>
      <c r="D22" t="s">
        <v>115</v>
      </c>
      <c r="F22">
        <v>0</v>
      </c>
      <c r="G22">
        <v>222</v>
      </c>
      <c r="H22">
        <v>192</v>
      </c>
      <c r="I22" t="s">
        <v>201</v>
      </c>
      <c r="J22">
        <v>0</v>
      </c>
      <c r="L22">
        <f>Konstanten!$B$3</f>
        <v>2.5</v>
      </c>
      <c r="M22">
        <v>4</v>
      </c>
      <c r="N22" t="str">
        <f>VLOOKUP(D22,Windows!$A$4:$D$84,2,FALSE)</f>
        <v>IU11-o+OTL3-v</v>
      </c>
      <c r="O22">
        <f>VLOOKUP(N22,Windows!$B$4:$D$84,2,FALSE)/1000</f>
        <v>1.35</v>
      </c>
      <c r="P22">
        <f>VLOOKUP(N22,Windows!$B$4:$D$84,3,FALSE)/1000</f>
        <v>2.0699999999999998</v>
      </c>
      <c r="Q22">
        <f t="shared" si="5"/>
        <v>2.7944999999999998</v>
      </c>
      <c r="R22" t="str">
        <f>IF(M22&gt;=2,INDEX(Windows!$B$4:$B$84,MATCH(N22,Windows!$B$4:$B$84,0)+1),0)</f>
        <v>IU11-o+VTL3-o</v>
      </c>
      <c r="S22">
        <f>VLOOKUP(R22,Windows!$B$4:$D$84,2,FALSE)/1000</f>
        <v>1.35</v>
      </c>
      <c r="T22">
        <f>VLOOKUP(R22,Windows!$B$4:$D$84,3,FALSE)/1000</f>
        <v>2.0699999999999998</v>
      </c>
      <c r="U22">
        <f t="shared" si="6"/>
        <v>2.7944999999999998</v>
      </c>
      <c r="V22" t="str">
        <f>IF(M22&gt;=3,INDEX(Windows!$B$4:$B$84,MATCH(N22,Windows!$B$4:$B$84,0)+2),0)</f>
        <v>IU19,5-o</v>
      </c>
      <c r="W22">
        <f>VLOOKUP(V22,Windows!$B$4:$D$84,2,FALSE)/1000</f>
        <v>1.93</v>
      </c>
      <c r="X22">
        <f>VLOOKUP(V22,Windows!$B$4:$D$84,3,FALSE)/1000</f>
        <v>2.0699999999999998</v>
      </c>
      <c r="Y22">
        <f t="shared" si="7"/>
        <v>3.9950999999999994</v>
      </c>
      <c r="Z22" t="str">
        <f>IF(M22&gt;=4,INDEX(Windows!$B$4:$B$84,MATCH(N22,Windows!$B$4:$B$84,0)+3),0)</f>
        <v>IU21-o</v>
      </c>
      <c r="AA22">
        <f>VLOOKUP(Z22,Windows!$B$4:$D$84,2,FALSE)/1000</f>
        <v>2.12</v>
      </c>
      <c r="AB22">
        <f>VLOOKUP(Z22,Windows!$B$4:$D$84,3,FALSE)/1000</f>
        <v>1.32</v>
      </c>
      <c r="AC22">
        <f t="shared" si="8"/>
        <v>2.7984000000000004</v>
      </c>
      <c r="AD22">
        <f t="shared" si="9"/>
        <v>222</v>
      </c>
      <c r="AE22">
        <f t="shared" si="15"/>
        <v>12.3825</v>
      </c>
      <c r="AG22">
        <f t="shared" si="10"/>
        <v>9.6</v>
      </c>
      <c r="AH22">
        <f>AG22*Konstanten!$B$4</f>
        <v>40.799999999999997</v>
      </c>
      <c r="AI22">
        <f t="shared" si="11"/>
        <v>28.417499999999997</v>
      </c>
      <c r="AJ22">
        <f t="shared" si="12"/>
        <v>0</v>
      </c>
      <c r="AK22">
        <f>AJ22*Konstanten!$B$3</f>
        <v>0</v>
      </c>
      <c r="AM22">
        <f t="shared" si="13"/>
        <v>0</v>
      </c>
      <c r="AN22">
        <f t="shared" si="14"/>
        <v>0</v>
      </c>
      <c r="AR22" s="8"/>
      <c r="BA22" s="4"/>
    </row>
    <row r="23" spans="1:53" x14ac:dyDescent="0.25">
      <c r="A23">
        <v>22</v>
      </c>
      <c r="B23">
        <v>3</v>
      </c>
      <c r="C23" t="s">
        <v>59</v>
      </c>
      <c r="D23" t="s">
        <v>142</v>
      </c>
      <c r="F23">
        <v>25.9</v>
      </c>
      <c r="G23">
        <v>42</v>
      </c>
      <c r="H23">
        <f>132</f>
        <v>132</v>
      </c>
      <c r="I23" t="s">
        <v>201</v>
      </c>
      <c r="J23">
        <f>2*80+132</f>
        <v>292</v>
      </c>
      <c r="L23">
        <f>Konstanten!$B$3</f>
        <v>2.5</v>
      </c>
      <c r="M23">
        <f>COUNTIF(Windows!$A$4:$A$84,D23)</f>
        <v>3</v>
      </c>
      <c r="N23" t="str">
        <f>VLOOKUP(D23,Windows!$A$4:$D$84,2,FALSE)</f>
        <v>IUA10,5-o+VTL3-</v>
      </c>
      <c r="O23">
        <f>VLOOKUP(N23,Windows!$B$4:$D$84,2,FALSE)/1000</f>
        <v>1.325</v>
      </c>
      <c r="P23">
        <f>VLOOKUP(N23,Windows!$B$4:$D$84,3,FALSE)/1000</f>
        <v>1.67</v>
      </c>
      <c r="Q23">
        <f t="shared" si="5"/>
        <v>2.2127499999999998</v>
      </c>
      <c r="R23" t="str">
        <f>IF(M23&gt;=2,INDEX(Windows!$B$4:$B$84,MATCH(N23,Windows!$B$4:$B$84,0)+1),0)</f>
        <v>IUA10-o+OTL3-v</v>
      </c>
      <c r="S23">
        <f>VLOOKUP(R23,Windows!$B$4:$D$84,2,FALSE)/1000</f>
        <v>1.2749999999999999</v>
      </c>
      <c r="T23">
        <f>VLOOKUP(R23,Windows!$B$4:$D$84,3,FALSE)/1000</f>
        <v>1.67</v>
      </c>
      <c r="U23">
        <f t="shared" si="6"/>
        <v>2.1292499999999999</v>
      </c>
      <c r="V23" t="str">
        <f>IF(M23&gt;=3,INDEX(Windows!$B$4:$B$84,MATCH(N23,Windows!$B$4:$B$84,0)+2),0)</f>
        <v>IUA21-v</v>
      </c>
      <c r="W23">
        <f>VLOOKUP(V23,Windows!$B$4:$D$84,2,FALSE)/1000</f>
        <v>2.12</v>
      </c>
      <c r="X23">
        <f>VLOOKUP(V23,Windows!$B$4:$D$84,3,FALSE)/1000</f>
        <v>1.67</v>
      </c>
      <c r="Y23">
        <f t="shared" si="7"/>
        <v>3.5404</v>
      </c>
      <c r="Z23">
        <f>IF(M23&gt;=4,INDEX(Windows!$B$4:$B$84,MATCH(N23,Windows!$B$4:$B$84,0)+3),0)</f>
        <v>0</v>
      </c>
      <c r="AA23" t="e">
        <f>VLOOKUP(Z23,Windows!$B$4:$D$84,2,FALSE)/1000</f>
        <v>#N/A</v>
      </c>
      <c r="AB23" t="e">
        <f>VLOOKUP(Z23,Windows!$B$4:$D$84,3,FALSE)/1000</f>
        <v>#N/A</v>
      </c>
      <c r="AC23">
        <f t="shared" si="8"/>
        <v>0</v>
      </c>
      <c r="AD23">
        <f t="shared" si="9"/>
        <v>42</v>
      </c>
      <c r="AE23">
        <f t="shared" si="15"/>
        <v>7.8823999999999996</v>
      </c>
      <c r="AG23">
        <f t="shared" si="10"/>
        <v>6.6</v>
      </c>
      <c r="AH23">
        <f>AG23*Konstanten!$B$4</f>
        <v>28.049999999999997</v>
      </c>
      <c r="AI23">
        <f t="shared" si="11"/>
        <v>20.167599999999997</v>
      </c>
      <c r="AJ23">
        <f t="shared" si="12"/>
        <v>14.600000000000001</v>
      </c>
      <c r="AK23">
        <f>AJ23*Konstanten!$B$3</f>
        <v>36.5</v>
      </c>
      <c r="AM23">
        <f t="shared" si="13"/>
        <v>0</v>
      </c>
      <c r="AN23">
        <f t="shared" si="14"/>
        <v>0</v>
      </c>
      <c r="AR23" s="8"/>
      <c r="BA23" s="4"/>
    </row>
    <row r="24" spans="1:53" x14ac:dyDescent="0.25">
      <c r="A24">
        <v>23</v>
      </c>
      <c r="B24">
        <v>3</v>
      </c>
      <c r="C24" t="s">
        <v>18</v>
      </c>
      <c r="D24" t="s">
        <v>270</v>
      </c>
      <c r="E24" t="s">
        <v>142</v>
      </c>
      <c r="F24">
        <v>5.6</v>
      </c>
      <c r="G24">
        <v>42</v>
      </c>
      <c r="H24">
        <f>44</f>
        <v>44</v>
      </c>
      <c r="I24" t="s">
        <v>201</v>
      </c>
      <c r="J24">
        <f>2*53+44</f>
        <v>150</v>
      </c>
      <c r="L24">
        <f>Konstanten!$B$3</f>
        <v>2.5</v>
      </c>
      <c r="M24">
        <f>COUNTIF(Windows!$A$4:$A$84,D24)</f>
        <v>0</v>
      </c>
      <c r="N24" t="e">
        <f>VLOOKUP(D24,Windows!$A$4:$D$84,2,FALSE)</f>
        <v>#N/A</v>
      </c>
      <c r="O24" t="e">
        <f>VLOOKUP(N24,Windows!$B$4:$D$84,2,FALSE)/1000</f>
        <v>#N/A</v>
      </c>
      <c r="P24" t="e">
        <f>VLOOKUP(N24,Windows!$B$4:$D$84,3,FALSE)/1000</f>
        <v>#N/A</v>
      </c>
      <c r="Q24">
        <f t="shared" si="5"/>
        <v>0</v>
      </c>
      <c r="R24">
        <f>IF(M24&gt;=2,INDEX(Windows!$B$4:$B$84,MATCH(N24,Windows!$B$4:$B$84,0)+1),0)</f>
        <v>0</v>
      </c>
      <c r="S24" t="e">
        <f>VLOOKUP(R24,Windows!$B$4:$D$84,2,FALSE)/1000</f>
        <v>#N/A</v>
      </c>
      <c r="T24" t="e">
        <f>VLOOKUP(R24,Windows!$B$4:$D$84,3,FALSE)/1000</f>
        <v>#N/A</v>
      </c>
      <c r="U24">
        <f t="shared" si="6"/>
        <v>0</v>
      </c>
      <c r="V24">
        <f>IF(M24&gt;=3,INDEX(Windows!$B$4:$B$84,MATCH(N24,Windows!$B$4:$B$84,0)+2),0)</f>
        <v>0</v>
      </c>
      <c r="W24" t="e">
        <f>VLOOKUP(V24,Windows!$B$4:$D$84,2,FALSE)/1000</f>
        <v>#N/A</v>
      </c>
      <c r="X24" t="e">
        <f>VLOOKUP(V24,Windows!$B$4:$D$84,3,FALSE)/1000</f>
        <v>#N/A</v>
      </c>
      <c r="Y24">
        <f t="shared" si="7"/>
        <v>0</v>
      </c>
      <c r="Z24">
        <f>IF(M24&gt;=4,INDEX(Windows!$B$4:$B$84,MATCH(N24,Windows!$B$4:$B$84,0)+3),0)</f>
        <v>0</v>
      </c>
      <c r="AA24" t="e">
        <f>VLOOKUP(Z24,Windows!$B$4:$D$84,2,FALSE)/1000</f>
        <v>#N/A</v>
      </c>
      <c r="AB24" t="e">
        <f>VLOOKUP(Z24,Windows!$B$4:$D$84,3,FALSE)/1000</f>
        <v>#N/A</v>
      </c>
      <c r="AC24">
        <f t="shared" si="8"/>
        <v>0</v>
      </c>
      <c r="AD24" t="str">
        <f t="shared" si="9"/>
        <v>N/A</v>
      </c>
      <c r="AE24">
        <f t="shared" si="15"/>
        <v>0</v>
      </c>
      <c r="AG24">
        <f t="shared" si="10"/>
        <v>2.2000000000000002</v>
      </c>
      <c r="AH24">
        <f>AG24*Konstanten!$B$4</f>
        <v>9.3500000000000014</v>
      </c>
      <c r="AI24">
        <f t="shared" si="11"/>
        <v>9.3500000000000014</v>
      </c>
      <c r="AJ24">
        <f t="shared" si="12"/>
        <v>7.5</v>
      </c>
      <c r="AK24">
        <f>AJ24*Konstanten!$B$3</f>
        <v>18.75</v>
      </c>
      <c r="AM24">
        <f t="shared" si="13"/>
        <v>0</v>
      </c>
      <c r="AN24">
        <f t="shared" si="14"/>
        <v>0</v>
      </c>
      <c r="AR24" s="8"/>
      <c r="BA24" s="4"/>
    </row>
    <row r="25" spans="1:53" x14ac:dyDescent="0.25">
      <c r="A25">
        <v>24</v>
      </c>
      <c r="B25">
        <v>3</v>
      </c>
      <c r="C25" t="s">
        <v>59</v>
      </c>
      <c r="D25" t="s">
        <v>143</v>
      </c>
      <c r="F25">
        <v>27</v>
      </c>
      <c r="G25">
        <v>42</v>
      </c>
      <c r="H25">
        <f>140</f>
        <v>140</v>
      </c>
      <c r="I25" t="s">
        <v>201</v>
      </c>
      <c r="J25">
        <f>80+140</f>
        <v>220</v>
      </c>
      <c r="L25">
        <f>Konstanten!$B$3</f>
        <v>2.5</v>
      </c>
      <c r="M25">
        <f>COUNTIF(Windows!$A$4:$A$84,D25)</f>
        <v>2</v>
      </c>
      <c r="N25" t="str">
        <f>VLOOKUP(D25,Windows!$A$4:$D$84,2,FALSE)</f>
        <v>IUA10,5-o+VTL3-</v>
      </c>
      <c r="O25">
        <f>VLOOKUP(N25,Windows!$B$4:$D$84,2,FALSE)/1000</f>
        <v>1.325</v>
      </c>
      <c r="P25">
        <f>VLOOKUP(N25,Windows!$B$4:$D$84,3,FALSE)/1000</f>
        <v>1.67</v>
      </c>
      <c r="Q25">
        <f t="shared" si="5"/>
        <v>2.2127499999999998</v>
      </c>
      <c r="R25" t="str">
        <f>IF(M25&gt;=2,INDEX(Windows!$B$4:$B$84,MATCH(N25,Windows!$B$4:$B$84,0)+1),0)</f>
        <v>IUA10-o+OTL3-v</v>
      </c>
      <c r="S25">
        <f>VLOOKUP(R25,Windows!$B$4:$D$84,2,FALSE)/1000</f>
        <v>1.2749999999999999</v>
      </c>
      <c r="T25">
        <f>VLOOKUP(R25,Windows!$B$4:$D$84,3,FALSE)/1000</f>
        <v>1.67</v>
      </c>
      <c r="U25">
        <f t="shared" si="6"/>
        <v>2.1292499999999999</v>
      </c>
      <c r="V25">
        <f>IF(M25&gt;=3,INDEX(Windows!$B$4:$B$84,MATCH(N25,Windows!$B$4:$B$84,0)+2),0)</f>
        <v>0</v>
      </c>
      <c r="W25" t="e">
        <f>VLOOKUP(V25,Windows!$B$4:$D$84,2,FALSE)/1000</f>
        <v>#N/A</v>
      </c>
      <c r="X25" t="e">
        <f>VLOOKUP(V25,Windows!$B$4:$D$84,3,FALSE)/1000</f>
        <v>#N/A</v>
      </c>
      <c r="Y25">
        <f t="shared" si="7"/>
        <v>0</v>
      </c>
      <c r="Z25">
        <f>IF(M25&gt;=4,INDEX(Windows!$B$4:$B$84,MATCH(N25,Windows!$B$4:$B$84,0)+3),0)</f>
        <v>0</v>
      </c>
      <c r="AA25" t="e">
        <f>VLOOKUP(Z25,Windows!$B$4:$D$84,2,FALSE)/1000</f>
        <v>#N/A</v>
      </c>
      <c r="AB25" t="e">
        <f>VLOOKUP(Z25,Windows!$B$4:$D$84,3,FALSE)/1000</f>
        <v>#N/A</v>
      </c>
      <c r="AC25">
        <f t="shared" si="8"/>
        <v>0</v>
      </c>
      <c r="AD25">
        <f t="shared" si="9"/>
        <v>42</v>
      </c>
      <c r="AE25">
        <f t="shared" si="15"/>
        <v>4.3419999999999996</v>
      </c>
      <c r="AG25">
        <f t="shared" si="10"/>
        <v>7</v>
      </c>
      <c r="AH25">
        <f>AG25*Konstanten!$B$4</f>
        <v>29.75</v>
      </c>
      <c r="AI25">
        <f t="shared" si="11"/>
        <v>25.408000000000001</v>
      </c>
      <c r="AJ25">
        <f t="shared" si="12"/>
        <v>11</v>
      </c>
      <c r="AK25">
        <f>AJ25*Konstanten!$B$3</f>
        <v>27.5</v>
      </c>
      <c r="AM25">
        <f t="shared" si="13"/>
        <v>0</v>
      </c>
      <c r="AN25">
        <f t="shared" si="14"/>
        <v>0</v>
      </c>
      <c r="AR25" s="8"/>
      <c r="BA25" s="4"/>
    </row>
    <row r="26" spans="1:53" x14ac:dyDescent="0.25">
      <c r="A26">
        <v>25</v>
      </c>
      <c r="B26">
        <v>3</v>
      </c>
      <c r="D26" t="s">
        <v>143</v>
      </c>
      <c r="F26">
        <v>0</v>
      </c>
      <c r="G26">
        <v>132</v>
      </c>
      <c r="H26">
        <v>80</v>
      </c>
      <c r="I26" t="s">
        <v>201</v>
      </c>
      <c r="J26">
        <v>0</v>
      </c>
      <c r="L26">
        <f>Konstanten!$B$3</f>
        <v>2.5</v>
      </c>
      <c r="M26">
        <f>COUNTIF(Windows!$A$4:$A$84,D26)</f>
        <v>2</v>
      </c>
      <c r="N26" t="str">
        <f>VLOOKUP(D26,Windows!$A$4:$D$84,2,FALSE)</f>
        <v>IUA10,5-o+VTL3-</v>
      </c>
      <c r="O26">
        <f>VLOOKUP(N26,Windows!$B$4:$D$84,2,FALSE)/1000</f>
        <v>1.325</v>
      </c>
      <c r="P26">
        <f>VLOOKUP(N26,Windows!$B$4:$D$84,3,FALSE)/1000</f>
        <v>1.67</v>
      </c>
      <c r="Q26">
        <f t="shared" si="5"/>
        <v>2.2127499999999998</v>
      </c>
      <c r="R26" t="str">
        <f>IF(M26&gt;=2,INDEX(Windows!$B$4:$B$84,MATCH(N26,Windows!$B$4:$B$84,0)+1),0)</f>
        <v>IUA10-o+OTL3-v</v>
      </c>
      <c r="S26">
        <f>VLOOKUP(R26,Windows!$B$4:$D$84,2,FALSE)/1000</f>
        <v>1.2749999999999999</v>
      </c>
      <c r="T26">
        <f>VLOOKUP(R26,Windows!$B$4:$D$84,3,FALSE)/1000</f>
        <v>1.67</v>
      </c>
      <c r="U26">
        <f t="shared" si="6"/>
        <v>2.1292499999999999</v>
      </c>
      <c r="V26">
        <f>IF(M26&gt;=3,INDEX(Windows!$B$4:$B$84,MATCH(N26,Windows!$B$4:$B$84,0)+2),0)</f>
        <v>0</v>
      </c>
      <c r="W26" t="e">
        <f>VLOOKUP(V26,Windows!$B$4:$D$84,2,FALSE)/1000</f>
        <v>#N/A</v>
      </c>
      <c r="X26" t="e">
        <f>VLOOKUP(V26,Windows!$B$4:$D$84,3,FALSE)/1000</f>
        <v>#N/A</v>
      </c>
      <c r="Y26">
        <f t="shared" si="7"/>
        <v>0</v>
      </c>
      <c r="Z26">
        <f>IF(M26&gt;=4,INDEX(Windows!$B$4:$B$84,MATCH(N26,Windows!$B$4:$B$84,0)+3),0)</f>
        <v>0</v>
      </c>
      <c r="AA26" t="e">
        <f>VLOOKUP(Z26,Windows!$B$4:$D$84,2,FALSE)/1000</f>
        <v>#N/A</v>
      </c>
      <c r="AB26" t="e">
        <f>VLOOKUP(Z26,Windows!$B$4:$D$84,3,FALSE)/1000</f>
        <v>#N/A</v>
      </c>
      <c r="AC26">
        <f t="shared" si="8"/>
        <v>0</v>
      </c>
      <c r="AD26">
        <f t="shared" si="9"/>
        <v>132</v>
      </c>
      <c r="AE26">
        <f t="shared" si="15"/>
        <v>4.3419999999999996</v>
      </c>
      <c r="AG26">
        <f t="shared" si="10"/>
        <v>4</v>
      </c>
      <c r="AH26">
        <f>AG26*Konstanten!$B$4</f>
        <v>17</v>
      </c>
      <c r="AI26">
        <f t="shared" si="11"/>
        <v>12.658000000000001</v>
      </c>
      <c r="AJ26">
        <f t="shared" si="12"/>
        <v>0</v>
      </c>
      <c r="AK26">
        <f>AJ26*Konstanten!$B$3</f>
        <v>0</v>
      </c>
      <c r="AM26">
        <f t="shared" si="13"/>
        <v>0</v>
      </c>
      <c r="AN26">
        <f t="shared" si="14"/>
        <v>0</v>
      </c>
      <c r="AR26" s="8"/>
      <c r="BA26" s="4"/>
    </row>
    <row r="27" spans="1:53" x14ac:dyDescent="0.25">
      <c r="A27">
        <v>26</v>
      </c>
      <c r="B27">
        <v>3</v>
      </c>
      <c r="C27" t="s">
        <v>18</v>
      </c>
      <c r="D27" t="s">
        <v>271</v>
      </c>
      <c r="E27" t="s">
        <v>143</v>
      </c>
      <c r="F27">
        <v>5.3</v>
      </c>
      <c r="G27">
        <v>132</v>
      </c>
      <c r="H27">
        <v>44</v>
      </c>
      <c r="I27" t="s">
        <v>201</v>
      </c>
      <c r="J27">
        <f>2*52+44</f>
        <v>148</v>
      </c>
      <c r="L27">
        <f>Konstanten!$B$3</f>
        <v>2.5</v>
      </c>
      <c r="M27">
        <f>COUNTIF(Windows!$A$4:$A$84,D27)</f>
        <v>0</v>
      </c>
      <c r="N27" t="e">
        <f>VLOOKUP(D27,Windows!$A$4:$D$84,2,FALSE)</f>
        <v>#N/A</v>
      </c>
      <c r="O27" t="e">
        <f>VLOOKUP(N27,Windows!$B$4:$D$84,2,FALSE)/1000</f>
        <v>#N/A</v>
      </c>
      <c r="P27" t="e">
        <f>VLOOKUP(N27,Windows!$B$4:$D$84,3,FALSE)/1000</f>
        <v>#N/A</v>
      </c>
      <c r="Q27">
        <f t="shared" si="5"/>
        <v>0</v>
      </c>
      <c r="R27">
        <f>IF(M27&gt;=2,INDEX(Windows!$B$4:$B$84,MATCH(N27,Windows!$B$4:$B$84,0)+1),0)</f>
        <v>0</v>
      </c>
      <c r="S27" t="e">
        <f>VLOOKUP(R27,Windows!$B$4:$D$84,2,FALSE)/1000</f>
        <v>#N/A</v>
      </c>
      <c r="T27" t="e">
        <f>VLOOKUP(R27,Windows!$B$4:$D$84,3,FALSE)/1000</f>
        <v>#N/A</v>
      </c>
      <c r="U27">
        <f t="shared" si="6"/>
        <v>0</v>
      </c>
      <c r="V27">
        <f>IF(M27&gt;=3,INDEX(Windows!$B$4:$B$84,MATCH(N27,Windows!$B$4:$B$84,0)+2),0)</f>
        <v>0</v>
      </c>
      <c r="W27" t="e">
        <f>VLOOKUP(V27,Windows!$B$4:$D$84,2,FALSE)/1000</f>
        <v>#N/A</v>
      </c>
      <c r="X27" t="e">
        <f>VLOOKUP(V27,Windows!$B$4:$D$84,3,FALSE)/1000</f>
        <v>#N/A</v>
      </c>
      <c r="Y27">
        <f t="shared" si="7"/>
        <v>0</v>
      </c>
      <c r="Z27">
        <f>IF(M27&gt;=4,INDEX(Windows!$B$4:$B$84,MATCH(N27,Windows!$B$4:$B$84,0)+3),0)</f>
        <v>0</v>
      </c>
      <c r="AA27" t="e">
        <f>VLOOKUP(Z27,Windows!$B$4:$D$84,2,FALSE)/1000</f>
        <v>#N/A</v>
      </c>
      <c r="AB27" t="e">
        <f>VLOOKUP(Z27,Windows!$B$4:$D$84,3,FALSE)/1000</f>
        <v>#N/A</v>
      </c>
      <c r="AC27">
        <f t="shared" si="8"/>
        <v>0</v>
      </c>
      <c r="AD27" t="str">
        <f t="shared" si="9"/>
        <v>N/A</v>
      </c>
      <c r="AE27">
        <f t="shared" si="15"/>
        <v>0</v>
      </c>
      <c r="AG27">
        <f t="shared" si="10"/>
        <v>2.2000000000000002</v>
      </c>
      <c r="AH27">
        <f>AG27*Konstanten!$B$4</f>
        <v>9.3500000000000014</v>
      </c>
      <c r="AI27">
        <f t="shared" si="11"/>
        <v>9.3500000000000014</v>
      </c>
      <c r="AJ27">
        <f t="shared" si="12"/>
        <v>7.4</v>
      </c>
      <c r="AK27">
        <f>AJ27*Konstanten!$B$3</f>
        <v>18.5</v>
      </c>
      <c r="AM27">
        <f t="shared" si="13"/>
        <v>0</v>
      </c>
      <c r="AN27">
        <f t="shared" si="14"/>
        <v>0</v>
      </c>
      <c r="AR27" s="8"/>
      <c r="BA27" s="4"/>
    </row>
    <row r="28" spans="1:53" x14ac:dyDescent="0.25">
      <c r="A28">
        <v>27</v>
      </c>
      <c r="B28">
        <v>3</v>
      </c>
      <c r="C28" t="s">
        <v>15</v>
      </c>
      <c r="D28" t="s">
        <v>272</v>
      </c>
      <c r="F28">
        <v>4.4000000000000004</v>
      </c>
      <c r="G28">
        <v>222</v>
      </c>
      <c r="H28">
        <v>33</v>
      </c>
      <c r="I28" t="s">
        <v>201</v>
      </c>
      <c r="J28">
        <f>39+32+9+60</f>
        <v>140</v>
      </c>
      <c r="L28">
        <f>Konstanten!$B$3</f>
        <v>2.5</v>
      </c>
      <c r="M28">
        <f>COUNTIF(Windows!$A$4:$A$84,D28)</f>
        <v>0</v>
      </c>
      <c r="N28" t="e">
        <f>VLOOKUP(D28,Windows!$A$4:$D$84,2,FALSE)</f>
        <v>#N/A</v>
      </c>
      <c r="O28" t="e">
        <f>VLOOKUP(N28,Windows!$B$4:$D$84,2,FALSE)/1000</f>
        <v>#N/A</v>
      </c>
      <c r="P28" t="e">
        <f>VLOOKUP(N28,Windows!$B$4:$D$84,3,FALSE)/1000</f>
        <v>#N/A</v>
      </c>
      <c r="Q28">
        <f t="shared" si="5"/>
        <v>0</v>
      </c>
      <c r="R28">
        <f>IF(M28&gt;=2,INDEX(Windows!$B$4:$B$84,MATCH(N28,Windows!$B$4:$B$84,0)+1),0)</f>
        <v>0</v>
      </c>
      <c r="S28" t="e">
        <f>VLOOKUP(R28,Windows!$B$4:$D$84,2,FALSE)/1000</f>
        <v>#N/A</v>
      </c>
      <c r="T28" t="e">
        <f>VLOOKUP(R28,Windows!$B$4:$D$84,3,FALSE)/1000</f>
        <v>#N/A</v>
      </c>
      <c r="U28">
        <f t="shared" si="6"/>
        <v>0</v>
      </c>
      <c r="V28">
        <f>IF(M28&gt;=3,INDEX(Windows!$B$4:$B$84,MATCH(N28,Windows!$B$4:$B$84,0)+2),0)</f>
        <v>0</v>
      </c>
      <c r="W28" t="e">
        <f>VLOOKUP(V28,Windows!$B$4:$D$84,2,FALSE)/1000</f>
        <v>#N/A</v>
      </c>
      <c r="X28" t="e">
        <f>VLOOKUP(V28,Windows!$B$4:$D$84,3,FALSE)/1000</f>
        <v>#N/A</v>
      </c>
      <c r="Y28">
        <f t="shared" si="7"/>
        <v>0</v>
      </c>
      <c r="Z28">
        <f>IF(M28&gt;=4,INDEX(Windows!$B$4:$B$84,MATCH(N28,Windows!$B$4:$B$84,0)+3),0)</f>
        <v>0</v>
      </c>
      <c r="AA28" t="e">
        <f>VLOOKUP(Z28,Windows!$B$4:$D$84,2,FALSE)/1000</f>
        <v>#N/A</v>
      </c>
      <c r="AB28" t="e">
        <f>VLOOKUP(Z28,Windows!$B$4:$D$84,3,FALSE)/1000</f>
        <v>#N/A</v>
      </c>
      <c r="AC28">
        <f t="shared" si="8"/>
        <v>0</v>
      </c>
      <c r="AD28" t="str">
        <f t="shared" si="9"/>
        <v>N/A</v>
      </c>
      <c r="AE28">
        <f t="shared" si="15"/>
        <v>0</v>
      </c>
      <c r="AG28">
        <f t="shared" si="10"/>
        <v>1.65</v>
      </c>
      <c r="AH28">
        <f>AG28*Konstanten!$B$4</f>
        <v>7.0124999999999993</v>
      </c>
      <c r="AI28">
        <f t="shared" si="11"/>
        <v>7.0124999999999993</v>
      </c>
      <c r="AJ28">
        <f t="shared" si="12"/>
        <v>7</v>
      </c>
      <c r="AK28">
        <f>AJ28*Konstanten!$B$3</f>
        <v>17.5</v>
      </c>
      <c r="AM28">
        <f t="shared" si="13"/>
        <v>0</v>
      </c>
      <c r="AN28">
        <f t="shared" si="14"/>
        <v>0</v>
      </c>
      <c r="AR28" s="8"/>
      <c r="BA28" s="4"/>
    </row>
    <row r="29" spans="1:53" x14ac:dyDescent="0.25">
      <c r="A29">
        <v>28</v>
      </c>
      <c r="B29">
        <v>3</v>
      </c>
      <c r="C29" t="s">
        <v>273</v>
      </c>
      <c r="D29" t="s">
        <v>275</v>
      </c>
      <c r="F29">
        <v>4</v>
      </c>
      <c r="G29">
        <v>222</v>
      </c>
      <c r="H29">
        <v>55</v>
      </c>
      <c r="I29" t="s">
        <v>201</v>
      </c>
      <c r="J29">
        <f>48+23+37</f>
        <v>108</v>
      </c>
      <c r="L29">
        <f>Konstanten!$B$3</f>
        <v>2.5</v>
      </c>
      <c r="M29">
        <f>COUNTIF(Windows!$A$4:$A$84,D29)</f>
        <v>0</v>
      </c>
      <c r="N29" t="e">
        <f>VLOOKUP(D29,Windows!$A$4:$D$84,2,FALSE)</f>
        <v>#N/A</v>
      </c>
      <c r="O29" t="e">
        <f>VLOOKUP(N29,Windows!$B$4:$D$84,2,FALSE)/1000</f>
        <v>#N/A</v>
      </c>
      <c r="P29" t="e">
        <f>VLOOKUP(N29,Windows!$B$4:$D$84,3,FALSE)/1000</f>
        <v>#N/A</v>
      </c>
      <c r="Q29">
        <f t="shared" si="5"/>
        <v>0</v>
      </c>
      <c r="R29">
        <f>IF(M29&gt;=2,INDEX(Windows!$B$4:$B$84,MATCH(N29,Windows!$B$4:$B$84,0)+1),0)</f>
        <v>0</v>
      </c>
      <c r="S29" t="e">
        <f>VLOOKUP(R29,Windows!$B$4:$D$84,2,FALSE)/1000</f>
        <v>#N/A</v>
      </c>
      <c r="T29" t="e">
        <f>VLOOKUP(R29,Windows!$B$4:$D$84,3,FALSE)/1000</f>
        <v>#N/A</v>
      </c>
      <c r="U29">
        <f t="shared" si="6"/>
        <v>0</v>
      </c>
      <c r="V29">
        <f>IF(M29&gt;=3,INDEX(Windows!$B$4:$B$84,MATCH(N29,Windows!$B$4:$B$84,0)+2),0)</f>
        <v>0</v>
      </c>
      <c r="W29" t="e">
        <f>VLOOKUP(V29,Windows!$B$4:$D$84,2,FALSE)/1000</f>
        <v>#N/A</v>
      </c>
      <c r="X29" t="e">
        <f>VLOOKUP(V29,Windows!$B$4:$D$84,3,FALSE)/1000</f>
        <v>#N/A</v>
      </c>
      <c r="Y29">
        <f t="shared" si="7"/>
        <v>0</v>
      </c>
      <c r="Z29">
        <f>IF(M29&gt;=4,INDEX(Windows!$B$4:$B$84,MATCH(N29,Windows!$B$4:$B$84,0)+3),0)</f>
        <v>0</v>
      </c>
      <c r="AA29" t="e">
        <f>VLOOKUP(Z29,Windows!$B$4:$D$84,2,FALSE)/1000</f>
        <v>#N/A</v>
      </c>
      <c r="AB29" t="e">
        <f>VLOOKUP(Z29,Windows!$B$4:$D$84,3,FALSE)/1000</f>
        <v>#N/A</v>
      </c>
      <c r="AC29">
        <f t="shared" si="8"/>
        <v>0</v>
      </c>
      <c r="AD29" t="str">
        <f t="shared" si="9"/>
        <v>N/A</v>
      </c>
      <c r="AE29">
        <f t="shared" si="15"/>
        <v>0</v>
      </c>
      <c r="AG29">
        <f t="shared" si="10"/>
        <v>2.75</v>
      </c>
      <c r="AH29">
        <f>AG29*Konstanten!$B$4</f>
        <v>11.6875</v>
      </c>
      <c r="AI29">
        <f t="shared" si="11"/>
        <v>11.6875</v>
      </c>
      <c r="AJ29">
        <f t="shared" si="12"/>
        <v>5.4</v>
      </c>
      <c r="AK29">
        <f>AJ29*Konstanten!$B$3</f>
        <v>13.5</v>
      </c>
      <c r="AM29">
        <f t="shared" si="13"/>
        <v>0</v>
      </c>
      <c r="AN29">
        <f t="shared" si="14"/>
        <v>0</v>
      </c>
      <c r="AR29" s="8"/>
      <c r="BA29" s="4"/>
    </row>
    <row r="30" spans="1:53" x14ac:dyDescent="0.25">
      <c r="A30">
        <v>29</v>
      </c>
      <c r="B30">
        <v>3</v>
      </c>
      <c r="C30" t="s">
        <v>59</v>
      </c>
      <c r="D30" t="s">
        <v>116</v>
      </c>
      <c r="F30">
        <v>31.8</v>
      </c>
      <c r="G30">
        <v>180</v>
      </c>
      <c r="H30">
        <f>88</f>
        <v>88</v>
      </c>
      <c r="I30" t="s">
        <v>201</v>
      </c>
      <c r="J30">
        <f>2*143+88</f>
        <v>374</v>
      </c>
      <c r="L30">
        <f>Konstanten!$B$3</f>
        <v>2.5</v>
      </c>
      <c r="M30">
        <f>COUNTIF(Windows!$A$4:$A$84,D30)</f>
        <v>0</v>
      </c>
      <c r="N30" t="e">
        <f>VLOOKUP(D30,Windows!$A$4:$D$84,2,FALSE)</f>
        <v>#N/A</v>
      </c>
      <c r="O30" t="e">
        <f>VLOOKUP(N30,Windows!$B$4:$D$84,2,FALSE)/1000</f>
        <v>#N/A</v>
      </c>
      <c r="P30" t="e">
        <f>VLOOKUP(N30,Windows!$B$4:$D$84,3,FALSE)/1000</f>
        <v>#N/A</v>
      </c>
      <c r="Q30">
        <f t="shared" si="5"/>
        <v>0</v>
      </c>
      <c r="R30">
        <f>IF(M30&gt;=2,INDEX(Windows!$B$4:$B$84,MATCH(N30,Windows!$B$4:$B$84,0)+1),0)</f>
        <v>0</v>
      </c>
      <c r="S30" t="e">
        <f>VLOOKUP(R30,Windows!$B$4:$D$84,2,FALSE)/1000</f>
        <v>#N/A</v>
      </c>
      <c r="T30" t="e">
        <f>VLOOKUP(R30,Windows!$B$4:$D$84,3,FALSE)/1000</f>
        <v>#N/A</v>
      </c>
      <c r="U30">
        <f t="shared" si="6"/>
        <v>0</v>
      </c>
      <c r="V30">
        <f>IF(M30&gt;=3,INDEX(Windows!$B$4:$B$84,MATCH(N30,Windows!$B$4:$B$84,0)+2),0)</f>
        <v>0</v>
      </c>
      <c r="W30" t="e">
        <f>VLOOKUP(V30,Windows!$B$4:$D$84,2,FALSE)/1000</f>
        <v>#N/A</v>
      </c>
      <c r="X30" t="e">
        <f>VLOOKUP(V30,Windows!$B$4:$D$84,3,FALSE)/1000</f>
        <v>#N/A</v>
      </c>
      <c r="Y30">
        <f t="shared" si="7"/>
        <v>0</v>
      </c>
      <c r="Z30">
        <f>IF(M30&gt;=4,INDEX(Windows!$B$4:$B$84,MATCH(N30,Windows!$B$4:$B$84,0)+3),0)</f>
        <v>0</v>
      </c>
      <c r="AA30" t="e">
        <f>VLOOKUP(Z30,Windows!$B$4:$D$84,2,FALSE)/1000</f>
        <v>#N/A</v>
      </c>
      <c r="AB30" t="e">
        <f>VLOOKUP(Z30,Windows!$B$4:$D$84,3,FALSE)/1000</f>
        <v>#N/A</v>
      </c>
      <c r="AC30">
        <f t="shared" si="8"/>
        <v>0</v>
      </c>
      <c r="AD30" t="str">
        <f t="shared" si="9"/>
        <v>N/A</v>
      </c>
      <c r="AE30">
        <f t="shared" si="15"/>
        <v>0</v>
      </c>
      <c r="AG30">
        <f t="shared" si="10"/>
        <v>4.4000000000000004</v>
      </c>
      <c r="AH30">
        <f>AG30*Konstanten!$B$4</f>
        <v>18.700000000000003</v>
      </c>
      <c r="AI30">
        <f t="shared" si="11"/>
        <v>18.700000000000003</v>
      </c>
      <c r="AJ30">
        <f t="shared" si="12"/>
        <v>18.7</v>
      </c>
      <c r="AK30">
        <f>AJ30*Konstanten!$B$3</f>
        <v>46.75</v>
      </c>
      <c r="AM30">
        <f t="shared" si="13"/>
        <v>0</v>
      </c>
      <c r="AN30">
        <f t="shared" si="14"/>
        <v>0</v>
      </c>
      <c r="AR30" s="8"/>
      <c r="BA30" s="4"/>
    </row>
    <row r="31" spans="1:53" x14ac:dyDescent="0.25">
      <c r="A31">
        <v>30</v>
      </c>
      <c r="B31">
        <v>3</v>
      </c>
      <c r="C31" t="s">
        <v>15</v>
      </c>
      <c r="D31" t="s">
        <v>276</v>
      </c>
      <c r="E31" t="s">
        <v>116</v>
      </c>
      <c r="F31">
        <v>5.6</v>
      </c>
      <c r="G31">
        <v>180</v>
      </c>
      <c r="H31">
        <v>43</v>
      </c>
      <c r="I31" t="s">
        <v>201</v>
      </c>
      <c r="J31">
        <f>2*52+43</f>
        <v>147</v>
      </c>
      <c r="L31">
        <f>Konstanten!$B$3</f>
        <v>2.5</v>
      </c>
      <c r="M31">
        <f>COUNTIF(Windows!$A$4:$A$84,D31)</f>
        <v>0</v>
      </c>
      <c r="N31" t="e">
        <f>VLOOKUP(D31,Windows!$A$4:$D$84,2,FALSE)</f>
        <v>#N/A</v>
      </c>
      <c r="O31" t="e">
        <f>VLOOKUP(N31,Windows!$B$4:$D$84,2,FALSE)/1000</f>
        <v>#N/A</v>
      </c>
      <c r="P31" t="e">
        <f>VLOOKUP(N31,Windows!$B$4:$D$84,3,FALSE)/1000</f>
        <v>#N/A</v>
      </c>
      <c r="Q31">
        <f t="shared" si="5"/>
        <v>0</v>
      </c>
      <c r="R31">
        <f>IF(M31&gt;=2,INDEX(Windows!$B$4:$B$84,MATCH(N31,Windows!$B$4:$B$84,0)+1),0)</f>
        <v>0</v>
      </c>
      <c r="S31" t="e">
        <f>VLOOKUP(R31,Windows!$B$4:$D$84,2,FALSE)/1000</f>
        <v>#N/A</v>
      </c>
      <c r="T31" t="e">
        <f>VLOOKUP(R31,Windows!$B$4:$D$84,3,FALSE)/1000</f>
        <v>#N/A</v>
      </c>
      <c r="U31">
        <f t="shared" si="6"/>
        <v>0</v>
      </c>
      <c r="V31">
        <f>IF(M31&gt;=3,INDEX(Windows!$B$4:$B$84,MATCH(N31,Windows!$B$4:$B$84,0)+2),0)</f>
        <v>0</v>
      </c>
      <c r="W31" t="e">
        <f>VLOOKUP(V31,Windows!$B$4:$D$84,2,FALSE)/1000</f>
        <v>#N/A</v>
      </c>
      <c r="X31" t="e">
        <f>VLOOKUP(V31,Windows!$B$4:$D$84,3,FALSE)/1000</f>
        <v>#N/A</v>
      </c>
      <c r="Y31">
        <f t="shared" si="7"/>
        <v>0</v>
      </c>
      <c r="Z31">
        <f>IF(M31&gt;=4,INDEX(Windows!$B$4:$B$84,MATCH(N31,Windows!$B$4:$B$84,0)+3),0)</f>
        <v>0</v>
      </c>
      <c r="AA31" t="e">
        <f>VLOOKUP(Z31,Windows!$B$4:$D$84,2,FALSE)/1000</f>
        <v>#N/A</v>
      </c>
      <c r="AB31" t="e">
        <f>VLOOKUP(Z31,Windows!$B$4:$D$84,3,FALSE)/1000</f>
        <v>#N/A</v>
      </c>
      <c r="AC31">
        <f t="shared" si="8"/>
        <v>0</v>
      </c>
      <c r="AD31" t="str">
        <f t="shared" si="9"/>
        <v>N/A</v>
      </c>
      <c r="AE31">
        <f t="shared" si="15"/>
        <v>0</v>
      </c>
      <c r="AG31">
        <f t="shared" si="10"/>
        <v>2.15</v>
      </c>
      <c r="AH31">
        <f>AG31*Konstanten!$B$4</f>
        <v>9.1374999999999993</v>
      </c>
      <c r="AI31">
        <f t="shared" si="11"/>
        <v>9.1374999999999993</v>
      </c>
      <c r="AJ31">
        <f t="shared" si="12"/>
        <v>7.3500000000000005</v>
      </c>
      <c r="AK31">
        <f>AJ31*Konstanten!$B$3</f>
        <v>18.375</v>
      </c>
      <c r="AM31">
        <f t="shared" si="13"/>
        <v>0</v>
      </c>
      <c r="AN31">
        <f t="shared" si="14"/>
        <v>0</v>
      </c>
      <c r="AR31" s="8"/>
      <c r="BA31" s="4"/>
    </row>
    <row r="32" spans="1:53" x14ac:dyDescent="0.25">
      <c r="A32">
        <v>31</v>
      </c>
      <c r="B32">
        <v>3</v>
      </c>
      <c r="C32" t="s">
        <v>23</v>
      </c>
      <c r="D32" t="s">
        <v>136</v>
      </c>
      <c r="F32">
        <v>15.7</v>
      </c>
      <c r="G32">
        <v>180</v>
      </c>
      <c r="H32">
        <v>82</v>
      </c>
      <c r="I32" t="s">
        <v>201</v>
      </c>
      <c r="J32">
        <f>82+2*75</f>
        <v>232</v>
      </c>
      <c r="L32">
        <f>Konstanten!$B$3</f>
        <v>2.5</v>
      </c>
      <c r="M32">
        <f>COUNTIF(Windows!$A$4:$A$84,D32)</f>
        <v>0</v>
      </c>
      <c r="N32" t="e">
        <f>VLOOKUP(D32,Windows!$A$4:$D$84,2,FALSE)</f>
        <v>#N/A</v>
      </c>
      <c r="O32" t="e">
        <f>VLOOKUP(N32,Windows!$B$4:$D$84,2,FALSE)/1000</f>
        <v>#N/A</v>
      </c>
      <c r="P32" t="e">
        <f>VLOOKUP(N32,Windows!$B$4:$D$84,3,FALSE)/1000</f>
        <v>#N/A</v>
      </c>
      <c r="Q32">
        <f t="shared" si="5"/>
        <v>0</v>
      </c>
      <c r="R32">
        <f>IF(M32&gt;=2,INDEX(Windows!$B$4:$B$84,MATCH(N32,Windows!$B$4:$B$84,0)+1),0)</f>
        <v>0</v>
      </c>
      <c r="S32" t="e">
        <f>VLOOKUP(R32,Windows!$B$4:$D$84,2,FALSE)/1000</f>
        <v>#N/A</v>
      </c>
      <c r="T32" t="e">
        <f>VLOOKUP(R32,Windows!$B$4:$D$84,3,FALSE)/1000</f>
        <v>#N/A</v>
      </c>
      <c r="U32">
        <f t="shared" si="6"/>
        <v>0</v>
      </c>
      <c r="V32">
        <f>IF(M32&gt;=3,INDEX(Windows!$B$4:$B$84,MATCH(N32,Windows!$B$4:$B$84,0)+2),0)</f>
        <v>0</v>
      </c>
      <c r="W32" t="e">
        <f>VLOOKUP(V32,Windows!$B$4:$D$84,2,FALSE)/1000</f>
        <v>#N/A</v>
      </c>
      <c r="X32" t="e">
        <f>VLOOKUP(V32,Windows!$B$4:$D$84,3,FALSE)/1000</f>
        <v>#N/A</v>
      </c>
      <c r="Y32">
        <f t="shared" si="7"/>
        <v>0</v>
      </c>
      <c r="Z32">
        <f>IF(M32&gt;=4,INDEX(Windows!$B$4:$B$84,MATCH(N32,Windows!$B$4:$B$84,0)+3),0)</f>
        <v>0</v>
      </c>
      <c r="AA32" t="e">
        <f>VLOOKUP(Z32,Windows!$B$4:$D$84,2,FALSE)/1000</f>
        <v>#N/A</v>
      </c>
      <c r="AB32" t="e">
        <f>VLOOKUP(Z32,Windows!$B$4:$D$84,3,FALSE)/1000</f>
        <v>#N/A</v>
      </c>
      <c r="AC32">
        <f t="shared" si="8"/>
        <v>0</v>
      </c>
      <c r="AD32" t="str">
        <f t="shared" si="9"/>
        <v>N/A</v>
      </c>
      <c r="AE32">
        <f t="shared" si="15"/>
        <v>0</v>
      </c>
      <c r="AG32">
        <f t="shared" si="10"/>
        <v>4.0999999999999996</v>
      </c>
      <c r="AH32">
        <f>AG32*Konstanten!$B$4</f>
        <v>17.424999999999997</v>
      </c>
      <c r="AI32">
        <f t="shared" si="11"/>
        <v>17.424999999999997</v>
      </c>
      <c r="AJ32">
        <f t="shared" si="12"/>
        <v>11.600000000000001</v>
      </c>
      <c r="AK32">
        <f>AJ32*Konstanten!$B$3</f>
        <v>29.000000000000004</v>
      </c>
      <c r="AM32">
        <f t="shared" si="13"/>
        <v>0</v>
      </c>
      <c r="AN32">
        <f t="shared" si="14"/>
        <v>0</v>
      </c>
      <c r="AR32" s="8"/>
      <c r="BA32" s="4"/>
    </row>
    <row r="33" spans="1:53" x14ac:dyDescent="0.25">
      <c r="A33">
        <v>32</v>
      </c>
      <c r="B33">
        <v>3</v>
      </c>
      <c r="C33" t="s">
        <v>23</v>
      </c>
      <c r="D33" t="s">
        <v>277</v>
      </c>
      <c r="F33">
        <v>13.3</v>
      </c>
      <c r="G33" t="s">
        <v>202</v>
      </c>
      <c r="H33">
        <v>0</v>
      </c>
      <c r="J33">
        <f>2*(82+66)</f>
        <v>296</v>
      </c>
      <c r="L33">
        <f>Konstanten!$B$3</f>
        <v>2.5</v>
      </c>
      <c r="M33">
        <f>COUNTIF(Windows!$A$4:$A$84,D33)</f>
        <v>0</v>
      </c>
      <c r="N33" t="e">
        <f>VLOOKUP(D33,Windows!$A$4:$D$84,2,FALSE)</f>
        <v>#N/A</v>
      </c>
      <c r="O33" t="e">
        <f>VLOOKUP(N33,Windows!$B$4:$D$84,2,FALSE)/1000</f>
        <v>#N/A</v>
      </c>
      <c r="P33" t="e">
        <f>VLOOKUP(N33,Windows!$B$4:$D$84,3,FALSE)/1000</f>
        <v>#N/A</v>
      </c>
      <c r="Q33">
        <f t="shared" si="5"/>
        <v>0</v>
      </c>
      <c r="R33">
        <f>IF(M33&gt;=2,INDEX(Windows!$B$4:$B$84,MATCH(N33,Windows!$B$4:$B$84,0)+1),0)</f>
        <v>0</v>
      </c>
      <c r="S33" t="e">
        <f>VLOOKUP(R33,Windows!$B$4:$D$84,2,FALSE)/1000</f>
        <v>#N/A</v>
      </c>
      <c r="T33" t="e">
        <f>VLOOKUP(R33,Windows!$B$4:$D$84,3,FALSE)/1000</f>
        <v>#N/A</v>
      </c>
      <c r="U33">
        <f t="shared" si="6"/>
        <v>0</v>
      </c>
      <c r="V33">
        <f>IF(M33&gt;=3,INDEX(Windows!$B$4:$B$84,MATCH(N33,Windows!$B$4:$B$84,0)+2),0)</f>
        <v>0</v>
      </c>
      <c r="W33" t="e">
        <f>VLOOKUP(V33,Windows!$B$4:$D$84,2,FALSE)/1000</f>
        <v>#N/A</v>
      </c>
      <c r="X33" t="e">
        <f>VLOOKUP(V33,Windows!$B$4:$D$84,3,FALSE)/1000</f>
        <v>#N/A</v>
      </c>
      <c r="Y33">
        <f t="shared" si="7"/>
        <v>0</v>
      </c>
      <c r="Z33">
        <f>IF(M33&gt;=4,INDEX(Windows!$B$4:$B$84,MATCH(N33,Windows!$B$4:$B$84,0)+3),0)</f>
        <v>0</v>
      </c>
      <c r="AA33" t="e">
        <f>VLOOKUP(Z33,Windows!$B$4:$D$84,2,FALSE)/1000</f>
        <v>#N/A</v>
      </c>
      <c r="AB33" t="e">
        <f>VLOOKUP(Z33,Windows!$B$4:$D$84,3,FALSE)/1000</f>
        <v>#N/A</v>
      </c>
      <c r="AC33">
        <f t="shared" si="8"/>
        <v>0</v>
      </c>
      <c r="AD33" t="str">
        <f t="shared" si="9"/>
        <v>N/A</v>
      </c>
      <c r="AE33">
        <f t="shared" si="15"/>
        <v>0</v>
      </c>
      <c r="AG33">
        <f t="shared" si="10"/>
        <v>0</v>
      </c>
      <c r="AH33">
        <f>AG33*Konstanten!$B$4</f>
        <v>0</v>
      </c>
      <c r="AI33">
        <f t="shared" si="11"/>
        <v>0</v>
      </c>
      <c r="AJ33">
        <f t="shared" si="12"/>
        <v>14.8</v>
      </c>
      <c r="AK33">
        <f>AJ33*Konstanten!$B$3</f>
        <v>37</v>
      </c>
      <c r="AM33">
        <f t="shared" si="13"/>
        <v>0</v>
      </c>
      <c r="AN33">
        <f t="shared" si="14"/>
        <v>0</v>
      </c>
      <c r="AR33" s="8"/>
      <c r="BA33" s="4"/>
    </row>
    <row r="34" spans="1:53" x14ac:dyDescent="0.25">
      <c r="A34">
        <v>33</v>
      </c>
      <c r="B34">
        <v>3</v>
      </c>
      <c r="C34" t="s">
        <v>52</v>
      </c>
      <c r="D34" t="s">
        <v>278</v>
      </c>
      <c r="F34">
        <v>9</v>
      </c>
      <c r="G34" t="s">
        <v>202</v>
      </c>
      <c r="H34">
        <v>0</v>
      </c>
      <c r="J34">
        <f>2*(54+66)</f>
        <v>240</v>
      </c>
      <c r="L34">
        <f>Konstanten!$B$3</f>
        <v>2.5</v>
      </c>
      <c r="M34">
        <f>COUNTIF(Windows!$A$4:$A$84,D34)</f>
        <v>0</v>
      </c>
      <c r="N34" t="e">
        <f>VLOOKUP(D34,Windows!$A$4:$D$84,2,FALSE)</f>
        <v>#N/A</v>
      </c>
      <c r="O34" t="e">
        <f>VLOOKUP(N34,Windows!$B$4:$D$84,2,FALSE)/1000</f>
        <v>#N/A</v>
      </c>
      <c r="P34" t="e">
        <f>VLOOKUP(N34,Windows!$B$4:$D$84,3,FALSE)/1000</f>
        <v>#N/A</v>
      </c>
      <c r="Q34">
        <f t="shared" si="5"/>
        <v>0</v>
      </c>
      <c r="R34">
        <f>IF(M34&gt;=2,INDEX(Windows!$B$4:$B$84,MATCH(N34,Windows!$B$4:$B$84,0)+1),0)</f>
        <v>0</v>
      </c>
      <c r="S34" t="e">
        <f>VLOOKUP(R34,Windows!$B$4:$D$84,2,FALSE)/1000</f>
        <v>#N/A</v>
      </c>
      <c r="T34" t="e">
        <f>VLOOKUP(R34,Windows!$B$4:$D$84,3,FALSE)/1000</f>
        <v>#N/A</v>
      </c>
      <c r="U34">
        <f t="shared" si="6"/>
        <v>0</v>
      </c>
      <c r="V34">
        <f>IF(M34&gt;=3,INDEX(Windows!$B$4:$B$84,MATCH(N34,Windows!$B$4:$B$84,0)+2),0)</f>
        <v>0</v>
      </c>
      <c r="W34" t="e">
        <f>VLOOKUP(V34,Windows!$B$4:$D$84,2,FALSE)/1000</f>
        <v>#N/A</v>
      </c>
      <c r="X34" t="e">
        <f>VLOOKUP(V34,Windows!$B$4:$D$84,3,FALSE)/1000</f>
        <v>#N/A</v>
      </c>
      <c r="Y34">
        <f t="shared" si="7"/>
        <v>0</v>
      </c>
      <c r="Z34">
        <f>IF(M34&gt;=4,INDEX(Windows!$B$4:$B$84,MATCH(N34,Windows!$B$4:$B$84,0)+3),0)</f>
        <v>0</v>
      </c>
      <c r="AA34" t="e">
        <f>VLOOKUP(Z34,Windows!$B$4:$D$84,2,FALSE)/1000</f>
        <v>#N/A</v>
      </c>
      <c r="AB34" t="e">
        <f>VLOOKUP(Z34,Windows!$B$4:$D$84,3,FALSE)/1000</f>
        <v>#N/A</v>
      </c>
      <c r="AC34">
        <f t="shared" si="8"/>
        <v>0</v>
      </c>
      <c r="AD34" t="str">
        <f t="shared" si="9"/>
        <v>N/A</v>
      </c>
      <c r="AE34">
        <f t="shared" si="15"/>
        <v>0</v>
      </c>
      <c r="AG34">
        <f t="shared" si="10"/>
        <v>0</v>
      </c>
      <c r="AH34">
        <f>AG34*Konstanten!$B$4</f>
        <v>0</v>
      </c>
      <c r="AI34">
        <f t="shared" si="11"/>
        <v>0</v>
      </c>
      <c r="AJ34">
        <f t="shared" si="12"/>
        <v>12</v>
      </c>
      <c r="AK34">
        <f>AJ34*Konstanten!$B$3</f>
        <v>30</v>
      </c>
      <c r="AM34">
        <f t="shared" si="13"/>
        <v>0</v>
      </c>
      <c r="AN34">
        <f t="shared" si="14"/>
        <v>0</v>
      </c>
      <c r="AR34" s="8"/>
      <c r="BA34" s="4"/>
    </row>
    <row r="35" spans="1:53" x14ac:dyDescent="0.25">
      <c r="A35">
        <v>34</v>
      </c>
      <c r="B35">
        <v>3</v>
      </c>
      <c r="C35" t="s">
        <v>52</v>
      </c>
      <c r="D35" t="s">
        <v>279</v>
      </c>
      <c r="F35">
        <v>9.3000000000000007</v>
      </c>
      <c r="G35" t="s">
        <v>202</v>
      </c>
      <c r="H35">
        <v>0</v>
      </c>
      <c r="J35">
        <f>54+50+41+22+13+66</f>
        <v>246</v>
      </c>
      <c r="L35">
        <f>Konstanten!$B$3</f>
        <v>2.5</v>
      </c>
      <c r="M35">
        <f>COUNTIF(Windows!$A$4:$A$84,D35)</f>
        <v>0</v>
      </c>
      <c r="N35" t="e">
        <f>VLOOKUP(D35,Windows!$A$4:$D$84,2,FALSE)</f>
        <v>#N/A</v>
      </c>
      <c r="O35" t="e">
        <f>VLOOKUP(N35,Windows!$B$4:$D$84,2,FALSE)/1000</f>
        <v>#N/A</v>
      </c>
      <c r="P35" t="e">
        <f>VLOOKUP(N35,Windows!$B$4:$D$84,3,FALSE)/1000</f>
        <v>#N/A</v>
      </c>
      <c r="Q35">
        <f t="shared" si="5"/>
        <v>0</v>
      </c>
      <c r="R35">
        <f>IF(M35&gt;=2,INDEX(Windows!$B$4:$B$84,MATCH(N35,Windows!$B$4:$B$84,0)+1),0)</f>
        <v>0</v>
      </c>
      <c r="S35" t="e">
        <f>VLOOKUP(R35,Windows!$B$4:$D$84,2,FALSE)/1000</f>
        <v>#N/A</v>
      </c>
      <c r="T35" t="e">
        <f>VLOOKUP(R35,Windows!$B$4:$D$84,3,FALSE)/1000</f>
        <v>#N/A</v>
      </c>
      <c r="U35">
        <f t="shared" si="6"/>
        <v>0</v>
      </c>
      <c r="V35">
        <f>IF(M35&gt;=3,INDEX(Windows!$B$4:$B$84,MATCH(N35,Windows!$B$4:$B$84,0)+2),0)</f>
        <v>0</v>
      </c>
      <c r="W35" t="e">
        <f>VLOOKUP(V35,Windows!$B$4:$D$84,2,FALSE)/1000</f>
        <v>#N/A</v>
      </c>
      <c r="X35" t="e">
        <f>VLOOKUP(V35,Windows!$B$4:$D$84,3,FALSE)/1000</f>
        <v>#N/A</v>
      </c>
      <c r="Y35">
        <f t="shared" si="7"/>
        <v>0</v>
      </c>
      <c r="Z35">
        <f>IF(M35&gt;=4,INDEX(Windows!$B$4:$B$84,MATCH(N35,Windows!$B$4:$B$84,0)+3),0)</f>
        <v>0</v>
      </c>
      <c r="AA35" t="e">
        <f>VLOOKUP(Z35,Windows!$B$4:$D$84,2,FALSE)/1000</f>
        <v>#N/A</v>
      </c>
      <c r="AB35" t="e">
        <f>VLOOKUP(Z35,Windows!$B$4:$D$84,3,FALSE)/1000</f>
        <v>#N/A</v>
      </c>
      <c r="AC35">
        <f t="shared" si="8"/>
        <v>0</v>
      </c>
      <c r="AD35" t="str">
        <f t="shared" si="9"/>
        <v>N/A</v>
      </c>
      <c r="AE35">
        <f t="shared" si="15"/>
        <v>0</v>
      </c>
      <c r="AG35">
        <f t="shared" si="10"/>
        <v>0</v>
      </c>
      <c r="AH35">
        <f>AG35*Konstanten!$B$4</f>
        <v>0</v>
      </c>
      <c r="AI35">
        <f t="shared" si="11"/>
        <v>0</v>
      </c>
      <c r="AJ35">
        <f t="shared" si="12"/>
        <v>12.3</v>
      </c>
      <c r="AK35">
        <f>AJ35*Konstanten!$B$3</f>
        <v>30.75</v>
      </c>
      <c r="AM35">
        <f t="shared" si="13"/>
        <v>0</v>
      </c>
      <c r="AN35">
        <f t="shared" si="14"/>
        <v>0</v>
      </c>
      <c r="AR35" s="8"/>
      <c r="BA35" s="4"/>
    </row>
    <row r="36" spans="1:53" x14ac:dyDescent="0.25">
      <c r="A36">
        <v>35</v>
      </c>
      <c r="B36">
        <v>3</v>
      </c>
      <c r="C36" t="s">
        <v>19</v>
      </c>
      <c r="D36" t="s">
        <v>280</v>
      </c>
      <c r="F36">
        <v>6.2</v>
      </c>
      <c r="G36" t="s">
        <v>202</v>
      </c>
      <c r="H36">
        <v>0</v>
      </c>
      <c r="J36">
        <f>60+22+27+34+72+15</f>
        <v>230</v>
      </c>
      <c r="L36">
        <f>Konstanten!$B$3</f>
        <v>2.5</v>
      </c>
      <c r="M36">
        <f>COUNTIF(Windows!$A$4:$A$84,D36)</f>
        <v>0</v>
      </c>
      <c r="N36" t="e">
        <f>VLOOKUP(D36,Windows!$A$4:$D$84,2,FALSE)</f>
        <v>#N/A</v>
      </c>
      <c r="O36" t="e">
        <f>VLOOKUP(N36,Windows!$B$4:$D$84,2,FALSE)/1000</f>
        <v>#N/A</v>
      </c>
      <c r="P36" t="e">
        <f>VLOOKUP(N36,Windows!$B$4:$D$84,3,FALSE)/1000</f>
        <v>#N/A</v>
      </c>
      <c r="Q36">
        <f t="shared" si="5"/>
        <v>0</v>
      </c>
      <c r="R36">
        <f>IF(M36&gt;=2,INDEX(Windows!$B$4:$B$84,MATCH(N36,Windows!$B$4:$B$84,0)+1),0)</f>
        <v>0</v>
      </c>
      <c r="S36" t="e">
        <f>VLOOKUP(R36,Windows!$B$4:$D$84,2,FALSE)/1000</f>
        <v>#N/A</v>
      </c>
      <c r="T36" t="e">
        <f>VLOOKUP(R36,Windows!$B$4:$D$84,3,FALSE)/1000</f>
        <v>#N/A</v>
      </c>
      <c r="U36">
        <f t="shared" si="6"/>
        <v>0</v>
      </c>
      <c r="V36">
        <f>IF(M36&gt;=3,INDEX(Windows!$B$4:$B$84,MATCH(N36,Windows!$B$4:$B$84,0)+2),0)</f>
        <v>0</v>
      </c>
      <c r="W36" t="e">
        <f>VLOOKUP(V36,Windows!$B$4:$D$84,2,FALSE)/1000</f>
        <v>#N/A</v>
      </c>
      <c r="X36" t="e">
        <f>VLOOKUP(V36,Windows!$B$4:$D$84,3,FALSE)/1000</f>
        <v>#N/A</v>
      </c>
      <c r="Y36">
        <f t="shared" si="7"/>
        <v>0</v>
      </c>
      <c r="Z36">
        <f>IF(M36&gt;=4,INDEX(Windows!$B$4:$B$84,MATCH(N36,Windows!$B$4:$B$84,0)+3),0)</f>
        <v>0</v>
      </c>
      <c r="AA36" t="e">
        <f>VLOOKUP(Z36,Windows!$B$4:$D$84,2,FALSE)/1000</f>
        <v>#N/A</v>
      </c>
      <c r="AB36" t="e">
        <f>VLOOKUP(Z36,Windows!$B$4:$D$84,3,FALSE)/1000</f>
        <v>#N/A</v>
      </c>
      <c r="AC36">
        <f t="shared" si="8"/>
        <v>0</v>
      </c>
      <c r="AD36" t="str">
        <f t="shared" si="9"/>
        <v>N/A</v>
      </c>
      <c r="AE36">
        <f t="shared" si="15"/>
        <v>0</v>
      </c>
      <c r="AG36">
        <f t="shared" si="10"/>
        <v>0</v>
      </c>
      <c r="AH36">
        <f>AG36*Konstanten!$B$4</f>
        <v>0</v>
      </c>
      <c r="AI36">
        <f t="shared" si="11"/>
        <v>0</v>
      </c>
      <c r="AJ36">
        <f t="shared" si="12"/>
        <v>11.5</v>
      </c>
      <c r="AK36">
        <f>AJ36*Konstanten!$B$3</f>
        <v>28.75</v>
      </c>
      <c r="AM36">
        <f t="shared" si="13"/>
        <v>0</v>
      </c>
      <c r="AN36">
        <f t="shared" si="14"/>
        <v>0</v>
      </c>
      <c r="AR36" s="8"/>
      <c r="BA36" s="4"/>
    </row>
    <row r="37" spans="1:53" x14ac:dyDescent="0.25">
      <c r="A37">
        <v>36</v>
      </c>
      <c r="B37">
        <v>3</v>
      </c>
      <c r="C37" t="s">
        <v>67</v>
      </c>
      <c r="D37" t="s">
        <v>281</v>
      </c>
      <c r="F37">
        <v>7.1</v>
      </c>
      <c r="G37" t="s">
        <v>202</v>
      </c>
      <c r="H37">
        <v>0</v>
      </c>
      <c r="J37">
        <f>2*(47+60)</f>
        <v>214</v>
      </c>
      <c r="L37">
        <f>Konstanten!$B$3</f>
        <v>2.5</v>
      </c>
      <c r="M37">
        <f>COUNTIF(Windows!$A$4:$A$84,D37)</f>
        <v>0</v>
      </c>
      <c r="N37" t="e">
        <f>VLOOKUP(D37,Windows!$A$4:$D$84,2,FALSE)</f>
        <v>#N/A</v>
      </c>
      <c r="O37" t="e">
        <f>VLOOKUP(N37,Windows!$B$4:$D$84,2,FALSE)/1000</f>
        <v>#N/A</v>
      </c>
      <c r="P37" t="e">
        <f>VLOOKUP(N37,Windows!$B$4:$D$84,3,FALSE)/1000</f>
        <v>#N/A</v>
      </c>
      <c r="Q37">
        <f t="shared" si="5"/>
        <v>0</v>
      </c>
      <c r="R37">
        <f>IF(M37&gt;=2,INDEX(Windows!$B$4:$B$84,MATCH(N37,Windows!$B$4:$B$84,0)+1),0)</f>
        <v>0</v>
      </c>
      <c r="S37" t="e">
        <f>VLOOKUP(R37,Windows!$B$4:$D$84,2,FALSE)/1000</f>
        <v>#N/A</v>
      </c>
      <c r="T37" t="e">
        <f>VLOOKUP(R37,Windows!$B$4:$D$84,3,FALSE)/1000</f>
        <v>#N/A</v>
      </c>
      <c r="U37">
        <f t="shared" si="6"/>
        <v>0</v>
      </c>
      <c r="V37">
        <f>IF(M37&gt;=3,INDEX(Windows!$B$4:$B$84,MATCH(N37,Windows!$B$4:$B$84,0)+2),0)</f>
        <v>0</v>
      </c>
      <c r="W37" t="e">
        <f>VLOOKUP(V37,Windows!$B$4:$D$84,2,FALSE)/1000</f>
        <v>#N/A</v>
      </c>
      <c r="X37" t="e">
        <f>VLOOKUP(V37,Windows!$B$4:$D$84,3,FALSE)/1000</f>
        <v>#N/A</v>
      </c>
      <c r="Y37">
        <f t="shared" si="7"/>
        <v>0</v>
      </c>
      <c r="Z37">
        <f>IF(M37&gt;=4,INDEX(Windows!$B$4:$B$84,MATCH(N37,Windows!$B$4:$B$84,0)+3),0)</f>
        <v>0</v>
      </c>
      <c r="AA37" t="e">
        <f>VLOOKUP(Z37,Windows!$B$4:$D$84,2,FALSE)/1000</f>
        <v>#N/A</v>
      </c>
      <c r="AB37" t="e">
        <f>VLOOKUP(Z37,Windows!$B$4:$D$84,3,FALSE)/1000</f>
        <v>#N/A</v>
      </c>
      <c r="AC37">
        <f t="shared" si="8"/>
        <v>0</v>
      </c>
      <c r="AD37" t="str">
        <f t="shared" si="9"/>
        <v>N/A</v>
      </c>
      <c r="AE37">
        <f t="shared" si="15"/>
        <v>0</v>
      </c>
      <c r="AG37">
        <f t="shared" si="10"/>
        <v>0</v>
      </c>
      <c r="AH37">
        <f>AG37*Konstanten!$B$4</f>
        <v>0</v>
      </c>
      <c r="AI37">
        <f t="shared" si="11"/>
        <v>0</v>
      </c>
      <c r="AJ37">
        <f t="shared" si="12"/>
        <v>10.700000000000001</v>
      </c>
      <c r="AK37">
        <f>AJ37*Konstanten!$B$3</f>
        <v>26.750000000000004</v>
      </c>
      <c r="AM37">
        <f t="shared" si="13"/>
        <v>0</v>
      </c>
      <c r="AN37">
        <f t="shared" si="14"/>
        <v>0</v>
      </c>
      <c r="AR37" s="8"/>
      <c r="BA37" s="4"/>
    </row>
    <row r="38" spans="1:53" x14ac:dyDescent="0.25">
      <c r="A38">
        <v>37</v>
      </c>
      <c r="B38">
        <v>3</v>
      </c>
      <c r="C38" t="s">
        <v>66</v>
      </c>
      <c r="D38" t="s">
        <v>282</v>
      </c>
      <c r="F38">
        <v>20.7</v>
      </c>
      <c r="G38" t="s">
        <v>202</v>
      </c>
      <c r="H38">
        <v>0</v>
      </c>
      <c r="J38">
        <f>2*(88+102)</f>
        <v>380</v>
      </c>
      <c r="L38">
        <f>Konstanten!$B$3</f>
        <v>2.5</v>
      </c>
      <c r="M38">
        <f>COUNTIF(Windows!$A$4:$A$84,D38)</f>
        <v>0</v>
      </c>
      <c r="N38" t="e">
        <f>VLOOKUP(D38,Windows!$A$4:$D$84,2,FALSE)</f>
        <v>#N/A</v>
      </c>
      <c r="O38" t="e">
        <f>VLOOKUP(N38,Windows!$B$4:$D$84,2,FALSE)/1000</f>
        <v>#N/A</v>
      </c>
      <c r="P38" t="e">
        <f>VLOOKUP(N38,Windows!$B$4:$D$84,3,FALSE)/1000</f>
        <v>#N/A</v>
      </c>
      <c r="Q38">
        <f t="shared" si="5"/>
        <v>0</v>
      </c>
      <c r="R38">
        <f>IF(M38&gt;=2,INDEX(Windows!$B$4:$B$84,MATCH(N38,Windows!$B$4:$B$84,0)+1),0)</f>
        <v>0</v>
      </c>
      <c r="S38" t="e">
        <f>VLOOKUP(R38,Windows!$B$4:$D$84,2,FALSE)/1000</f>
        <v>#N/A</v>
      </c>
      <c r="T38" t="e">
        <f>VLOOKUP(R38,Windows!$B$4:$D$84,3,FALSE)/1000</f>
        <v>#N/A</v>
      </c>
      <c r="U38">
        <f t="shared" si="6"/>
        <v>0</v>
      </c>
      <c r="V38">
        <f>IF(M38&gt;=3,INDEX(Windows!$B$4:$B$84,MATCH(N38,Windows!$B$4:$B$84,0)+2),0)</f>
        <v>0</v>
      </c>
      <c r="W38" t="e">
        <f>VLOOKUP(V38,Windows!$B$4:$D$84,2,FALSE)/1000</f>
        <v>#N/A</v>
      </c>
      <c r="X38" t="e">
        <f>VLOOKUP(V38,Windows!$B$4:$D$84,3,FALSE)/1000</f>
        <v>#N/A</v>
      </c>
      <c r="Y38">
        <f t="shared" si="7"/>
        <v>0</v>
      </c>
      <c r="Z38">
        <f>IF(M38&gt;=4,INDEX(Windows!$B$4:$B$84,MATCH(N38,Windows!$B$4:$B$84,0)+3),0)</f>
        <v>0</v>
      </c>
      <c r="AA38" t="e">
        <f>VLOOKUP(Z38,Windows!$B$4:$D$84,2,FALSE)/1000</f>
        <v>#N/A</v>
      </c>
      <c r="AB38" t="e">
        <f>VLOOKUP(Z38,Windows!$B$4:$D$84,3,FALSE)/1000</f>
        <v>#N/A</v>
      </c>
      <c r="AC38">
        <f t="shared" si="8"/>
        <v>0</v>
      </c>
      <c r="AD38" t="str">
        <f t="shared" si="9"/>
        <v>N/A</v>
      </c>
      <c r="AE38">
        <f t="shared" si="15"/>
        <v>0</v>
      </c>
      <c r="AG38">
        <f t="shared" si="10"/>
        <v>0</v>
      </c>
      <c r="AH38">
        <f>AG38*Konstanten!$B$4</f>
        <v>0</v>
      </c>
      <c r="AI38">
        <f t="shared" si="11"/>
        <v>0</v>
      </c>
      <c r="AJ38">
        <f t="shared" si="12"/>
        <v>19</v>
      </c>
      <c r="AK38">
        <f>AJ38*Konstanten!$B$3</f>
        <v>47.5</v>
      </c>
      <c r="AM38">
        <f t="shared" si="13"/>
        <v>0</v>
      </c>
      <c r="AN38">
        <f t="shared" si="14"/>
        <v>0</v>
      </c>
      <c r="AR38" s="8"/>
      <c r="BA38" s="4"/>
    </row>
    <row r="39" spans="1:53" x14ac:dyDescent="0.25">
      <c r="A39">
        <v>38</v>
      </c>
      <c r="B39">
        <v>3</v>
      </c>
      <c r="C39" t="s">
        <v>66</v>
      </c>
      <c r="D39" t="s">
        <v>283</v>
      </c>
      <c r="F39">
        <v>4.4000000000000004</v>
      </c>
      <c r="G39" t="s">
        <v>202</v>
      </c>
      <c r="H39">
        <v>0</v>
      </c>
      <c r="J39">
        <f>2*(46+39)</f>
        <v>170</v>
      </c>
      <c r="L39">
        <f>Konstanten!$B$3</f>
        <v>2.5</v>
      </c>
      <c r="M39">
        <f>COUNTIF(Windows!$A$4:$A$84,D39)</f>
        <v>0</v>
      </c>
      <c r="N39" t="e">
        <f>VLOOKUP(D39,Windows!$A$4:$D$84,2,FALSE)</f>
        <v>#N/A</v>
      </c>
      <c r="O39" t="e">
        <f>VLOOKUP(N39,Windows!$B$4:$D$84,2,FALSE)/1000</f>
        <v>#N/A</v>
      </c>
      <c r="P39" t="e">
        <f>VLOOKUP(N39,Windows!$B$4:$D$84,3,FALSE)/1000</f>
        <v>#N/A</v>
      </c>
      <c r="Q39">
        <f t="shared" si="5"/>
        <v>0</v>
      </c>
      <c r="R39">
        <f>IF(M39&gt;=2,INDEX(Windows!$B$4:$B$84,MATCH(N39,Windows!$B$4:$B$84,0)+1),0)</f>
        <v>0</v>
      </c>
      <c r="S39" t="e">
        <f>VLOOKUP(R39,Windows!$B$4:$D$84,2,FALSE)/1000</f>
        <v>#N/A</v>
      </c>
      <c r="T39" t="e">
        <f>VLOOKUP(R39,Windows!$B$4:$D$84,3,FALSE)/1000</f>
        <v>#N/A</v>
      </c>
      <c r="U39">
        <f t="shared" si="6"/>
        <v>0</v>
      </c>
      <c r="V39">
        <f>IF(M39&gt;=3,INDEX(Windows!$B$4:$B$84,MATCH(N39,Windows!$B$4:$B$84,0)+2),0)</f>
        <v>0</v>
      </c>
      <c r="W39" t="e">
        <f>VLOOKUP(V39,Windows!$B$4:$D$84,2,FALSE)/1000</f>
        <v>#N/A</v>
      </c>
      <c r="X39" t="e">
        <f>VLOOKUP(V39,Windows!$B$4:$D$84,3,FALSE)/1000</f>
        <v>#N/A</v>
      </c>
      <c r="Y39">
        <f t="shared" si="7"/>
        <v>0</v>
      </c>
      <c r="Z39">
        <f>IF(M39&gt;=4,INDEX(Windows!$B$4:$B$84,MATCH(N39,Windows!$B$4:$B$84,0)+3),0)</f>
        <v>0</v>
      </c>
      <c r="AA39" t="e">
        <f>VLOOKUP(Z39,Windows!$B$4:$D$84,2,FALSE)/1000</f>
        <v>#N/A</v>
      </c>
      <c r="AB39" t="e">
        <f>VLOOKUP(Z39,Windows!$B$4:$D$84,3,FALSE)/1000</f>
        <v>#N/A</v>
      </c>
      <c r="AC39">
        <f t="shared" si="8"/>
        <v>0</v>
      </c>
      <c r="AD39" t="str">
        <f t="shared" si="9"/>
        <v>N/A</v>
      </c>
      <c r="AE39">
        <f t="shared" si="15"/>
        <v>0</v>
      </c>
      <c r="AG39">
        <f t="shared" si="10"/>
        <v>0</v>
      </c>
      <c r="AH39">
        <f>AG39*Konstanten!$B$4</f>
        <v>0</v>
      </c>
      <c r="AI39">
        <f t="shared" si="11"/>
        <v>0</v>
      </c>
      <c r="AJ39">
        <f t="shared" si="12"/>
        <v>8.5</v>
      </c>
      <c r="AK39">
        <f>AJ39*Konstanten!$B$3</f>
        <v>21.25</v>
      </c>
      <c r="AM39">
        <f t="shared" si="13"/>
        <v>0</v>
      </c>
      <c r="AN39">
        <f t="shared" si="14"/>
        <v>0</v>
      </c>
      <c r="AR39" s="8"/>
      <c r="BA39" s="4"/>
    </row>
    <row r="40" spans="1:53" x14ac:dyDescent="0.25">
      <c r="A40">
        <v>39</v>
      </c>
      <c r="B40">
        <v>3</v>
      </c>
      <c r="C40" t="s">
        <v>23</v>
      </c>
      <c r="D40" t="s">
        <v>284</v>
      </c>
      <c r="F40">
        <v>13.7</v>
      </c>
      <c r="G40" t="s">
        <v>202</v>
      </c>
      <c r="H40">
        <v>0</v>
      </c>
      <c r="J40">
        <f>2*(88+66)</f>
        <v>308</v>
      </c>
      <c r="L40">
        <f>Konstanten!$B$3</f>
        <v>2.5</v>
      </c>
      <c r="M40">
        <f>COUNTIF(Windows!$A$4:$A$84,D40)</f>
        <v>0</v>
      </c>
      <c r="N40" t="e">
        <f>VLOOKUP(D40,Windows!$A$4:$D$84,2,FALSE)</f>
        <v>#N/A</v>
      </c>
      <c r="O40" t="e">
        <f>VLOOKUP(N40,Windows!$B$4:$D$84,2,FALSE)/1000</f>
        <v>#N/A</v>
      </c>
      <c r="P40" t="e">
        <f>VLOOKUP(N40,Windows!$B$4:$D$84,3,FALSE)/1000</f>
        <v>#N/A</v>
      </c>
      <c r="Q40">
        <f t="shared" si="5"/>
        <v>0</v>
      </c>
      <c r="R40">
        <f>IF(M40&gt;=2,INDEX(Windows!$B$4:$B$84,MATCH(N40,Windows!$B$4:$B$84,0)+1),0)</f>
        <v>0</v>
      </c>
      <c r="S40" t="e">
        <f>VLOOKUP(R40,Windows!$B$4:$D$84,2,FALSE)/1000</f>
        <v>#N/A</v>
      </c>
      <c r="T40" t="e">
        <f>VLOOKUP(R40,Windows!$B$4:$D$84,3,FALSE)/1000</f>
        <v>#N/A</v>
      </c>
      <c r="U40">
        <f t="shared" si="6"/>
        <v>0</v>
      </c>
      <c r="V40">
        <f>IF(M40&gt;=3,INDEX(Windows!$B$4:$B$84,MATCH(N40,Windows!$B$4:$B$84,0)+2),0)</f>
        <v>0</v>
      </c>
      <c r="W40" t="e">
        <f>VLOOKUP(V40,Windows!$B$4:$D$84,2,FALSE)/1000</f>
        <v>#N/A</v>
      </c>
      <c r="X40" t="e">
        <f>VLOOKUP(V40,Windows!$B$4:$D$84,3,FALSE)/1000</f>
        <v>#N/A</v>
      </c>
      <c r="Y40">
        <f t="shared" si="7"/>
        <v>0</v>
      </c>
      <c r="Z40">
        <f>IF(M40&gt;=4,INDEX(Windows!$B$4:$B$84,MATCH(N40,Windows!$B$4:$B$84,0)+3),0)</f>
        <v>0</v>
      </c>
      <c r="AA40" t="e">
        <f>VLOOKUP(Z40,Windows!$B$4:$D$84,2,FALSE)/1000</f>
        <v>#N/A</v>
      </c>
      <c r="AB40" t="e">
        <f>VLOOKUP(Z40,Windows!$B$4:$D$84,3,FALSE)/1000</f>
        <v>#N/A</v>
      </c>
      <c r="AC40">
        <f t="shared" si="8"/>
        <v>0</v>
      </c>
      <c r="AD40" t="str">
        <f t="shared" si="9"/>
        <v>N/A</v>
      </c>
      <c r="AE40">
        <f t="shared" si="15"/>
        <v>0</v>
      </c>
      <c r="AG40">
        <f t="shared" si="10"/>
        <v>0</v>
      </c>
      <c r="AH40">
        <f>AG40*Konstanten!$B$4</f>
        <v>0</v>
      </c>
      <c r="AI40">
        <f t="shared" si="11"/>
        <v>0</v>
      </c>
      <c r="AJ40">
        <f t="shared" si="12"/>
        <v>15.4</v>
      </c>
      <c r="AK40">
        <f>AJ40*Konstanten!$B$3</f>
        <v>38.5</v>
      </c>
      <c r="AM40">
        <f t="shared" si="13"/>
        <v>0</v>
      </c>
      <c r="AN40">
        <f t="shared" si="14"/>
        <v>0</v>
      </c>
      <c r="AR40" s="8"/>
      <c r="BA40" s="4"/>
    </row>
    <row r="41" spans="1:53" x14ac:dyDescent="0.25">
      <c r="A41">
        <v>40</v>
      </c>
      <c r="B41">
        <v>3</v>
      </c>
      <c r="C41" t="s">
        <v>15</v>
      </c>
      <c r="D41" t="s">
        <v>285</v>
      </c>
      <c r="F41">
        <v>2.4</v>
      </c>
      <c r="G41" t="s">
        <v>202</v>
      </c>
      <c r="H41">
        <v>0</v>
      </c>
      <c r="J41">
        <f>2*(39+28)</f>
        <v>134</v>
      </c>
      <c r="L41">
        <f>Konstanten!$B$3</f>
        <v>2.5</v>
      </c>
      <c r="M41">
        <f>COUNTIF(Windows!$A$4:$A$84,D41)</f>
        <v>0</v>
      </c>
      <c r="N41" t="e">
        <f>VLOOKUP(D41,Windows!$A$4:$D$84,2,FALSE)</f>
        <v>#N/A</v>
      </c>
      <c r="O41" t="e">
        <f>VLOOKUP(N41,Windows!$B$4:$D$84,2,FALSE)/1000</f>
        <v>#N/A</v>
      </c>
      <c r="P41" t="e">
        <f>VLOOKUP(N41,Windows!$B$4:$D$84,3,FALSE)/1000</f>
        <v>#N/A</v>
      </c>
      <c r="Q41">
        <f t="shared" si="5"/>
        <v>0</v>
      </c>
      <c r="R41">
        <f>IF(M41&gt;=2,INDEX(Windows!$B$4:$B$84,MATCH(N41,Windows!$B$4:$B$84,0)+1),0)</f>
        <v>0</v>
      </c>
      <c r="S41" t="e">
        <f>VLOOKUP(R41,Windows!$B$4:$D$84,2,FALSE)/1000</f>
        <v>#N/A</v>
      </c>
      <c r="T41" t="e">
        <f>VLOOKUP(R41,Windows!$B$4:$D$84,3,FALSE)/1000</f>
        <v>#N/A</v>
      </c>
      <c r="U41">
        <f t="shared" si="6"/>
        <v>0</v>
      </c>
      <c r="V41">
        <f>IF(M41&gt;=3,INDEX(Windows!$B$4:$B$84,MATCH(N41,Windows!$B$4:$B$84,0)+2),0)</f>
        <v>0</v>
      </c>
      <c r="W41" t="e">
        <f>VLOOKUP(V41,Windows!$B$4:$D$84,2,FALSE)/1000</f>
        <v>#N/A</v>
      </c>
      <c r="X41" t="e">
        <f>VLOOKUP(V41,Windows!$B$4:$D$84,3,FALSE)/1000</f>
        <v>#N/A</v>
      </c>
      <c r="Y41">
        <f t="shared" si="7"/>
        <v>0</v>
      </c>
      <c r="Z41">
        <f>IF(M41&gt;=4,INDEX(Windows!$B$4:$B$84,MATCH(N41,Windows!$B$4:$B$84,0)+3),0)</f>
        <v>0</v>
      </c>
      <c r="AA41" t="e">
        <f>VLOOKUP(Z41,Windows!$B$4:$D$84,2,FALSE)/1000</f>
        <v>#N/A</v>
      </c>
      <c r="AB41" t="e">
        <f>VLOOKUP(Z41,Windows!$B$4:$D$84,3,FALSE)/1000</f>
        <v>#N/A</v>
      </c>
      <c r="AC41">
        <f t="shared" si="8"/>
        <v>0</v>
      </c>
      <c r="AD41" t="str">
        <f t="shared" si="9"/>
        <v>N/A</v>
      </c>
      <c r="AE41">
        <f t="shared" si="15"/>
        <v>0</v>
      </c>
      <c r="AG41">
        <f t="shared" si="10"/>
        <v>0</v>
      </c>
      <c r="AH41">
        <f>AG41*Konstanten!$B$4</f>
        <v>0</v>
      </c>
      <c r="AI41">
        <f t="shared" si="11"/>
        <v>0</v>
      </c>
      <c r="AJ41">
        <f t="shared" si="12"/>
        <v>6.7</v>
      </c>
      <c r="AK41">
        <f>AJ41*Konstanten!$B$3</f>
        <v>16.75</v>
      </c>
      <c r="AM41">
        <f t="shared" si="13"/>
        <v>0</v>
      </c>
      <c r="AN41">
        <f t="shared" si="14"/>
        <v>0</v>
      </c>
      <c r="AR41" s="8"/>
      <c r="BA41" s="4"/>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GeneralNotes</vt:lpstr>
      <vt:lpstr>Translations</vt:lpstr>
      <vt:lpstr>Orientation</vt:lpstr>
      <vt:lpstr>Konstanten</vt:lpstr>
      <vt:lpstr>Windows</vt:lpstr>
      <vt:lpstr>Zones</vt:lpstr>
      <vt:lpstr>TK01_3</vt:lpstr>
      <vt:lpstr>TK02_3</vt:lpstr>
      <vt:lpstr>TK03_3</vt:lpstr>
      <vt:lpstr>TK31_3</vt:lpstr>
    </vt:vector>
  </TitlesOfParts>
  <Company>E.ON Energy Research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Rahme, Lichaa-Antoine</dc:creator>
  <cp:lastModifiedBy>Raetz, Martin</cp:lastModifiedBy>
  <dcterms:created xsi:type="dcterms:W3CDTF">2018-12-06T14:07:49Z</dcterms:created>
  <dcterms:modified xsi:type="dcterms:W3CDTF">2020-12-08T09:23:05Z</dcterms:modified>
</cp:coreProperties>
</file>