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Repos\building_plan_excel\HUS\"/>
    </mc:Choice>
  </mc:AlternateContent>
  <bookViews>
    <workbookView xWindow="0" yWindow="0" windowWidth="25200" windowHeight="11850" tabRatio="692" activeTab="2"/>
  </bookViews>
  <sheets>
    <sheet name="GeneralNotes" sheetId="12" r:id="rId1"/>
    <sheet name="Orientation" sheetId="15" r:id="rId2"/>
    <sheet name="Konstanten" sheetId="14" r:id="rId3"/>
    <sheet name="Windows" sheetId="25" r:id="rId4"/>
    <sheet name="TK01_6" sheetId="23" r:id="rId5"/>
    <sheet name="Zones_TK01" sheetId="24" r:id="rId6"/>
    <sheet name="TK02_6" sheetId="26" r:id="rId7"/>
    <sheet name="Zones_TK02" sheetId="20" r:id="rId8"/>
    <sheet name="TK03_6" sheetId="27" r:id="rId9"/>
    <sheet name="Zones_TK03" sheetId="16" r:id="rId10"/>
    <sheet name="TK31_6" sheetId="28" r:id="rId11"/>
    <sheet name="U-Wert" sheetId="18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28" l="1"/>
  <c r="AF4" i="28"/>
  <c r="AF5" i="28"/>
  <c r="AF6" i="28"/>
  <c r="AF2" i="28"/>
  <c r="AF3" i="27"/>
  <c r="AF4" i="27"/>
  <c r="AF5" i="27"/>
  <c r="AF6" i="27"/>
  <c r="AF7" i="27"/>
  <c r="AF8" i="27"/>
  <c r="AF9" i="27"/>
  <c r="AF10" i="27"/>
  <c r="AF11" i="27"/>
  <c r="AF12" i="27"/>
  <c r="AF13" i="27"/>
  <c r="AF14" i="27"/>
  <c r="AF15" i="27"/>
  <c r="AF16" i="27"/>
  <c r="AF17" i="27"/>
  <c r="AF18" i="27"/>
  <c r="AF19" i="27"/>
  <c r="AF20" i="27"/>
  <c r="AF21" i="27"/>
  <c r="AF22" i="27"/>
  <c r="AF23" i="27"/>
  <c r="AF24" i="27"/>
  <c r="AF25" i="27"/>
  <c r="AF26" i="27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F39" i="27"/>
  <c r="AF40" i="27"/>
  <c r="AF41" i="27"/>
  <c r="AF42" i="27"/>
  <c r="AF43" i="27"/>
  <c r="AF44" i="27"/>
  <c r="AF45" i="27"/>
  <c r="AF46" i="27"/>
  <c r="AF47" i="27"/>
  <c r="AF48" i="27"/>
  <c r="AF49" i="27"/>
  <c r="AF50" i="27"/>
  <c r="AF51" i="27"/>
  <c r="AF2" i="27"/>
  <c r="AF3" i="26"/>
  <c r="AF4" i="26"/>
  <c r="AF5" i="26"/>
  <c r="AF6" i="26"/>
  <c r="AF7" i="26"/>
  <c r="AF8" i="26"/>
  <c r="AF9" i="26"/>
  <c r="AF10" i="26"/>
  <c r="AF11" i="26"/>
  <c r="AF12" i="26"/>
  <c r="AF13" i="26"/>
  <c r="AF14" i="26"/>
  <c r="AF15" i="26"/>
  <c r="AF16" i="26"/>
  <c r="AF17" i="26"/>
  <c r="AF18" i="26"/>
  <c r="AF19" i="26"/>
  <c r="AF20" i="26"/>
  <c r="AF21" i="26"/>
  <c r="AF22" i="26"/>
  <c r="AF23" i="26"/>
  <c r="AF24" i="26"/>
  <c r="AF25" i="26"/>
  <c r="AF26" i="26"/>
  <c r="AF27" i="26"/>
  <c r="AF28" i="26"/>
  <c r="AF29" i="26"/>
  <c r="AF30" i="26"/>
  <c r="AF31" i="26"/>
  <c r="AF32" i="26"/>
  <c r="AF33" i="26"/>
  <c r="AF34" i="26"/>
  <c r="AF35" i="26"/>
  <c r="AF36" i="26"/>
  <c r="AF37" i="26"/>
  <c r="AF38" i="26"/>
  <c r="AF39" i="26"/>
  <c r="AF40" i="26"/>
  <c r="AF41" i="26"/>
  <c r="AF42" i="26"/>
  <c r="AF43" i="26"/>
  <c r="AF44" i="26"/>
  <c r="AF45" i="26"/>
  <c r="AF2" i="26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2" i="23"/>
  <c r="AF43" i="23"/>
  <c r="AF44" i="23"/>
  <c r="AF45" i="23"/>
  <c r="AF46" i="23"/>
  <c r="AF47" i="23"/>
  <c r="AF48" i="23"/>
  <c r="AF2" i="23"/>
  <c r="X6" i="28" l="1"/>
  <c r="Y6" i="28" s="1"/>
  <c r="V6" i="28"/>
  <c r="T6" i="28"/>
  <c r="U6" i="28" s="1"/>
  <c r="R6" i="28"/>
  <c r="P6" i="28"/>
  <c r="Q6" i="28" s="1"/>
  <c r="N6" i="28"/>
  <c r="L6" i="28"/>
  <c r="M6" i="28" s="1"/>
  <c r="X5" i="28"/>
  <c r="Y5" i="28" s="1"/>
  <c r="V5" i="28"/>
  <c r="T5" i="28"/>
  <c r="U5" i="28" s="1"/>
  <c r="R5" i="28"/>
  <c r="P5" i="28"/>
  <c r="Q5" i="28" s="1"/>
  <c r="N5" i="28"/>
  <c r="L5" i="28"/>
  <c r="M5" i="28" s="1"/>
  <c r="L28" i="27" l="1"/>
  <c r="J27" i="27"/>
  <c r="L27" i="27" s="1"/>
  <c r="P28" i="27" l="1"/>
  <c r="K28" i="27"/>
  <c r="M28" i="27" s="1"/>
  <c r="S27" i="27"/>
  <c r="T27" i="27"/>
  <c r="U27" i="27" s="1"/>
  <c r="M27" i="27"/>
  <c r="N27" i="27"/>
  <c r="K27" i="27"/>
  <c r="O28" i="27" l="1"/>
  <c r="Q28" i="27" s="1"/>
  <c r="T28" i="27"/>
  <c r="S28" i="27"/>
  <c r="X28" i="27"/>
  <c r="W28" i="27"/>
  <c r="X27" i="27"/>
  <c r="W27" i="27"/>
  <c r="P27" i="27"/>
  <c r="O27" i="27"/>
  <c r="Y28" i="27" l="1"/>
  <c r="U28" i="27"/>
  <c r="Q27" i="27"/>
  <c r="Y27" i="27"/>
  <c r="AO6" i="28" l="1"/>
  <c r="AN6" i="28"/>
  <c r="AK6" i="28"/>
  <c r="AL6" i="28" s="1"/>
  <c r="AE6" i="28"/>
  <c r="Z6" i="28"/>
  <c r="H6" i="28"/>
  <c r="AJ5" i="28"/>
  <c r="AO5" i="28"/>
  <c r="AN5" i="28"/>
  <c r="AK5" i="28"/>
  <c r="AL5" i="28" s="1"/>
  <c r="AE5" i="28"/>
  <c r="Z5" i="28"/>
  <c r="H5" i="28"/>
  <c r="AJ4" i="28"/>
  <c r="AJ3" i="28"/>
  <c r="AJ2" i="28"/>
  <c r="AK2" i="28" s="1"/>
  <c r="AL2" i="28" s="1"/>
  <c r="AO4" i="28"/>
  <c r="AN4" i="28"/>
  <c r="AK4" i="28"/>
  <c r="AL4" i="28" s="1"/>
  <c r="AE4" i="28"/>
  <c r="J4" i="28"/>
  <c r="L4" i="28" s="1"/>
  <c r="I4" i="28"/>
  <c r="Z4" i="28" s="1"/>
  <c r="H4" i="28"/>
  <c r="AO3" i="28"/>
  <c r="AN3" i="28"/>
  <c r="AK3" i="28"/>
  <c r="AL3" i="28" s="1"/>
  <c r="AE3" i="28"/>
  <c r="J3" i="28"/>
  <c r="L3" i="28" s="1"/>
  <c r="I3" i="28"/>
  <c r="N3" i="28" s="1"/>
  <c r="H3" i="28"/>
  <c r="AO2" i="28"/>
  <c r="AN2" i="28"/>
  <c r="AE2" i="28"/>
  <c r="J2" i="28"/>
  <c r="L2" i="28" s="1"/>
  <c r="I2" i="28"/>
  <c r="Z2" i="28" s="1"/>
  <c r="H2" i="28"/>
  <c r="AJ51" i="27"/>
  <c r="AK51" i="27" s="1"/>
  <c r="AL51" i="27" s="1"/>
  <c r="AJ50" i="27"/>
  <c r="AK50" i="27" s="1"/>
  <c r="AL50" i="27" s="1"/>
  <c r="AJ49" i="27"/>
  <c r="AJ48" i="27"/>
  <c r="AK48" i="27" s="1"/>
  <c r="AL48" i="27" s="1"/>
  <c r="AO51" i="27"/>
  <c r="AN51" i="27"/>
  <c r="AE51" i="27"/>
  <c r="J51" i="27"/>
  <c r="L51" i="27" s="1"/>
  <c r="I51" i="27"/>
  <c r="V51" i="27" s="1"/>
  <c r="X51" i="27" s="1"/>
  <c r="H51" i="27"/>
  <c r="AO50" i="27"/>
  <c r="AN50" i="27"/>
  <c r="AE50" i="27"/>
  <c r="J50" i="27"/>
  <c r="L50" i="27" s="1"/>
  <c r="I50" i="27"/>
  <c r="Z50" i="27" s="1"/>
  <c r="H50" i="27"/>
  <c r="AO49" i="27"/>
  <c r="AN49" i="27"/>
  <c r="AK49" i="27"/>
  <c r="AL49" i="27" s="1"/>
  <c r="AE49" i="27"/>
  <c r="J49" i="27"/>
  <c r="L49" i="27" s="1"/>
  <c r="I49" i="27"/>
  <c r="R49" i="27" s="1"/>
  <c r="H49" i="27"/>
  <c r="AJ47" i="27"/>
  <c r="AK47" i="27" s="1"/>
  <c r="AL47" i="27" s="1"/>
  <c r="AJ46" i="27"/>
  <c r="AK46" i="27" s="1"/>
  <c r="AL46" i="27" s="1"/>
  <c r="AJ45" i="27"/>
  <c r="AK45" i="27" s="1"/>
  <c r="AL45" i="27" s="1"/>
  <c r="AJ44" i="27"/>
  <c r="AJ43" i="27"/>
  <c r="AO48" i="27"/>
  <c r="AN48" i="27"/>
  <c r="AE48" i="27"/>
  <c r="J48" i="27"/>
  <c r="L48" i="27" s="1"/>
  <c r="I48" i="27"/>
  <c r="N48" i="27" s="1"/>
  <c r="P48" i="27" s="1"/>
  <c r="H48" i="27"/>
  <c r="AO47" i="27"/>
  <c r="AN47" i="27"/>
  <c r="AE47" i="27"/>
  <c r="J47" i="27"/>
  <c r="L47" i="27" s="1"/>
  <c r="I47" i="27"/>
  <c r="Z47" i="27" s="1"/>
  <c r="H47" i="27"/>
  <c r="AO46" i="27"/>
  <c r="AN46" i="27"/>
  <c r="AE46" i="27"/>
  <c r="J46" i="27"/>
  <c r="L46" i="27" s="1"/>
  <c r="I46" i="27"/>
  <c r="Z46" i="27" s="1"/>
  <c r="H46" i="27"/>
  <c r="AO45" i="27"/>
  <c r="AN45" i="27"/>
  <c r="AE45" i="27"/>
  <c r="J45" i="27"/>
  <c r="L45" i="27" s="1"/>
  <c r="I45" i="27"/>
  <c r="Z45" i="27" s="1"/>
  <c r="H45" i="27"/>
  <c r="AJ42" i="27"/>
  <c r="AJ41" i="27"/>
  <c r="AJ40" i="27"/>
  <c r="AJ39" i="27"/>
  <c r="AJ38" i="27"/>
  <c r="AJ37" i="27"/>
  <c r="AJ36" i="27"/>
  <c r="AJ35" i="27"/>
  <c r="AJ34" i="27"/>
  <c r="K4" i="28" l="1"/>
  <c r="M4" i="28" s="1"/>
  <c r="K3" i="28"/>
  <c r="R3" i="28"/>
  <c r="T3" i="28" s="1"/>
  <c r="V3" i="28"/>
  <c r="X3" i="28" s="1"/>
  <c r="M3" i="28"/>
  <c r="Z3" i="28"/>
  <c r="P3" i="28"/>
  <c r="O3" i="28"/>
  <c r="N2" i="28"/>
  <c r="R2" i="28"/>
  <c r="V2" i="28"/>
  <c r="W3" i="28"/>
  <c r="Y3" i="28" s="1"/>
  <c r="N4" i="28"/>
  <c r="V4" i="28"/>
  <c r="K2" i="28"/>
  <c r="M2" i="28" s="1"/>
  <c r="S3" i="28"/>
  <c r="U3" i="28" s="1"/>
  <c r="R4" i="28"/>
  <c r="Z51" i="27"/>
  <c r="N51" i="27"/>
  <c r="P51" i="27" s="1"/>
  <c r="R51" i="27"/>
  <c r="T51" i="27" s="1"/>
  <c r="K50" i="27"/>
  <c r="M50" i="27" s="1"/>
  <c r="S49" i="27"/>
  <c r="T49" i="27"/>
  <c r="Z49" i="27"/>
  <c r="N49" i="27"/>
  <c r="K49" i="27"/>
  <c r="M49" i="27" s="1"/>
  <c r="V49" i="27"/>
  <c r="R48" i="27"/>
  <c r="T48" i="27" s="1"/>
  <c r="V48" i="27"/>
  <c r="X48" i="27" s="1"/>
  <c r="Z48" i="27"/>
  <c r="N50" i="27"/>
  <c r="R50" i="27"/>
  <c r="V50" i="27"/>
  <c r="K51" i="27"/>
  <c r="M51" i="27" s="1"/>
  <c r="W51" i="27"/>
  <c r="Y51" i="27" s="1"/>
  <c r="K47" i="27"/>
  <c r="M47" i="27" s="1"/>
  <c r="M46" i="27"/>
  <c r="K46" i="27"/>
  <c r="K45" i="27"/>
  <c r="M45" i="27" s="1"/>
  <c r="N47" i="27"/>
  <c r="R47" i="27"/>
  <c r="V47" i="27"/>
  <c r="K48" i="27"/>
  <c r="M48" i="27" s="1"/>
  <c r="O48" i="27"/>
  <c r="Q48" i="27" s="1"/>
  <c r="N46" i="27"/>
  <c r="R46" i="27"/>
  <c r="V46" i="27"/>
  <c r="N45" i="27"/>
  <c r="R45" i="27"/>
  <c r="V45" i="27"/>
  <c r="AJ33" i="27"/>
  <c r="AK33" i="27" s="1"/>
  <c r="AL33" i="27" s="1"/>
  <c r="AJ32" i="27"/>
  <c r="AJ31" i="27"/>
  <c r="AJ30" i="27"/>
  <c r="AK30" i="27" s="1"/>
  <c r="AL30" i="27" s="1"/>
  <c r="AJ29" i="27"/>
  <c r="AJ27" i="27"/>
  <c r="AJ26" i="27"/>
  <c r="AK26" i="27" s="1"/>
  <c r="AL26" i="27" s="1"/>
  <c r="AJ24" i="27"/>
  <c r="AK24" i="27" s="1"/>
  <c r="AL24" i="27" s="1"/>
  <c r="AJ22" i="27"/>
  <c r="AJ23" i="27"/>
  <c r="AJ21" i="27"/>
  <c r="AJ20" i="27"/>
  <c r="AJ19" i="27"/>
  <c r="AK19" i="27" s="1"/>
  <c r="AL19" i="27" s="1"/>
  <c r="AJ18" i="27"/>
  <c r="AJ17" i="27"/>
  <c r="AK17" i="27" s="1"/>
  <c r="AL17" i="27" s="1"/>
  <c r="AJ16" i="27"/>
  <c r="AJ15" i="27"/>
  <c r="AK15" i="27"/>
  <c r="AL15" i="27" s="1"/>
  <c r="AJ14" i="27"/>
  <c r="AK14" i="27" s="1"/>
  <c r="AL14" i="27" s="1"/>
  <c r="AJ13" i="27"/>
  <c r="AK13" i="27" s="1"/>
  <c r="AL13" i="27" s="1"/>
  <c r="AJ12" i="27"/>
  <c r="AK12" i="27" s="1"/>
  <c r="AL12" i="27" s="1"/>
  <c r="AJ11" i="27"/>
  <c r="AJ10" i="27"/>
  <c r="AJ9" i="27"/>
  <c r="AK9" i="27" s="1"/>
  <c r="AL9" i="27" s="1"/>
  <c r="AJ8" i="27"/>
  <c r="AJ7" i="27"/>
  <c r="AK7" i="27" s="1"/>
  <c r="AL7" i="27" s="1"/>
  <c r="AJ6" i="27"/>
  <c r="AJ5" i="27"/>
  <c r="AJ4" i="27"/>
  <c r="AJ3" i="27"/>
  <c r="AK3" i="27" s="1"/>
  <c r="AL3" i="27" s="1"/>
  <c r="AJ2" i="27"/>
  <c r="AK2" i="27" s="1"/>
  <c r="AL2" i="27" s="1"/>
  <c r="AJ44" i="26"/>
  <c r="AO45" i="26"/>
  <c r="AN45" i="26"/>
  <c r="AK45" i="26"/>
  <c r="AL45" i="26" s="1"/>
  <c r="AJ45" i="26"/>
  <c r="AE45" i="26"/>
  <c r="J45" i="26"/>
  <c r="K45" i="26" s="1"/>
  <c r="I45" i="26"/>
  <c r="Z45" i="26" s="1"/>
  <c r="H45" i="26"/>
  <c r="I3" i="27"/>
  <c r="N3" i="27" s="1"/>
  <c r="O3" i="27" s="1"/>
  <c r="J3" i="27"/>
  <c r="K3" i="27" s="1"/>
  <c r="I4" i="27"/>
  <c r="N4" i="27" s="1"/>
  <c r="P4" i="27" s="1"/>
  <c r="J4" i="27"/>
  <c r="L4" i="27" s="1"/>
  <c r="I5" i="27"/>
  <c r="N5" i="27" s="1"/>
  <c r="J5" i="27"/>
  <c r="I6" i="27"/>
  <c r="J6" i="27"/>
  <c r="K6" i="27" s="1"/>
  <c r="I7" i="27"/>
  <c r="N7" i="27" s="1"/>
  <c r="O7" i="27" s="1"/>
  <c r="J7" i="27"/>
  <c r="K7" i="27" s="1"/>
  <c r="I8" i="27"/>
  <c r="N8" i="27" s="1"/>
  <c r="P8" i="27" s="1"/>
  <c r="J8" i="27"/>
  <c r="K8" i="27" s="1"/>
  <c r="I9" i="27"/>
  <c r="R9" i="27" s="1"/>
  <c r="J9" i="27"/>
  <c r="I10" i="27"/>
  <c r="J10" i="27"/>
  <c r="K10" i="27" s="1"/>
  <c r="I11" i="27"/>
  <c r="N11" i="27" s="1"/>
  <c r="O11" i="27" s="1"/>
  <c r="J11" i="27"/>
  <c r="K11" i="27" s="1"/>
  <c r="I12" i="27"/>
  <c r="N12" i="27" s="1"/>
  <c r="P12" i="27" s="1"/>
  <c r="J12" i="27"/>
  <c r="K12" i="27" s="1"/>
  <c r="I13" i="27"/>
  <c r="N13" i="27" s="1"/>
  <c r="J13" i="27"/>
  <c r="I14" i="27"/>
  <c r="J14" i="27"/>
  <c r="K14" i="27" s="1"/>
  <c r="I15" i="27"/>
  <c r="N15" i="27" s="1"/>
  <c r="O15" i="27" s="1"/>
  <c r="J15" i="27"/>
  <c r="K15" i="27" s="1"/>
  <c r="I16" i="27"/>
  <c r="J16" i="27"/>
  <c r="L16" i="27" s="1"/>
  <c r="I17" i="27"/>
  <c r="R17" i="27" s="1"/>
  <c r="J17" i="27"/>
  <c r="I18" i="27"/>
  <c r="J18" i="27"/>
  <c r="K18" i="27" s="1"/>
  <c r="I19" i="27"/>
  <c r="N19" i="27" s="1"/>
  <c r="O19" i="27" s="1"/>
  <c r="J19" i="27"/>
  <c r="K19" i="27" s="1"/>
  <c r="I20" i="27"/>
  <c r="J20" i="27"/>
  <c r="K20" i="27" s="1"/>
  <c r="I21" i="27"/>
  <c r="R21" i="27" s="1"/>
  <c r="J21" i="27"/>
  <c r="I22" i="27"/>
  <c r="J22" i="27"/>
  <c r="K22" i="27" s="1"/>
  <c r="I23" i="27"/>
  <c r="N23" i="27" s="1"/>
  <c r="O23" i="27" s="1"/>
  <c r="J23" i="27"/>
  <c r="K23" i="27" s="1"/>
  <c r="I24" i="27"/>
  <c r="J24" i="27"/>
  <c r="K24" i="27" s="1"/>
  <c r="V25" i="27"/>
  <c r="X25" i="27" s="1"/>
  <c r="L25" i="27"/>
  <c r="K25" i="27"/>
  <c r="I26" i="27"/>
  <c r="N26" i="27" s="1"/>
  <c r="J26" i="27"/>
  <c r="I29" i="27"/>
  <c r="V29" i="27" s="1"/>
  <c r="X29" i="27" s="1"/>
  <c r="J29" i="27"/>
  <c r="L29" i="27" s="1"/>
  <c r="I30" i="27"/>
  <c r="R30" i="27" s="1"/>
  <c r="J30" i="27"/>
  <c r="I31" i="27"/>
  <c r="Z31" i="27" s="1"/>
  <c r="J31" i="27"/>
  <c r="K31" i="27" s="1"/>
  <c r="I32" i="27"/>
  <c r="J32" i="27"/>
  <c r="K32" i="27" s="1"/>
  <c r="I33" i="27"/>
  <c r="N33" i="27" s="1"/>
  <c r="P33" i="27" s="1"/>
  <c r="J33" i="27"/>
  <c r="L33" i="27" s="1"/>
  <c r="I34" i="27"/>
  <c r="N34" i="27" s="1"/>
  <c r="J34" i="27"/>
  <c r="I35" i="27"/>
  <c r="J35" i="27"/>
  <c r="K35" i="27" s="1"/>
  <c r="I36" i="27"/>
  <c r="N36" i="27" s="1"/>
  <c r="O36" i="27" s="1"/>
  <c r="J36" i="27"/>
  <c r="K36" i="27" s="1"/>
  <c r="I37" i="27"/>
  <c r="R37" i="27" s="1"/>
  <c r="T37" i="27" s="1"/>
  <c r="J37" i="27"/>
  <c r="L37" i="27" s="1"/>
  <c r="I38" i="27"/>
  <c r="R38" i="27" s="1"/>
  <c r="J38" i="27"/>
  <c r="I39" i="27"/>
  <c r="Z39" i="27" s="1"/>
  <c r="J39" i="27"/>
  <c r="K39" i="27" s="1"/>
  <c r="I40" i="27"/>
  <c r="N40" i="27" s="1"/>
  <c r="P40" i="27" s="1"/>
  <c r="J40" i="27"/>
  <c r="K40" i="27" s="1"/>
  <c r="I41" i="27"/>
  <c r="J41" i="27"/>
  <c r="K41" i="27" s="1"/>
  <c r="V41" i="27"/>
  <c r="X41" i="27" s="1"/>
  <c r="I42" i="27"/>
  <c r="N42" i="27" s="1"/>
  <c r="J42" i="27"/>
  <c r="L42" i="27" s="1"/>
  <c r="I43" i="27"/>
  <c r="N43" i="27" s="1"/>
  <c r="J43" i="27"/>
  <c r="K43" i="27" s="1"/>
  <c r="I44" i="27"/>
  <c r="J44" i="27"/>
  <c r="K44" i="27" s="1"/>
  <c r="AO44" i="27"/>
  <c r="AN44" i="27"/>
  <c r="AK44" i="27"/>
  <c r="AL44" i="27" s="1"/>
  <c r="AE44" i="27"/>
  <c r="H44" i="27"/>
  <c r="AO43" i="27"/>
  <c r="AN43" i="27"/>
  <c r="AK43" i="27"/>
  <c r="AL43" i="27" s="1"/>
  <c r="AE43" i="27"/>
  <c r="H43" i="27"/>
  <c r="AO42" i="27"/>
  <c r="AN42" i="27"/>
  <c r="AK42" i="27"/>
  <c r="AL42" i="27" s="1"/>
  <c r="AE42" i="27"/>
  <c r="H42" i="27"/>
  <c r="AO41" i="27"/>
  <c r="AN41" i="27"/>
  <c r="AK41" i="27"/>
  <c r="AL41" i="27" s="1"/>
  <c r="AE41" i="27"/>
  <c r="H41" i="27"/>
  <c r="AO40" i="27"/>
  <c r="AN40" i="27"/>
  <c r="AK40" i="27"/>
  <c r="AL40" i="27" s="1"/>
  <c r="AE40" i="27"/>
  <c r="H40" i="27"/>
  <c r="AO39" i="27"/>
  <c r="AN39" i="27"/>
  <c r="AK39" i="27"/>
  <c r="AL39" i="27" s="1"/>
  <c r="AE39" i="27"/>
  <c r="H39" i="27"/>
  <c r="AO38" i="27"/>
  <c r="AN38" i="27"/>
  <c r="AK38" i="27"/>
  <c r="AL38" i="27" s="1"/>
  <c r="AE38" i="27"/>
  <c r="H38" i="27"/>
  <c r="AO37" i="27"/>
  <c r="AN37" i="27"/>
  <c r="AK37" i="27"/>
  <c r="AL37" i="27" s="1"/>
  <c r="AE37" i="27"/>
  <c r="H37" i="27"/>
  <c r="AO36" i="27"/>
  <c r="AN36" i="27"/>
  <c r="AK36" i="27"/>
  <c r="AL36" i="27" s="1"/>
  <c r="AE36" i="27"/>
  <c r="H36" i="27"/>
  <c r="AO35" i="27"/>
  <c r="AN35" i="27"/>
  <c r="AK35" i="27"/>
  <c r="AL35" i="27" s="1"/>
  <c r="AE35" i="27"/>
  <c r="H35" i="27"/>
  <c r="AO34" i="27"/>
  <c r="AN34" i="27"/>
  <c r="AK34" i="27"/>
  <c r="AL34" i="27" s="1"/>
  <c r="AE34" i="27"/>
  <c r="H34" i="27"/>
  <c r="AO33" i="27"/>
  <c r="AN33" i="27"/>
  <c r="AE33" i="27"/>
  <c r="H33" i="27"/>
  <c r="AO32" i="27"/>
  <c r="AN32" i="27"/>
  <c r="AK32" i="27"/>
  <c r="AL32" i="27" s="1"/>
  <c r="AE32" i="27"/>
  <c r="H32" i="27"/>
  <c r="AO31" i="27"/>
  <c r="AN31" i="27"/>
  <c r="AK31" i="27"/>
  <c r="AL31" i="27" s="1"/>
  <c r="AE31" i="27"/>
  <c r="H31" i="27"/>
  <c r="AO30" i="27"/>
  <c r="AN30" i="27"/>
  <c r="AE30" i="27"/>
  <c r="H30" i="27"/>
  <c r="AO29" i="27"/>
  <c r="AN29" i="27"/>
  <c r="AK29" i="27"/>
  <c r="AL29" i="27" s="1"/>
  <c r="AE29" i="27"/>
  <c r="H29" i="27"/>
  <c r="AO28" i="27"/>
  <c r="AN28" i="27"/>
  <c r="AK28" i="27"/>
  <c r="AL28" i="27" s="1"/>
  <c r="AE28" i="27"/>
  <c r="H28" i="27"/>
  <c r="AO27" i="27"/>
  <c r="AN27" i="27"/>
  <c r="AK27" i="27"/>
  <c r="AL27" i="27" s="1"/>
  <c r="AE27" i="27"/>
  <c r="H27" i="27"/>
  <c r="AO26" i="27"/>
  <c r="AN26" i="27"/>
  <c r="AE26" i="27"/>
  <c r="H26" i="27"/>
  <c r="AO25" i="27"/>
  <c r="AN25" i="27"/>
  <c r="AK25" i="27"/>
  <c r="AL25" i="27" s="1"/>
  <c r="AE25" i="27"/>
  <c r="H25" i="27"/>
  <c r="AO24" i="27"/>
  <c r="AN24" i="27"/>
  <c r="AE24" i="27"/>
  <c r="H24" i="27"/>
  <c r="AO23" i="27"/>
  <c r="AN23" i="27"/>
  <c r="AK23" i="27"/>
  <c r="AL23" i="27" s="1"/>
  <c r="AE23" i="27"/>
  <c r="H23" i="27"/>
  <c r="AO22" i="27"/>
  <c r="AN22" i="27"/>
  <c r="AK22" i="27"/>
  <c r="AL22" i="27" s="1"/>
  <c r="AE22" i="27"/>
  <c r="Z22" i="27"/>
  <c r="H22" i="27"/>
  <c r="AO21" i="27"/>
  <c r="AN21" i="27"/>
  <c r="AK21" i="27"/>
  <c r="AL21" i="27" s="1"/>
  <c r="AE21" i="27"/>
  <c r="H21" i="27"/>
  <c r="AO20" i="27"/>
  <c r="AN20" i="27"/>
  <c r="AK20" i="27"/>
  <c r="AL20" i="27" s="1"/>
  <c r="AE20" i="27"/>
  <c r="H20" i="27"/>
  <c r="AO19" i="27"/>
  <c r="AN19" i="27"/>
  <c r="AE19" i="27"/>
  <c r="H19" i="27"/>
  <c r="AO18" i="27"/>
  <c r="AN18" i="27"/>
  <c r="AK18" i="27"/>
  <c r="AL18" i="27" s="1"/>
  <c r="AE18" i="27"/>
  <c r="H18" i="27"/>
  <c r="AO17" i="27"/>
  <c r="AN17" i="27"/>
  <c r="AE17" i="27"/>
  <c r="H17" i="27"/>
  <c r="AO16" i="27"/>
  <c r="AN16" i="27"/>
  <c r="AK16" i="27"/>
  <c r="AL16" i="27" s="1"/>
  <c r="AE16" i="27"/>
  <c r="H16" i="27"/>
  <c r="AO15" i="27"/>
  <c r="AN15" i="27"/>
  <c r="AE15" i="27"/>
  <c r="H15" i="27"/>
  <c r="AO14" i="27"/>
  <c r="AN14" i="27"/>
  <c r="AE14" i="27"/>
  <c r="Z14" i="27"/>
  <c r="H14" i="27"/>
  <c r="AO13" i="27"/>
  <c r="AN13" i="27"/>
  <c r="AE13" i="27"/>
  <c r="H13" i="27"/>
  <c r="AO12" i="27"/>
  <c r="AN12" i="27"/>
  <c r="AE12" i="27"/>
  <c r="H12" i="27"/>
  <c r="AO11" i="27"/>
  <c r="AN11" i="27"/>
  <c r="AK11" i="27"/>
  <c r="AL11" i="27" s="1"/>
  <c r="AE11" i="27"/>
  <c r="H11" i="27"/>
  <c r="AO10" i="27"/>
  <c r="AN10" i="27"/>
  <c r="AK10" i="27"/>
  <c r="AL10" i="27" s="1"/>
  <c r="AE10" i="27"/>
  <c r="Z10" i="27"/>
  <c r="H10" i="27"/>
  <c r="AO9" i="27"/>
  <c r="AN9" i="27"/>
  <c r="AE9" i="27"/>
  <c r="H9" i="27"/>
  <c r="AO8" i="27"/>
  <c r="AN8" i="27"/>
  <c r="AK8" i="27"/>
  <c r="AL8" i="27" s="1"/>
  <c r="AE8" i="27"/>
  <c r="H8" i="27"/>
  <c r="AO7" i="27"/>
  <c r="AN7" i="27"/>
  <c r="AE7" i="27"/>
  <c r="H7" i="27"/>
  <c r="AO6" i="27"/>
  <c r="AN6" i="27"/>
  <c r="AK6" i="27"/>
  <c r="AL6" i="27" s="1"/>
  <c r="AE6" i="27"/>
  <c r="Z6" i="27"/>
  <c r="H6" i="27"/>
  <c r="AO5" i="27"/>
  <c r="AN5" i="27"/>
  <c r="AK5" i="27"/>
  <c r="AL5" i="27" s="1"/>
  <c r="AE5" i="27"/>
  <c r="H5" i="27"/>
  <c r="AO4" i="27"/>
  <c r="AN4" i="27"/>
  <c r="AK4" i="27"/>
  <c r="AL4" i="27" s="1"/>
  <c r="AE4" i="27"/>
  <c r="H4" i="27"/>
  <c r="AO3" i="27"/>
  <c r="AN3" i="27"/>
  <c r="AE3" i="27"/>
  <c r="H3" i="27"/>
  <c r="AO2" i="27"/>
  <c r="AN2" i="27"/>
  <c r="AE2" i="27"/>
  <c r="J2" i="27"/>
  <c r="K2" i="27" s="1"/>
  <c r="I2" i="27"/>
  <c r="H2" i="27"/>
  <c r="AJ33" i="26"/>
  <c r="G33" i="26"/>
  <c r="AJ43" i="26"/>
  <c r="AJ42" i="26"/>
  <c r="AJ41" i="26"/>
  <c r="AJ40" i="26"/>
  <c r="AJ39" i="26"/>
  <c r="AJ38" i="26"/>
  <c r="AJ37" i="26"/>
  <c r="AJ36" i="26"/>
  <c r="AJ35" i="26"/>
  <c r="AJ34" i="26"/>
  <c r="AJ32" i="26"/>
  <c r="AJ31" i="26"/>
  <c r="AJ30" i="26"/>
  <c r="Z40" i="27" l="1"/>
  <c r="N37" i="27"/>
  <c r="P37" i="27" s="1"/>
  <c r="N44" i="27"/>
  <c r="O44" i="27" s="1"/>
  <c r="L41" i="27"/>
  <c r="Z27" i="27"/>
  <c r="S48" i="27"/>
  <c r="U48" i="27" s="1"/>
  <c r="S51" i="27"/>
  <c r="U51" i="27" s="1"/>
  <c r="O40" i="27"/>
  <c r="O51" i="27"/>
  <c r="Q51" i="27" s="1"/>
  <c r="Q40" i="27"/>
  <c r="N32" i="27"/>
  <c r="O32" i="27" s="1"/>
  <c r="W48" i="27"/>
  <c r="Y48" i="27" s="1"/>
  <c r="N41" i="27"/>
  <c r="O41" i="27" s="1"/>
  <c r="K16" i="27"/>
  <c r="L43" i="27"/>
  <c r="M43" i="27" s="1"/>
  <c r="W41" i="27"/>
  <c r="L40" i="27"/>
  <c r="M40" i="27" s="1"/>
  <c r="U49" i="27"/>
  <c r="L35" i="27"/>
  <c r="L15" i="27"/>
  <c r="M15" i="27" s="1"/>
  <c r="P4" i="28"/>
  <c r="O4" i="28"/>
  <c r="X2" i="28"/>
  <c r="W2" i="28"/>
  <c r="T2" i="28"/>
  <c r="S2" i="28"/>
  <c r="Q3" i="28"/>
  <c r="AA3" i="28" s="1"/>
  <c r="AG3" i="28" s="1"/>
  <c r="X4" i="28"/>
  <c r="Y4" i="28" s="1"/>
  <c r="W4" i="28"/>
  <c r="T4" i="28"/>
  <c r="S4" i="28"/>
  <c r="P2" i="28"/>
  <c r="O2" i="28"/>
  <c r="W49" i="27"/>
  <c r="X49" i="27"/>
  <c r="P49" i="27"/>
  <c r="O49" i="27"/>
  <c r="P50" i="27"/>
  <c r="O50" i="27"/>
  <c r="X50" i="27"/>
  <c r="W50" i="27"/>
  <c r="T50" i="27"/>
  <c r="S50" i="27"/>
  <c r="AA51" i="27"/>
  <c r="AG51" i="27" s="1"/>
  <c r="R44" i="27"/>
  <c r="S44" i="27" s="1"/>
  <c r="V44" i="27"/>
  <c r="W44" i="27" s="1"/>
  <c r="W45" i="27"/>
  <c r="X45" i="27"/>
  <c r="S46" i="27"/>
  <c r="T46" i="27"/>
  <c r="P47" i="27"/>
  <c r="O47" i="27"/>
  <c r="AA48" i="27"/>
  <c r="AG48" i="27" s="1"/>
  <c r="S45" i="27"/>
  <c r="T45" i="27"/>
  <c r="O46" i="27"/>
  <c r="P46" i="27"/>
  <c r="W46" i="27"/>
  <c r="X46" i="27"/>
  <c r="T47" i="27"/>
  <c r="S47" i="27"/>
  <c r="O45" i="27"/>
  <c r="P45" i="27"/>
  <c r="X47" i="27"/>
  <c r="W47" i="27"/>
  <c r="K42" i="27"/>
  <c r="M42" i="27" s="1"/>
  <c r="R41" i="27"/>
  <c r="S41" i="27" s="1"/>
  <c r="L39" i="27"/>
  <c r="M39" i="27" s="1"/>
  <c r="V37" i="27"/>
  <c r="X37" i="27" s="1"/>
  <c r="P36" i="27"/>
  <c r="Q36" i="27" s="1"/>
  <c r="L36" i="27"/>
  <c r="M36" i="27" s="1"/>
  <c r="M35" i="27"/>
  <c r="R33" i="27"/>
  <c r="T33" i="27" s="1"/>
  <c r="Z33" i="27"/>
  <c r="V33" i="27"/>
  <c r="X33" i="27" s="1"/>
  <c r="L32" i="27"/>
  <c r="P32" i="27"/>
  <c r="Q32" i="27" s="1"/>
  <c r="L31" i="27"/>
  <c r="M31" i="27" s="1"/>
  <c r="R29" i="27"/>
  <c r="T29" i="27" s="1"/>
  <c r="N29" i="27"/>
  <c r="P29" i="27" s="1"/>
  <c r="M25" i="27"/>
  <c r="R25" i="27"/>
  <c r="S25" i="27" s="1"/>
  <c r="N25" i="27"/>
  <c r="N24" i="27"/>
  <c r="L24" i="27"/>
  <c r="M24" i="27" s="1"/>
  <c r="Z24" i="27"/>
  <c r="P23" i="27"/>
  <c r="Q23" i="27" s="1"/>
  <c r="L23" i="27"/>
  <c r="M23" i="27" s="1"/>
  <c r="N21" i="27"/>
  <c r="O21" i="27" s="1"/>
  <c r="V21" i="27"/>
  <c r="X21" i="27" s="1"/>
  <c r="N20" i="27"/>
  <c r="L20" i="27"/>
  <c r="P19" i="27"/>
  <c r="Q19" i="27" s="1"/>
  <c r="L19" i="27"/>
  <c r="M19" i="27" s="1"/>
  <c r="N17" i="27"/>
  <c r="O17" i="27" s="1"/>
  <c r="Z17" i="27"/>
  <c r="V17" i="27"/>
  <c r="N16" i="27"/>
  <c r="Z16" i="27"/>
  <c r="P15" i="27"/>
  <c r="Q15" i="27" s="1"/>
  <c r="Z15" i="27"/>
  <c r="Z13" i="27"/>
  <c r="V13" i="27"/>
  <c r="R13" i="27"/>
  <c r="S13" i="27" s="1"/>
  <c r="Z12" i="27"/>
  <c r="L12" i="27"/>
  <c r="M12" i="27" s="1"/>
  <c r="O12" i="27"/>
  <c r="Q12" i="27" s="1"/>
  <c r="P11" i="27"/>
  <c r="Q11" i="27" s="1"/>
  <c r="L11" i="27"/>
  <c r="M11" i="27" s="1"/>
  <c r="Z11" i="27"/>
  <c r="N9" i="27"/>
  <c r="O9" i="27" s="1"/>
  <c r="Z9" i="27"/>
  <c r="V9" i="27"/>
  <c r="W9" i="27" s="1"/>
  <c r="O8" i="27"/>
  <c r="Z8" i="27"/>
  <c r="L8" i="27"/>
  <c r="M8" i="27" s="1"/>
  <c r="P7" i="27"/>
  <c r="Q7" i="27" s="1"/>
  <c r="Z7" i="27"/>
  <c r="L7" i="27"/>
  <c r="M7" i="27" s="1"/>
  <c r="V5" i="27"/>
  <c r="X5" i="27" s="1"/>
  <c r="R5" i="27"/>
  <c r="K4" i="27"/>
  <c r="O4" i="27"/>
  <c r="Z3" i="27"/>
  <c r="P3" i="27"/>
  <c r="Q3" i="27" s="1"/>
  <c r="L3" i="27"/>
  <c r="L2" i="27"/>
  <c r="N45" i="26"/>
  <c r="R45" i="26"/>
  <c r="V45" i="26"/>
  <c r="L45" i="26"/>
  <c r="M45" i="26" s="1"/>
  <c r="P42" i="27"/>
  <c r="O42" i="27"/>
  <c r="S38" i="27"/>
  <c r="T38" i="27"/>
  <c r="O34" i="27"/>
  <c r="P34" i="27"/>
  <c r="P43" i="27"/>
  <c r="O43" i="27"/>
  <c r="S30" i="27"/>
  <c r="T30" i="27"/>
  <c r="O26" i="27"/>
  <c r="P26" i="27"/>
  <c r="Q26" i="27" s="1"/>
  <c r="Z38" i="27"/>
  <c r="Z43" i="27"/>
  <c r="V43" i="27"/>
  <c r="R43" i="27"/>
  <c r="V38" i="27"/>
  <c r="N38" i="27"/>
  <c r="W37" i="27"/>
  <c r="O37" i="27"/>
  <c r="Q37" i="27" s="1"/>
  <c r="N35" i="27"/>
  <c r="R35" i="27"/>
  <c r="V35" i="27"/>
  <c r="R34" i="27"/>
  <c r="K34" i="27"/>
  <c r="L34" i="27"/>
  <c r="S33" i="27"/>
  <c r="U33" i="27" s="1"/>
  <c r="K33" i="27"/>
  <c r="M33" i="27" s="1"/>
  <c r="V30" i="27"/>
  <c r="N30" i="27"/>
  <c r="W29" i="27"/>
  <c r="R26" i="27"/>
  <c r="K26" i="27"/>
  <c r="L26" i="27"/>
  <c r="M26" i="27" s="1"/>
  <c r="P9" i="27"/>
  <c r="X44" i="27"/>
  <c r="Y44" i="27" s="1"/>
  <c r="P44" i="27"/>
  <c r="Q44" i="27" s="1"/>
  <c r="L44" i="27"/>
  <c r="M44" i="27" s="1"/>
  <c r="T41" i="27"/>
  <c r="U41" i="27" s="1"/>
  <c r="Y37" i="27"/>
  <c r="M32" i="27"/>
  <c r="Y29" i="27"/>
  <c r="M41" i="27"/>
  <c r="V42" i="27"/>
  <c r="R42" i="27"/>
  <c r="Y41" i="27"/>
  <c r="N39" i="27"/>
  <c r="R39" i="27"/>
  <c r="V39" i="27"/>
  <c r="K38" i="27"/>
  <c r="L38" i="27"/>
  <c r="S37" i="27"/>
  <c r="U37" i="27" s="1"/>
  <c r="K37" i="27"/>
  <c r="M37" i="27" s="1"/>
  <c r="V34" i="27"/>
  <c r="O33" i="27"/>
  <c r="Q33" i="27" s="1"/>
  <c r="N31" i="27"/>
  <c r="R31" i="27"/>
  <c r="V31" i="27"/>
  <c r="K30" i="27"/>
  <c r="L30" i="27"/>
  <c r="S29" i="27"/>
  <c r="U29" i="27" s="1"/>
  <c r="K29" i="27"/>
  <c r="M29" i="27" s="1"/>
  <c r="V26" i="27"/>
  <c r="W25" i="27"/>
  <c r="Y25" i="27" s="1"/>
  <c r="O13" i="27"/>
  <c r="P13" i="27"/>
  <c r="O5" i="27"/>
  <c r="P5" i="27"/>
  <c r="N22" i="27"/>
  <c r="R22" i="27"/>
  <c r="V22" i="27"/>
  <c r="K21" i="27"/>
  <c r="L21" i="27"/>
  <c r="M21" i="27" s="1"/>
  <c r="N18" i="27"/>
  <c r="R18" i="27"/>
  <c r="V18" i="27"/>
  <c r="K17" i="27"/>
  <c r="L17" i="27"/>
  <c r="N14" i="27"/>
  <c r="R14" i="27"/>
  <c r="V14" i="27"/>
  <c r="K13" i="27"/>
  <c r="L13" i="27"/>
  <c r="N10" i="27"/>
  <c r="R10" i="27"/>
  <c r="V10" i="27"/>
  <c r="K9" i="27"/>
  <c r="L9" i="27"/>
  <c r="M9" i="27" s="1"/>
  <c r="Q8" i="27"/>
  <c r="N6" i="27"/>
  <c r="R6" i="27"/>
  <c r="V6" i="27"/>
  <c r="K5" i="27"/>
  <c r="L5" i="27"/>
  <c r="Q4" i="27"/>
  <c r="M3" i="27"/>
  <c r="V40" i="27"/>
  <c r="R40" i="27"/>
  <c r="V36" i="27"/>
  <c r="R36" i="27"/>
  <c r="V32" i="27"/>
  <c r="R32" i="27"/>
  <c r="W21" i="27"/>
  <c r="M20" i="27"/>
  <c r="W17" i="27"/>
  <c r="X17" i="27"/>
  <c r="M16" i="27"/>
  <c r="W13" i="27"/>
  <c r="X13" i="27"/>
  <c r="X9" i="27"/>
  <c r="W5" i="27"/>
  <c r="M4" i="27"/>
  <c r="S21" i="27"/>
  <c r="T21" i="27"/>
  <c r="S17" i="27"/>
  <c r="T17" i="27"/>
  <c r="S9" i="27"/>
  <c r="T9" i="27"/>
  <c r="S5" i="27"/>
  <c r="T5" i="27"/>
  <c r="V24" i="27"/>
  <c r="R24" i="27"/>
  <c r="L22" i="27"/>
  <c r="M22" i="27" s="1"/>
  <c r="V20" i="27"/>
  <c r="R20" i="27"/>
  <c r="L18" i="27"/>
  <c r="M18" i="27" s="1"/>
  <c r="V16" i="27"/>
  <c r="R16" i="27"/>
  <c r="L14" i="27"/>
  <c r="M14" i="27" s="1"/>
  <c r="V12" i="27"/>
  <c r="R12" i="27"/>
  <c r="L10" i="27"/>
  <c r="M10" i="27" s="1"/>
  <c r="V8" i="27"/>
  <c r="R8" i="27"/>
  <c r="L6" i="27"/>
  <c r="M6" i="27" s="1"/>
  <c r="V4" i="27"/>
  <c r="R4" i="27"/>
  <c r="V23" i="27"/>
  <c r="R23" i="27"/>
  <c r="V19" i="27"/>
  <c r="R19" i="27"/>
  <c r="V15" i="27"/>
  <c r="R15" i="27"/>
  <c r="V11" i="27"/>
  <c r="R11" i="27"/>
  <c r="V7" i="27"/>
  <c r="R7" i="27"/>
  <c r="V3" i="27"/>
  <c r="R3" i="27"/>
  <c r="Z42" i="27"/>
  <c r="Z41" i="27"/>
  <c r="Z34" i="27"/>
  <c r="Z44" i="27"/>
  <c r="Z29" i="27"/>
  <c r="Z30" i="27"/>
  <c r="Z23" i="27"/>
  <c r="Z32" i="27"/>
  <c r="M2" i="27"/>
  <c r="Z26" i="27"/>
  <c r="Z5" i="27"/>
  <c r="Z4" i="27"/>
  <c r="Z2" i="27"/>
  <c r="V2" i="27"/>
  <c r="R2" i="27"/>
  <c r="N2" i="27"/>
  <c r="Z20" i="27"/>
  <c r="Z18" i="27"/>
  <c r="Z19" i="27"/>
  <c r="Z25" i="27"/>
  <c r="Z21" i="27"/>
  <c r="Z28" i="27"/>
  <c r="Z35" i="27"/>
  <c r="Z37" i="27"/>
  <c r="Z36" i="27"/>
  <c r="AJ29" i="26"/>
  <c r="AJ28" i="26"/>
  <c r="Y49" i="27" l="1"/>
  <c r="M13" i="27"/>
  <c r="U30" i="27"/>
  <c r="U38" i="27"/>
  <c r="M17" i="27"/>
  <c r="P17" i="27"/>
  <c r="P41" i="27"/>
  <c r="Q41" i="27" s="1"/>
  <c r="U46" i="27"/>
  <c r="Q50" i="27"/>
  <c r="P21" i="27"/>
  <c r="Q21" i="27" s="1"/>
  <c r="O29" i="27"/>
  <c r="Q29" i="27" s="1"/>
  <c r="Y45" i="27"/>
  <c r="Q49" i="27"/>
  <c r="AA49" i="27" s="1"/>
  <c r="AG49" i="27" s="1"/>
  <c r="U5" i="27"/>
  <c r="Y13" i="27"/>
  <c r="T44" i="27"/>
  <c r="U44" i="27" s="1"/>
  <c r="Q5" i="27"/>
  <c r="Y5" i="27"/>
  <c r="Y21" i="27"/>
  <c r="AA6" i="28"/>
  <c r="AG6" i="28" s="1"/>
  <c r="U4" i="28"/>
  <c r="U2" i="28"/>
  <c r="Y2" i="28"/>
  <c r="Q4" i="28"/>
  <c r="AA4" i="28" s="1"/>
  <c r="AG4" i="28" s="1"/>
  <c r="Q2" i="28"/>
  <c r="U50" i="27"/>
  <c r="Y50" i="27"/>
  <c r="AA50" i="27" s="1"/>
  <c r="AG50" i="27" s="1"/>
  <c r="Q46" i="27"/>
  <c r="Y47" i="27"/>
  <c r="U47" i="27"/>
  <c r="Q45" i="27"/>
  <c r="Y46" i="27"/>
  <c r="AA46" i="27" s="1"/>
  <c r="AG46" i="27" s="1"/>
  <c r="U45" i="27"/>
  <c r="Q47" i="27"/>
  <c r="M38" i="27"/>
  <c r="M34" i="27"/>
  <c r="Q34" i="27"/>
  <c r="W33" i="27"/>
  <c r="Y33" i="27" s="1"/>
  <c r="T25" i="27"/>
  <c r="U25" i="27" s="1"/>
  <c r="O25" i="27"/>
  <c r="P25" i="27"/>
  <c r="P24" i="27"/>
  <c r="O24" i="27"/>
  <c r="U21" i="27"/>
  <c r="P20" i="27"/>
  <c r="O20" i="27"/>
  <c r="Y17" i="27"/>
  <c r="Q17" i="27"/>
  <c r="P16" i="27"/>
  <c r="O16" i="27"/>
  <c r="T13" i="27"/>
  <c r="U13" i="27" s="1"/>
  <c r="M5" i="27"/>
  <c r="S45" i="26"/>
  <c r="T45" i="26"/>
  <c r="O45" i="26"/>
  <c r="P45" i="26"/>
  <c r="Q45" i="26" s="1"/>
  <c r="W45" i="26"/>
  <c r="X45" i="26"/>
  <c r="S3" i="27"/>
  <c r="T3" i="27"/>
  <c r="T20" i="27"/>
  <c r="S20" i="27"/>
  <c r="W24" i="27"/>
  <c r="X24" i="27"/>
  <c r="Y24" i="27" s="1"/>
  <c r="W26" i="27"/>
  <c r="X26" i="27"/>
  <c r="X42" i="27"/>
  <c r="W42" i="27"/>
  <c r="S34" i="27"/>
  <c r="T34" i="27"/>
  <c r="W3" i="27"/>
  <c r="X3" i="27"/>
  <c r="T16" i="27"/>
  <c r="S16" i="27"/>
  <c r="X20" i="27"/>
  <c r="W20" i="27"/>
  <c r="X32" i="27"/>
  <c r="W32" i="27"/>
  <c r="W40" i="27"/>
  <c r="X40" i="27"/>
  <c r="S10" i="27"/>
  <c r="T10" i="27"/>
  <c r="U10" i="27" s="1"/>
  <c r="S18" i="27"/>
  <c r="T18" i="27"/>
  <c r="U18" i="27" s="1"/>
  <c r="W31" i="27"/>
  <c r="X31" i="27"/>
  <c r="O39" i="27"/>
  <c r="P39" i="27"/>
  <c r="W35" i="27"/>
  <c r="X35" i="27"/>
  <c r="T43" i="27"/>
  <c r="S43" i="27"/>
  <c r="Q43" i="27"/>
  <c r="S19" i="27"/>
  <c r="T19" i="27"/>
  <c r="X8" i="27"/>
  <c r="W8" i="27"/>
  <c r="S32" i="27"/>
  <c r="T32" i="27"/>
  <c r="T40" i="27"/>
  <c r="S40" i="27"/>
  <c r="O6" i="27"/>
  <c r="P6" i="27"/>
  <c r="W10" i="27"/>
  <c r="X10" i="27"/>
  <c r="O14" i="27"/>
  <c r="P14" i="27"/>
  <c r="W18" i="27"/>
  <c r="X18" i="27"/>
  <c r="O22" i="27"/>
  <c r="P22" i="27"/>
  <c r="S39" i="27"/>
  <c r="T39" i="27"/>
  <c r="S26" i="27"/>
  <c r="T26" i="27"/>
  <c r="W11" i="27"/>
  <c r="X11" i="27"/>
  <c r="W19" i="27"/>
  <c r="X19" i="27"/>
  <c r="X4" i="27"/>
  <c r="W4" i="27"/>
  <c r="T12" i="27"/>
  <c r="S12" i="27"/>
  <c r="X16" i="27"/>
  <c r="W16" i="27"/>
  <c r="T36" i="27"/>
  <c r="S36" i="27"/>
  <c r="W6" i="27"/>
  <c r="X6" i="27"/>
  <c r="O10" i="27"/>
  <c r="P10" i="27"/>
  <c r="W14" i="27"/>
  <c r="X14" i="27"/>
  <c r="O18" i="27"/>
  <c r="P18" i="27"/>
  <c r="W22" i="27"/>
  <c r="X22" i="27"/>
  <c r="S31" i="27"/>
  <c r="T31" i="27"/>
  <c r="W34" i="27"/>
  <c r="X34" i="27"/>
  <c r="O30" i="27"/>
  <c r="P30" i="27"/>
  <c r="S35" i="27"/>
  <c r="T35" i="27"/>
  <c r="O38" i="27"/>
  <c r="P38" i="27"/>
  <c r="X43" i="27"/>
  <c r="W43" i="27"/>
  <c r="S11" i="27"/>
  <c r="T11" i="27"/>
  <c r="T4" i="27"/>
  <c r="S4" i="27"/>
  <c r="S7" i="27"/>
  <c r="T7" i="27"/>
  <c r="S15" i="27"/>
  <c r="T15" i="27"/>
  <c r="S23" i="27"/>
  <c r="T23" i="27"/>
  <c r="W7" i="27"/>
  <c r="X7" i="27"/>
  <c r="W15" i="27"/>
  <c r="X15" i="27"/>
  <c r="W23" i="27"/>
  <c r="X23" i="27"/>
  <c r="T8" i="27"/>
  <c r="S8" i="27"/>
  <c r="X12" i="27"/>
  <c r="W12" i="27"/>
  <c r="S24" i="27"/>
  <c r="T24" i="27"/>
  <c r="U9" i="27"/>
  <c r="U17" i="27"/>
  <c r="Y9" i="27"/>
  <c r="W36" i="27"/>
  <c r="X36" i="27"/>
  <c r="S6" i="27"/>
  <c r="T6" i="27"/>
  <c r="S14" i="27"/>
  <c r="T14" i="27"/>
  <c r="S22" i="27"/>
  <c r="T22" i="27"/>
  <c r="Q13" i="27"/>
  <c r="M30" i="27"/>
  <c r="O31" i="27"/>
  <c r="P31" i="27"/>
  <c r="W39" i="27"/>
  <c r="X39" i="27"/>
  <c r="T42" i="27"/>
  <c r="S42" i="27"/>
  <c r="Q9" i="27"/>
  <c r="W30" i="27"/>
  <c r="X30" i="27"/>
  <c r="O35" i="27"/>
  <c r="P35" i="27"/>
  <c r="W38" i="27"/>
  <c r="X38" i="27"/>
  <c r="Q42" i="27"/>
  <c r="X2" i="27"/>
  <c r="W2" i="27"/>
  <c r="AA5" i="27"/>
  <c r="AG5" i="27" s="1"/>
  <c r="O2" i="27"/>
  <c r="P2" i="27"/>
  <c r="S2" i="27"/>
  <c r="T2" i="27"/>
  <c r="AJ27" i="26"/>
  <c r="AJ26" i="26"/>
  <c r="AJ25" i="26"/>
  <c r="AJ24" i="26"/>
  <c r="AJ23" i="26"/>
  <c r="AJ21" i="26"/>
  <c r="AJ20" i="26"/>
  <c r="AJ19" i="26"/>
  <c r="AJ18" i="26"/>
  <c r="AJ17" i="26"/>
  <c r="AJ16" i="26"/>
  <c r="AJ15" i="26"/>
  <c r="AJ14" i="26"/>
  <c r="AJ13" i="26"/>
  <c r="AJ12" i="26"/>
  <c r="AJ11" i="26"/>
  <c r="I12" i="26"/>
  <c r="N12" i="26" s="1"/>
  <c r="J12" i="26"/>
  <c r="K12" i="26" s="1"/>
  <c r="AJ10" i="26"/>
  <c r="AJ9" i="26"/>
  <c r="AJ8" i="26"/>
  <c r="AJ7" i="26"/>
  <c r="S7" i="26"/>
  <c r="O7" i="26"/>
  <c r="K7" i="26"/>
  <c r="U22" i="27" l="1"/>
  <c r="Y8" i="27"/>
  <c r="U14" i="27"/>
  <c r="Y35" i="27"/>
  <c r="AA47" i="27"/>
  <c r="AG47" i="27" s="1"/>
  <c r="Q25" i="27"/>
  <c r="AA45" i="27"/>
  <c r="AG45" i="27" s="1"/>
  <c r="AA45" i="26"/>
  <c r="AG45" i="26" s="1"/>
  <c r="Y45" i="26"/>
  <c r="U45" i="26"/>
  <c r="AA5" i="28"/>
  <c r="AG5" i="28" s="1"/>
  <c r="AA2" i="28"/>
  <c r="AG2" i="28" s="1"/>
  <c r="Y43" i="27"/>
  <c r="U40" i="27"/>
  <c r="Y40" i="27"/>
  <c r="Y39" i="27"/>
  <c r="Q39" i="27"/>
  <c r="Y36" i="27"/>
  <c r="U36" i="27"/>
  <c r="Q35" i="27"/>
  <c r="U34" i="27"/>
  <c r="AA34" i="27" s="1"/>
  <c r="AG34" i="27" s="1"/>
  <c r="Q31" i="27"/>
  <c r="Y31" i="27"/>
  <c r="Y26" i="27"/>
  <c r="Q24" i="27"/>
  <c r="Q20" i="27"/>
  <c r="Y16" i="27"/>
  <c r="Q16" i="27"/>
  <c r="U12" i="27"/>
  <c r="Y12" i="27"/>
  <c r="U8" i="27"/>
  <c r="U6" i="27"/>
  <c r="Y4" i="27"/>
  <c r="U4" i="27"/>
  <c r="Y3" i="27"/>
  <c r="U3" i="27"/>
  <c r="AA3" i="27" s="1"/>
  <c r="AG3" i="27" s="1"/>
  <c r="U42" i="27"/>
  <c r="U24" i="27"/>
  <c r="AA24" i="27" s="1"/>
  <c r="AG24" i="27" s="1"/>
  <c r="Y15" i="27"/>
  <c r="U23" i="27"/>
  <c r="AA23" i="27" s="1"/>
  <c r="AG23" i="27" s="1"/>
  <c r="U7" i="27"/>
  <c r="U11" i="27"/>
  <c r="AA11" i="27" s="1"/>
  <c r="AG11" i="27" s="1"/>
  <c r="Q38" i="27"/>
  <c r="Q30" i="27"/>
  <c r="Y34" i="27"/>
  <c r="Y22" i="27"/>
  <c r="Y14" i="27"/>
  <c r="Y6" i="27"/>
  <c r="Y19" i="27"/>
  <c r="U26" i="27"/>
  <c r="Q22" i="27"/>
  <c r="AA22" i="27" s="1"/>
  <c r="AG22" i="27" s="1"/>
  <c r="Q14" i="27"/>
  <c r="Q6" i="27"/>
  <c r="U32" i="27"/>
  <c r="U19" i="27"/>
  <c r="U43" i="27"/>
  <c r="Y32" i="27"/>
  <c r="U16" i="27"/>
  <c r="U20" i="27"/>
  <c r="Y38" i="27"/>
  <c r="Y30" i="27"/>
  <c r="Y23" i="27"/>
  <c r="Y7" i="27"/>
  <c r="U15" i="27"/>
  <c r="U35" i="27"/>
  <c r="U31" i="27"/>
  <c r="AA31" i="27" s="1"/>
  <c r="AG31" i="27" s="1"/>
  <c r="Q18" i="27"/>
  <c r="Q10" i="27"/>
  <c r="Y11" i="27"/>
  <c r="U39" i="27"/>
  <c r="Y18" i="27"/>
  <c r="Y10" i="27"/>
  <c r="Y20" i="27"/>
  <c r="Y42" i="27"/>
  <c r="AA44" i="27"/>
  <c r="AG44" i="27" s="1"/>
  <c r="AA17" i="27"/>
  <c r="AG17" i="27" s="1"/>
  <c r="Q2" i="27"/>
  <c r="AA29" i="27"/>
  <c r="AG29" i="27" s="1"/>
  <c r="U2" i="27"/>
  <c r="AA21" i="27"/>
  <c r="AG21" i="27" s="1"/>
  <c r="Y2" i="27"/>
  <c r="AA25" i="27"/>
  <c r="AG25" i="27" s="1"/>
  <c r="AA4" i="27"/>
  <c r="AG4" i="27" s="1"/>
  <c r="AA8" i="27"/>
  <c r="AG8" i="27" s="1"/>
  <c r="O12" i="26"/>
  <c r="P12" i="26"/>
  <c r="L12" i="26"/>
  <c r="M12" i="26" s="1"/>
  <c r="V12" i="26"/>
  <c r="R12" i="26"/>
  <c r="AJ6" i="26"/>
  <c r="AJ5" i="26"/>
  <c r="AJ4" i="26"/>
  <c r="AA16" i="27" l="1"/>
  <c r="AG16" i="27" s="1"/>
  <c r="AA27" i="27"/>
  <c r="AG27" i="27" s="1"/>
  <c r="AA14" i="27"/>
  <c r="AG14" i="27" s="1"/>
  <c r="AA26" i="27"/>
  <c r="AG26" i="27" s="1"/>
  <c r="AA19" i="27"/>
  <c r="AG19" i="27" s="1"/>
  <c r="AA28" i="27"/>
  <c r="AG28" i="27" s="1"/>
  <c r="AA30" i="27"/>
  <c r="AG30" i="27" s="1"/>
  <c r="AA15" i="27"/>
  <c r="AG15" i="27" s="1"/>
  <c r="AA32" i="27"/>
  <c r="AG32" i="27" s="1"/>
  <c r="AA7" i="27"/>
  <c r="AG7" i="27" s="1"/>
  <c r="AA13" i="27"/>
  <c r="AG13" i="27" s="1"/>
  <c r="AA2" i="27"/>
  <c r="AG2" i="27" s="1"/>
  <c r="AA39" i="27"/>
  <c r="AG39" i="27" s="1"/>
  <c r="AA12" i="27"/>
  <c r="AG12" i="27" s="1"/>
  <c r="AA33" i="27"/>
  <c r="AG33" i="27" s="1"/>
  <c r="AA43" i="27"/>
  <c r="AG43" i="27" s="1"/>
  <c r="AA20" i="27"/>
  <c r="AG20" i="27" s="1"/>
  <c r="AA6" i="27"/>
  <c r="AG6" i="27" s="1"/>
  <c r="AA18" i="27"/>
  <c r="AG18" i="27" s="1"/>
  <c r="AA41" i="27"/>
  <c r="AG41" i="27" s="1"/>
  <c r="AA38" i="27"/>
  <c r="AG38" i="27" s="1"/>
  <c r="AA40" i="27"/>
  <c r="AG40" i="27" s="1"/>
  <c r="AA36" i="27"/>
  <c r="AG36" i="27" s="1"/>
  <c r="AA37" i="27"/>
  <c r="AG37" i="27" s="1"/>
  <c r="AA9" i="27"/>
  <c r="AG9" i="27" s="1"/>
  <c r="AA35" i="27"/>
  <c r="AG35" i="27" s="1"/>
  <c r="AA42" i="27"/>
  <c r="AG42" i="27" s="1"/>
  <c r="AA10" i="27"/>
  <c r="AG10" i="27" s="1"/>
  <c r="Q12" i="26"/>
  <c r="W12" i="26"/>
  <c r="X12" i="26"/>
  <c r="S12" i="26"/>
  <c r="T12" i="26"/>
  <c r="Y12" i="26" l="1"/>
  <c r="U12" i="26"/>
  <c r="AJ3" i="26" l="1"/>
  <c r="AK3" i="26" s="1"/>
  <c r="AL3" i="26" s="1"/>
  <c r="AJ2" i="26"/>
  <c r="AO44" i="26"/>
  <c r="AN44" i="26"/>
  <c r="AK44" i="26"/>
  <c r="AL44" i="26" s="1"/>
  <c r="AE44" i="26"/>
  <c r="J44" i="26"/>
  <c r="K44" i="26" s="1"/>
  <c r="I44" i="26"/>
  <c r="H44" i="26"/>
  <c r="AO43" i="26"/>
  <c r="AN43" i="26"/>
  <c r="AK43" i="26"/>
  <c r="AL43" i="26" s="1"/>
  <c r="AE43" i="26"/>
  <c r="J43" i="26"/>
  <c r="K43" i="26" s="1"/>
  <c r="I43" i="26"/>
  <c r="H43" i="26"/>
  <c r="AO42" i="26"/>
  <c r="AN42" i="26"/>
  <c r="AK42" i="26"/>
  <c r="AL42" i="26" s="1"/>
  <c r="AE42" i="26"/>
  <c r="J42" i="26"/>
  <c r="K42" i="26" s="1"/>
  <c r="I42" i="26"/>
  <c r="N42" i="26" s="1"/>
  <c r="H42" i="26"/>
  <c r="AO41" i="26"/>
  <c r="AN41" i="26"/>
  <c r="AK41" i="26"/>
  <c r="AL41" i="26" s="1"/>
  <c r="AE41" i="26"/>
  <c r="J41" i="26"/>
  <c r="L41" i="26" s="1"/>
  <c r="I41" i="26"/>
  <c r="H41" i="26"/>
  <c r="AO40" i="26"/>
  <c r="AN40" i="26"/>
  <c r="AK40" i="26"/>
  <c r="AL40" i="26" s="1"/>
  <c r="AE40" i="26"/>
  <c r="J40" i="26"/>
  <c r="K40" i="26" s="1"/>
  <c r="I40" i="26"/>
  <c r="R40" i="26" s="1"/>
  <c r="H40" i="26"/>
  <c r="AO39" i="26"/>
  <c r="AN39" i="26"/>
  <c r="AK39" i="26"/>
  <c r="AL39" i="26" s="1"/>
  <c r="AE39" i="26"/>
  <c r="J39" i="26"/>
  <c r="L39" i="26" s="1"/>
  <c r="I39" i="26"/>
  <c r="N39" i="26" s="1"/>
  <c r="H39" i="26"/>
  <c r="AO38" i="26"/>
  <c r="AN38" i="26"/>
  <c r="AK38" i="26"/>
  <c r="AL38" i="26" s="1"/>
  <c r="AE38" i="26"/>
  <c r="J38" i="26"/>
  <c r="K38" i="26" s="1"/>
  <c r="I38" i="26"/>
  <c r="R38" i="26" s="1"/>
  <c r="H38" i="26"/>
  <c r="AO37" i="26"/>
  <c r="AN37" i="26"/>
  <c r="AK37" i="26"/>
  <c r="AL37" i="26" s="1"/>
  <c r="AE37" i="26"/>
  <c r="J37" i="26"/>
  <c r="L37" i="26" s="1"/>
  <c r="I37" i="26"/>
  <c r="H37" i="26"/>
  <c r="AO36" i="26"/>
  <c r="AN36" i="26"/>
  <c r="AK36" i="26"/>
  <c r="AL36" i="26" s="1"/>
  <c r="AE36" i="26"/>
  <c r="J36" i="26"/>
  <c r="K36" i="26" s="1"/>
  <c r="I36" i="26"/>
  <c r="V36" i="26" s="1"/>
  <c r="H36" i="26"/>
  <c r="AO35" i="26"/>
  <c r="AN35" i="26"/>
  <c r="AK35" i="26"/>
  <c r="AL35" i="26" s="1"/>
  <c r="AE35" i="26"/>
  <c r="J35" i="26"/>
  <c r="I35" i="26"/>
  <c r="N35" i="26" s="1"/>
  <c r="P35" i="26" s="1"/>
  <c r="H35" i="26"/>
  <c r="AO34" i="26"/>
  <c r="AN34" i="26"/>
  <c r="AL34" i="26"/>
  <c r="AK34" i="26"/>
  <c r="AE34" i="26"/>
  <c r="J34" i="26"/>
  <c r="K34" i="26" s="1"/>
  <c r="I34" i="26"/>
  <c r="N34" i="26" s="1"/>
  <c r="H34" i="26"/>
  <c r="AO33" i="26"/>
  <c r="AN33" i="26"/>
  <c r="AK33" i="26"/>
  <c r="AL33" i="26" s="1"/>
  <c r="AE33" i="26"/>
  <c r="J33" i="26"/>
  <c r="K33" i="26" s="1"/>
  <c r="I33" i="26"/>
  <c r="Z33" i="26" s="1"/>
  <c r="H33" i="26"/>
  <c r="AO32" i="26"/>
  <c r="AN32" i="26"/>
  <c r="AK32" i="26"/>
  <c r="AL32" i="26" s="1"/>
  <c r="AE32" i="26"/>
  <c r="J32" i="26"/>
  <c r="K32" i="26" s="1"/>
  <c r="I32" i="26"/>
  <c r="Z32" i="26" s="1"/>
  <c r="H32" i="26"/>
  <c r="AO31" i="26"/>
  <c r="AN31" i="26"/>
  <c r="AK31" i="26"/>
  <c r="AL31" i="26" s="1"/>
  <c r="AE31" i="26"/>
  <c r="J31" i="26"/>
  <c r="L31" i="26" s="1"/>
  <c r="I31" i="26"/>
  <c r="Z31" i="26" s="1"/>
  <c r="H31" i="26"/>
  <c r="AO30" i="26"/>
  <c r="AN30" i="26"/>
  <c r="AK30" i="26"/>
  <c r="AL30" i="26" s="1"/>
  <c r="AE30" i="26"/>
  <c r="L30" i="26"/>
  <c r="J30" i="26"/>
  <c r="K30" i="26" s="1"/>
  <c r="I30" i="26"/>
  <c r="H30" i="26"/>
  <c r="AO29" i="26"/>
  <c r="AN29" i="26"/>
  <c r="AK29" i="26"/>
  <c r="AL29" i="26" s="1"/>
  <c r="AE29" i="26"/>
  <c r="J29" i="26"/>
  <c r="L29" i="26" s="1"/>
  <c r="I29" i="26"/>
  <c r="H29" i="26"/>
  <c r="AO28" i="26"/>
  <c r="AN28" i="26"/>
  <c r="AK28" i="26"/>
  <c r="AL28" i="26" s="1"/>
  <c r="AE28" i="26"/>
  <c r="J28" i="26"/>
  <c r="L28" i="26" s="1"/>
  <c r="I28" i="26"/>
  <c r="H28" i="26"/>
  <c r="AO27" i="26"/>
  <c r="AN27" i="26"/>
  <c r="AK27" i="26"/>
  <c r="AL27" i="26" s="1"/>
  <c r="AE27" i="26"/>
  <c r="J27" i="26"/>
  <c r="L27" i="26" s="1"/>
  <c r="I27" i="26"/>
  <c r="H27" i="26"/>
  <c r="AO26" i="26"/>
  <c r="AN26" i="26"/>
  <c r="AK26" i="26"/>
  <c r="AL26" i="26" s="1"/>
  <c r="AE26" i="26"/>
  <c r="J26" i="26"/>
  <c r="L26" i="26" s="1"/>
  <c r="I26" i="26"/>
  <c r="H26" i="26"/>
  <c r="AO25" i="26"/>
  <c r="AN25" i="26"/>
  <c r="AK25" i="26"/>
  <c r="AL25" i="26" s="1"/>
  <c r="AE25" i="26"/>
  <c r="J25" i="26"/>
  <c r="L25" i="26" s="1"/>
  <c r="I25" i="26"/>
  <c r="H25" i="26"/>
  <c r="AO24" i="26"/>
  <c r="AN24" i="26"/>
  <c r="AK24" i="26"/>
  <c r="AL24" i="26" s="1"/>
  <c r="AE24" i="26"/>
  <c r="J24" i="26"/>
  <c r="L24" i="26" s="1"/>
  <c r="I24" i="26"/>
  <c r="Z24" i="26" s="1"/>
  <c r="H24" i="26"/>
  <c r="AO23" i="26"/>
  <c r="AN23" i="26"/>
  <c r="AK23" i="26"/>
  <c r="AL23" i="26" s="1"/>
  <c r="AE23" i="26"/>
  <c r="J23" i="26"/>
  <c r="L23" i="26" s="1"/>
  <c r="I23" i="26"/>
  <c r="N23" i="26" s="1"/>
  <c r="H23" i="26"/>
  <c r="AO22" i="26"/>
  <c r="AN22" i="26"/>
  <c r="AK22" i="26"/>
  <c r="AL22" i="26" s="1"/>
  <c r="AE22" i="26"/>
  <c r="L22" i="26"/>
  <c r="H22" i="26"/>
  <c r="AO21" i="26"/>
  <c r="AN21" i="26"/>
  <c r="AK21" i="26"/>
  <c r="AL21" i="26" s="1"/>
  <c r="AE21" i="26"/>
  <c r="J21" i="26"/>
  <c r="L21" i="26" s="1"/>
  <c r="I21" i="26"/>
  <c r="N21" i="26" s="1"/>
  <c r="H21" i="26"/>
  <c r="AO20" i="26"/>
  <c r="AN20" i="26"/>
  <c r="AK20" i="26"/>
  <c r="AL20" i="26" s="1"/>
  <c r="AE20" i="26"/>
  <c r="J20" i="26"/>
  <c r="L20" i="26" s="1"/>
  <c r="I20" i="26"/>
  <c r="Z20" i="26" s="1"/>
  <c r="H20" i="26"/>
  <c r="AO19" i="26"/>
  <c r="AN19" i="26"/>
  <c r="AK19" i="26"/>
  <c r="AL19" i="26" s="1"/>
  <c r="AE19" i="26"/>
  <c r="J19" i="26"/>
  <c r="L19" i="26" s="1"/>
  <c r="I19" i="26"/>
  <c r="N19" i="26" s="1"/>
  <c r="H19" i="26"/>
  <c r="AO18" i="26"/>
  <c r="AN18" i="26"/>
  <c r="AK18" i="26"/>
  <c r="AL18" i="26" s="1"/>
  <c r="AE18" i="26"/>
  <c r="J18" i="26"/>
  <c r="L18" i="26" s="1"/>
  <c r="I18" i="26"/>
  <c r="R18" i="26" s="1"/>
  <c r="H18" i="26"/>
  <c r="AO17" i="26"/>
  <c r="AN17" i="26"/>
  <c r="AK17" i="26"/>
  <c r="AL17" i="26" s="1"/>
  <c r="AE17" i="26"/>
  <c r="J17" i="26"/>
  <c r="L17" i="26" s="1"/>
  <c r="I17" i="26"/>
  <c r="Z17" i="26" s="1"/>
  <c r="H17" i="26"/>
  <c r="AO16" i="26"/>
  <c r="AN16" i="26"/>
  <c r="AK16" i="26"/>
  <c r="AL16" i="26" s="1"/>
  <c r="AE16" i="26"/>
  <c r="J16" i="26"/>
  <c r="L16" i="26" s="1"/>
  <c r="I16" i="26"/>
  <c r="Z16" i="26" s="1"/>
  <c r="H16" i="26"/>
  <c r="AO15" i="26"/>
  <c r="AN15" i="26"/>
  <c r="AK15" i="26"/>
  <c r="AL15" i="26" s="1"/>
  <c r="AE15" i="26"/>
  <c r="J15" i="26"/>
  <c r="L15" i="26" s="1"/>
  <c r="I15" i="26"/>
  <c r="Z15" i="26" s="1"/>
  <c r="H15" i="26"/>
  <c r="AO14" i="26"/>
  <c r="AN14" i="26"/>
  <c r="AK14" i="26"/>
  <c r="AL14" i="26" s="1"/>
  <c r="AE14" i="26"/>
  <c r="J14" i="26"/>
  <c r="L14" i="26" s="1"/>
  <c r="I14" i="26"/>
  <c r="Z14" i="26" s="1"/>
  <c r="H14" i="26"/>
  <c r="AO13" i="26"/>
  <c r="AN13" i="26"/>
  <c r="AK13" i="26"/>
  <c r="AL13" i="26" s="1"/>
  <c r="AE13" i="26"/>
  <c r="J13" i="26"/>
  <c r="L13" i="26" s="1"/>
  <c r="I13" i="26"/>
  <c r="Z13" i="26" s="1"/>
  <c r="H13" i="26"/>
  <c r="AO12" i="26"/>
  <c r="AN12" i="26"/>
  <c r="AK12" i="26"/>
  <c r="AL12" i="26" s="1"/>
  <c r="AE12" i="26"/>
  <c r="Z12" i="26"/>
  <c r="H12" i="26"/>
  <c r="AO11" i="26"/>
  <c r="AN11" i="26"/>
  <c r="AK11" i="26"/>
  <c r="AL11" i="26" s="1"/>
  <c r="AE11" i="26"/>
  <c r="J11" i="26"/>
  <c r="L11" i="26" s="1"/>
  <c r="I11" i="26"/>
  <c r="Z11" i="26" s="1"/>
  <c r="H11" i="26"/>
  <c r="AO10" i="26"/>
  <c r="AN10" i="26"/>
  <c r="AK10" i="26"/>
  <c r="AL10" i="26" s="1"/>
  <c r="AE10" i="26"/>
  <c r="J10" i="26"/>
  <c r="L10" i="26" s="1"/>
  <c r="I10" i="26"/>
  <c r="Z10" i="26" s="1"/>
  <c r="H10" i="26"/>
  <c r="AO9" i="26"/>
  <c r="AN9" i="26"/>
  <c r="AK9" i="26"/>
  <c r="AL9" i="26" s="1"/>
  <c r="AE9" i="26"/>
  <c r="J9" i="26"/>
  <c r="L9" i="26" s="1"/>
  <c r="I9" i="26"/>
  <c r="Z9" i="26" s="1"/>
  <c r="H9" i="26"/>
  <c r="AO8" i="26"/>
  <c r="AN8" i="26"/>
  <c r="AK8" i="26"/>
  <c r="AL8" i="26" s="1"/>
  <c r="AE8" i="26"/>
  <c r="J8" i="26"/>
  <c r="L8" i="26" s="1"/>
  <c r="I8" i="26"/>
  <c r="Z8" i="26" s="1"/>
  <c r="H8" i="26"/>
  <c r="AO7" i="26"/>
  <c r="AN7" i="26"/>
  <c r="AK7" i="26"/>
  <c r="AL7" i="26" s="1"/>
  <c r="AE7" i="26"/>
  <c r="H7" i="26"/>
  <c r="AO6" i="26"/>
  <c r="AN6" i="26"/>
  <c r="AK6" i="26"/>
  <c r="AL6" i="26" s="1"/>
  <c r="AE6" i="26"/>
  <c r="J6" i="26"/>
  <c r="L6" i="26" s="1"/>
  <c r="I6" i="26"/>
  <c r="Z6" i="26" s="1"/>
  <c r="H6" i="26"/>
  <c r="AO5" i="26"/>
  <c r="AN5" i="26"/>
  <c r="AK5" i="26"/>
  <c r="AL5" i="26" s="1"/>
  <c r="AE5" i="26"/>
  <c r="J5" i="26"/>
  <c r="L5" i="26" s="1"/>
  <c r="I5" i="26"/>
  <c r="Z5" i="26" s="1"/>
  <c r="H5" i="26"/>
  <c r="AO4" i="26"/>
  <c r="AN4" i="26"/>
  <c r="AK4" i="26"/>
  <c r="AL4" i="26" s="1"/>
  <c r="AE4" i="26"/>
  <c r="J4" i="26"/>
  <c r="L4" i="26" s="1"/>
  <c r="I4" i="26"/>
  <c r="Z4" i="26" s="1"/>
  <c r="H4" i="26"/>
  <c r="AO3" i="26"/>
  <c r="AN3" i="26"/>
  <c r="AE3" i="26"/>
  <c r="Z3" i="26"/>
  <c r="V3" i="26"/>
  <c r="W3" i="26" s="1"/>
  <c r="R3" i="26"/>
  <c r="S3" i="26" s="1"/>
  <c r="N3" i="26"/>
  <c r="O3" i="26" s="1"/>
  <c r="J3" i="26"/>
  <c r="K3" i="26" s="1"/>
  <c r="H3" i="26"/>
  <c r="AO2" i="26"/>
  <c r="AN2" i="26"/>
  <c r="AK2" i="26"/>
  <c r="AL2" i="26" s="1"/>
  <c r="AE2" i="26"/>
  <c r="J2" i="26"/>
  <c r="L2" i="26" s="1"/>
  <c r="I2" i="26"/>
  <c r="Z2" i="26" s="1"/>
  <c r="H2" i="26"/>
  <c r="X3" i="26" l="1"/>
  <c r="Y3" i="26" s="1"/>
  <c r="L36" i="26"/>
  <c r="M36" i="26" s="1"/>
  <c r="K37" i="26"/>
  <c r="R39" i="26"/>
  <c r="T39" i="26" s="1"/>
  <c r="K41" i="26"/>
  <c r="Z39" i="26"/>
  <c r="L43" i="26"/>
  <c r="M43" i="26" s="1"/>
  <c r="Z40" i="26"/>
  <c r="N40" i="26"/>
  <c r="V40" i="26"/>
  <c r="W40" i="26" s="1"/>
  <c r="L33" i="26"/>
  <c r="K31" i="26"/>
  <c r="M31" i="26" s="1"/>
  <c r="K29" i="26"/>
  <c r="M29" i="26" s="1"/>
  <c r="K27" i="26"/>
  <c r="M27" i="26" s="1"/>
  <c r="K25" i="26"/>
  <c r="M25" i="26" s="1"/>
  <c r="Z23" i="26"/>
  <c r="K20" i="26"/>
  <c r="M20" i="26" s="1"/>
  <c r="V20" i="26"/>
  <c r="X20" i="26" s="1"/>
  <c r="Z19" i="26"/>
  <c r="R19" i="26"/>
  <c r="T19" i="26" s="1"/>
  <c r="K18" i="26"/>
  <c r="M18" i="26" s="1"/>
  <c r="P3" i="26"/>
  <c r="Q3" i="26" s="1"/>
  <c r="X36" i="26"/>
  <c r="W36" i="26"/>
  <c r="T40" i="26"/>
  <c r="S40" i="26"/>
  <c r="L32" i="26"/>
  <c r="M32" i="26" s="1"/>
  <c r="O35" i="26"/>
  <c r="Q35" i="26" s="1"/>
  <c r="V39" i="26"/>
  <c r="W39" i="26" s="1"/>
  <c r="X40" i="26"/>
  <c r="Y40" i="26" s="1"/>
  <c r="K2" i="26"/>
  <c r="M2" i="26" s="1"/>
  <c r="L3" i="26"/>
  <c r="M3" i="26" s="1"/>
  <c r="T3" i="26"/>
  <c r="K17" i="26"/>
  <c r="M17" i="26" s="1"/>
  <c r="Z21" i="26"/>
  <c r="R21" i="26"/>
  <c r="T21" i="26" s="1"/>
  <c r="K24" i="26"/>
  <c r="M24" i="26" s="1"/>
  <c r="K26" i="26"/>
  <c r="M26" i="26" s="1"/>
  <c r="K28" i="26"/>
  <c r="M28" i="26" s="1"/>
  <c r="R35" i="26"/>
  <c r="T35" i="26" s="1"/>
  <c r="N36" i="26"/>
  <c r="V21" i="26"/>
  <c r="K22" i="26"/>
  <c r="M22" i="26" s="1"/>
  <c r="V24" i="26"/>
  <c r="X24" i="26" s="1"/>
  <c r="M30" i="26"/>
  <c r="V35" i="26"/>
  <c r="W35" i="26" s="1"/>
  <c r="R36" i="26"/>
  <c r="S36" i="26" s="1"/>
  <c r="Z36" i="26"/>
  <c r="K39" i="26"/>
  <c r="L40" i="26"/>
  <c r="M40" i="26" s="1"/>
  <c r="M41" i="26"/>
  <c r="Z35" i="26"/>
  <c r="L44" i="26"/>
  <c r="M44" i="26" s="1"/>
  <c r="P19" i="26"/>
  <c r="O19" i="26"/>
  <c r="P21" i="26"/>
  <c r="O21" i="26"/>
  <c r="U3" i="26"/>
  <c r="T22" i="26"/>
  <c r="S22" i="26"/>
  <c r="P23" i="26"/>
  <c r="O23" i="26"/>
  <c r="T18" i="26"/>
  <c r="S18" i="26"/>
  <c r="L35" i="26"/>
  <c r="K35" i="26"/>
  <c r="S38" i="26"/>
  <c r="T38" i="26"/>
  <c r="P39" i="26"/>
  <c r="O39" i="26"/>
  <c r="N4" i="26"/>
  <c r="R4" i="26"/>
  <c r="V4" i="26"/>
  <c r="N5" i="26"/>
  <c r="R5" i="26"/>
  <c r="V5" i="26"/>
  <c r="V7" i="26"/>
  <c r="Z7" i="26"/>
  <c r="N14" i="26"/>
  <c r="R14" i="26"/>
  <c r="V14" i="26"/>
  <c r="N15" i="26"/>
  <c r="R15" i="26"/>
  <c r="V15" i="26"/>
  <c r="N16" i="26"/>
  <c r="R16" i="26"/>
  <c r="V16" i="26"/>
  <c r="N17" i="26"/>
  <c r="R17" i="26"/>
  <c r="V17" i="26"/>
  <c r="Z18" i="26"/>
  <c r="K19" i="26"/>
  <c r="M19" i="26" s="1"/>
  <c r="V19" i="26"/>
  <c r="R20" i="26"/>
  <c r="W20" i="26"/>
  <c r="Y20" i="26" s="1"/>
  <c r="Z22" i="26"/>
  <c r="K23" i="26"/>
  <c r="M23" i="26" s="1"/>
  <c r="V23" i="26"/>
  <c r="R24" i="26"/>
  <c r="Z25" i="26"/>
  <c r="V25" i="26"/>
  <c r="R25" i="26"/>
  <c r="N25" i="26"/>
  <c r="Z27" i="26"/>
  <c r="V27" i="26"/>
  <c r="R27" i="26"/>
  <c r="N27" i="26"/>
  <c r="P40" i="26"/>
  <c r="O40" i="26"/>
  <c r="N18" i="26"/>
  <c r="N10" i="26"/>
  <c r="R10" i="26"/>
  <c r="V10" i="26"/>
  <c r="N13" i="26"/>
  <c r="R13" i="26"/>
  <c r="V13" i="26"/>
  <c r="K4" i="26"/>
  <c r="M4" i="26" s="1"/>
  <c r="K5" i="26"/>
  <c r="M5" i="26" s="1"/>
  <c r="K6" i="26"/>
  <c r="M6" i="26" s="1"/>
  <c r="M7" i="26"/>
  <c r="K8" i="26"/>
  <c r="M8" i="26" s="1"/>
  <c r="K9" i="26"/>
  <c r="M9" i="26" s="1"/>
  <c r="K10" i="26"/>
  <c r="M10" i="26" s="1"/>
  <c r="K11" i="26"/>
  <c r="M11" i="26" s="1"/>
  <c r="K13" i="26"/>
  <c r="M13" i="26" s="1"/>
  <c r="K14" i="26"/>
  <c r="M14" i="26" s="1"/>
  <c r="K15" i="26"/>
  <c r="M15" i="26" s="1"/>
  <c r="K16" i="26"/>
  <c r="M16" i="26" s="1"/>
  <c r="V18" i="26"/>
  <c r="N20" i="26"/>
  <c r="R23" i="26"/>
  <c r="N24" i="26"/>
  <c r="V38" i="26"/>
  <c r="Z38" i="26"/>
  <c r="N38" i="26"/>
  <c r="O42" i="26"/>
  <c r="P42" i="26"/>
  <c r="N6" i="26"/>
  <c r="R6" i="26"/>
  <c r="V6" i="26"/>
  <c r="N8" i="26"/>
  <c r="R8" i="26"/>
  <c r="V8" i="26"/>
  <c r="N9" i="26"/>
  <c r="R9" i="26"/>
  <c r="V9" i="26"/>
  <c r="N11" i="26"/>
  <c r="R11" i="26"/>
  <c r="V11" i="26"/>
  <c r="N2" i="26"/>
  <c r="R2" i="26"/>
  <c r="V2" i="26"/>
  <c r="K21" i="26"/>
  <c r="M21" i="26" s="1"/>
  <c r="Z26" i="26"/>
  <c r="V26" i="26"/>
  <c r="R26" i="26"/>
  <c r="N26" i="26"/>
  <c r="Z30" i="26"/>
  <c r="V30" i="26"/>
  <c r="R30" i="26"/>
  <c r="N30" i="26"/>
  <c r="M33" i="26"/>
  <c r="M39" i="26"/>
  <c r="U40" i="26"/>
  <c r="Z29" i="26"/>
  <c r="V29" i="26"/>
  <c r="R29" i="26"/>
  <c r="N29" i="26"/>
  <c r="O34" i="26"/>
  <c r="P34" i="26"/>
  <c r="X35" i="26"/>
  <c r="R42" i="26"/>
  <c r="V42" i="26"/>
  <c r="Z42" i="26"/>
  <c r="Z28" i="26"/>
  <c r="V28" i="26"/>
  <c r="R28" i="26"/>
  <c r="N28" i="26"/>
  <c r="V34" i="26"/>
  <c r="Z34" i="26"/>
  <c r="R34" i="26"/>
  <c r="P36" i="26"/>
  <c r="O36" i="26"/>
  <c r="M37" i="26"/>
  <c r="X39" i="26"/>
  <c r="Z44" i="26"/>
  <c r="V44" i="26"/>
  <c r="R44" i="26"/>
  <c r="N44" i="26"/>
  <c r="N31" i="26"/>
  <c r="R31" i="26"/>
  <c r="V31" i="26"/>
  <c r="N32" i="26"/>
  <c r="R32" i="26"/>
  <c r="V32" i="26"/>
  <c r="N33" i="26"/>
  <c r="R33" i="26"/>
  <c r="V33" i="26"/>
  <c r="L34" i="26"/>
  <c r="M34" i="26" s="1"/>
  <c r="Z37" i="26"/>
  <c r="V37" i="26"/>
  <c r="R37" i="26"/>
  <c r="N37" i="26"/>
  <c r="L38" i="26"/>
  <c r="M38" i="26" s="1"/>
  <c r="S39" i="26"/>
  <c r="U39" i="26" s="1"/>
  <c r="Z41" i="26"/>
  <c r="V41" i="26"/>
  <c r="R41" i="26"/>
  <c r="N41" i="26"/>
  <c r="L42" i="26"/>
  <c r="M42" i="26" s="1"/>
  <c r="Z43" i="26"/>
  <c r="V43" i="26"/>
  <c r="R43" i="26"/>
  <c r="N43" i="26"/>
  <c r="AJ48" i="23"/>
  <c r="AK48" i="23" s="1"/>
  <c r="AL48" i="23" s="1"/>
  <c r="AJ47" i="23"/>
  <c r="AK47" i="23" s="1"/>
  <c r="AL47" i="23" s="1"/>
  <c r="AJ46" i="23"/>
  <c r="AK46" i="23" s="1"/>
  <c r="AL46" i="23" s="1"/>
  <c r="AJ45" i="23"/>
  <c r="AJ44" i="23"/>
  <c r="AK44" i="23" s="1"/>
  <c r="AL44" i="23" s="1"/>
  <c r="AN44" i="23"/>
  <c r="AO44" i="23"/>
  <c r="AN45" i="23"/>
  <c r="AO45" i="23"/>
  <c r="AN46" i="23"/>
  <c r="AO46" i="23"/>
  <c r="AN47" i="23"/>
  <c r="AO47" i="23"/>
  <c r="AN48" i="23"/>
  <c r="AO48" i="23"/>
  <c r="AK45" i="23"/>
  <c r="AL45" i="23" s="1"/>
  <c r="AE43" i="23"/>
  <c r="AE44" i="23"/>
  <c r="AE45" i="23"/>
  <c r="AE46" i="23"/>
  <c r="AE47" i="23"/>
  <c r="AE48" i="23"/>
  <c r="H44" i="23"/>
  <c r="I44" i="23"/>
  <c r="N44" i="23" s="1"/>
  <c r="J44" i="23"/>
  <c r="K44" i="23" s="1"/>
  <c r="H45" i="23"/>
  <c r="I45" i="23"/>
  <c r="N45" i="23" s="1"/>
  <c r="J45" i="23"/>
  <c r="K45" i="23" s="1"/>
  <c r="H46" i="23"/>
  <c r="I46" i="23"/>
  <c r="J46" i="23"/>
  <c r="K46" i="23" s="1"/>
  <c r="H47" i="23"/>
  <c r="I47" i="23"/>
  <c r="J47" i="23"/>
  <c r="K47" i="23" s="1"/>
  <c r="H48" i="23"/>
  <c r="I48" i="23"/>
  <c r="J48" i="23"/>
  <c r="K48" i="23" s="1"/>
  <c r="AJ43" i="23"/>
  <c r="AK43" i="23" s="1"/>
  <c r="AL43" i="23" s="1"/>
  <c r="AJ42" i="23"/>
  <c r="AK42" i="23" s="1"/>
  <c r="AL42" i="23" s="1"/>
  <c r="I35" i="23"/>
  <c r="N35" i="23" s="1"/>
  <c r="I36" i="23"/>
  <c r="R36" i="23" s="1"/>
  <c r="S36" i="23" s="1"/>
  <c r="I37" i="23"/>
  <c r="N37" i="23" s="1"/>
  <c r="O37" i="23" s="1"/>
  <c r="I38" i="23"/>
  <c r="N38" i="23" s="1"/>
  <c r="I39" i="23"/>
  <c r="N39" i="23" s="1"/>
  <c r="I40" i="23"/>
  <c r="I41" i="23"/>
  <c r="N41" i="23" s="1"/>
  <c r="I42" i="23"/>
  <c r="N42" i="23" s="1"/>
  <c r="I43" i="23"/>
  <c r="N43" i="23" s="1"/>
  <c r="AO3" i="23"/>
  <c r="AO4" i="23"/>
  <c r="AO5" i="23"/>
  <c r="AO6" i="23"/>
  <c r="AO7" i="23"/>
  <c r="AO8" i="23"/>
  <c r="AO9" i="23"/>
  <c r="AO10" i="23"/>
  <c r="AO11" i="23"/>
  <c r="AO12" i="23"/>
  <c r="AO13" i="23"/>
  <c r="AO14" i="23"/>
  <c r="AO15" i="23"/>
  <c r="AO16" i="23"/>
  <c r="AO17" i="23"/>
  <c r="AO18" i="23"/>
  <c r="AO19" i="23"/>
  <c r="AO20" i="23"/>
  <c r="AO21" i="23"/>
  <c r="AO22" i="23"/>
  <c r="AO23" i="23"/>
  <c r="AO24" i="23"/>
  <c r="AO25" i="23"/>
  <c r="AO26" i="23"/>
  <c r="AO27" i="23"/>
  <c r="AO28" i="23"/>
  <c r="AO29" i="23"/>
  <c r="AO30" i="23"/>
  <c r="AO31" i="23"/>
  <c r="AO32" i="23"/>
  <c r="AO33" i="23"/>
  <c r="AO34" i="23"/>
  <c r="AO35" i="23"/>
  <c r="AO36" i="23"/>
  <c r="AO37" i="23"/>
  <c r="AO38" i="23"/>
  <c r="AO39" i="23"/>
  <c r="AO40" i="23"/>
  <c r="AO41" i="23"/>
  <c r="AO42" i="23"/>
  <c r="AO43" i="23"/>
  <c r="AO2" i="23"/>
  <c r="AN3" i="23"/>
  <c r="AN4" i="23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24" i="23"/>
  <c r="AN25" i="23"/>
  <c r="AN26" i="23"/>
  <c r="AN27" i="23"/>
  <c r="AN28" i="23"/>
  <c r="AN29" i="23"/>
  <c r="AN30" i="23"/>
  <c r="AN31" i="23"/>
  <c r="AN32" i="23"/>
  <c r="AN33" i="23"/>
  <c r="AN34" i="23"/>
  <c r="AN35" i="23"/>
  <c r="AN36" i="23"/>
  <c r="AN37" i="23"/>
  <c r="AN38" i="23"/>
  <c r="AN39" i="23"/>
  <c r="AN40" i="23"/>
  <c r="AN41" i="23"/>
  <c r="AN42" i="23"/>
  <c r="AN43" i="23"/>
  <c r="AN2" i="23"/>
  <c r="AK35" i="23"/>
  <c r="AL35" i="23" s="1"/>
  <c r="AK36" i="23"/>
  <c r="AL36" i="23" s="1"/>
  <c r="AK37" i="23"/>
  <c r="AL37" i="23" s="1"/>
  <c r="AK38" i="23"/>
  <c r="AL38" i="23" s="1"/>
  <c r="AK39" i="23"/>
  <c r="AL39" i="23" s="1"/>
  <c r="AK40" i="23"/>
  <c r="AL40" i="23" s="1"/>
  <c r="AK41" i="23"/>
  <c r="AL41" i="23" s="1"/>
  <c r="AE35" i="23"/>
  <c r="AE36" i="23"/>
  <c r="AE37" i="23"/>
  <c r="AE38" i="23"/>
  <c r="AE39" i="23"/>
  <c r="AE40" i="23"/>
  <c r="AE41" i="23"/>
  <c r="AE42" i="23"/>
  <c r="J35" i="23"/>
  <c r="K35" i="23" s="1"/>
  <c r="J36" i="23"/>
  <c r="K36" i="23" s="1"/>
  <c r="J37" i="23"/>
  <c r="K37" i="23" s="1"/>
  <c r="J38" i="23"/>
  <c r="K38" i="23" s="1"/>
  <c r="J39" i="23"/>
  <c r="K39" i="23" s="1"/>
  <c r="N40" i="23"/>
  <c r="J40" i="23"/>
  <c r="L40" i="23" s="1"/>
  <c r="J41" i="23"/>
  <c r="L41" i="23" s="1"/>
  <c r="J42" i="23"/>
  <c r="L42" i="23" s="1"/>
  <c r="J43" i="23"/>
  <c r="L43" i="23" s="1"/>
  <c r="H35" i="23"/>
  <c r="H36" i="23"/>
  <c r="H37" i="23"/>
  <c r="H38" i="23"/>
  <c r="H39" i="23"/>
  <c r="H40" i="23"/>
  <c r="H41" i="23"/>
  <c r="H42" i="23"/>
  <c r="H43" i="23"/>
  <c r="I4" i="23"/>
  <c r="N4" i="23" s="1"/>
  <c r="O4" i="23" s="1"/>
  <c r="J4" i="23"/>
  <c r="K4" i="23" s="1"/>
  <c r="I5" i="23"/>
  <c r="N5" i="23" s="1"/>
  <c r="P5" i="23" s="1"/>
  <c r="J5" i="23"/>
  <c r="K5" i="23" s="1"/>
  <c r="L5" i="23"/>
  <c r="I6" i="23"/>
  <c r="R6" i="23" s="1"/>
  <c r="J6" i="23"/>
  <c r="I7" i="23"/>
  <c r="J7" i="23"/>
  <c r="K7" i="23" s="1"/>
  <c r="I8" i="23"/>
  <c r="N8" i="23" s="1"/>
  <c r="O8" i="23" s="1"/>
  <c r="J8" i="23"/>
  <c r="K8" i="23" s="1"/>
  <c r="I9" i="23"/>
  <c r="N9" i="23" s="1"/>
  <c r="P9" i="23" s="1"/>
  <c r="J9" i="23"/>
  <c r="K9" i="23" s="1"/>
  <c r="I10" i="23"/>
  <c r="N10" i="23" s="1"/>
  <c r="J10" i="23"/>
  <c r="V10" i="23"/>
  <c r="I11" i="23"/>
  <c r="J11" i="23"/>
  <c r="K11" i="23" s="1"/>
  <c r="I12" i="23"/>
  <c r="N12" i="23" s="1"/>
  <c r="O12" i="23" s="1"/>
  <c r="J12" i="23"/>
  <c r="K12" i="23" s="1"/>
  <c r="I13" i="23"/>
  <c r="N13" i="23" s="1"/>
  <c r="P13" i="23" s="1"/>
  <c r="J13" i="23"/>
  <c r="K13" i="23" s="1"/>
  <c r="O13" i="23"/>
  <c r="I14" i="23"/>
  <c r="V14" i="23" s="1"/>
  <c r="J14" i="23"/>
  <c r="I15" i="23"/>
  <c r="J15" i="23"/>
  <c r="L15" i="23" s="1"/>
  <c r="I16" i="23"/>
  <c r="R16" i="23" s="1"/>
  <c r="J16" i="23"/>
  <c r="K16" i="23" s="1"/>
  <c r="I17" i="23"/>
  <c r="N17" i="23" s="1"/>
  <c r="P17" i="23" s="1"/>
  <c r="J17" i="23"/>
  <c r="K17" i="23" s="1"/>
  <c r="I18" i="23"/>
  <c r="N18" i="23" s="1"/>
  <c r="J18" i="23"/>
  <c r="I19" i="23"/>
  <c r="J19" i="23"/>
  <c r="L19" i="23" s="1"/>
  <c r="I20" i="23"/>
  <c r="R20" i="23" s="1"/>
  <c r="J20" i="23"/>
  <c r="K20" i="23" s="1"/>
  <c r="I21" i="23"/>
  <c r="N21" i="23" s="1"/>
  <c r="P21" i="23" s="1"/>
  <c r="J21" i="23"/>
  <c r="K21" i="23" s="1"/>
  <c r="L21" i="23"/>
  <c r="I22" i="23"/>
  <c r="R22" i="23" s="1"/>
  <c r="J22" i="23"/>
  <c r="I23" i="23"/>
  <c r="J23" i="23"/>
  <c r="L23" i="23" s="1"/>
  <c r="I24" i="23"/>
  <c r="N24" i="23" s="1"/>
  <c r="O24" i="23" s="1"/>
  <c r="J24" i="23"/>
  <c r="K24" i="23" s="1"/>
  <c r="L24" i="23"/>
  <c r="M24" i="23" s="1"/>
  <c r="P24" i="23"/>
  <c r="Q24" i="23" s="1"/>
  <c r="I25" i="23"/>
  <c r="N25" i="23" s="1"/>
  <c r="P25" i="23" s="1"/>
  <c r="J25" i="23"/>
  <c r="K25" i="23" s="1"/>
  <c r="L25" i="23"/>
  <c r="O25" i="23"/>
  <c r="I26" i="23"/>
  <c r="R26" i="23" s="1"/>
  <c r="J26" i="23"/>
  <c r="N26" i="23"/>
  <c r="I27" i="23"/>
  <c r="R27" i="23" s="1"/>
  <c r="S27" i="23" s="1"/>
  <c r="J27" i="23"/>
  <c r="K27" i="23" s="1"/>
  <c r="I28" i="23"/>
  <c r="J28" i="23"/>
  <c r="K28" i="23" s="1"/>
  <c r="I29" i="23"/>
  <c r="N29" i="23" s="1"/>
  <c r="J29" i="23"/>
  <c r="K29" i="23" s="1"/>
  <c r="I30" i="23"/>
  <c r="N30" i="23" s="1"/>
  <c r="J30" i="23"/>
  <c r="K30" i="23" s="1"/>
  <c r="I31" i="23"/>
  <c r="N31" i="23" s="1"/>
  <c r="J31" i="23"/>
  <c r="L31" i="23" s="1"/>
  <c r="I32" i="23"/>
  <c r="V32" i="23" s="1"/>
  <c r="W32" i="23" s="1"/>
  <c r="J32" i="23"/>
  <c r="K32" i="23" s="1"/>
  <c r="I33" i="23"/>
  <c r="N33" i="23" s="1"/>
  <c r="J33" i="23"/>
  <c r="K33" i="23" s="1"/>
  <c r="L33" i="23"/>
  <c r="I34" i="23"/>
  <c r="N34" i="23" s="1"/>
  <c r="J34" i="23"/>
  <c r="K34" i="23" s="1"/>
  <c r="V3" i="23"/>
  <c r="X3" i="23" s="1"/>
  <c r="H4" i="25"/>
  <c r="R14" i="23" l="1"/>
  <c r="V6" i="23"/>
  <c r="N14" i="23"/>
  <c r="N6" i="23"/>
  <c r="O6" i="23" s="1"/>
  <c r="K40" i="23"/>
  <c r="L16" i="23"/>
  <c r="M16" i="23" s="1"/>
  <c r="S19" i="26"/>
  <c r="U19" i="26" s="1"/>
  <c r="M25" i="23"/>
  <c r="V22" i="23"/>
  <c r="W22" i="23" s="1"/>
  <c r="N22" i="23"/>
  <c r="O17" i="23"/>
  <c r="P12" i="23"/>
  <c r="Q12" i="23" s="1"/>
  <c r="O9" i="23"/>
  <c r="O5" i="23"/>
  <c r="P4" i="23"/>
  <c r="Q4" i="23" s="1"/>
  <c r="L44" i="23"/>
  <c r="M44" i="23" s="1"/>
  <c r="Q39" i="26"/>
  <c r="U38" i="26"/>
  <c r="Q36" i="26"/>
  <c r="T36" i="26"/>
  <c r="U36" i="26" s="1"/>
  <c r="AA36" i="26" s="1"/>
  <c r="AG36" i="26" s="1"/>
  <c r="S35" i="26"/>
  <c r="U35" i="26" s="1"/>
  <c r="W24" i="26"/>
  <c r="Y24" i="26" s="1"/>
  <c r="S21" i="26"/>
  <c r="U21" i="26" s="1"/>
  <c r="U18" i="26"/>
  <c r="W3" i="23"/>
  <c r="Q23" i="26"/>
  <c r="X21" i="26"/>
  <c r="W21" i="26"/>
  <c r="Y35" i="26"/>
  <c r="Q19" i="26"/>
  <c r="Q40" i="26"/>
  <c r="AA40" i="26" s="1"/>
  <c r="AG40" i="26" s="1"/>
  <c r="Q7" i="26"/>
  <c r="Y36" i="26"/>
  <c r="X41" i="26"/>
  <c r="W41" i="26"/>
  <c r="P37" i="26"/>
  <c r="O37" i="26"/>
  <c r="O43" i="26"/>
  <c r="P43" i="26"/>
  <c r="S37" i="26"/>
  <c r="T37" i="26"/>
  <c r="X28" i="26"/>
  <c r="W28" i="26"/>
  <c r="X29" i="26"/>
  <c r="Y29" i="26" s="1"/>
  <c r="W29" i="26"/>
  <c r="S43" i="26"/>
  <c r="T43" i="26"/>
  <c r="O41" i="26"/>
  <c r="P41" i="26"/>
  <c r="X37" i="26"/>
  <c r="W37" i="26"/>
  <c r="X33" i="26"/>
  <c r="W33" i="26"/>
  <c r="S32" i="26"/>
  <c r="T32" i="26"/>
  <c r="P31" i="26"/>
  <c r="O31" i="26"/>
  <c r="S44" i="26"/>
  <c r="T44" i="26"/>
  <c r="Y39" i="26"/>
  <c r="AA39" i="26" s="1"/>
  <c r="AG39" i="26" s="1"/>
  <c r="S34" i="26"/>
  <c r="T34" i="26"/>
  <c r="W42" i="26"/>
  <c r="X42" i="26"/>
  <c r="P30" i="26"/>
  <c r="O30" i="26"/>
  <c r="T26" i="26"/>
  <c r="S26" i="26"/>
  <c r="X11" i="26"/>
  <c r="W11" i="26"/>
  <c r="T9" i="26"/>
  <c r="S9" i="26"/>
  <c r="P8" i="26"/>
  <c r="O8" i="26"/>
  <c r="Q42" i="26"/>
  <c r="T23" i="26"/>
  <c r="S23" i="26"/>
  <c r="X10" i="26"/>
  <c r="Y10" i="26" s="1"/>
  <c r="W10" i="26"/>
  <c r="T27" i="26"/>
  <c r="S27" i="26"/>
  <c r="P25" i="26"/>
  <c r="Q25" i="26" s="1"/>
  <c r="O25" i="26"/>
  <c r="X19" i="26"/>
  <c r="W19" i="26"/>
  <c r="T17" i="26"/>
  <c r="S17" i="26"/>
  <c r="P16" i="26"/>
  <c r="O16" i="26"/>
  <c r="X14" i="26"/>
  <c r="W14" i="26"/>
  <c r="X4" i="26"/>
  <c r="W4" i="26"/>
  <c r="M35" i="26"/>
  <c r="AA35" i="26" s="1"/>
  <c r="AG35" i="26" s="1"/>
  <c r="U22" i="26"/>
  <c r="Q21" i="26"/>
  <c r="W43" i="26"/>
  <c r="X43" i="26"/>
  <c r="Y43" i="26" s="1"/>
  <c r="T41" i="26"/>
  <c r="S41" i="26"/>
  <c r="T33" i="26"/>
  <c r="S33" i="26"/>
  <c r="P32" i="26"/>
  <c r="O32" i="26"/>
  <c r="W44" i="26"/>
  <c r="X44" i="26"/>
  <c r="P28" i="26"/>
  <c r="O28" i="26"/>
  <c r="S42" i="26"/>
  <c r="T42" i="26"/>
  <c r="O29" i="26"/>
  <c r="P29" i="26"/>
  <c r="T30" i="26"/>
  <c r="S30" i="26"/>
  <c r="X26" i="26"/>
  <c r="W26" i="26"/>
  <c r="W2" i="26"/>
  <c r="X2" i="26"/>
  <c r="T11" i="26"/>
  <c r="S11" i="26"/>
  <c r="P9" i="26"/>
  <c r="O9" i="26"/>
  <c r="X6" i="26"/>
  <c r="W6" i="26"/>
  <c r="W38" i="26"/>
  <c r="X38" i="26"/>
  <c r="X22" i="26"/>
  <c r="W22" i="26"/>
  <c r="X13" i="26"/>
  <c r="W13" i="26"/>
  <c r="T10" i="26"/>
  <c r="S10" i="26"/>
  <c r="W27" i="26"/>
  <c r="X27" i="26"/>
  <c r="T25" i="26"/>
  <c r="S25" i="26"/>
  <c r="T24" i="26"/>
  <c r="S24" i="26"/>
  <c r="P17" i="26"/>
  <c r="O17" i="26"/>
  <c r="X15" i="26"/>
  <c r="W15" i="26"/>
  <c r="T14" i="26"/>
  <c r="S14" i="26"/>
  <c r="X5" i="26"/>
  <c r="W5" i="26"/>
  <c r="T4" i="26"/>
  <c r="S4" i="26"/>
  <c r="AA3" i="26"/>
  <c r="AG3" i="26" s="1"/>
  <c r="P33" i="26"/>
  <c r="O33" i="26"/>
  <c r="X31" i="26"/>
  <c r="W31" i="26"/>
  <c r="W34" i="26"/>
  <c r="X34" i="26"/>
  <c r="S28" i="26"/>
  <c r="T28" i="26"/>
  <c r="Q34" i="26"/>
  <c r="T29" i="26"/>
  <c r="S29" i="26"/>
  <c r="X30" i="26"/>
  <c r="W30" i="26"/>
  <c r="S2" i="26"/>
  <c r="T2" i="26"/>
  <c r="P11" i="26"/>
  <c r="O11" i="26"/>
  <c r="X8" i="26"/>
  <c r="W8" i="26"/>
  <c r="T6" i="26"/>
  <c r="S6" i="26"/>
  <c r="P20" i="26"/>
  <c r="O20" i="26"/>
  <c r="T13" i="26"/>
  <c r="S13" i="26"/>
  <c r="P10" i="26"/>
  <c r="O10" i="26"/>
  <c r="X25" i="26"/>
  <c r="W25" i="26"/>
  <c r="X23" i="26"/>
  <c r="W23" i="26"/>
  <c r="X16" i="26"/>
  <c r="W16" i="26"/>
  <c r="T15" i="26"/>
  <c r="S15" i="26"/>
  <c r="P14" i="26"/>
  <c r="O14" i="26"/>
  <c r="T5" i="26"/>
  <c r="S5" i="26"/>
  <c r="P4" i="26"/>
  <c r="O4" i="26"/>
  <c r="X32" i="26"/>
  <c r="W32" i="26"/>
  <c r="T31" i="26"/>
  <c r="S31" i="26"/>
  <c r="O44" i="26"/>
  <c r="P44" i="26"/>
  <c r="P26" i="26"/>
  <c r="O26" i="26"/>
  <c r="P2" i="26"/>
  <c r="O2" i="26"/>
  <c r="X9" i="26"/>
  <c r="W9" i="26"/>
  <c r="T8" i="26"/>
  <c r="S8" i="26"/>
  <c r="P6" i="26"/>
  <c r="Q6" i="26" s="1"/>
  <c r="O6" i="26"/>
  <c r="O38" i="26"/>
  <c r="P38" i="26"/>
  <c r="P24" i="26"/>
  <c r="O24" i="26"/>
  <c r="X18" i="26"/>
  <c r="W18" i="26"/>
  <c r="P13" i="26"/>
  <c r="O13" i="26"/>
  <c r="P18" i="26"/>
  <c r="O18" i="26"/>
  <c r="O27" i="26"/>
  <c r="P27" i="26"/>
  <c r="T20" i="26"/>
  <c r="S20" i="26"/>
  <c r="X17" i="26"/>
  <c r="Y17" i="26" s="1"/>
  <c r="W17" i="26"/>
  <c r="T16" i="26"/>
  <c r="S16" i="26"/>
  <c r="P15" i="26"/>
  <c r="O15" i="26"/>
  <c r="X7" i="26"/>
  <c r="W7" i="26"/>
  <c r="P5" i="26"/>
  <c r="O5" i="26"/>
  <c r="P22" i="26"/>
  <c r="O22" i="26"/>
  <c r="M21" i="23"/>
  <c r="N16" i="23"/>
  <c r="O16" i="23" s="1"/>
  <c r="L13" i="23"/>
  <c r="M13" i="23" s="1"/>
  <c r="V26" i="23"/>
  <c r="W26" i="23" s="1"/>
  <c r="R10" i="23"/>
  <c r="S10" i="23" s="1"/>
  <c r="P8" i="23"/>
  <c r="Q8" i="23" s="1"/>
  <c r="L36" i="23"/>
  <c r="M36" i="23" s="1"/>
  <c r="V16" i="23"/>
  <c r="W16" i="23" s="1"/>
  <c r="R31" i="23"/>
  <c r="T31" i="23" s="1"/>
  <c r="O21" i="23"/>
  <c r="L9" i="23"/>
  <c r="M9" i="23" s="1"/>
  <c r="L48" i="23"/>
  <c r="M48" i="23" s="1"/>
  <c r="L47" i="23"/>
  <c r="M47" i="23" s="1"/>
  <c r="L46" i="23"/>
  <c r="M46" i="23" s="1"/>
  <c r="L45" i="23"/>
  <c r="M45" i="23" s="1"/>
  <c r="N46" i="23"/>
  <c r="R46" i="23"/>
  <c r="V46" i="23"/>
  <c r="Z46" i="23"/>
  <c r="P45" i="23"/>
  <c r="O45" i="23"/>
  <c r="N48" i="23"/>
  <c r="R48" i="23"/>
  <c r="V48" i="23"/>
  <c r="Z48" i="23"/>
  <c r="P44" i="23"/>
  <c r="O44" i="23"/>
  <c r="N47" i="23"/>
  <c r="R47" i="23"/>
  <c r="V47" i="23"/>
  <c r="Z47" i="23"/>
  <c r="Z45" i="23"/>
  <c r="V45" i="23"/>
  <c r="R45" i="23"/>
  <c r="Z44" i="23"/>
  <c r="V44" i="23"/>
  <c r="R44" i="23"/>
  <c r="K43" i="23"/>
  <c r="M43" i="23" s="1"/>
  <c r="K42" i="23"/>
  <c r="M42" i="23" s="1"/>
  <c r="K41" i="23"/>
  <c r="M41" i="23" s="1"/>
  <c r="M40" i="23"/>
  <c r="L38" i="23"/>
  <c r="M38" i="23" s="1"/>
  <c r="R37" i="23"/>
  <c r="S37" i="23" s="1"/>
  <c r="Z37" i="23"/>
  <c r="V37" i="23"/>
  <c r="W37" i="23" s="1"/>
  <c r="N36" i="23"/>
  <c r="O36" i="23" s="1"/>
  <c r="V36" i="23"/>
  <c r="Z36" i="23"/>
  <c r="L35" i="23"/>
  <c r="M35" i="23" s="1"/>
  <c r="T36" i="23"/>
  <c r="U36" i="23" s="1"/>
  <c r="O41" i="23"/>
  <c r="P41" i="23"/>
  <c r="P40" i="23"/>
  <c r="O40" i="23"/>
  <c r="O35" i="23"/>
  <c r="P35" i="23"/>
  <c r="O43" i="23"/>
  <c r="P43" i="23"/>
  <c r="P42" i="23"/>
  <c r="O42" i="23"/>
  <c r="O39" i="23"/>
  <c r="P39" i="23"/>
  <c r="P38" i="23"/>
  <c r="O38" i="23"/>
  <c r="Z42" i="23"/>
  <c r="V42" i="23"/>
  <c r="R42" i="23"/>
  <c r="Z40" i="23"/>
  <c r="V40" i="23"/>
  <c r="R40" i="23"/>
  <c r="L39" i="23"/>
  <c r="M39" i="23" s="1"/>
  <c r="Z38" i="23"/>
  <c r="V38" i="23"/>
  <c r="R38" i="23"/>
  <c r="T37" i="23"/>
  <c r="U37" i="23" s="1"/>
  <c r="P37" i="23"/>
  <c r="Q37" i="23" s="1"/>
  <c r="L37" i="23"/>
  <c r="M37" i="23" s="1"/>
  <c r="Z35" i="23"/>
  <c r="V35" i="23"/>
  <c r="R35" i="23"/>
  <c r="Z43" i="23"/>
  <c r="V43" i="23"/>
  <c r="R43" i="23"/>
  <c r="Z41" i="23"/>
  <c r="V41" i="23"/>
  <c r="R41" i="23"/>
  <c r="Z39" i="23"/>
  <c r="V39" i="23"/>
  <c r="R39" i="23"/>
  <c r="P31" i="23"/>
  <c r="O31" i="23"/>
  <c r="S20" i="23"/>
  <c r="T20" i="23"/>
  <c r="S16" i="23"/>
  <c r="T16" i="23"/>
  <c r="N27" i="23"/>
  <c r="O27" i="23" s="1"/>
  <c r="L28" i="23"/>
  <c r="M28" i="23" s="1"/>
  <c r="V20" i="23"/>
  <c r="N20" i="23"/>
  <c r="K19" i="23"/>
  <c r="M19" i="23" s="1"/>
  <c r="R18" i="23"/>
  <c r="S18" i="23" s="1"/>
  <c r="L12" i="23"/>
  <c r="M12" i="23" s="1"/>
  <c r="L8" i="23"/>
  <c r="M8" i="23" s="1"/>
  <c r="L4" i="23"/>
  <c r="V18" i="23"/>
  <c r="W18" i="23" s="1"/>
  <c r="Y3" i="23"/>
  <c r="L34" i="23"/>
  <c r="M34" i="23" s="1"/>
  <c r="R32" i="23"/>
  <c r="S32" i="23" s="1"/>
  <c r="M33" i="23"/>
  <c r="N32" i="23"/>
  <c r="O32" i="23" s="1"/>
  <c r="V31" i="23"/>
  <c r="L30" i="23"/>
  <c r="M30" i="23" s="1"/>
  <c r="L29" i="23"/>
  <c r="M29" i="23" s="1"/>
  <c r="V27" i="23"/>
  <c r="L27" i="23"/>
  <c r="M27" i="23" s="1"/>
  <c r="L20" i="23"/>
  <c r="M20" i="23" s="1"/>
  <c r="L17" i="23"/>
  <c r="M17" i="23" s="1"/>
  <c r="S31" i="23"/>
  <c r="U31" i="23" s="1"/>
  <c r="K31" i="23"/>
  <c r="M31" i="23" s="1"/>
  <c r="K23" i="23"/>
  <c r="M23" i="23" s="1"/>
  <c r="K15" i="23"/>
  <c r="M15" i="23" s="1"/>
  <c r="O33" i="23"/>
  <c r="P33" i="23"/>
  <c r="P34" i="23"/>
  <c r="O34" i="23"/>
  <c r="O29" i="23"/>
  <c r="P29" i="23"/>
  <c r="P30" i="23"/>
  <c r="O30" i="23"/>
  <c r="O22" i="23"/>
  <c r="P22" i="23"/>
  <c r="O18" i="23"/>
  <c r="P18" i="23"/>
  <c r="O14" i="23"/>
  <c r="P14" i="23"/>
  <c r="O10" i="23"/>
  <c r="P10" i="23"/>
  <c r="P6" i="23"/>
  <c r="K22" i="23"/>
  <c r="L22" i="23"/>
  <c r="Q21" i="23"/>
  <c r="K18" i="23"/>
  <c r="L18" i="23"/>
  <c r="Q17" i="23"/>
  <c r="K14" i="23"/>
  <c r="L14" i="23"/>
  <c r="Q13" i="23"/>
  <c r="N11" i="23"/>
  <c r="R11" i="23"/>
  <c r="V11" i="23"/>
  <c r="K10" i="23"/>
  <c r="L10" i="23"/>
  <c r="M10" i="23" s="1"/>
  <c r="Q9" i="23"/>
  <c r="N7" i="23"/>
  <c r="R7" i="23"/>
  <c r="V7" i="23"/>
  <c r="K6" i="23"/>
  <c r="L6" i="23"/>
  <c r="Q5" i="23"/>
  <c r="M4" i="23"/>
  <c r="K26" i="23"/>
  <c r="L26" i="23"/>
  <c r="Q25" i="23"/>
  <c r="N23" i="23"/>
  <c r="R23" i="23"/>
  <c r="V23" i="23"/>
  <c r="N19" i="23"/>
  <c r="R19" i="23"/>
  <c r="V19" i="23"/>
  <c r="N15" i="23"/>
  <c r="R15" i="23"/>
  <c r="V15" i="23"/>
  <c r="V34" i="23"/>
  <c r="R34" i="23"/>
  <c r="X32" i="23"/>
  <c r="Y32" i="23" s="1"/>
  <c r="L32" i="23"/>
  <c r="M32" i="23" s="1"/>
  <c r="V30" i="23"/>
  <c r="R30" i="23"/>
  <c r="N28" i="23"/>
  <c r="R28" i="23"/>
  <c r="V28" i="23"/>
  <c r="S26" i="23"/>
  <c r="T26" i="23"/>
  <c r="W14" i="23"/>
  <c r="X14" i="23"/>
  <c r="W10" i="23"/>
  <c r="X10" i="23"/>
  <c r="W6" i="23"/>
  <c r="X6" i="23"/>
  <c r="M5" i="23"/>
  <c r="V33" i="23"/>
  <c r="R33" i="23"/>
  <c r="V29" i="23"/>
  <c r="R29" i="23"/>
  <c r="T27" i="23"/>
  <c r="U27" i="23" s="1"/>
  <c r="O26" i="23"/>
  <c r="P26" i="23"/>
  <c r="S22" i="23"/>
  <c r="T22" i="23"/>
  <c r="T18" i="23"/>
  <c r="S14" i="23"/>
  <c r="T14" i="23"/>
  <c r="S6" i="23"/>
  <c r="T6" i="23"/>
  <c r="V25" i="23"/>
  <c r="R25" i="23"/>
  <c r="V21" i="23"/>
  <c r="R21" i="23"/>
  <c r="V17" i="23"/>
  <c r="R17" i="23"/>
  <c r="V13" i="23"/>
  <c r="R13" i="23"/>
  <c r="L11" i="23"/>
  <c r="M11" i="23" s="1"/>
  <c r="V9" i="23"/>
  <c r="R9" i="23"/>
  <c r="L7" i="23"/>
  <c r="M7" i="23" s="1"/>
  <c r="V5" i="23"/>
  <c r="R5" i="23"/>
  <c r="V24" i="23"/>
  <c r="R24" i="23"/>
  <c r="V12" i="23"/>
  <c r="R12" i="23"/>
  <c r="V8" i="23"/>
  <c r="R8" i="23"/>
  <c r="V4" i="23"/>
  <c r="R4" i="23"/>
  <c r="Z3" i="23"/>
  <c r="Y15" i="26" l="1"/>
  <c r="Y13" i="26"/>
  <c r="Y14" i="23"/>
  <c r="P27" i="23"/>
  <c r="Q27" i="23" s="1"/>
  <c r="X26" i="23"/>
  <c r="Y26" i="23" s="1"/>
  <c r="Q43" i="23"/>
  <c r="Q32" i="26"/>
  <c r="U41" i="26"/>
  <c r="Q43" i="26"/>
  <c r="AA43" i="26" s="1"/>
  <c r="AG43" i="26" s="1"/>
  <c r="Y21" i="26"/>
  <c r="AA21" i="26" s="1"/>
  <c r="AG21" i="26" s="1"/>
  <c r="Q38" i="26"/>
  <c r="Q44" i="26"/>
  <c r="P32" i="23"/>
  <c r="Q32" i="23" s="1"/>
  <c r="X22" i="23"/>
  <c r="Y22" i="23" s="1"/>
  <c r="P16" i="23"/>
  <c r="Q16" i="23" s="1"/>
  <c r="Y37" i="26"/>
  <c r="Q37" i="26"/>
  <c r="U31" i="26"/>
  <c r="Q30" i="26"/>
  <c r="U30" i="26"/>
  <c r="Q26" i="26"/>
  <c r="U24" i="26"/>
  <c r="Q24" i="26"/>
  <c r="AA24" i="26" s="1"/>
  <c r="AG24" i="26" s="1"/>
  <c r="Q22" i="26"/>
  <c r="U17" i="26"/>
  <c r="Q15" i="26"/>
  <c r="Y14" i="26"/>
  <c r="Q13" i="26"/>
  <c r="Y11" i="26"/>
  <c r="Y9" i="26"/>
  <c r="Q9" i="26"/>
  <c r="Q8" i="26"/>
  <c r="Y7" i="26"/>
  <c r="U7" i="26"/>
  <c r="U4" i="26"/>
  <c r="Q4" i="26"/>
  <c r="Q14" i="26"/>
  <c r="Y16" i="26"/>
  <c r="Y25" i="26"/>
  <c r="U13" i="26"/>
  <c r="AA13" i="26" s="1"/>
  <c r="AG13" i="26" s="1"/>
  <c r="U6" i="26"/>
  <c r="Q11" i="26"/>
  <c r="Y30" i="26"/>
  <c r="Q33" i="26"/>
  <c r="U33" i="26"/>
  <c r="Q31" i="26"/>
  <c r="Y33" i="26"/>
  <c r="Y28" i="26"/>
  <c r="U2" i="26"/>
  <c r="Y5" i="26"/>
  <c r="U14" i="26"/>
  <c r="Q17" i="26"/>
  <c r="U25" i="26"/>
  <c r="AA25" i="26" s="1"/>
  <c r="AG25" i="26" s="1"/>
  <c r="U10" i="26"/>
  <c r="Y22" i="26"/>
  <c r="Y6" i="26"/>
  <c r="U11" i="26"/>
  <c r="Y26" i="26"/>
  <c r="Q29" i="26"/>
  <c r="U9" i="26"/>
  <c r="U26" i="26"/>
  <c r="U34" i="26"/>
  <c r="Q5" i="26"/>
  <c r="U16" i="26"/>
  <c r="U20" i="26"/>
  <c r="Q18" i="26"/>
  <c r="Y18" i="26"/>
  <c r="U8" i="26"/>
  <c r="Q2" i="26"/>
  <c r="Y32" i="26"/>
  <c r="U5" i="26"/>
  <c r="U15" i="26"/>
  <c r="Y23" i="26"/>
  <c r="Q10" i="26"/>
  <c r="AA10" i="26" s="1"/>
  <c r="AG10" i="26" s="1"/>
  <c r="Q20" i="26"/>
  <c r="Y8" i="26"/>
  <c r="U29" i="26"/>
  <c r="Y34" i="26"/>
  <c r="AA34" i="26" s="1"/>
  <c r="AG34" i="26" s="1"/>
  <c r="Y31" i="26"/>
  <c r="Y27" i="26"/>
  <c r="Y38" i="26"/>
  <c r="Y2" i="26"/>
  <c r="Q28" i="26"/>
  <c r="Y4" i="26"/>
  <c r="AA4" i="26" s="1"/>
  <c r="AG4" i="26" s="1"/>
  <c r="Q16" i="26"/>
  <c r="Y19" i="26"/>
  <c r="AA19" i="26" s="1"/>
  <c r="AG19" i="26" s="1"/>
  <c r="U27" i="26"/>
  <c r="U23" i="26"/>
  <c r="Y42" i="26"/>
  <c r="Q41" i="26"/>
  <c r="U37" i="26"/>
  <c r="Y41" i="26"/>
  <c r="Q27" i="26"/>
  <c r="U42" i="26"/>
  <c r="U28" i="26"/>
  <c r="Y44" i="26"/>
  <c r="U44" i="26"/>
  <c r="AA44" i="26" s="1"/>
  <c r="AG44" i="26" s="1"/>
  <c r="U32" i="26"/>
  <c r="AA32" i="26" s="1"/>
  <c r="AG32" i="26" s="1"/>
  <c r="U43" i="26"/>
  <c r="X18" i="23"/>
  <c r="Y18" i="23" s="1"/>
  <c r="T10" i="23"/>
  <c r="X16" i="23"/>
  <c r="Y16" i="23" s="1"/>
  <c r="X45" i="23"/>
  <c r="W45" i="23"/>
  <c r="T48" i="23"/>
  <c r="S48" i="23"/>
  <c r="X44" i="23"/>
  <c r="W44" i="23"/>
  <c r="P47" i="23"/>
  <c r="O47" i="23"/>
  <c r="Q44" i="23"/>
  <c r="P48" i="23"/>
  <c r="O48" i="23"/>
  <c r="P46" i="23"/>
  <c r="O46" i="23"/>
  <c r="T44" i="23"/>
  <c r="S44" i="23"/>
  <c r="T47" i="23"/>
  <c r="S47" i="23"/>
  <c r="T46" i="23"/>
  <c r="S46" i="23"/>
  <c r="T45" i="23"/>
  <c r="S45" i="23"/>
  <c r="X47" i="23"/>
  <c r="W47" i="23"/>
  <c r="X48" i="23"/>
  <c r="W48" i="23"/>
  <c r="Q45" i="23"/>
  <c r="X46" i="23"/>
  <c r="W46" i="23"/>
  <c r="Q39" i="23"/>
  <c r="X37" i="23"/>
  <c r="Y37" i="23" s="1"/>
  <c r="P36" i="23"/>
  <c r="Q36" i="23" s="1"/>
  <c r="W36" i="23"/>
  <c r="X36" i="23"/>
  <c r="Y36" i="23" s="1"/>
  <c r="AA36" i="23" s="1"/>
  <c r="AG36" i="23" s="1"/>
  <c r="AA37" i="23"/>
  <c r="AG37" i="23" s="1"/>
  <c r="Q35" i="23"/>
  <c r="Q41" i="23"/>
  <c r="S43" i="23"/>
  <c r="T43" i="23"/>
  <c r="U43" i="23" s="1"/>
  <c r="W35" i="23"/>
  <c r="X35" i="23"/>
  <c r="Y35" i="23" s="1"/>
  <c r="S39" i="23"/>
  <c r="T39" i="23"/>
  <c r="U39" i="23" s="1"/>
  <c r="W41" i="23"/>
  <c r="X41" i="23"/>
  <c r="T38" i="23"/>
  <c r="S38" i="23"/>
  <c r="T40" i="23"/>
  <c r="S40" i="23"/>
  <c r="X42" i="23"/>
  <c r="W42" i="23"/>
  <c r="W39" i="23"/>
  <c r="X39" i="23"/>
  <c r="S35" i="23"/>
  <c r="T35" i="23"/>
  <c r="U35" i="23" s="1"/>
  <c r="X38" i="23"/>
  <c r="W38" i="23"/>
  <c r="X40" i="23"/>
  <c r="W40" i="23"/>
  <c r="Q40" i="23"/>
  <c r="S41" i="23"/>
  <c r="T41" i="23"/>
  <c r="W43" i="23"/>
  <c r="X43" i="23"/>
  <c r="T42" i="23"/>
  <c r="S42" i="23"/>
  <c r="Q38" i="23"/>
  <c r="Q42" i="23"/>
  <c r="T32" i="23"/>
  <c r="U32" i="23" s="1"/>
  <c r="M22" i="23"/>
  <c r="Q6" i="23"/>
  <c r="Q14" i="23"/>
  <c r="Q22" i="23"/>
  <c r="Q29" i="23"/>
  <c r="Q33" i="23"/>
  <c r="X31" i="23"/>
  <c r="W31" i="23"/>
  <c r="U16" i="23"/>
  <c r="W27" i="23"/>
  <c r="X27" i="23"/>
  <c r="O20" i="23"/>
  <c r="P20" i="23"/>
  <c r="Y10" i="23"/>
  <c r="U26" i="23"/>
  <c r="M26" i="23"/>
  <c r="M6" i="23"/>
  <c r="M14" i="23"/>
  <c r="Q10" i="23"/>
  <c r="Q18" i="23"/>
  <c r="W20" i="23"/>
  <c r="X20" i="23"/>
  <c r="U20" i="23"/>
  <c r="Q31" i="23"/>
  <c r="T9" i="23"/>
  <c r="S9" i="23"/>
  <c r="X13" i="23"/>
  <c r="W13" i="23"/>
  <c r="X21" i="23"/>
  <c r="W21" i="23"/>
  <c r="T34" i="23"/>
  <c r="S34" i="23"/>
  <c r="O7" i="23"/>
  <c r="P7" i="23"/>
  <c r="W11" i="23"/>
  <c r="X11" i="23"/>
  <c r="S4" i="23"/>
  <c r="T4" i="23"/>
  <c r="S12" i="23"/>
  <c r="T12" i="23"/>
  <c r="T5" i="23"/>
  <c r="S5" i="23"/>
  <c r="X9" i="23"/>
  <c r="W9" i="23"/>
  <c r="T17" i="23"/>
  <c r="S17" i="23"/>
  <c r="T25" i="23"/>
  <c r="S25" i="23"/>
  <c r="U10" i="23"/>
  <c r="U18" i="23"/>
  <c r="Q26" i="23"/>
  <c r="W29" i="23"/>
  <c r="X29" i="23"/>
  <c r="Y6" i="23"/>
  <c r="P28" i="23"/>
  <c r="O28" i="23"/>
  <c r="X34" i="23"/>
  <c r="W34" i="23"/>
  <c r="W19" i="23"/>
  <c r="X19" i="23"/>
  <c r="S23" i="23"/>
  <c r="T23" i="23"/>
  <c r="S11" i="23"/>
  <c r="T11" i="23"/>
  <c r="Q30" i="23"/>
  <c r="Q34" i="23"/>
  <c r="W24" i="23"/>
  <c r="X24" i="23"/>
  <c r="S29" i="23"/>
  <c r="T29" i="23"/>
  <c r="S28" i="23"/>
  <c r="T28" i="23"/>
  <c r="W4" i="23"/>
  <c r="X4" i="23"/>
  <c r="X5" i="23"/>
  <c r="W5" i="23"/>
  <c r="S19" i="23"/>
  <c r="T19" i="23"/>
  <c r="W7" i="23"/>
  <c r="X7" i="23"/>
  <c r="O11" i="23"/>
  <c r="P11" i="23"/>
  <c r="W8" i="23"/>
  <c r="X8" i="23"/>
  <c r="O15" i="23"/>
  <c r="P15" i="23"/>
  <c r="W23" i="23"/>
  <c r="X23" i="23"/>
  <c r="W12" i="23"/>
  <c r="X12" i="23"/>
  <c r="X17" i="23"/>
  <c r="W17" i="23"/>
  <c r="X25" i="23"/>
  <c r="W25" i="23"/>
  <c r="S33" i="23"/>
  <c r="T33" i="23"/>
  <c r="T30" i="23"/>
  <c r="S30" i="23"/>
  <c r="W15" i="23"/>
  <c r="X15" i="23"/>
  <c r="O23" i="23"/>
  <c r="P23" i="23"/>
  <c r="S8" i="23"/>
  <c r="T8" i="23"/>
  <c r="S24" i="23"/>
  <c r="T24" i="23"/>
  <c r="T13" i="23"/>
  <c r="S13" i="23"/>
  <c r="T21" i="23"/>
  <c r="S21" i="23"/>
  <c r="U6" i="23"/>
  <c r="U14" i="23"/>
  <c r="U22" i="23"/>
  <c r="W33" i="23"/>
  <c r="X33" i="23"/>
  <c r="W28" i="23"/>
  <c r="X28" i="23"/>
  <c r="X30" i="23"/>
  <c r="W30" i="23"/>
  <c r="S15" i="23"/>
  <c r="T15" i="23"/>
  <c r="O19" i="23"/>
  <c r="P19" i="23"/>
  <c r="S7" i="23"/>
  <c r="T7" i="23"/>
  <c r="M18" i="23"/>
  <c r="Z4" i="23"/>
  <c r="Z5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I2" i="23"/>
  <c r="K3" i="23"/>
  <c r="J2" i="23"/>
  <c r="L2" i="23" s="1"/>
  <c r="AA22" i="26" l="1"/>
  <c r="AG22" i="26" s="1"/>
  <c r="AA30" i="26"/>
  <c r="AG30" i="26" s="1"/>
  <c r="AA15" i="26"/>
  <c r="AG15" i="26" s="1"/>
  <c r="AA26" i="26"/>
  <c r="AG26" i="26" s="1"/>
  <c r="AA32" i="23"/>
  <c r="AA37" i="26"/>
  <c r="AG37" i="26" s="1"/>
  <c r="AA38" i="26"/>
  <c r="AG38" i="26" s="1"/>
  <c r="AA11" i="26"/>
  <c r="AG11" i="26" s="1"/>
  <c r="AA7" i="26"/>
  <c r="AG7" i="26" s="1"/>
  <c r="AA16" i="23"/>
  <c r="AA10" i="23"/>
  <c r="AA18" i="23"/>
  <c r="AA33" i="26"/>
  <c r="AG33" i="26" s="1"/>
  <c r="AA31" i="26"/>
  <c r="AG31" i="26" s="1"/>
  <c r="AA29" i="26"/>
  <c r="AG29" i="26" s="1"/>
  <c r="AA17" i="26"/>
  <c r="AG17" i="26" s="1"/>
  <c r="AA9" i="26"/>
  <c r="AG9" i="26" s="1"/>
  <c r="AA6" i="26"/>
  <c r="AG6" i="26" s="1"/>
  <c r="AA28" i="26"/>
  <c r="AG28" i="26" s="1"/>
  <c r="AA20" i="26"/>
  <c r="AG20" i="26" s="1"/>
  <c r="AA12" i="26"/>
  <c r="AG12" i="26" s="1"/>
  <c r="AA23" i="26"/>
  <c r="AG23" i="26" s="1"/>
  <c r="AA14" i="26"/>
  <c r="AG14" i="26" s="1"/>
  <c r="AA42" i="26"/>
  <c r="AG42" i="26" s="1"/>
  <c r="AA8" i="26"/>
  <c r="AG8" i="26" s="1"/>
  <c r="AA41" i="26"/>
  <c r="AG41" i="26" s="1"/>
  <c r="AA2" i="26"/>
  <c r="AG2" i="26" s="1"/>
  <c r="AA16" i="26"/>
  <c r="AG16" i="26" s="1"/>
  <c r="AA27" i="26"/>
  <c r="AG27" i="26" s="1"/>
  <c r="AA18" i="26"/>
  <c r="AG18" i="26" s="1"/>
  <c r="AA5" i="26"/>
  <c r="AG5" i="26" s="1"/>
  <c r="AA26" i="23"/>
  <c r="Y30" i="23"/>
  <c r="U24" i="23"/>
  <c r="Q23" i="23"/>
  <c r="Y12" i="23"/>
  <c r="Q15" i="23"/>
  <c r="Q11" i="23"/>
  <c r="U19" i="23"/>
  <c r="Y4" i="23"/>
  <c r="U29" i="23"/>
  <c r="U23" i="23"/>
  <c r="U4" i="23"/>
  <c r="Q7" i="23"/>
  <c r="Y20" i="23"/>
  <c r="Y27" i="23"/>
  <c r="AA27" i="23" s="1"/>
  <c r="Y31" i="23"/>
  <c r="AA31" i="23" s="1"/>
  <c r="U45" i="23"/>
  <c r="U44" i="23"/>
  <c r="Q46" i="23"/>
  <c r="AA14" i="23"/>
  <c r="AA6" i="23"/>
  <c r="AA22" i="23"/>
  <c r="U46" i="23"/>
  <c r="Y48" i="23"/>
  <c r="Q48" i="23"/>
  <c r="Y47" i="23"/>
  <c r="U47" i="23"/>
  <c r="Y44" i="23"/>
  <c r="AA44" i="23" s="1"/>
  <c r="AG44" i="23" s="1"/>
  <c r="Y46" i="23"/>
  <c r="Q47" i="23"/>
  <c r="U48" i="23"/>
  <c r="Y45" i="23"/>
  <c r="U42" i="23"/>
  <c r="Y41" i="23"/>
  <c r="Y39" i="23"/>
  <c r="AA39" i="23" s="1"/>
  <c r="AG39" i="23" s="1"/>
  <c r="AA35" i="23"/>
  <c r="AG35" i="23" s="1"/>
  <c r="Y43" i="23"/>
  <c r="AA43" i="23" s="1"/>
  <c r="AG43" i="23" s="1"/>
  <c r="Y38" i="23"/>
  <c r="U40" i="23"/>
  <c r="U41" i="23"/>
  <c r="Y40" i="23"/>
  <c r="AA40" i="23" s="1"/>
  <c r="AG40" i="23" s="1"/>
  <c r="Y42" i="23"/>
  <c r="U38" i="23"/>
  <c r="R2" i="23"/>
  <c r="T2" i="23" s="1"/>
  <c r="V2" i="23"/>
  <c r="U8" i="23"/>
  <c r="Y15" i="23"/>
  <c r="U33" i="23"/>
  <c r="Y23" i="23"/>
  <c r="Y8" i="23"/>
  <c r="Y7" i="23"/>
  <c r="U28" i="23"/>
  <c r="Y24" i="23"/>
  <c r="U11" i="23"/>
  <c r="Y19" i="23"/>
  <c r="U12" i="23"/>
  <c r="Y11" i="23"/>
  <c r="Q20" i="23"/>
  <c r="AA20" i="23" s="1"/>
  <c r="Q19" i="23"/>
  <c r="Y33" i="23"/>
  <c r="U13" i="23"/>
  <c r="AA13" i="23" s="1"/>
  <c r="Y17" i="23"/>
  <c r="Y5" i="23"/>
  <c r="Q28" i="23"/>
  <c r="U25" i="23"/>
  <c r="Y9" i="23"/>
  <c r="U34" i="23"/>
  <c r="Y13" i="23"/>
  <c r="U7" i="23"/>
  <c r="U15" i="23"/>
  <c r="Y28" i="23"/>
  <c r="U21" i="23"/>
  <c r="U30" i="23"/>
  <c r="Y25" i="23"/>
  <c r="Y34" i="23"/>
  <c r="Y29" i="23"/>
  <c r="U17" i="23"/>
  <c r="U5" i="23"/>
  <c r="Y21" i="23"/>
  <c r="U9" i="23"/>
  <c r="Z6" i="23"/>
  <c r="Z34" i="23"/>
  <c r="Z2" i="23"/>
  <c r="O3" i="23"/>
  <c r="P3" i="23"/>
  <c r="S3" i="23"/>
  <c r="T3" i="23"/>
  <c r="L3" i="23"/>
  <c r="M3" i="23" s="1"/>
  <c r="N2" i="23"/>
  <c r="K2" i="23"/>
  <c r="M2" i="23" s="1"/>
  <c r="AJ32" i="23"/>
  <c r="AK32" i="23" s="1"/>
  <c r="AL32" i="23" s="1"/>
  <c r="AE32" i="23"/>
  <c r="AJ31" i="23"/>
  <c r="AJ30" i="23"/>
  <c r="AK30" i="23" s="1"/>
  <c r="AL30" i="23" s="1"/>
  <c r="AJ29" i="23"/>
  <c r="AJ28" i="23"/>
  <c r="H30" i="23"/>
  <c r="AE30" i="23"/>
  <c r="H31" i="23"/>
  <c r="AE31" i="23"/>
  <c r="AK31" i="23"/>
  <c r="AL31" i="23" s="1"/>
  <c r="H32" i="23"/>
  <c r="H33" i="23"/>
  <c r="AE33" i="23"/>
  <c r="AK33" i="23"/>
  <c r="AL33" i="23" s="1"/>
  <c r="H34" i="23"/>
  <c r="AE34" i="23"/>
  <c r="AK34" i="23"/>
  <c r="AL34" i="23" s="1"/>
  <c r="AJ27" i="23"/>
  <c r="AJ26" i="23"/>
  <c r="AJ25" i="23"/>
  <c r="AJ24" i="23"/>
  <c r="AJ23" i="23"/>
  <c r="AJ22" i="23"/>
  <c r="AJ21" i="23"/>
  <c r="AJ20" i="23"/>
  <c r="AJ19" i="23"/>
  <c r="AJ18" i="23"/>
  <c r="AJ17" i="23"/>
  <c r="AJ16" i="23"/>
  <c r="AJ15" i="23"/>
  <c r="AA5" i="23" l="1"/>
  <c r="AA29" i="23"/>
  <c r="AA17" i="23"/>
  <c r="AA30" i="23"/>
  <c r="AA25" i="23"/>
  <c r="AA19" i="23"/>
  <c r="AA7" i="23"/>
  <c r="AA9" i="23"/>
  <c r="AA21" i="23"/>
  <c r="AA28" i="23"/>
  <c r="AA12" i="23"/>
  <c r="AA33" i="23"/>
  <c r="AG33" i="23" s="1"/>
  <c r="AA41" i="23"/>
  <c r="AG41" i="23" s="1"/>
  <c r="AA45" i="23"/>
  <c r="AG45" i="23" s="1"/>
  <c r="AA46" i="23"/>
  <c r="AG46" i="23" s="1"/>
  <c r="AA4" i="23"/>
  <c r="AA23" i="23"/>
  <c r="AA34" i="23"/>
  <c r="AA38" i="23"/>
  <c r="AG38" i="23" s="1"/>
  <c r="AA11" i="23"/>
  <c r="AA24" i="23"/>
  <c r="AA8" i="23"/>
  <c r="AA42" i="23"/>
  <c r="AG42" i="23" s="1"/>
  <c r="AA15" i="23"/>
  <c r="AA48" i="23"/>
  <c r="AG48" i="23" s="1"/>
  <c r="AA47" i="23"/>
  <c r="AG47" i="23" s="1"/>
  <c r="X2" i="23"/>
  <c r="W2" i="23"/>
  <c r="S2" i="23"/>
  <c r="U2" i="23" s="1"/>
  <c r="U3" i="23"/>
  <c r="Q3" i="23"/>
  <c r="P2" i="23"/>
  <c r="O2" i="23"/>
  <c r="AG32" i="23"/>
  <c r="AA3" i="23" l="1"/>
  <c r="Y2" i="23"/>
  <c r="AG31" i="23"/>
  <c r="AG30" i="23"/>
  <c r="AG34" i="23"/>
  <c r="Q2" i="23"/>
  <c r="AA2" i="23" s="1"/>
  <c r="AJ14" i="23"/>
  <c r="AJ13" i="23" l="1"/>
  <c r="AK13" i="23" s="1"/>
  <c r="AL13" i="23" s="1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AK14" i="23"/>
  <c r="AL14" i="23" s="1"/>
  <c r="AK15" i="23"/>
  <c r="AL15" i="23" s="1"/>
  <c r="AK16" i="23"/>
  <c r="AL16" i="23" s="1"/>
  <c r="AK17" i="23"/>
  <c r="AL17" i="23" s="1"/>
  <c r="AK18" i="23"/>
  <c r="AL18" i="23" s="1"/>
  <c r="AK19" i="23"/>
  <c r="AL19" i="23" s="1"/>
  <c r="AK20" i="23"/>
  <c r="AL20" i="23" s="1"/>
  <c r="AK21" i="23"/>
  <c r="AL21" i="23" s="1"/>
  <c r="AK22" i="23"/>
  <c r="AL22" i="23" s="1"/>
  <c r="AK23" i="23"/>
  <c r="AL23" i="23" s="1"/>
  <c r="AK24" i="23"/>
  <c r="AL24" i="23" s="1"/>
  <c r="AK25" i="23"/>
  <c r="AL25" i="23" s="1"/>
  <c r="AK26" i="23"/>
  <c r="AL26" i="23" s="1"/>
  <c r="AK27" i="23"/>
  <c r="AL27" i="23" s="1"/>
  <c r="AK28" i="23"/>
  <c r="AL28" i="23" s="1"/>
  <c r="AK29" i="23"/>
  <c r="AL29" i="23" s="1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G25" i="23" s="1"/>
  <c r="AE26" i="23"/>
  <c r="AE27" i="23"/>
  <c r="AE28" i="23"/>
  <c r="AE29" i="23"/>
  <c r="H13" i="23"/>
  <c r="AG27" i="23" l="1"/>
  <c r="AG19" i="23"/>
  <c r="AG29" i="23"/>
  <c r="AG17" i="23"/>
  <c r="AG26" i="23"/>
  <c r="AG20" i="23"/>
  <c r="AG16" i="23"/>
  <c r="AG24" i="23"/>
  <c r="AG23" i="23"/>
  <c r="AG21" i="23"/>
  <c r="AG18" i="23"/>
  <c r="AG13" i="23"/>
  <c r="AG28" i="23"/>
  <c r="AJ12" i="23"/>
  <c r="AK12" i="23" s="1"/>
  <c r="AL12" i="23" s="1"/>
  <c r="AE12" i="23"/>
  <c r="H12" i="23"/>
  <c r="AG12" i="23" l="1"/>
  <c r="AG14" i="23"/>
  <c r="AG15" i="23"/>
  <c r="AG22" i="23"/>
  <c r="AJ11" i="23"/>
  <c r="AK11" i="23" s="1"/>
  <c r="AL11" i="23" s="1"/>
  <c r="AJ10" i="23"/>
  <c r="AK10" i="23" s="1"/>
  <c r="AL10" i="23" s="1"/>
  <c r="AJ9" i="23"/>
  <c r="AK9" i="23" s="1"/>
  <c r="AL9" i="23" s="1"/>
  <c r="AJ8" i="23"/>
  <c r="AK8" i="23" s="1"/>
  <c r="AL8" i="23" s="1"/>
  <c r="AJ7" i="23"/>
  <c r="AK7" i="23" s="1"/>
  <c r="AL7" i="23" s="1"/>
  <c r="AJ6" i="23"/>
  <c r="AK6" i="23" s="1"/>
  <c r="AL6" i="23" s="1"/>
  <c r="AJ4" i="23"/>
  <c r="AJ5" i="23"/>
  <c r="AK5" i="23" s="1"/>
  <c r="AL5" i="23" s="1"/>
  <c r="H5" i="23"/>
  <c r="H6" i="23"/>
  <c r="H7" i="23"/>
  <c r="H8" i="23"/>
  <c r="H9" i="23"/>
  <c r="H10" i="23"/>
  <c r="H11" i="23"/>
  <c r="AK4" i="23"/>
  <c r="AL4" i="23" s="1"/>
  <c r="AK3" i="23"/>
  <c r="AL3" i="23" s="1"/>
  <c r="AJ2" i="23"/>
  <c r="AK2" i="23" s="1"/>
  <c r="AL2" i="23" s="1"/>
  <c r="AE3" i="23"/>
  <c r="AE4" i="23"/>
  <c r="AE5" i="23"/>
  <c r="AE6" i="23"/>
  <c r="AE7" i="23"/>
  <c r="AE8" i="23"/>
  <c r="AE9" i="23"/>
  <c r="AE10" i="23"/>
  <c r="AE11" i="23"/>
  <c r="AE2" i="23"/>
  <c r="H4" i="23"/>
  <c r="H3" i="23"/>
  <c r="H2" i="23"/>
  <c r="AG10" i="23" l="1"/>
  <c r="AG6" i="23"/>
  <c r="AG7" i="23"/>
  <c r="AG5" i="23"/>
  <c r="AG9" i="23"/>
  <c r="AG4" i="23"/>
  <c r="AG11" i="23" l="1"/>
  <c r="AG3" i="23"/>
  <c r="AG8" i="23"/>
  <c r="AG2" i="23" l="1"/>
  <c r="E2" i="18" l="1"/>
  <c r="E11" i="18"/>
  <c r="E12" i="18"/>
  <c r="E13" i="18"/>
  <c r="E14" i="18"/>
  <c r="E15" i="18"/>
  <c r="E16" i="18"/>
  <c r="E17" i="18"/>
  <c r="E18" i="18"/>
  <c r="E19" i="18"/>
  <c r="E6" i="18"/>
  <c r="E7" i="18"/>
  <c r="E8" i="18"/>
  <c r="E9" i="18"/>
  <c r="E10" i="18"/>
  <c r="E3" i="18"/>
  <c r="E4" i="18"/>
  <c r="E5" i="18"/>
  <c r="F2" i="18" l="1"/>
  <c r="G2" i="18" s="1"/>
  <c r="I7" i="18"/>
</calcChain>
</file>

<file path=xl/comments1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charset val="1"/>
          </rPr>
          <t>Schwenzer, Christian:</t>
        </r>
        <r>
          <rPr>
            <sz val="9"/>
            <color indexed="81"/>
            <rFont val="Segoe UI"/>
            <charset val="1"/>
          </rPr>
          <t xml:space="preserve">
noch zu prüfen</t>
        </r>
      </text>
    </comment>
  </commentList>
</comments>
</file>

<file path=xl/comments2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charset val="1"/>
          </rPr>
          <t>Schwenzer, Christian:</t>
        </r>
        <r>
          <rPr>
            <sz val="9"/>
            <color indexed="81"/>
            <rFont val="Segoe UI"/>
            <charset val="1"/>
          </rPr>
          <t xml:space="preserve">
noch zu prüfen</t>
        </r>
      </text>
    </comment>
  </commentList>
</comments>
</file>

<file path=xl/comments3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charset val="1"/>
          </rPr>
          <t>Schwenzer, Christian:</t>
        </r>
        <r>
          <rPr>
            <sz val="9"/>
            <color indexed="81"/>
            <rFont val="Segoe UI"/>
            <charset val="1"/>
          </rPr>
          <t xml:space="preserve">
noch zu prüfen</t>
        </r>
      </text>
    </comment>
  </commentList>
</comments>
</file>

<file path=xl/comments4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charset val="1"/>
          </rPr>
          <t>Raetz, Martin:</t>
        </r>
        <r>
          <rPr>
            <sz val="9"/>
            <color indexed="81"/>
            <rFont val="Segoe UI"/>
            <charset val="1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charset val="1"/>
          </rPr>
          <t>Schwenzer, Christian:</t>
        </r>
        <r>
          <rPr>
            <sz val="9"/>
            <color indexed="81"/>
            <rFont val="Segoe UI"/>
            <charset val="1"/>
          </rPr>
          <t xml:space="preserve">
noch zu prüfen</t>
        </r>
      </text>
    </comment>
  </commentList>
</comments>
</file>

<file path=xl/sharedStrings.xml><?xml version="1.0" encoding="utf-8"?>
<sst xmlns="http://schemas.openxmlformats.org/spreadsheetml/2006/main" count="912" uniqueCount="291">
  <si>
    <t>Floor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</si>
  <si>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</si>
  <si>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</si>
  <si>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</si>
  <si>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</si>
  <si>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</si>
  <si>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</si>
  <si>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</si>
  <si>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N/A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</si>
  <si>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</si>
  <si>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</si>
  <si>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</si>
  <si>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</si>
  <si>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</si>
  <si>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</si>
  <si>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addition</t>
  </si>
  <si>
    <t>Zimmer</t>
  </si>
  <si>
    <t>Window Count</t>
  </si>
  <si>
    <t>WC</t>
  </si>
  <si>
    <t>Inner walls length[m]</t>
  </si>
  <si>
    <t>Inner walls length[drawing mm]</t>
  </si>
  <si>
    <t>Aisle</t>
  </si>
  <si>
    <t>Stairway</t>
  </si>
  <si>
    <t>Washing</t>
  </si>
  <si>
    <t>Storage</t>
  </si>
  <si>
    <t>Lounge</t>
  </si>
  <si>
    <t>Zone 2</t>
  </si>
  <si>
    <t xml:space="preserve">Zone 3 </t>
  </si>
  <si>
    <t>Zone 4</t>
  </si>
  <si>
    <t>Zone 5</t>
  </si>
  <si>
    <t>Fenster</t>
  </si>
  <si>
    <t xml:space="preserve">Zone 1 </t>
  </si>
  <si>
    <t>AirLock</t>
  </si>
  <si>
    <t>IsolationRoom</t>
  </si>
  <si>
    <t>Office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</si>
  <si>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</si>
  <si>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</si>
  <si>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</si>
  <si>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</si>
  <si>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</si>
  <si>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</si>
  <si>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</si>
  <si>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</si>
  <si>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</si>
  <si>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</si>
  <si>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</si>
  <si>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</si>
  <si>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</si>
  <si>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</si>
  <si>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</si>
  <si>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</si>
  <si>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</si>
  <si>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</si>
  <si>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</si>
  <si>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Window 1 ID</t>
  </si>
  <si>
    <t>Window 2 ID</t>
  </si>
  <si>
    <t>Window2Area[m²]</t>
  </si>
  <si>
    <t>Window1Area[m²]</t>
  </si>
  <si>
    <t>Window 1[m]</t>
  </si>
  <si>
    <t>Window 2[m]</t>
  </si>
  <si>
    <t>IU11-o+VTL3-o</t>
  </si>
  <si>
    <t>IU19,5-v</t>
  </si>
  <si>
    <t>IU14,5-o</t>
  </si>
  <si>
    <t>IU14,5-v</t>
  </si>
  <si>
    <t>IU10,5-o+VTL3-o</t>
  </si>
  <si>
    <t>IU21-v</t>
  </si>
  <si>
    <t>IU20-v</t>
  </si>
  <si>
    <t>IU21-o</t>
  </si>
  <si>
    <t>IU10,5-v+OTL3-v</t>
  </si>
  <si>
    <t>IU20-o</t>
  </si>
  <si>
    <t>IU11-v+OTL3-v</t>
  </si>
  <si>
    <t>IU13-o</t>
  </si>
  <si>
    <t>IUA10,5-o</t>
  </si>
  <si>
    <t>IUA13,5-v</t>
  </si>
  <si>
    <t>Window 3 ID</t>
  </si>
  <si>
    <t>IUA14,5-o</t>
  </si>
  <si>
    <t>Window 3[m]</t>
  </si>
  <si>
    <t>Window3Area[m²]</t>
  </si>
  <si>
    <t>Zone 6</t>
  </si>
  <si>
    <t>Material</t>
  </si>
  <si>
    <t>Thickness</t>
  </si>
  <si>
    <t>Lambda</t>
  </si>
  <si>
    <t>Uwert</t>
  </si>
  <si>
    <t>US04</t>
  </si>
  <si>
    <t>R</t>
  </si>
  <si>
    <t>Sum of Uwert</t>
  </si>
  <si>
    <t>Alufolie beschichtete</t>
  </si>
  <si>
    <t>Concrete</t>
  </si>
  <si>
    <t>Thermalinsulation</t>
  </si>
  <si>
    <t>Wind shield plate</t>
  </si>
  <si>
    <t>Z purlins</t>
  </si>
  <si>
    <t>Ventilation space</t>
  </si>
  <si>
    <t>EquipmentServiceAndRinse</t>
  </si>
  <si>
    <t>OuterWallAreaInclWindow</t>
  </si>
  <si>
    <t>Zone 7</t>
  </si>
  <si>
    <t>Zone 8</t>
  </si>
  <si>
    <t>Zone 9</t>
  </si>
  <si>
    <t>Zone 10</t>
  </si>
  <si>
    <t>Zone 11</t>
  </si>
  <si>
    <t>Zone 12</t>
  </si>
  <si>
    <t>IU18-o+VTL3-o</t>
  </si>
  <si>
    <t>IUA6-o</t>
  </si>
  <si>
    <t>IUA18,5-o</t>
  </si>
  <si>
    <t>IUA24-v</t>
  </si>
  <si>
    <t>IUA9,5-o</t>
  </si>
  <si>
    <t>IU11-v+OTL-v</t>
  </si>
  <si>
    <t>IU9,5-v+VTL3-o</t>
  </si>
  <si>
    <t>IU11,5-v+TL3-v</t>
  </si>
  <si>
    <t>Zone 14</t>
  </si>
  <si>
    <t>Zone 15</t>
  </si>
  <si>
    <t>Zone 16</t>
  </si>
  <si>
    <t>Zone 17</t>
  </si>
  <si>
    <t>Zone 18</t>
  </si>
  <si>
    <t>Zone 19</t>
  </si>
  <si>
    <t>IUA21-o</t>
  </si>
  <si>
    <t>IUA6-v</t>
  </si>
  <si>
    <t>IU18,5-o</t>
  </si>
  <si>
    <t>IU7-v</t>
  </si>
  <si>
    <t>IU17,5-v</t>
  </si>
  <si>
    <t>IU8-o</t>
  </si>
  <si>
    <t>IU17,5-o</t>
  </si>
  <si>
    <t>IU8-v</t>
  </si>
  <si>
    <t>IU16-v</t>
  </si>
  <si>
    <t>IU16-o</t>
  </si>
  <si>
    <t>IU11-v</t>
  </si>
  <si>
    <t>IU18-v</t>
  </si>
  <si>
    <t>Aus Etage 7</t>
  </si>
  <si>
    <t>KL6.007</t>
  </si>
  <si>
    <t>KL6.008</t>
  </si>
  <si>
    <t>KL6.013</t>
  </si>
  <si>
    <t>Floor 6</t>
  </si>
  <si>
    <t>WINDOW ID</t>
  </si>
  <si>
    <t>SIZE</t>
  </si>
  <si>
    <t>KD2</t>
  </si>
  <si>
    <t>ROOM NUMBER</t>
  </si>
  <si>
    <t>AMOUNT</t>
  </si>
  <si>
    <t>KL6.018</t>
  </si>
  <si>
    <t>KL6.022</t>
  </si>
  <si>
    <t>KL6.024</t>
  </si>
  <si>
    <t>KL6.029</t>
  </si>
  <si>
    <t>KL6.035</t>
  </si>
  <si>
    <t>KL6.110</t>
  </si>
  <si>
    <t>KL6.114</t>
  </si>
  <si>
    <t>KL6.137</t>
  </si>
  <si>
    <t>KL6.139</t>
  </si>
  <si>
    <t>KL6.020</t>
  </si>
  <si>
    <t>KL6.026</t>
  </si>
  <si>
    <t>KL6.032</t>
  </si>
  <si>
    <t>KL6.038</t>
  </si>
  <si>
    <t>KL6.106</t>
  </si>
  <si>
    <t>KL6.112</t>
  </si>
  <si>
    <t>KL6.068</t>
  </si>
  <si>
    <t>KL6.062</t>
  </si>
  <si>
    <t>KL6.116</t>
  </si>
  <si>
    <t>KL6.120</t>
  </si>
  <si>
    <t>KL6.129</t>
  </si>
  <si>
    <t>KL6.135</t>
  </si>
  <si>
    <t>KL6.064</t>
  </si>
  <si>
    <t>KL6.118</t>
  </si>
  <si>
    <t>KL6.126</t>
  </si>
  <si>
    <t>KL6.132</t>
  </si>
  <si>
    <t>EI 30</t>
  </si>
  <si>
    <t>KL6.P2</t>
  </si>
  <si>
    <t>KL6.P3</t>
  </si>
  <si>
    <t>KL6.009</t>
  </si>
  <si>
    <t>KL6.010</t>
  </si>
  <si>
    <t>KL6.012</t>
  </si>
  <si>
    <t>KL6.058</t>
  </si>
  <si>
    <t>KL6.066</t>
  </si>
  <si>
    <t>KL6.124</t>
  </si>
  <si>
    <t>KL6.104</t>
  </si>
  <si>
    <t>KL6.057</t>
  </si>
  <si>
    <t>KL6.015</t>
  </si>
  <si>
    <t>KL6.055</t>
  </si>
  <si>
    <t>KL6.011</t>
  </si>
  <si>
    <t>KL6.014</t>
  </si>
  <si>
    <t>PatientRoom</t>
  </si>
  <si>
    <t>KL6.045</t>
  </si>
  <si>
    <t>KL6.046</t>
  </si>
  <si>
    <t>KL6.016</t>
  </si>
  <si>
    <t>KL6.019</t>
  </si>
  <si>
    <t>KL6.017</t>
  </si>
  <si>
    <t>KL6.003</t>
  </si>
  <si>
    <t>KL6.004</t>
  </si>
  <si>
    <t>KL6.005</t>
  </si>
  <si>
    <t>KL6.006</t>
  </si>
  <si>
    <t>KL6.021</t>
  </si>
  <si>
    <t>KL6.023</t>
  </si>
  <si>
    <t>KL6.025</t>
  </si>
  <si>
    <t>KL6.027</t>
  </si>
  <si>
    <t>KL6.030</t>
  </si>
  <si>
    <t>KL6.028</t>
  </si>
  <si>
    <t>TOTAL NUMBER WINDOWS</t>
  </si>
  <si>
    <t>Window 4 ID</t>
  </si>
  <si>
    <t>Window 4[m]</t>
  </si>
  <si>
    <t>Window4Area[m²]</t>
  </si>
  <si>
    <t>Outer Wall length [drawing mm]</t>
  </si>
  <si>
    <t>Outer Wall length [m]</t>
  </si>
  <si>
    <t>KL6.031</t>
  </si>
  <si>
    <t>KL6.036</t>
  </si>
  <si>
    <t>KL6.037</t>
  </si>
  <si>
    <t>KL6.039</t>
  </si>
  <si>
    <t>KL6.040</t>
  </si>
  <si>
    <t>KL6.041</t>
  </si>
  <si>
    <t>KL6.042</t>
  </si>
  <si>
    <t>KL6.034</t>
  </si>
  <si>
    <t>KL6.002</t>
  </si>
  <si>
    <t>KL6.001</t>
  </si>
  <si>
    <t>KL6.049</t>
  </si>
  <si>
    <t>KL6.043</t>
  </si>
  <si>
    <t>KL6.044</t>
  </si>
  <si>
    <t>KL6.050</t>
  </si>
  <si>
    <t>KL6.051</t>
  </si>
  <si>
    <t>KL6.052</t>
  </si>
  <si>
    <t>KL6.053</t>
  </si>
  <si>
    <t>KL6.063</t>
  </si>
  <si>
    <t>KL6.073</t>
  </si>
  <si>
    <t>KL6.054</t>
  </si>
  <si>
    <t>KL6.056</t>
  </si>
  <si>
    <t>NO ID FOUND</t>
  </si>
  <si>
    <t>KL6.059</t>
  </si>
  <si>
    <t>TechnicalRoom</t>
  </si>
  <si>
    <t>KL6.060</t>
  </si>
  <si>
    <t>KL6.061</t>
  </si>
  <si>
    <t>KL6.065</t>
  </si>
  <si>
    <t>KL6.067</t>
  </si>
  <si>
    <t>KL6.069</t>
  </si>
  <si>
    <t>KL6.070</t>
  </si>
  <si>
    <t>KL6.071</t>
  </si>
  <si>
    <t>KL6.072</t>
  </si>
  <si>
    <t>TreatmentRoom</t>
  </si>
  <si>
    <t>KL6.074</t>
  </si>
  <si>
    <t>KL6.075</t>
  </si>
  <si>
    <t>KL6.076</t>
  </si>
  <si>
    <t>Laboratory</t>
  </si>
  <si>
    <t>KL6.077</t>
  </si>
  <si>
    <t>KL6.078</t>
  </si>
  <si>
    <t>KL6.079</t>
  </si>
  <si>
    <t>KL6.080</t>
  </si>
  <si>
    <t>KL6.081</t>
  </si>
  <si>
    <t>KL6.082</t>
  </si>
  <si>
    <t>WasteHandling</t>
  </si>
  <si>
    <t>KL6.083</t>
  </si>
  <si>
    <t>KL6.084</t>
  </si>
  <si>
    <t>KL6.085</t>
  </si>
  <si>
    <t>KL6.086</t>
  </si>
  <si>
    <t>KL6.087</t>
  </si>
  <si>
    <t>KL6.088</t>
  </si>
  <si>
    <t>Kitchen</t>
  </si>
  <si>
    <t>KL6.089</t>
  </si>
  <si>
    <t>KL6.090</t>
  </si>
  <si>
    <t>KL6.091</t>
  </si>
  <si>
    <t>KL6.092</t>
  </si>
  <si>
    <t>KL6.093</t>
  </si>
  <si>
    <t>KL6.094</t>
  </si>
  <si>
    <t>KL6.095</t>
  </si>
  <si>
    <t>KL6.096</t>
  </si>
  <si>
    <t>KL6.097</t>
  </si>
  <si>
    <t>KL6.098</t>
  </si>
  <si>
    <t>KL6.099</t>
  </si>
  <si>
    <t>KL6.100</t>
  </si>
  <si>
    <t>KL6.101</t>
  </si>
  <si>
    <t>KL6.111</t>
  </si>
  <si>
    <t>KL6.121</t>
  </si>
  <si>
    <t>KL6.102</t>
  </si>
  <si>
    <t>KL6.103</t>
  </si>
  <si>
    <t>KL6.105</t>
  </si>
  <si>
    <t>KL6.108</t>
  </si>
  <si>
    <t>KL6.107</t>
  </si>
  <si>
    <t>KL6.109</t>
  </si>
  <si>
    <t>KL6.113</t>
  </si>
  <si>
    <t>KL6.115</t>
  </si>
  <si>
    <t>KL6.117</t>
  </si>
  <si>
    <t>KL6.119</t>
  </si>
  <si>
    <t>KL6.122</t>
  </si>
  <si>
    <t>KL6.123</t>
  </si>
  <si>
    <t>KL6.125</t>
  </si>
  <si>
    <t>KL6.127</t>
  </si>
  <si>
    <t>KL6.128</t>
  </si>
  <si>
    <t>KL6.130</t>
  </si>
  <si>
    <t>KL6.131</t>
  </si>
  <si>
    <t>KL6.133</t>
  </si>
  <si>
    <t>KL6.134</t>
  </si>
  <si>
    <t>KL6.136</t>
  </si>
  <si>
    <t>KL6.138</t>
  </si>
  <si>
    <t>KL6.P1</t>
  </si>
  <si>
    <t>KL6.YK</t>
  </si>
  <si>
    <t>Deckenhöhe [m]</t>
  </si>
  <si>
    <t>CSC: In this file none of the adjacent zones are considered in the Calculation of outside/inside walls. All walls adjacent to Zones including the courtyard are considered to be interior walls.</t>
  </si>
  <si>
    <t xml:space="preserve"> </t>
  </si>
  <si>
    <t>Etagenhöhe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</si>
</sst>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3" xfId="0" applyFont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0" fillId="0" borderId="0" xfId="0" applyBorder="1"/>
    <xf numFmtId="0" fontId="12" fillId="0" borderId="0" xfId="0" applyFont="1"/>
    <xf numFmtId="0" fontId="0" fillId="3" borderId="0" xfId="0" applyFill="1"/>
    <xf numFmtId="0" fontId="0" fillId="0" borderId="0" xfId="0" applyFill="1" applyBorder="1"/>
    <xf numFmtId="0" fontId="11" fillId="0" borderId="0" xfId="0" applyFont="1"/>
    <xf numFmtId="0" fontId="1" fillId="4" borderId="1" xfId="0" applyFont="1" applyFill="1" applyBorder="1"/>
    <xf numFmtId="0" fontId="1" fillId="0" borderId="0" xfId="0" applyFont="1" applyBorder="1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Fill="1" applyBorder="1"/>
    <xf numFmtId="1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112059</xdr:colOff>
      <xdr:row>15</xdr:row>
      <xdr:rowOff>78441</xdr:rowOff>
    </xdr:from>
    <xdr:to>
      <xdr:col>17</xdr:col>
      <xdr:colOff>235324</xdr:colOff>
      <xdr:row>50</xdr:row>
      <xdr:rowOff>48036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059" y="2935941"/>
          <a:ext cx="8505265" cy="6872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6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37275247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5</xdr:row>
      <xdr:rowOff>9525</xdr:rowOff>
    </xdr:from>
    <xdr:to>
      <xdr:col>15</xdr:col>
      <xdr:colOff>715215</xdr:colOff>
      <xdr:row>32</xdr:row>
      <xdr:rowOff>134085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1133475"/>
          <a:ext cx="6020640" cy="5268060"/>
        </a:xfrm>
        <a:prstGeom prst="rect">
          <a:avLst/>
        </a:prstGeom>
      </xdr:spPr>
    </xdr:pic>
    <xdr:clientData/>
  </xdr:twoCellAnchor>
  <xdr:twoCellAnchor editAs="oneCell">
    <xdr:from>
      <xdr:col>0</xdr:col>
      <xdr:colOff>350025</xdr:colOff>
      <xdr:row>5</xdr:row>
      <xdr:rowOff>150000</xdr:rowOff>
    </xdr:from>
    <xdr:to>
      <xdr:col>3</xdr:col>
      <xdr:colOff>626608</xdr:colOff>
      <xdr:row>19</xdr:row>
      <xdr:rowOff>64635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025" y="1102500"/>
          <a:ext cx="2562583" cy="2581635"/>
        </a:xfrm>
        <a:prstGeom prst="rect">
          <a:avLst/>
        </a:prstGeom>
      </xdr:spPr>
    </xdr:pic>
    <xdr:clientData/>
  </xdr:twoCellAnchor>
  <xdr:twoCellAnchor editAs="oneCell">
    <xdr:from>
      <xdr:col>16</xdr:col>
      <xdr:colOff>742950</xdr:colOff>
      <xdr:row>9</xdr:row>
      <xdr:rowOff>85725</xdr:rowOff>
    </xdr:from>
    <xdr:to>
      <xdr:col>24</xdr:col>
      <xdr:colOff>686643</xdr:colOff>
      <xdr:row>22</xdr:row>
      <xdr:rowOff>57492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4950" y="1971675"/>
          <a:ext cx="6039693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44</xdr:row>
      <xdr:rowOff>0</xdr:rowOff>
    </xdr:from>
    <xdr:to>
      <xdr:col>4</xdr:col>
      <xdr:colOff>190810</xdr:colOff>
      <xdr:row>57</xdr:row>
      <xdr:rowOff>38451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8553450"/>
          <a:ext cx="2219635" cy="2514951"/>
        </a:xfrm>
        <a:prstGeom prst="rect">
          <a:avLst/>
        </a:prstGeom>
      </xdr:spPr>
    </xdr:pic>
    <xdr:clientData/>
  </xdr:twoCellAnchor>
  <xdr:twoCellAnchor editAs="oneCell">
    <xdr:from>
      <xdr:col>11</xdr:col>
      <xdr:colOff>283350</xdr:colOff>
      <xdr:row>42</xdr:row>
      <xdr:rowOff>83325</xdr:rowOff>
    </xdr:from>
    <xdr:to>
      <xdr:col>16</xdr:col>
      <xdr:colOff>436303</xdr:colOff>
      <xdr:row>60</xdr:row>
      <xdr:rowOff>83804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5350" y="8255775"/>
          <a:ext cx="3962953" cy="3429479"/>
        </a:xfrm>
        <a:prstGeom prst="rect">
          <a:avLst/>
        </a:prstGeom>
      </xdr:spPr>
    </xdr:pic>
    <xdr:clientData/>
  </xdr:twoCellAnchor>
  <xdr:twoCellAnchor editAs="oneCell">
    <xdr:from>
      <xdr:col>19</xdr:col>
      <xdr:colOff>447675</xdr:colOff>
      <xdr:row>42</xdr:row>
      <xdr:rowOff>104775</xdr:rowOff>
    </xdr:from>
    <xdr:to>
      <xdr:col>24</xdr:col>
      <xdr:colOff>562523</xdr:colOff>
      <xdr:row>62</xdr:row>
      <xdr:rowOff>86254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5675" y="8420100"/>
          <a:ext cx="3924848" cy="37914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6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50133997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5</xdr:row>
      <xdr:rowOff>95250</xdr:rowOff>
    </xdr:from>
    <xdr:to>
      <xdr:col>6</xdr:col>
      <xdr:colOff>400663</xdr:colOff>
      <xdr:row>29</xdr:row>
      <xdr:rowOff>48256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047750"/>
          <a:ext cx="4391638" cy="4525006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7</xdr:row>
      <xdr:rowOff>47625</xdr:rowOff>
    </xdr:from>
    <xdr:to>
      <xdr:col>11</xdr:col>
      <xdr:colOff>561975</xdr:colOff>
      <xdr:row>16</xdr:row>
      <xdr:rowOff>66675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1524000"/>
          <a:ext cx="2409825" cy="1733550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6</xdr:row>
      <xdr:rowOff>123824</xdr:rowOff>
    </xdr:from>
    <xdr:to>
      <xdr:col>16</xdr:col>
      <xdr:colOff>628875</xdr:colOff>
      <xdr:row>14</xdr:row>
      <xdr:rowOff>190499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0925" y="1409699"/>
          <a:ext cx="1609950" cy="1590675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5</xdr:row>
      <xdr:rowOff>133350</xdr:rowOff>
    </xdr:from>
    <xdr:to>
      <xdr:col>23</xdr:col>
      <xdr:colOff>57658</xdr:colOff>
      <xdr:row>18</xdr:row>
      <xdr:rowOff>76538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4600" y="1228725"/>
          <a:ext cx="3639058" cy="2419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5</xdr:col>
      <xdr:colOff>752475</xdr:colOff>
      <xdr:row>46</xdr:row>
      <xdr:rowOff>171713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7296150"/>
          <a:ext cx="3800475" cy="188621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11</xdr:col>
      <xdr:colOff>248004</xdr:colOff>
      <xdr:row>47</xdr:row>
      <xdr:rowOff>171740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7334250"/>
          <a:ext cx="2534004" cy="207674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16</xdr:col>
      <xdr:colOff>228845</xdr:colOff>
      <xdr:row>47</xdr:row>
      <xdr:rowOff>114582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7334250"/>
          <a:ext cx="1752845" cy="20195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6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172922</xdr:colOff>
      <xdr:row>6</xdr:row>
      <xdr:rowOff>161925</xdr:rowOff>
    </xdr:from>
    <xdr:to>
      <xdr:col>4</xdr:col>
      <xdr:colOff>362524</xdr:colOff>
      <xdr:row>22</xdr:row>
      <xdr:rowOff>171877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22" y="1304925"/>
          <a:ext cx="3237602" cy="305795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</xdr:row>
      <xdr:rowOff>142875</xdr:rowOff>
    </xdr:from>
    <xdr:to>
      <xdr:col>11</xdr:col>
      <xdr:colOff>257783</xdr:colOff>
      <xdr:row>22</xdr:row>
      <xdr:rowOff>95669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95425"/>
          <a:ext cx="4353533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6</xdr:row>
      <xdr:rowOff>114300</xdr:rowOff>
    </xdr:from>
    <xdr:to>
      <xdr:col>17</xdr:col>
      <xdr:colOff>114711</xdr:colOff>
      <xdr:row>23</xdr:row>
      <xdr:rowOff>48068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466850"/>
          <a:ext cx="2943636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31</xdr:row>
      <xdr:rowOff>152400</xdr:rowOff>
    </xdr:from>
    <xdr:to>
      <xdr:col>4</xdr:col>
      <xdr:colOff>286185</xdr:colOff>
      <xdr:row>48</xdr:row>
      <xdr:rowOff>431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477000"/>
          <a:ext cx="3115110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31</xdr:row>
      <xdr:rowOff>0</xdr:rowOff>
    </xdr:from>
    <xdr:to>
      <xdr:col>11</xdr:col>
      <xdr:colOff>715022</xdr:colOff>
      <xdr:row>55</xdr:row>
      <xdr:rowOff>143533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6324600"/>
          <a:ext cx="4639322" cy="4715533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68037</xdr:colOff>
      <xdr:row>31</xdr:row>
      <xdr:rowOff>54429</xdr:rowOff>
    </xdr:from>
    <xdr:to>
      <xdr:col>16</xdr:col>
      <xdr:colOff>535146</xdr:colOff>
      <xdr:row>48</xdr:row>
      <xdr:rowOff>95250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6368143"/>
          <a:ext cx="2753109" cy="32793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4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52</xdr:col>
      <xdr:colOff>699247</xdr:colOff>
      <xdr:row>5</xdr:row>
      <xdr:rowOff>0</xdr:rowOff>
    </xdr:from>
    <xdr:ext cx="2286000" cy="264560"/>
    <xdr:sp macro="" textlink="">
      <xdr:nvSpPr>
        <xdr:cNvPr id="3" name="Textfeld 2"/>
        <xdr:cNvSpPr txBox="1"/>
      </xdr:nvSpPr>
      <xdr:spPr>
        <a:xfrm>
          <a:off x="49589711" y="789214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1011_HUS_Etage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Notes"/>
      <sheetName val="Translations"/>
      <sheetName val="Orientation"/>
      <sheetName val="Konstanten"/>
      <sheetName val="Windows"/>
      <sheetName val="Zones"/>
      <sheetName val="TK01_5"/>
      <sheetName val="TK02_5"/>
      <sheetName val="TK03_5"/>
      <sheetName val="TK31_5"/>
    </sheetNames>
    <sheetDataSet>
      <sheetData sheetId="0"/>
      <sheetData sheetId="1"/>
      <sheetData sheetId="2"/>
      <sheetData sheetId="3">
        <row r="2">
          <cell r="B2">
            <v>1.35</v>
          </cell>
        </row>
      </sheetData>
      <sheetData sheetId="4">
        <row r="4">
          <cell r="B4" t="str">
            <v>IU11-v</v>
          </cell>
        </row>
        <row r="5">
          <cell r="B5" t="str">
            <v>IU16-o</v>
          </cell>
        </row>
        <row r="6">
          <cell r="B6" t="str">
            <v>IU16-v</v>
          </cell>
        </row>
        <row r="7">
          <cell r="B7" t="str">
            <v>IU17,5-o</v>
          </cell>
        </row>
        <row r="8">
          <cell r="B8" t="str">
            <v>IU17,5-v</v>
          </cell>
        </row>
        <row r="9">
          <cell r="B9" t="str">
            <v>IU18,5-o</v>
          </cell>
        </row>
        <row r="10">
          <cell r="B10" t="str">
            <v>IU18-v</v>
          </cell>
        </row>
        <row r="11">
          <cell r="B11" t="str">
            <v>IU8-o</v>
          </cell>
        </row>
        <row r="12">
          <cell r="B12" t="str">
            <v>IU8-v</v>
          </cell>
        </row>
        <row r="13">
          <cell r="B13" t="str">
            <v>IUA21-o</v>
          </cell>
        </row>
        <row r="14">
          <cell r="B14" t="str">
            <v>IIUA6-v</v>
          </cell>
        </row>
        <row r="15">
          <cell r="B15" t="str">
            <v>IU10,5-o+VTL3-o</v>
          </cell>
        </row>
        <row r="16">
          <cell r="B16" t="str">
            <v>IU21-v</v>
          </cell>
        </row>
        <row r="17">
          <cell r="B17" t="str">
            <v>IU10,5-v+OTL3-v</v>
          </cell>
        </row>
        <row r="18">
          <cell r="B18" t="str">
            <v>IU21-o</v>
          </cell>
        </row>
        <row r="19">
          <cell r="B19" t="str">
            <v>IU10,5-o+VTL3-o</v>
          </cell>
        </row>
        <row r="20">
          <cell r="B20" t="str">
            <v>IU21-v</v>
          </cell>
        </row>
        <row r="21">
          <cell r="B21" t="str">
            <v>IU10,5-o+VTL3-o</v>
          </cell>
        </row>
        <row r="22">
          <cell r="B22" t="str">
            <v>IU20-v</v>
          </cell>
        </row>
        <row r="23">
          <cell r="B23" t="str">
            <v>IU10,5-v+OTL3-v</v>
          </cell>
        </row>
        <row r="24">
          <cell r="B24" t="str">
            <v>IU20-o</v>
          </cell>
        </row>
        <row r="25">
          <cell r="B25" t="str">
            <v>IU10,5-o+VTL3-o</v>
          </cell>
        </row>
        <row r="26">
          <cell r="B26" t="str">
            <v>IU20-v</v>
          </cell>
        </row>
        <row r="27">
          <cell r="B27" t="str">
            <v>IU10,5-v+OTL3-v</v>
          </cell>
        </row>
        <row r="28">
          <cell r="B28" t="str">
            <v>IU20-o</v>
          </cell>
        </row>
        <row r="29">
          <cell r="B29" t="str">
            <v>IU10,5-o+VTL3-o</v>
          </cell>
        </row>
        <row r="30">
          <cell r="B30" t="str">
            <v>IU20-v</v>
          </cell>
        </row>
        <row r="31">
          <cell r="B31" t="str">
            <v>IU10,5-v+OTL3-v</v>
          </cell>
        </row>
        <row r="32">
          <cell r="B32" t="str">
            <v>IU20-o</v>
          </cell>
        </row>
        <row r="33">
          <cell r="B33" t="str">
            <v>IUA24-v</v>
          </cell>
        </row>
        <row r="34">
          <cell r="B34" t="str">
            <v>IUA9,5-o</v>
          </cell>
        </row>
        <row r="35">
          <cell r="B35" t="str">
            <v>IUA18,5-o</v>
          </cell>
        </row>
        <row r="36">
          <cell r="B36" t="str">
            <v>IUA6-o</v>
          </cell>
        </row>
        <row r="37">
          <cell r="B37" t="str">
            <v>IU18-o+VTL3-o</v>
          </cell>
        </row>
        <row r="38">
          <cell r="B38" t="str">
            <v>IU21-v</v>
          </cell>
        </row>
        <row r="39">
          <cell r="B39" t="str">
            <v>IU11-o+VTL3-o</v>
          </cell>
        </row>
        <row r="40">
          <cell r="B40" t="str">
            <v>IU21-o</v>
          </cell>
        </row>
        <row r="41">
          <cell r="B41" t="str">
            <v>IU11-v+OTL-v</v>
          </cell>
        </row>
        <row r="42">
          <cell r="B42" t="str">
            <v>IU21-o</v>
          </cell>
        </row>
        <row r="43">
          <cell r="B43" t="str">
            <v>IU20-o</v>
          </cell>
        </row>
        <row r="44">
          <cell r="B44" t="str">
            <v>IU9,5-v+VTL3-o</v>
          </cell>
        </row>
        <row r="45">
          <cell r="B45" t="str">
            <v>IU11,5-v+TL3-v</v>
          </cell>
        </row>
        <row r="46">
          <cell r="B46" t="str">
            <v>IU21-o</v>
          </cell>
        </row>
        <row r="47">
          <cell r="B47" t="str">
            <v>IUA10,5-o</v>
          </cell>
        </row>
        <row r="48">
          <cell r="B48" t="str">
            <v>IUA13,5-v</v>
          </cell>
        </row>
        <row r="49">
          <cell r="B49" t="str">
            <v>IUA14,5-o</v>
          </cell>
        </row>
        <row r="50">
          <cell r="B50" t="str">
            <v>IU10,5-v+OTL3-v</v>
          </cell>
        </row>
        <row r="51">
          <cell r="B51" t="str">
            <v>IU20-o</v>
          </cell>
        </row>
        <row r="52">
          <cell r="B52" t="str">
            <v>IU10,5-o+VTL3-o</v>
          </cell>
        </row>
        <row r="53">
          <cell r="B53" t="str">
            <v>IU21-v</v>
          </cell>
        </row>
        <row r="54">
          <cell r="B54" t="str">
            <v>IU10,5-v+OTL3-v</v>
          </cell>
        </row>
        <row r="55">
          <cell r="B55" t="str">
            <v>IU21-o</v>
          </cell>
        </row>
        <row r="56">
          <cell r="B56" t="str">
            <v>IU10,5-o+VTL3-o</v>
          </cell>
        </row>
        <row r="57">
          <cell r="B57" t="str">
            <v>IU21-v</v>
          </cell>
        </row>
        <row r="58">
          <cell r="B58" t="str">
            <v>IU11-o+VTL3-o</v>
          </cell>
        </row>
        <row r="59">
          <cell r="B59" t="str">
            <v>IU14,5-o</v>
          </cell>
        </row>
        <row r="60">
          <cell r="B60" t="str">
            <v>IU14,5-v</v>
          </cell>
        </row>
        <row r="61">
          <cell r="B61" t="str">
            <v>IU19,5-v</v>
          </cell>
        </row>
        <row r="62">
          <cell r="B62" t="str">
            <v>IU11-v+OTL3-v</v>
          </cell>
        </row>
        <row r="63">
          <cell r="B63" t="str">
            <v>IU21-o</v>
          </cell>
        </row>
        <row r="64">
          <cell r="B64" t="str">
            <v>IU11-o+VTL3-o</v>
          </cell>
        </row>
        <row r="65">
          <cell r="B65" t="str">
            <v>IU21-v</v>
          </cell>
        </row>
        <row r="66">
          <cell r="B66" t="str">
            <v>IU21-v</v>
          </cell>
        </row>
        <row r="67">
          <cell r="B67" t="str">
            <v>IU11-v+OTL3-v</v>
          </cell>
        </row>
        <row r="68">
          <cell r="B68" t="str">
            <v>IU21-o</v>
          </cell>
        </row>
        <row r="69">
          <cell r="B69" t="str">
            <v>IU11-o+VTL3-o</v>
          </cell>
        </row>
        <row r="70">
          <cell r="B70" t="str">
            <v>IU21-v</v>
          </cell>
        </row>
        <row r="71">
          <cell r="B71" t="str">
            <v>IUB11-v+OTL3-v</v>
          </cell>
        </row>
        <row r="72">
          <cell r="B72" t="str">
            <v>IUB21-o</v>
          </cell>
        </row>
        <row r="73">
          <cell r="B73" t="str">
            <v>IUB11-o+VTL3-o</v>
          </cell>
        </row>
        <row r="74">
          <cell r="B74" t="str">
            <v>IUB21-v</v>
          </cell>
        </row>
        <row r="75">
          <cell r="B75" t="str">
            <v>IUB10,5-o+VTL3-o</v>
          </cell>
        </row>
        <row r="76">
          <cell r="B76" t="str">
            <v>IUB20-v</v>
          </cell>
        </row>
        <row r="77">
          <cell r="B77" t="str">
            <v>IUB10,5-o+VTL3-o</v>
          </cell>
        </row>
        <row r="78">
          <cell r="B78" t="str">
            <v>IUB21-o</v>
          </cell>
        </row>
        <row r="79">
          <cell r="B79" t="str">
            <v>IU13-o</v>
          </cell>
        </row>
        <row r="80">
          <cell r="B80" t="str">
            <v>IU13-o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22">
        <v>43749</v>
      </c>
      <c r="B1" t="s">
        <v>288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0" zoomScaleNormal="70" workbookViewId="0">
      <selection activeCell="T27" sqref="T27"/>
    </sheetView>
  </sheetViews>
  <sheetFormatPr baseColWidth="10" defaultRowHeight="15" x14ac:dyDescent="0.25"/>
  <sheetData>
    <row r="1" spans="1:15" x14ac:dyDescent="0.25">
      <c r="A1" s="13" t="s">
        <v>126</v>
      </c>
    </row>
    <row r="5" spans="1:15" ht="31.5" x14ac:dyDescent="0.5">
      <c r="B5" s="7" t="s">
        <v>31</v>
      </c>
      <c r="H5" s="7" t="s">
        <v>26</v>
      </c>
      <c r="O5" s="7" t="s">
        <v>27</v>
      </c>
    </row>
    <row r="30" spans="2:15" ht="31.5" x14ac:dyDescent="0.5">
      <c r="B30" s="7" t="s">
        <v>28</v>
      </c>
      <c r="H30" s="7" t="s">
        <v>29</v>
      </c>
      <c r="O30" s="9" t="s">
        <v>78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6"/>
  <sheetViews>
    <sheetView zoomScale="85" zoomScaleNormal="85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AF3" sqref="AF3"/>
    </sheetView>
  </sheetViews>
  <sheetFormatPr baseColWidth="10" defaultRowHeight="15" x14ac:dyDescent="0.25"/>
  <cols>
    <col min="1" max="1" width="6.28515625" bestFit="1" customWidth="1"/>
    <col min="2" max="2" width="6" bestFit="1" customWidth="1"/>
    <col min="3" max="3" width="15.140625" bestFit="1" customWidth="1"/>
    <col min="4" max="4" width="9.28515625" bestFit="1" customWidth="1"/>
    <col min="5" max="5" width="15.7109375" bestFit="1" customWidth="1"/>
    <col min="6" max="6" width="20.140625" bestFit="1" customWidth="1"/>
    <col min="7" max="7" width="13.140625" bestFit="1" customWidth="1"/>
    <col min="8" max="8" width="23.7109375" bestFit="1" customWidth="1"/>
    <col min="9" max="25" width="9.28515625" customWidth="1"/>
    <col min="26" max="26" width="23.140625" bestFit="1" customWidth="1"/>
    <col min="27" max="27" width="18" bestFit="1" customWidth="1"/>
    <col min="28" max="28" width="22.140625" bestFit="1" customWidth="1"/>
    <col min="29" max="29" width="25" bestFit="1" customWidth="1"/>
    <col min="30" max="30" width="33.42578125" bestFit="1" customWidth="1"/>
    <col min="31" max="32" width="9.28515625" customWidth="1"/>
    <col min="33" max="33" width="19.85546875" bestFit="1" customWidth="1"/>
    <col min="34" max="34" width="24" bestFit="1" customWidth="1"/>
    <col min="35" max="35" width="9.28515625" customWidth="1"/>
    <col min="36" max="36" width="32.7109375" bestFit="1" customWidth="1"/>
    <col min="37" max="37" width="9.28515625" customWidth="1"/>
    <col min="38" max="38" width="19.28515625" bestFit="1" customWidth="1"/>
    <col min="39" max="39" width="23.42578125" bestFit="1" customWidth="1"/>
    <col min="40" max="40" width="14.85546875" bestFit="1" customWidth="1"/>
    <col min="41" max="41" width="10.42578125" bestFit="1" customWidth="1"/>
    <col min="42" max="42" width="18.7109375" bestFit="1" customWidth="1"/>
    <col min="43" max="43" width="20.140625" bestFit="1" customWidth="1"/>
    <col min="44" max="44" width="29.7109375" style="12" customWidth="1"/>
  </cols>
  <sheetData>
    <row r="1" spans="1:58" s="1" customFormat="1" ht="16.5" thickBot="1" x14ac:dyDescent="0.3">
      <c r="A1" s="1" t="s">
        <v>35</v>
      </c>
      <c r="B1" s="1" t="s">
        <v>0</v>
      </c>
      <c r="C1" s="17" t="s">
        <v>38</v>
      </c>
      <c r="D1" s="1" t="s">
        <v>15</v>
      </c>
      <c r="E1" s="17" t="s">
        <v>37</v>
      </c>
      <c r="F1" s="17" t="s">
        <v>39</v>
      </c>
      <c r="G1" s="17" t="s">
        <v>36</v>
      </c>
      <c r="H1" s="8" t="s">
        <v>43</v>
      </c>
      <c r="I1" s="1" t="s">
        <v>17</v>
      </c>
      <c r="J1" s="1" t="s">
        <v>54</v>
      </c>
      <c r="K1" s="1" t="s">
        <v>58</v>
      </c>
      <c r="L1" s="1" t="s">
        <v>58</v>
      </c>
      <c r="M1" s="1" t="s">
        <v>57</v>
      </c>
      <c r="N1" s="1" t="s">
        <v>55</v>
      </c>
      <c r="O1" s="1" t="s">
        <v>59</v>
      </c>
      <c r="P1" s="1" t="s">
        <v>59</v>
      </c>
      <c r="Q1" s="1" t="s">
        <v>56</v>
      </c>
      <c r="R1" s="1" t="s">
        <v>74</v>
      </c>
      <c r="S1" s="1" t="s">
        <v>76</v>
      </c>
      <c r="T1" s="1" t="s">
        <v>76</v>
      </c>
      <c r="U1" s="1" t="s">
        <v>77</v>
      </c>
      <c r="V1" s="1" t="s">
        <v>193</v>
      </c>
      <c r="W1" s="1" t="s">
        <v>194</v>
      </c>
      <c r="X1" s="1" t="s">
        <v>194</v>
      </c>
      <c r="Y1" s="1" t="s">
        <v>195</v>
      </c>
      <c r="Z1" s="8" t="s">
        <v>48</v>
      </c>
      <c r="AA1" s="8" t="s">
        <v>40</v>
      </c>
      <c r="AB1" s="8" t="s">
        <v>44</v>
      </c>
      <c r="AC1" s="17" t="s">
        <v>49</v>
      </c>
      <c r="AD1" s="17" t="s">
        <v>196</v>
      </c>
      <c r="AE1" s="1" t="s">
        <v>197</v>
      </c>
      <c r="AF1" s="1" t="s">
        <v>93</v>
      </c>
      <c r="AG1" s="8" t="s">
        <v>41</v>
      </c>
      <c r="AH1" s="17" t="s">
        <v>42</v>
      </c>
      <c r="AI1" s="1" t="s">
        <v>53</v>
      </c>
      <c r="AJ1" s="17" t="s">
        <v>20</v>
      </c>
      <c r="AK1" s="1" t="s">
        <v>19</v>
      </c>
      <c r="AL1" s="8" t="s">
        <v>47</v>
      </c>
      <c r="AM1" s="8" t="s">
        <v>50</v>
      </c>
      <c r="AN1" s="8" t="s">
        <v>46</v>
      </c>
      <c r="AO1" s="8" t="s">
        <v>45</v>
      </c>
      <c r="AP1" s="8" t="s">
        <v>51</v>
      </c>
      <c r="AQ1" s="8" t="s">
        <v>52</v>
      </c>
      <c r="AR1" s="18"/>
      <c r="AS1" s="1" t="s">
        <v>1</v>
      </c>
      <c r="AT1" s="1" t="s">
        <v>2</v>
      </c>
      <c r="AU1" s="1" t="s">
        <v>11</v>
      </c>
      <c r="AV1" s="1" t="s">
        <v>3</v>
      </c>
      <c r="AW1" s="1" t="s">
        <v>4</v>
      </c>
      <c r="AX1" s="1" t="s">
        <v>7</v>
      </c>
      <c r="AY1" s="1" t="s">
        <v>5</v>
      </c>
      <c r="AZ1" s="1" t="s">
        <v>6</v>
      </c>
      <c r="BB1" s="3" t="s">
        <v>9</v>
      </c>
      <c r="BC1" s="1" t="s">
        <v>10</v>
      </c>
      <c r="BD1" s="1" t="s">
        <v>12</v>
      </c>
      <c r="BE1" s="1" t="s">
        <v>13</v>
      </c>
      <c r="BF1" s="1" t="s">
        <v>14</v>
      </c>
    </row>
    <row r="2" spans="1:58" ht="15.75" thickTop="1" x14ac:dyDescent="0.25">
      <c r="A2">
        <v>1</v>
      </c>
      <c r="B2">
        <v>6</v>
      </c>
      <c r="C2" t="s">
        <v>22</v>
      </c>
      <c r="E2" t="s">
        <v>285</v>
      </c>
      <c r="G2" s="19">
        <v>23.6</v>
      </c>
      <c r="H2">
        <f>Konstanten!$B$3</f>
        <v>2.5</v>
      </c>
      <c r="I2">
        <f>COUNTIF(Windows!$A$4:$A$84,E2)</f>
        <v>0</v>
      </c>
      <c r="J2" t="e">
        <f>VLOOKUP(E2,Windows!$A$4:$D$84,2,FALSE)</f>
        <v>#N/A</v>
      </c>
      <c r="K2" t="e">
        <f>VLOOKUP(J2,Windows!$B$4:$D$84,2,FALSE)/1000</f>
        <v>#N/A</v>
      </c>
      <c r="L2" t="e">
        <f>VLOOKUP(J2,Windows!$B$4:$D$84,3,FALSE)/1000</f>
        <v>#N/A</v>
      </c>
      <c r="M2">
        <f t="shared" ref="M2:M6" si="0">IF(ISNA(L2*K2),0,K2*L2)</f>
        <v>0</v>
      </c>
      <c r="N2">
        <f>IF(I2&gt;=2,INDEX(Windows!$B$4:$B$84,MATCH(J2,Windows!$B$4:$B$84,0)+1),0)</f>
        <v>0</v>
      </c>
      <c r="O2" t="e">
        <f>VLOOKUP(N2,Windows!$B$4:$D$84,2,FALSE)/1000</f>
        <v>#N/A</v>
      </c>
      <c r="P2" t="e">
        <f>VLOOKUP(N2,Windows!$B$4:$D$84,3,FALSE)/1000</f>
        <v>#N/A</v>
      </c>
      <c r="Q2">
        <f t="shared" ref="Q2:Q6" si="1">IF(ISNA(P2*O2),0,O2*P2)</f>
        <v>0</v>
      </c>
      <c r="R2">
        <f>IF(I2&gt;=3,INDEX(Windows!$B$4:$B$84,MATCH(J2,Windows!$B$4:$B$84,0)+2),0)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:U6" si="2">IF(ISNA(T2*S2),0,S2*T2)</f>
        <v>0</v>
      </c>
      <c r="V2">
        <f>IF(I2&gt;=4,INDEX(Windows!$B$4:$B$84,MATCH(J2,Windows!$B$4:$B$84,0)+3),0)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:Y6" si="3">IF(ISNA(X2*W2),0,W2*X2)</f>
        <v>0</v>
      </c>
      <c r="Z2" t="str">
        <f>IF(I2&gt;0,AC2,"N/A")</f>
        <v>N/A</v>
      </c>
      <c r="AA2">
        <f>SUM(M2,Q2,U2,Y2)</f>
        <v>0</v>
      </c>
      <c r="AC2" t="s">
        <v>8</v>
      </c>
      <c r="AE2">
        <f>AD2*50/1000</f>
        <v>0</v>
      </c>
      <c r="AF2">
        <f>AE2*Konstanten!$B$4</f>
        <v>0</v>
      </c>
      <c r="AG2">
        <f>IF(AF2-AA2&lt;=0, 0, AF2-AA2)</f>
        <v>0</v>
      </c>
      <c r="AJ2" s="19">
        <f>49.96+131.49+64.02+133.18+40.07</f>
        <v>418.72</v>
      </c>
      <c r="AK2" s="19">
        <f>50/1000*AJ2</f>
        <v>20.936000000000003</v>
      </c>
      <c r="AL2" s="19">
        <f>AK2*Konstanten!$B$3</f>
        <v>52.340000000000011</v>
      </c>
      <c r="AN2">
        <f>IF(B2=9,1,0)</f>
        <v>0</v>
      </c>
      <c r="AO2">
        <f>IF(B2=1,1,0)</f>
        <v>0</v>
      </c>
      <c r="AS2" s="12"/>
      <c r="BB2" s="4"/>
    </row>
    <row r="3" spans="1:58" x14ac:dyDescent="0.25">
      <c r="A3">
        <v>2</v>
      </c>
      <c r="B3">
        <v>6</v>
      </c>
      <c r="C3" t="s">
        <v>22</v>
      </c>
      <c r="E3" t="s">
        <v>162</v>
      </c>
      <c r="G3" s="19">
        <v>22.6</v>
      </c>
      <c r="H3">
        <f>Konstanten!$B$3</f>
        <v>2.5</v>
      </c>
      <c r="I3">
        <f>COUNTIF(Windows!$A$4:$A$84,E3)</f>
        <v>1</v>
      </c>
      <c r="J3" t="str">
        <f>VLOOKUP(E3,Windows!$A$4:$D$84,2,FALSE)</f>
        <v>IU13-o</v>
      </c>
      <c r="K3">
        <f>VLOOKUP(J3,Windows!$B$4:$D$84,2,FALSE)/1000</f>
        <v>1.3</v>
      </c>
      <c r="L3">
        <f>VLOOKUP(J3,Windows!$B$4:$D$84,3,FALSE)/1000</f>
        <v>0.49</v>
      </c>
      <c r="M3">
        <f t="shared" si="0"/>
        <v>0.63700000000000001</v>
      </c>
      <c r="N3">
        <f>IF(I3&gt;=2,INDEX(Windows!$B$4:$B$84,MATCH(J3,Windows!$B$4:$B$84,0)+1),0)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si="1"/>
        <v>0</v>
      </c>
      <c r="R3">
        <f>IF(I3&gt;=3,INDEX(Windows!$B$4:$B$84,MATCH(J3,Windows!$B$4:$B$84,0)+2),0)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si="2"/>
        <v>0</v>
      </c>
      <c r="V3">
        <f>IF(I3&gt;=4,INDEX(Windows!$B$4:$B$84,MATCH(J3,Windows!$B$4:$B$84,0)+3),0)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si="3"/>
        <v>0</v>
      </c>
      <c r="Z3">
        <f t="shared" ref="Z3:Z4" si="4">IF(I3&gt;0,AC3,"N/A")</f>
        <v>42</v>
      </c>
      <c r="AA3">
        <f t="shared" ref="AA3:AA4" si="5">SUM(M3,Q3,U3,Y3)</f>
        <v>0.63700000000000001</v>
      </c>
      <c r="AC3">
        <v>42</v>
      </c>
      <c r="AD3">
        <v>60.03</v>
      </c>
      <c r="AE3">
        <f t="shared" ref="AE3:AE4" si="6">AD3*50/1000</f>
        <v>3.0015000000000001</v>
      </c>
      <c r="AF3">
        <f>AE3*Konstanten!$B$4</f>
        <v>12.756375</v>
      </c>
      <c r="AG3">
        <f>IF(AF3-AA3&lt;=0, 0, AF3-AA3)</f>
        <v>12.119375</v>
      </c>
      <c r="AH3" t="s">
        <v>83</v>
      </c>
      <c r="AJ3" s="19">
        <f>135.98+95.84+29.04+35.9+107.01</f>
        <v>403.77</v>
      </c>
      <c r="AK3" s="19">
        <f t="shared" ref="AK3:AK4" si="7">50/1000*AJ3</f>
        <v>20.188500000000001</v>
      </c>
      <c r="AL3" s="19">
        <f>AK3*Konstanten!$B$3</f>
        <v>50.471250000000005</v>
      </c>
      <c r="AN3">
        <f t="shared" ref="AN3:AN4" si="8">IF(B3=9,1,0)</f>
        <v>0</v>
      </c>
      <c r="AO3">
        <f t="shared" ref="AO3:AO4" si="9">IF(B3=1,1,0)</f>
        <v>0</v>
      </c>
      <c r="AS3" s="12"/>
      <c r="BB3" s="4"/>
    </row>
    <row r="4" spans="1:58" x14ac:dyDescent="0.25">
      <c r="A4">
        <v>3</v>
      </c>
      <c r="B4">
        <v>6</v>
      </c>
      <c r="C4" t="s">
        <v>22</v>
      </c>
      <c r="E4" t="s">
        <v>163</v>
      </c>
      <c r="G4" s="19">
        <v>20</v>
      </c>
      <c r="H4">
        <f>Konstanten!$B$3</f>
        <v>2.5</v>
      </c>
      <c r="I4">
        <f>COUNTIF(Windows!$A$4:$A$84,E4)</f>
        <v>1</v>
      </c>
      <c r="J4" t="str">
        <f>VLOOKUP(E4,Windows!$A$4:$D$84,2,FALSE)</f>
        <v>IU13-o</v>
      </c>
      <c r="K4">
        <f>VLOOKUP(J4,Windows!$B$4:$D$84,2,FALSE)/1000</f>
        <v>1.3</v>
      </c>
      <c r="L4">
        <f>VLOOKUP(J4,Windows!$B$4:$D$84,3,FALSE)/1000</f>
        <v>0.49</v>
      </c>
      <c r="M4">
        <f t="shared" si="0"/>
        <v>0.63700000000000001</v>
      </c>
      <c r="N4">
        <f>IF(I4&gt;=2,INDEX(Windows!$B$4:$B$84,MATCH(J4,Windows!$B$4:$B$84,0)+1),0)</f>
        <v>0</v>
      </c>
      <c r="O4" t="e">
        <f>VLOOKUP(N4,Windows!$B$4:$D$84,2,FALSE)/1000</f>
        <v>#N/A</v>
      </c>
      <c r="P4" t="e">
        <f>VLOOKUP(N4,Windows!$B$4:$D$84,3,FALSE)/1000</f>
        <v>#N/A</v>
      </c>
      <c r="Q4">
        <f t="shared" si="1"/>
        <v>0</v>
      </c>
      <c r="R4">
        <f>IF(I4&gt;=3,INDEX(Windows!$B$4:$B$84,MATCH(J4,Windows!$B$4:$B$84,0)+2),0)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si="2"/>
        <v>0</v>
      </c>
      <c r="V4">
        <f>IF(I4&gt;=4,INDEX(Windows!$B$4:$B$84,MATCH(J4,Windows!$B$4:$B$84,0)+3),0)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si="3"/>
        <v>0</v>
      </c>
      <c r="Z4">
        <f t="shared" si="4"/>
        <v>42</v>
      </c>
      <c r="AA4">
        <f t="shared" si="5"/>
        <v>0.63700000000000001</v>
      </c>
      <c r="AC4">
        <v>42</v>
      </c>
      <c r="AD4">
        <v>56.22</v>
      </c>
      <c r="AE4">
        <f t="shared" si="6"/>
        <v>2.8109999999999999</v>
      </c>
      <c r="AF4">
        <f>AE4*Konstanten!$B$4</f>
        <v>11.94675</v>
      </c>
      <c r="AG4">
        <f t="shared" ref="AG4" si="10">IF(AF4-AA4&lt;=0, 0, AF4-AA4)</f>
        <v>11.309749999999999</v>
      </c>
      <c r="AH4" t="s">
        <v>83</v>
      </c>
      <c r="AJ4" s="19">
        <f>2*141.99+56.22</f>
        <v>340.20000000000005</v>
      </c>
      <c r="AK4" s="19">
        <f t="shared" si="7"/>
        <v>17.010000000000002</v>
      </c>
      <c r="AL4" s="19">
        <f>AK4*Konstanten!$B$3</f>
        <v>42.525000000000006</v>
      </c>
      <c r="AN4">
        <f t="shared" si="8"/>
        <v>0</v>
      </c>
      <c r="AO4">
        <f t="shared" si="9"/>
        <v>0</v>
      </c>
      <c r="AS4" s="12"/>
      <c r="BB4" s="4"/>
    </row>
    <row r="5" spans="1:58" x14ac:dyDescent="0.25">
      <c r="A5">
        <v>4</v>
      </c>
      <c r="B5">
        <v>6</v>
      </c>
      <c r="C5" t="s">
        <v>21</v>
      </c>
      <c r="E5" t="s">
        <v>286</v>
      </c>
      <c r="G5" s="19">
        <v>45.1</v>
      </c>
      <c r="H5">
        <f>Konstanten!$B$3</f>
        <v>2.5</v>
      </c>
      <c r="I5">
        <v>4</v>
      </c>
      <c r="K5">
        <v>2.3149999999999999</v>
      </c>
      <c r="L5">
        <f>[1]Konstanten!$B$2</f>
        <v>1.35</v>
      </c>
      <c r="M5">
        <f t="shared" si="0"/>
        <v>3.1252500000000003</v>
      </c>
      <c r="N5" t="e">
        <f>IF(I5&gt;=2,INDEX([1]Windows!$B$4:$B$84,MATCH(J5,[1]Windows!$B$4:$B$84,0)+1),0)</f>
        <v>#N/A</v>
      </c>
      <c r="O5">
        <v>2.3149999999999999</v>
      </c>
      <c r="P5">
        <f>[1]Konstanten!$B$2</f>
        <v>1.35</v>
      </c>
      <c r="Q5">
        <f t="shared" si="1"/>
        <v>3.1252500000000003</v>
      </c>
      <c r="R5" t="e">
        <f>IF(I5&gt;=3,INDEX([1]Windows!$B$4:$B$84,MATCH(J5,[1]Windows!$B$4:$B$84,0)+2),0)</f>
        <v>#N/A</v>
      </c>
      <c r="S5">
        <v>2.3149999999999999</v>
      </c>
      <c r="T5">
        <f>[1]Konstanten!$B$2</f>
        <v>1.35</v>
      </c>
      <c r="U5">
        <f t="shared" si="2"/>
        <v>3.1252500000000003</v>
      </c>
      <c r="V5" t="e">
        <f>IF(I5&gt;=4,INDEX([1]Windows!$B$4:$B$84,MATCH(J5,[1]Windows!$B$4:$B$84,0)+3),0)</f>
        <v>#N/A</v>
      </c>
      <c r="W5">
        <v>2.3149999999999999</v>
      </c>
      <c r="X5">
        <f>[1]Konstanten!$B$2</f>
        <v>1.35</v>
      </c>
      <c r="Y5">
        <f t="shared" si="3"/>
        <v>3.1252500000000003</v>
      </c>
      <c r="Z5">
        <f t="shared" ref="Z5" si="11">IF(I5&gt;0,AC5,"N/A")</f>
        <v>312</v>
      </c>
      <c r="AA5">
        <f t="shared" ref="AA5" si="12">SUM(M5,Q5,U5,Y5)</f>
        <v>12.501000000000001</v>
      </c>
      <c r="AC5">
        <v>312</v>
      </c>
      <c r="AD5">
        <v>201</v>
      </c>
      <c r="AE5">
        <f t="shared" ref="AE5" si="13">AD5*50/1000</f>
        <v>10.050000000000001</v>
      </c>
      <c r="AF5">
        <f>AE5*Konstanten!$B$4</f>
        <v>42.712500000000006</v>
      </c>
      <c r="AG5">
        <f t="shared" ref="AG5" si="14">IF(AF5-AA5&lt;=0, 0, AF5-AA5)</f>
        <v>30.211500000000004</v>
      </c>
      <c r="AH5" t="s">
        <v>83</v>
      </c>
      <c r="AJ5" s="19">
        <f>2*89.83</f>
        <v>179.66</v>
      </c>
      <c r="AK5" s="19">
        <f t="shared" ref="AK5" si="15">50/1000*AJ5</f>
        <v>8.9830000000000005</v>
      </c>
      <c r="AL5" s="19">
        <f>AK5*Konstanten!$B$3</f>
        <v>22.457500000000003</v>
      </c>
      <c r="AN5">
        <f t="shared" ref="AN5" si="16">IF(B5=9,1,0)</f>
        <v>0</v>
      </c>
      <c r="AO5">
        <f t="shared" ref="AO5" si="17">IF(B5=1,1,0)</f>
        <v>0</v>
      </c>
      <c r="AS5" s="12"/>
      <c r="BB5" s="4"/>
    </row>
    <row r="6" spans="1:58" x14ac:dyDescent="0.25">
      <c r="A6">
        <v>5</v>
      </c>
      <c r="B6">
        <v>6</v>
      </c>
      <c r="E6" t="s">
        <v>286</v>
      </c>
      <c r="G6" s="19"/>
      <c r="H6">
        <f>Konstanten!$B$3</f>
        <v>2.5</v>
      </c>
      <c r="I6">
        <v>4</v>
      </c>
      <c r="K6">
        <v>2.3149999999999999</v>
      </c>
      <c r="L6">
        <f>[1]Konstanten!$B$2</f>
        <v>1.35</v>
      </c>
      <c r="M6">
        <f t="shared" si="0"/>
        <v>3.1252500000000003</v>
      </c>
      <c r="N6" t="e">
        <f>IF(I6&gt;=2,INDEX([1]Windows!$B$4:$B$84,MATCH(J6,[1]Windows!$B$4:$B$84,0)+1),0)</f>
        <v>#N/A</v>
      </c>
      <c r="O6">
        <v>2.3149999999999999</v>
      </c>
      <c r="P6">
        <f>[1]Konstanten!$B$2</f>
        <v>1.35</v>
      </c>
      <c r="Q6">
        <f t="shared" si="1"/>
        <v>3.1252500000000003</v>
      </c>
      <c r="R6" t="e">
        <f>IF(I6&gt;=3,INDEX([1]Windows!$B$4:$B$84,MATCH(J6,[1]Windows!$B$4:$B$84,0)+2),0)</f>
        <v>#N/A</v>
      </c>
      <c r="S6">
        <v>2.3149999999999999</v>
      </c>
      <c r="T6">
        <f>[1]Konstanten!$B$2</f>
        <v>1.35</v>
      </c>
      <c r="U6">
        <f t="shared" si="2"/>
        <v>3.1252500000000003</v>
      </c>
      <c r="V6" t="e">
        <f>IF(I6&gt;=4,INDEX([1]Windows!$B$4:$B$84,MATCH(J6,[1]Windows!$B$4:$B$84,0)+3),0)</f>
        <v>#N/A</v>
      </c>
      <c r="W6">
        <v>2.3149999999999999</v>
      </c>
      <c r="X6">
        <f>[1]Konstanten!$B$2</f>
        <v>1.35</v>
      </c>
      <c r="Y6">
        <f t="shared" si="3"/>
        <v>3.1252500000000003</v>
      </c>
      <c r="Z6">
        <f t="shared" ref="Z6" si="18">IF(I6&gt;0,AC6,"N/A")</f>
        <v>132</v>
      </c>
      <c r="AA6">
        <f t="shared" ref="AA6" si="19">SUM(M6,Q6,U6,Y6)</f>
        <v>12.501000000000001</v>
      </c>
      <c r="AC6">
        <v>132</v>
      </c>
      <c r="AD6">
        <v>201</v>
      </c>
      <c r="AE6">
        <f t="shared" ref="AE6" si="20">AD6*50/1000</f>
        <v>10.050000000000001</v>
      </c>
      <c r="AF6">
        <f>AE6*Konstanten!$B$4</f>
        <v>42.712500000000006</v>
      </c>
      <c r="AG6">
        <f t="shared" ref="AG6" si="21">IF(AF6-AA6&lt;=0, 0, AF6-AA6)</f>
        <v>30.211500000000004</v>
      </c>
      <c r="AH6" t="s">
        <v>83</v>
      </c>
      <c r="AJ6" s="19"/>
      <c r="AK6" s="19">
        <f t="shared" ref="AK6" si="22">50/1000*AJ6</f>
        <v>0</v>
      </c>
      <c r="AL6" s="19">
        <f>AK6*Konstanten!$B$3</f>
        <v>0</v>
      </c>
      <c r="AN6">
        <f t="shared" ref="AN6" si="23">IF(B6=9,1,0)</f>
        <v>0</v>
      </c>
      <c r="AO6">
        <f t="shared" ref="AO6" si="24">IF(B6=1,1,0)</f>
        <v>0</v>
      </c>
      <c r="AS6" s="12"/>
      <c r="BB6" s="4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2" sqref="C2"/>
    </sheetView>
  </sheetViews>
  <sheetFormatPr baseColWidth="10" defaultRowHeight="15" x14ac:dyDescent="0.25"/>
  <sheetData>
    <row r="1" spans="1:9" x14ac:dyDescent="0.25">
      <c r="A1" t="s">
        <v>83</v>
      </c>
      <c r="B1" t="s">
        <v>79</v>
      </c>
      <c r="C1" t="s">
        <v>80</v>
      </c>
      <c r="D1" t="s">
        <v>81</v>
      </c>
      <c r="E1" t="s">
        <v>84</v>
      </c>
      <c r="F1" t="s">
        <v>82</v>
      </c>
      <c r="G1" t="s">
        <v>85</v>
      </c>
    </row>
    <row r="2" spans="1:9" x14ac:dyDescent="0.25">
      <c r="A2">
        <v>1</v>
      </c>
      <c r="B2" t="s">
        <v>86</v>
      </c>
      <c r="C2">
        <v>4.0000000000000001E-3</v>
      </c>
      <c r="D2">
        <v>160</v>
      </c>
      <c r="E2">
        <f>C2/D2</f>
        <v>2.5000000000000001E-5</v>
      </c>
      <c r="F2">
        <f>1/(E2+E3+E4+E5+E6+E7+0.17)</f>
        <v>0.21576763059143195</v>
      </c>
      <c r="G2">
        <f>F2+F3+F4+F5+F6+F7+F8</f>
        <v>0.21576763059143195</v>
      </c>
    </row>
    <row r="3" spans="1:9" x14ac:dyDescent="0.25">
      <c r="A3">
        <v>2</v>
      </c>
      <c r="B3" t="s">
        <v>90</v>
      </c>
      <c r="C3">
        <v>3.4000000000000002E-2</v>
      </c>
      <c r="D3">
        <v>5</v>
      </c>
      <c r="E3">
        <f t="shared" ref="E3:E19" si="0">C3/D3</f>
        <v>6.8000000000000005E-3</v>
      </c>
    </row>
    <row r="4" spans="1:9" x14ac:dyDescent="0.25">
      <c r="A4">
        <v>3</v>
      </c>
      <c r="B4" t="s">
        <v>91</v>
      </c>
      <c r="C4">
        <v>2.5000000000000001E-2</v>
      </c>
      <c r="D4">
        <v>5</v>
      </c>
      <c r="E4">
        <f t="shared" si="0"/>
        <v>5.0000000000000001E-3</v>
      </c>
    </row>
    <row r="5" spans="1:9" x14ac:dyDescent="0.25">
      <c r="A5">
        <v>4</v>
      </c>
      <c r="B5" t="s">
        <v>89</v>
      </c>
      <c r="C5">
        <v>8.0000000000000002E-3</v>
      </c>
      <c r="D5">
        <v>5</v>
      </c>
      <c r="E5">
        <f t="shared" si="0"/>
        <v>1.6000000000000001E-3</v>
      </c>
    </row>
    <row r="6" spans="1:9" x14ac:dyDescent="0.25">
      <c r="A6">
        <v>5</v>
      </c>
      <c r="B6" t="s">
        <v>88</v>
      </c>
      <c r="C6">
        <v>0.17499999999999999</v>
      </c>
      <c r="D6">
        <v>0.04</v>
      </c>
      <c r="E6">
        <f t="shared" si="0"/>
        <v>4.375</v>
      </c>
    </row>
    <row r="7" spans="1:9" x14ac:dyDescent="0.25">
      <c r="A7">
        <v>6</v>
      </c>
      <c r="B7" t="s">
        <v>87</v>
      </c>
      <c r="C7">
        <v>0.16</v>
      </c>
      <c r="D7">
        <v>2.1</v>
      </c>
      <c r="E7">
        <f t="shared" si="0"/>
        <v>7.6190476190476183E-2</v>
      </c>
      <c r="I7">
        <f>1/(SUM(E3:E7)+0.17)</f>
        <v>0.21576879448947051</v>
      </c>
    </row>
    <row r="8" spans="1:9" x14ac:dyDescent="0.25">
      <c r="E8" t="e">
        <f t="shared" si="0"/>
        <v>#DIV/0!</v>
      </c>
    </row>
    <row r="9" spans="1:9" x14ac:dyDescent="0.25">
      <c r="E9" t="e">
        <f t="shared" si="0"/>
        <v>#DIV/0!</v>
      </c>
    </row>
    <row r="10" spans="1:9" x14ac:dyDescent="0.25">
      <c r="E10" t="e">
        <f t="shared" si="0"/>
        <v>#DIV/0!</v>
      </c>
    </row>
    <row r="11" spans="1:9" x14ac:dyDescent="0.25">
      <c r="E11" t="e">
        <f t="shared" si="0"/>
        <v>#DIV/0!</v>
      </c>
    </row>
    <row r="12" spans="1:9" x14ac:dyDescent="0.25">
      <c r="E12" t="e">
        <f t="shared" si="0"/>
        <v>#DIV/0!</v>
      </c>
    </row>
    <row r="13" spans="1:9" x14ac:dyDescent="0.25">
      <c r="E13" t="e">
        <f t="shared" si="0"/>
        <v>#DIV/0!</v>
      </c>
    </row>
    <row r="14" spans="1:9" x14ac:dyDescent="0.25">
      <c r="E14" t="e">
        <f t="shared" si="0"/>
        <v>#DIV/0!</v>
      </c>
    </row>
    <row r="15" spans="1:9" x14ac:dyDescent="0.25">
      <c r="E15" t="e">
        <f t="shared" si="0"/>
        <v>#DIV/0!</v>
      </c>
    </row>
    <row r="16" spans="1:9" x14ac:dyDescent="0.25">
      <c r="E16" t="e">
        <f t="shared" si="0"/>
        <v>#DIV/0!</v>
      </c>
    </row>
    <row r="17" spans="5:5" x14ac:dyDescent="0.25">
      <c r="E17" t="e">
        <f t="shared" si="0"/>
        <v>#DIV/0!</v>
      </c>
    </row>
    <row r="18" spans="5:5" x14ac:dyDescent="0.25">
      <c r="E18" t="e">
        <f t="shared" si="0"/>
        <v>#DIV/0!</v>
      </c>
    </row>
    <row r="19" spans="5:5" x14ac:dyDescent="0.25">
      <c r="E19" t="e">
        <f t="shared" si="0"/>
        <v>#DIV/0!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48"/>
  <sheetViews>
    <sheetView topLeftCell="G16" zoomScale="85" zoomScaleNormal="85" workbookViewId="0">
      <selection activeCell="V46" sqref="V46"/>
    </sheetView>
  </sheetViews>
  <sheetFormatPr baseColWidth="10" defaultRowHeight="15" x14ac:dyDescent="0.25"/>
  <sheetData>
    <row r="19" spans="11:14" ht="21" x14ac:dyDescent="0.35">
      <c r="N19" s="6"/>
    </row>
    <row r="26" spans="11:14" ht="21" x14ac:dyDescent="0.35">
      <c r="K26" s="5"/>
    </row>
    <row r="48" spans="2:11" ht="21" x14ac:dyDescent="0.35">
      <c r="B48" s="6"/>
      <c r="K4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baseColWidth="10" defaultRowHeight="15" x14ac:dyDescent="0.25"/>
  <cols>
    <col min="2" max="2" width="15.7109375" bestFit="1" customWidth="1"/>
  </cols>
  <sheetData>
    <row r="1" spans="1:2" x14ac:dyDescent="0.25">
      <c r="B1" s="2" t="s">
        <v>287</v>
      </c>
    </row>
    <row r="2" spans="1:2" x14ac:dyDescent="0.25">
      <c r="A2" t="s">
        <v>30</v>
      </c>
      <c r="B2">
        <v>1.35</v>
      </c>
    </row>
    <row r="3" spans="1:2" x14ac:dyDescent="0.25">
      <c r="A3" t="s">
        <v>16</v>
      </c>
      <c r="B3">
        <v>2.5</v>
      </c>
    </row>
    <row r="4" spans="1:2" x14ac:dyDescent="0.25">
      <c r="A4" t="s">
        <v>290</v>
      </c>
      <c r="B4">
        <v>4.25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9" zoomScaleNormal="100" workbookViewId="0">
      <selection activeCell="A4" sqref="A4:F84"/>
    </sheetView>
  </sheetViews>
  <sheetFormatPr baseColWidth="10" defaultRowHeight="15" x14ac:dyDescent="0.25"/>
  <cols>
    <col min="1" max="1" width="14.85546875" bestFit="1" customWidth="1"/>
    <col min="2" max="2" width="15.28515625" bestFit="1" customWidth="1"/>
    <col min="8" max="8" width="24.85546875" bestFit="1" customWidth="1"/>
  </cols>
  <sheetData>
    <row r="1" spans="1:8" x14ac:dyDescent="0.25">
      <c r="A1" s="2" t="s">
        <v>130</v>
      </c>
    </row>
    <row r="3" spans="1:8" x14ac:dyDescent="0.25">
      <c r="A3" s="14" t="s">
        <v>134</v>
      </c>
      <c r="B3" s="14" t="s">
        <v>131</v>
      </c>
      <c r="C3" s="14" t="s">
        <v>132</v>
      </c>
      <c r="D3" s="14"/>
      <c r="E3" s="14" t="s">
        <v>133</v>
      </c>
      <c r="F3" s="14" t="s">
        <v>135</v>
      </c>
      <c r="H3" s="14" t="s">
        <v>192</v>
      </c>
    </row>
    <row r="4" spans="1:8" x14ac:dyDescent="0.25">
      <c r="A4" t="s">
        <v>127</v>
      </c>
      <c r="B4" t="s">
        <v>124</v>
      </c>
      <c r="C4">
        <v>1100</v>
      </c>
      <c r="D4">
        <v>1320</v>
      </c>
      <c r="F4">
        <v>1</v>
      </c>
      <c r="H4">
        <f>SUM($F$4:$F$994)</f>
        <v>82</v>
      </c>
    </row>
    <row r="5" spans="1:8" x14ac:dyDescent="0.25">
      <c r="A5" t="s">
        <v>127</v>
      </c>
      <c r="B5" t="s">
        <v>125</v>
      </c>
      <c r="C5">
        <v>1795</v>
      </c>
      <c r="D5">
        <v>1320</v>
      </c>
      <c r="F5">
        <v>1</v>
      </c>
    </row>
    <row r="6" spans="1:8" x14ac:dyDescent="0.25">
      <c r="A6" t="s">
        <v>127</v>
      </c>
      <c r="B6" t="s">
        <v>119</v>
      </c>
      <c r="C6">
        <v>800</v>
      </c>
      <c r="D6">
        <v>1320</v>
      </c>
      <c r="F6">
        <v>1</v>
      </c>
    </row>
    <row r="7" spans="1:8" x14ac:dyDescent="0.25">
      <c r="A7" t="s">
        <v>128</v>
      </c>
      <c r="B7" t="s">
        <v>123</v>
      </c>
      <c r="C7">
        <v>1615</v>
      </c>
      <c r="D7">
        <v>1320</v>
      </c>
      <c r="F7">
        <v>1</v>
      </c>
    </row>
    <row r="8" spans="1:8" x14ac:dyDescent="0.25">
      <c r="A8" t="s">
        <v>128</v>
      </c>
      <c r="B8" t="s">
        <v>121</v>
      </c>
      <c r="C8">
        <v>800</v>
      </c>
      <c r="D8">
        <v>1320</v>
      </c>
      <c r="F8">
        <v>1</v>
      </c>
    </row>
    <row r="9" spans="1:8" x14ac:dyDescent="0.25">
      <c r="A9" t="s">
        <v>164</v>
      </c>
      <c r="B9" t="s">
        <v>122</v>
      </c>
      <c r="C9">
        <v>1615</v>
      </c>
      <c r="D9">
        <v>1320</v>
      </c>
      <c r="F9">
        <v>1</v>
      </c>
    </row>
    <row r="10" spans="1:8" x14ac:dyDescent="0.25">
      <c r="A10" t="s">
        <v>164</v>
      </c>
      <c r="B10" t="s">
        <v>119</v>
      </c>
      <c r="C10">
        <v>800</v>
      </c>
      <c r="D10">
        <v>1320</v>
      </c>
      <c r="F10">
        <v>1</v>
      </c>
    </row>
    <row r="11" spans="1:8" x14ac:dyDescent="0.25">
      <c r="A11" t="s">
        <v>165</v>
      </c>
      <c r="B11" t="s">
        <v>120</v>
      </c>
      <c r="C11">
        <v>1740</v>
      </c>
      <c r="D11">
        <v>1320</v>
      </c>
      <c r="F11">
        <v>1</v>
      </c>
    </row>
    <row r="12" spans="1:8" x14ac:dyDescent="0.25">
      <c r="A12" t="s">
        <v>165</v>
      </c>
      <c r="B12" t="s">
        <v>121</v>
      </c>
      <c r="C12">
        <v>800</v>
      </c>
      <c r="D12">
        <v>1320</v>
      </c>
      <c r="F12">
        <v>1</v>
      </c>
    </row>
    <row r="13" spans="1:8" x14ac:dyDescent="0.25">
      <c r="A13" t="s">
        <v>166</v>
      </c>
      <c r="B13" t="s">
        <v>118</v>
      </c>
      <c r="C13">
        <v>1740</v>
      </c>
      <c r="D13">
        <v>1320</v>
      </c>
      <c r="F13">
        <v>1</v>
      </c>
    </row>
    <row r="14" spans="1:8" x14ac:dyDescent="0.25">
      <c r="A14" t="s">
        <v>166</v>
      </c>
      <c r="B14" t="s">
        <v>119</v>
      </c>
      <c r="C14">
        <v>800</v>
      </c>
      <c r="D14">
        <v>1320</v>
      </c>
      <c r="F14">
        <v>1</v>
      </c>
    </row>
    <row r="15" spans="1:8" x14ac:dyDescent="0.25">
      <c r="A15" t="s">
        <v>129</v>
      </c>
      <c r="B15" t="s">
        <v>116</v>
      </c>
      <c r="C15">
        <v>1855</v>
      </c>
      <c r="D15">
        <v>1320</v>
      </c>
      <c r="F15">
        <v>1</v>
      </c>
    </row>
    <row r="16" spans="1:8" x14ac:dyDescent="0.25">
      <c r="A16" t="s">
        <v>129</v>
      </c>
      <c r="B16" t="s">
        <v>117</v>
      </c>
      <c r="C16">
        <v>675</v>
      </c>
      <c r="D16">
        <v>1320</v>
      </c>
      <c r="F16">
        <v>1</v>
      </c>
    </row>
    <row r="17" spans="1:6" x14ac:dyDescent="0.25">
      <c r="A17" t="s">
        <v>172</v>
      </c>
      <c r="B17" t="s">
        <v>114</v>
      </c>
      <c r="C17">
        <v>2120</v>
      </c>
      <c r="D17">
        <v>1670</v>
      </c>
      <c r="F17">
        <v>1</v>
      </c>
    </row>
    <row r="18" spans="1:6" x14ac:dyDescent="0.25">
      <c r="A18" t="s">
        <v>172</v>
      </c>
      <c r="B18" t="s">
        <v>115</v>
      </c>
      <c r="C18">
        <v>570</v>
      </c>
      <c r="D18">
        <v>1670</v>
      </c>
      <c r="F18">
        <v>1</v>
      </c>
    </row>
    <row r="19" spans="1:6" x14ac:dyDescent="0.25">
      <c r="A19" t="s">
        <v>136</v>
      </c>
      <c r="B19" t="s">
        <v>64</v>
      </c>
      <c r="C19">
        <v>1325</v>
      </c>
      <c r="D19">
        <v>1670</v>
      </c>
      <c r="F19">
        <v>1</v>
      </c>
    </row>
    <row r="20" spans="1:6" x14ac:dyDescent="0.25">
      <c r="A20" t="s">
        <v>136</v>
      </c>
      <c r="B20" t="s">
        <v>65</v>
      </c>
      <c r="C20">
        <v>2120</v>
      </c>
      <c r="D20">
        <v>1670</v>
      </c>
      <c r="F20">
        <v>1</v>
      </c>
    </row>
    <row r="21" spans="1:6" x14ac:dyDescent="0.25">
      <c r="A21" t="s">
        <v>145</v>
      </c>
      <c r="B21" t="s">
        <v>68</v>
      </c>
      <c r="C21">
        <v>1325</v>
      </c>
      <c r="D21">
        <v>1670</v>
      </c>
      <c r="F21">
        <v>1</v>
      </c>
    </row>
    <row r="22" spans="1:6" x14ac:dyDescent="0.25">
      <c r="A22" t="s">
        <v>145</v>
      </c>
      <c r="B22" t="s">
        <v>67</v>
      </c>
      <c r="C22">
        <v>2120</v>
      </c>
      <c r="D22">
        <v>1670</v>
      </c>
      <c r="F22">
        <v>1</v>
      </c>
    </row>
    <row r="23" spans="1:6" x14ac:dyDescent="0.25">
      <c r="A23" t="s">
        <v>137</v>
      </c>
      <c r="B23" t="s">
        <v>64</v>
      </c>
      <c r="C23">
        <v>1325</v>
      </c>
      <c r="D23">
        <v>1670</v>
      </c>
      <c r="F23">
        <v>1</v>
      </c>
    </row>
    <row r="24" spans="1:6" x14ac:dyDescent="0.25">
      <c r="A24" t="s">
        <v>137</v>
      </c>
      <c r="B24" t="s">
        <v>65</v>
      </c>
      <c r="C24">
        <v>2120</v>
      </c>
      <c r="D24">
        <v>1670</v>
      </c>
      <c r="F24">
        <v>1</v>
      </c>
    </row>
    <row r="25" spans="1:6" x14ac:dyDescent="0.25">
      <c r="A25" t="s">
        <v>138</v>
      </c>
      <c r="B25" t="s">
        <v>64</v>
      </c>
      <c r="C25">
        <v>1325</v>
      </c>
      <c r="D25">
        <v>1670</v>
      </c>
      <c r="F25">
        <v>1</v>
      </c>
    </row>
    <row r="26" spans="1:6" x14ac:dyDescent="0.25">
      <c r="A26" t="s">
        <v>138</v>
      </c>
      <c r="B26" t="s">
        <v>66</v>
      </c>
      <c r="C26">
        <v>1995</v>
      </c>
      <c r="D26">
        <v>1670</v>
      </c>
      <c r="F26">
        <v>1</v>
      </c>
    </row>
    <row r="27" spans="1:6" x14ac:dyDescent="0.25">
      <c r="A27" t="s">
        <v>146</v>
      </c>
      <c r="B27" t="s">
        <v>68</v>
      </c>
      <c r="C27">
        <v>1325</v>
      </c>
      <c r="D27">
        <v>1670</v>
      </c>
      <c r="F27">
        <v>1</v>
      </c>
    </row>
    <row r="28" spans="1:6" x14ac:dyDescent="0.25">
      <c r="A28" t="s">
        <v>146</v>
      </c>
      <c r="B28" t="s">
        <v>69</v>
      </c>
      <c r="C28">
        <v>1995</v>
      </c>
      <c r="D28">
        <v>1670</v>
      </c>
      <c r="F28">
        <v>1</v>
      </c>
    </row>
    <row r="29" spans="1:6" x14ac:dyDescent="0.25">
      <c r="A29" t="s">
        <v>139</v>
      </c>
      <c r="B29" t="s">
        <v>64</v>
      </c>
      <c r="C29">
        <v>1325</v>
      </c>
      <c r="D29">
        <v>1670</v>
      </c>
      <c r="F29">
        <v>1</v>
      </c>
    </row>
    <row r="30" spans="1:6" x14ac:dyDescent="0.25">
      <c r="A30" t="s">
        <v>139</v>
      </c>
      <c r="B30" t="s">
        <v>66</v>
      </c>
      <c r="C30">
        <v>1995</v>
      </c>
      <c r="D30">
        <v>1670</v>
      </c>
      <c r="F30">
        <v>1</v>
      </c>
    </row>
    <row r="31" spans="1:6" x14ac:dyDescent="0.25">
      <c r="A31" t="s">
        <v>147</v>
      </c>
      <c r="B31" t="s">
        <v>68</v>
      </c>
      <c r="C31">
        <v>1325</v>
      </c>
      <c r="D31">
        <v>1670</v>
      </c>
      <c r="F31">
        <v>1</v>
      </c>
    </row>
    <row r="32" spans="1:6" x14ac:dyDescent="0.25">
      <c r="A32" t="s">
        <v>147</v>
      </c>
      <c r="B32" t="s">
        <v>69</v>
      </c>
      <c r="C32">
        <v>1995</v>
      </c>
      <c r="D32">
        <v>1670</v>
      </c>
      <c r="F32">
        <v>1</v>
      </c>
    </row>
    <row r="33" spans="1:6" x14ac:dyDescent="0.25">
      <c r="A33" t="s">
        <v>140</v>
      </c>
      <c r="B33" t="s">
        <v>64</v>
      </c>
      <c r="C33">
        <v>1325</v>
      </c>
      <c r="D33">
        <v>1670</v>
      </c>
      <c r="F33">
        <v>1</v>
      </c>
    </row>
    <row r="34" spans="1:6" x14ac:dyDescent="0.25">
      <c r="A34" t="s">
        <v>140</v>
      </c>
      <c r="B34" t="s">
        <v>66</v>
      </c>
      <c r="C34">
        <v>1995</v>
      </c>
      <c r="D34">
        <v>1670</v>
      </c>
      <c r="F34">
        <v>1</v>
      </c>
    </row>
    <row r="35" spans="1:6" x14ac:dyDescent="0.25">
      <c r="A35" t="s">
        <v>148</v>
      </c>
      <c r="B35" t="s">
        <v>68</v>
      </c>
      <c r="C35">
        <v>1325</v>
      </c>
      <c r="D35">
        <v>1670</v>
      </c>
      <c r="F35">
        <v>1</v>
      </c>
    </row>
    <row r="36" spans="1:6" x14ac:dyDescent="0.25">
      <c r="A36" t="s">
        <v>148</v>
      </c>
      <c r="B36" t="s">
        <v>69</v>
      </c>
      <c r="C36">
        <v>1995</v>
      </c>
      <c r="D36">
        <v>1670</v>
      </c>
      <c r="F36">
        <v>1</v>
      </c>
    </row>
    <row r="37" spans="1:6" x14ac:dyDescent="0.25">
      <c r="A37" t="s">
        <v>173</v>
      </c>
      <c r="B37" t="s">
        <v>103</v>
      </c>
      <c r="C37">
        <v>2410</v>
      </c>
      <c r="D37">
        <v>1670</v>
      </c>
      <c r="F37">
        <v>1</v>
      </c>
    </row>
    <row r="38" spans="1:6" x14ac:dyDescent="0.25">
      <c r="A38" t="s">
        <v>173</v>
      </c>
      <c r="B38" t="s">
        <v>104</v>
      </c>
      <c r="C38">
        <v>940</v>
      </c>
      <c r="D38">
        <v>1670</v>
      </c>
      <c r="F38">
        <v>1</v>
      </c>
    </row>
    <row r="39" spans="1:6" x14ac:dyDescent="0.25">
      <c r="A39" t="s">
        <v>171</v>
      </c>
      <c r="B39" t="s">
        <v>102</v>
      </c>
      <c r="C39">
        <v>1840</v>
      </c>
      <c r="D39">
        <v>1670</v>
      </c>
      <c r="F39">
        <v>1</v>
      </c>
    </row>
    <row r="40" spans="1:6" x14ac:dyDescent="0.25">
      <c r="A40" t="s">
        <v>171</v>
      </c>
      <c r="B40" t="s">
        <v>101</v>
      </c>
      <c r="C40">
        <v>610</v>
      </c>
      <c r="D40">
        <v>1670</v>
      </c>
      <c r="F40">
        <v>2</v>
      </c>
    </row>
    <row r="41" spans="1:6" x14ac:dyDescent="0.25">
      <c r="A41" t="s">
        <v>167</v>
      </c>
      <c r="B41" t="s">
        <v>100</v>
      </c>
      <c r="C41">
        <v>2075</v>
      </c>
      <c r="D41">
        <v>1670</v>
      </c>
      <c r="F41">
        <v>1</v>
      </c>
    </row>
    <row r="42" spans="1:6" x14ac:dyDescent="0.25">
      <c r="A42" t="s">
        <v>167</v>
      </c>
      <c r="B42" t="s">
        <v>65</v>
      </c>
      <c r="C42">
        <v>2120</v>
      </c>
      <c r="D42">
        <v>1670</v>
      </c>
      <c r="F42">
        <v>1</v>
      </c>
    </row>
    <row r="43" spans="1:6" x14ac:dyDescent="0.25">
      <c r="A43" t="s">
        <v>152</v>
      </c>
      <c r="B43" t="s">
        <v>60</v>
      </c>
      <c r="C43">
        <v>1350</v>
      </c>
      <c r="D43">
        <v>1670</v>
      </c>
      <c r="F43">
        <v>1</v>
      </c>
    </row>
    <row r="44" spans="1:6" x14ac:dyDescent="0.25">
      <c r="A44" t="s">
        <v>152</v>
      </c>
      <c r="B44" t="s">
        <v>67</v>
      </c>
      <c r="C44">
        <v>2120</v>
      </c>
      <c r="D44">
        <v>1670</v>
      </c>
      <c r="F44">
        <v>1</v>
      </c>
    </row>
    <row r="45" spans="1:6" x14ac:dyDescent="0.25">
      <c r="A45" t="s">
        <v>157</v>
      </c>
      <c r="B45" t="s">
        <v>105</v>
      </c>
      <c r="C45">
        <v>1350</v>
      </c>
      <c r="D45">
        <v>1670</v>
      </c>
      <c r="F45">
        <v>1</v>
      </c>
    </row>
    <row r="46" spans="1:6" x14ac:dyDescent="0.25">
      <c r="A46" t="s">
        <v>157</v>
      </c>
      <c r="B46" t="s">
        <v>67</v>
      </c>
      <c r="C46">
        <v>2120</v>
      </c>
      <c r="D46">
        <v>1670</v>
      </c>
      <c r="F46">
        <v>1</v>
      </c>
    </row>
    <row r="47" spans="1:6" x14ac:dyDescent="0.25">
      <c r="A47" t="s">
        <v>168</v>
      </c>
      <c r="B47" t="s">
        <v>69</v>
      </c>
      <c r="C47">
        <v>1995</v>
      </c>
      <c r="D47">
        <v>1670</v>
      </c>
      <c r="F47">
        <v>1</v>
      </c>
    </row>
    <row r="48" spans="1:6" x14ac:dyDescent="0.25">
      <c r="A48" t="s">
        <v>168</v>
      </c>
      <c r="B48" t="s">
        <v>106</v>
      </c>
      <c r="C48">
        <v>1200</v>
      </c>
      <c r="D48">
        <v>1670</v>
      </c>
      <c r="F48">
        <v>1</v>
      </c>
    </row>
    <row r="49" spans="1:6" x14ac:dyDescent="0.25">
      <c r="A49" t="s">
        <v>151</v>
      </c>
      <c r="B49" t="s">
        <v>107</v>
      </c>
      <c r="C49">
        <v>1155</v>
      </c>
      <c r="D49">
        <v>1670</v>
      </c>
      <c r="F49">
        <v>1</v>
      </c>
    </row>
    <row r="50" spans="1:6" x14ac:dyDescent="0.25">
      <c r="A50" t="s">
        <v>151</v>
      </c>
      <c r="B50" t="s">
        <v>67</v>
      </c>
      <c r="C50">
        <v>2120</v>
      </c>
      <c r="D50">
        <v>1670</v>
      </c>
      <c r="F50">
        <v>1</v>
      </c>
    </row>
    <row r="51" spans="1:6" x14ac:dyDescent="0.25">
      <c r="A51" t="s">
        <v>170</v>
      </c>
      <c r="B51" t="s">
        <v>72</v>
      </c>
      <c r="C51">
        <v>1050</v>
      </c>
      <c r="D51">
        <v>1670</v>
      </c>
      <c r="F51">
        <v>1</v>
      </c>
    </row>
    <row r="52" spans="1:6" x14ac:dyDescent="0.25">
      <c r="A52" t="s">
        <v>170</v>
      </c>
      <c r="B52" t="s">
        <v>73</v>
      </c>
      <c r="C52">
        <v>1345</v>
      </c>
      <c r="D52">
        <v>1670</v>
      </c>
      <c r="F52">
        <v>1</v>
      </c>
    </row>
    <row r="53" spans="1:6" x14ac:dyDescent="0.25">
      <c r="A53" t="s">
        <v>170</v>
      </c>
      <c r="B53" t="s">
        <v>75</v>
      </c>
      <c r="C53">
        <v>1440</v>
      </c>
      <c r="D53">
        <v>1670</v>
      </c>
      <c r="F53">
        <v>1</v>
      </c>
    </row>
    <row r="54" spans="1:6" x14ac:dyDescent="0.25">
      <c r="A54" t="s">
        <v>149</v>
      </c>
      <c r="B54" t="s">
        <v>68</v>
      </c>
      <c r="C54">
        <v>1325</v>
      </c>
      <c r="D54">
        <v>1670</v>
      </c>
      <c r="F54">
        <v>1</v>
      </c>
    </row>
    <row r="55" spans="1:6" x14ac:dyDescent="0.25">
      <c r="A55" t="s">
        <v>149</v>
      </c>
      <c r="B55" t="s">
        <v>69</v>
      </c>
      <c r="C55">
        <v>1995</v>
      </c>
      <c r="D55">
        <v>1670</v>
      </c>
      <c r="F55">
        <v>1</v>
      </c>
    </row>
    <row r="56" spans="1:6" x14ac:dyDescent="0.25">
      <c r="A56" t="s">
        <v>141</v>
      </c>
      <c r="B56" t="s">
        <v>64</v>
      </c>
      <c r="C56">
        <v>1325</v>
      </c>
      <c r="D56">
        <v>1670</v>
      </c>
      <c r="F56">
        <v>1</v>
      </c>
    </row>
    <row r="57" spans="1:6" x14ac:dyDescent="0.25">
      <c r="A57" t="s">
        <v>141</v>
      </c>
      <c r="B57" t="s">
        <v>65</v>
      </c>
      <c r="C57">
        <v>2120</v>
      </c>
      <c r="D57">
        <v>1670</v>
      </c>
      <c r="F57">
        <v>1</v>
      </c>
    </row>
    <row r="58" spans="1:6" x14ac:dyDescent="0.25">
      <c r="A58" t="s">
        <v>150</v>
      </c>
      <c r="B58" t="s">
        <v>68</v>
      </c>
      <c r="C58">
        <v>1325</v>
      </c>
      <c r="D58">
        <v>1670</v>
      </c>
      <c r="F58">
        <v>1</v>
      </c>
    </row>
    <row r="59" spans="1:6" x14ac:dyDescent="0.25">
      <c r="A59" t="s">
        <v>150</v>
      </c>
      <c r="B59" t="s">
        <v>67</v>
      </c>
      <c r="C59">
        <v>2120</v>
      </c>
      <c r="D59">
        <v>1670</v>
      </c>
      <c r="F59">
        <v>1</v>
      </c>
    </row>
    <row r="60" spans="1:6" x14ac:dyDescent="0.25">
      <c r="A60" t="s">
        <v>142</v>
      </c>
      <c r="B60" t="s">
        <v>64</v>
      </c>
      <c r="C60">
        <v>1325</v>
      </c>
      <c r="D60">
        <v>1670</v>
      </c>
      <c r="F60">
        <v>1</v>
      </c>
    </row>
    <row r="61" spans="1:6" x14ac:dyDescent="0.25">
      <c r="A61" t="s">
        <v>142</v>
      </c>
      <c r="B61" t="s">
        <v>65</v>
      </c>
      <c r="C61">
        <v>2120</v>
      </c>
      <c r="D61">
        <v>1670</v>
      </c>
      <c r="F61">
        <v>1</v>
      </c>
    </row>
    <row r="62" spans="1:6" x14ac:dyDescent="0.25">
      <c r="A62" t="s">
        <v>153</v>
      </c>
      <c r="B62" t="s">
        <v>60</v>
      </c>
      <c r="C62">
        <v>1350</v>
      </c>
      <c r="D62">
        <v>1670</v>
      </c>
      <c r="F62">
        <v>1</v>
      </c>
    </row>
    <row r="63" spans="1:6" x14ac:dyDescent="0.25">
      <c r="A63" t="s">
        <v>153</v>
      </c>
      <c r="B63" t="s">
        <v>62</v>
      </c>
      <c r="C63">
        <v>1445</v>
      </c>
      <c r="D63">
        <v>540</v>
      </c>
      <c r="F63">
        <v>1</v>
      </c>
    </row>
    <row r="64" spans="1:6" x14ac:dyDescent="0.25">
      <c r="A64" t="s">
        <v>153</v>
      </c>
      <c r="B64" t="s">
        <v>63</v>
      </c>
      <c r="C64">
        <v>1445</v>
      </c>
      <c r="D64">
        <v>540</v>
      </c>
      <c r="F64">
        <v>1</v>
      </c>
    </row>
    <row r="65" spans="1:6" x14ac:dyDescent="0.25">
      <c r="A65" t="s">
        <v>153</v>
      </c>
      <c r="B65" t="s">
        <v>61</v>
      </c>
      <c r="C65">
        <v>1970</v>
      </c>
      <c r="D65">
        <v>1670</v>
      </c>
      <c r="F65">
        <v>1</v>
      </c>
    </row>
    <row r="66" spans="1:6" x14ac:dyDescent="0.25">
      <c r="A66" t="s">
        <v>158</v>
      </c>
      <c r="B66" t="s">
        <v>70</v>
      </c>
      <c r="C66">
        <v>1350</v>
      </c>
      <c r="D66">
        <v>1670</v>
      </c>
      <c r="F66">
        <v>1</v>
      </c>
    </row>
    <row r="67" spans="1:6" x14ac:dyDescent="0.25">
      <c r="A67" t="s">
        <v>158</v>
      </c>
      <c r="B67" t="s">
        <v>67</v>
      </c>
      <c r="C67">
        <v>2120</v>
      </c>
      <c r="D67">
        <v>1670</v>
      </c>
      <c r="F67">
        <v>1</v>
      </c>
    </row>
    <row r="68" spans="1:6" x14ac:dyDescent="0.25">
      <c r="A68" t="s">
        <v>154</v>
      </c>
      <c r="B68" t="s">
        <v>60</v>
      </c>
      <c r="C68">
        <v>1350</v>
      </c>
      <c r="D68">
        <v>1670</v>
      </c>
      <c r="F68">
        <v>1</v>
      </c>
    </row>
    <row r="69" spans="1:6" x14ac:dyDescent="0.25">
      <c r="A69" t="s">
        <v>154</v>
      </c>
      <c r="B69" t="s">
        <v>65</v>
      </c>
      <c r="C69">
        <v>2120</v>
      </c>
      <c r="D69">
        <v>1670</v>
      </c>
      <c r="F69">
        <v>1</v>
      </c>
    </row>
    <row r="70" spans="1:6" x14ac:dyDescent="0.25">
      <c r="A70" t="s">
        <v>169</v>
      </c>
      <c r="B70" t="s">
        <v>65</v>
      </c>
      <c r="C70">
        <v>2120</v>
      </c>
      <c r="D70">
        <v>1670</v>
      </c>
      <c r="F70">
        <v>1</v>
      </c>
    </row>
    <row r="71" spans="1:6" x14ac:dyDescent="0.25">
      <c r="A71" t="s">
        <v>159</v>
      </c>
      <c r="B71" t="s">
        <v>70</v>
      </c>
      <c r="C71">
        <v>1350</v>
      </c>
      <c r="D71">
        <v>1670</v>
      </c>
      <c r="F71">
        <v>1</v>
      </c>
    </row>
    <row r="72" spans="1:6" x14ac:dyDescent="0.25">
      <c r="A72" t="s">
        <v>159</v>
      </c>
      <c r="B72" t="s">
        <v>67</v>
      </c>
      <c r="C72">
        <v>2120</v>
      </c>
      <c r="D72">
        <v>1670</v>
      </c>
      <c r="F72">
        <v>1</v>
      </c>
    </row>
    <row r="73" spans="1:6" x14ac:dyDescent="0.25">
      <c r="A73" t="s">
        <v>155</v>
      </c>
      <c r="B73" t="s">
        <v>60</v>
      </c>
      <c r="C73">
        <v>1350</v>
      </c>
      <c r="D73">
        <v>1670</v>
      </c>
      <c r="F73">
        <v>1</v>
      </c>
    </row>
    <row r="74" spans="1:6" x14ac:dyDescent="0.25">
      <c r="A74" t="s">
        <v>155</v>
      </c>
      <c r="B74" t="s">
        <v>65</v>
      </c>
      <c r="C74">
        <v>2120</v>
      </c>
      <c r="D74">
        <v>1670</v>
      </c>
      <c r="F74">
        <v>1</v>
      </c>
    </row>
    <row r="75" spans="1:6" x14ac:dyDescent="0.25">
      <c r="A75" t="s">
        <v>160</v>
      </c>
      <c r="B75" t="s">
        <v>70</v>
      </c>
      <c r="C75">
        <v>1350</v>
      </c>
      <c r="D75">
        <v>1670</v>
      </c>
      <c r="F75">
        <v>1</v>
      </c>
    </row>
    <row r="76" spans="1:6" x14ac:dyDescent="0.25">
      <c r="A76" t="s">
        <v>160</v>
      </c>
      <c r="B76" t="s">
        <v>67</v>
      </c>
      <c r="C76">
        <v>2120</v>
      </c>
      <c r="D76">
        <v>1670</v>
      </c>
      <c r="F76">
        <v>1</v>
      </c>
    </row>
    <row r="77" spans="1:6" x14ac:dyDescent="0.25">
      <c r="A77" t="s">
        <v>156</v>
      </c>
      <c r="B77" t="s">
        <v>60</v>
      </c>
      <c r="C77">
        <v>1350</v>
      </c>
      <c r="D77">
        <v>1670</v>
      </c>
      <c r="F77">
        <v>1</v>
      </c>
    </row>
    <row r="78" spans="1:6" x14ac:dyDescent="0.25">
      <c r="A78" t="s">
        <v>156</v>
      </c>
      <c r="B78" t="s">
        <v>65</v>
      </c>
      <c r="C78">
        <v>2120</v>
      </c>
      <c r="D78">
        <v>1670</v>
      </c>
      <c r="F78">
        <v>1</v>
      </c>
    </row>
    <row r="79" spans="1:6" x14ac:dyDescent="0.25">
      <c r="A79" t="s">
        <v>143</v>
      </c>
      <c r="B79" t="s">
        <v>64</v>
      </c>
      <c r="C79">
        <v>1325</v>
      </c>
      <c r="D79">
        <v>1670</v>
      </c>
      <c r="F79">
        <v>1</v>
      </c>
    </row>
    <row r="80" spans="1:6" x14ac:dyDescent="0.25">
      <c r="A80" t="s">
        <v>143</v>
      </c>
      <c r="B80" t="s">
        <v>66</v>
      </c>
      <c r="C80">
        <v>1995</v>
      </c>
      <c r="D80">
        <v>1670</v>
      </c>
      <c r="F80">
        <v>1</v>
      </c>
    </row>
    <row r="81" spans="1:6" x14ac:dyDescent="0.25">
      <c r="A81" t="s">
        <v>144</v>
      </c>
      <c r="B81" t="s">
        <v>64</v>
      </c>
      <c r="C81">
        <v>1325</v>
      </c>
      <c r="D81">
        <v>1670</v>
      </c>
      <c r="F81">
        <v>1</v>
      </c>
    </row>
    <row r="82" spans="1:6" x14ac:dyDescent="0.25">
      <c r="A82" t="s">
        <v>144</v>
      </c>
      <c r="B82" t="s">
        <v>67</v>
      </c>
      <c r="C82">
        <v>2120</v>
      </c>
      <c r="D82">
        <v>1670</v>
      </c>
      <c r="F82">
        <v>1</v>
      </c>
    </row>
    <row r="83" spans="1:6" x14ac:dyDescent="0.25">
      <c r="A83" t="s">
        <v>162</v>
      </c>
      <c r="B83" t="s">
        <v>71</v>
      </c>
      <c r="C83">
        <v>1300</v>
      </c>
      <c r="D83">
        <v>490</v>
      </c>
      <c r="E83" t="s">
        <v>161</v>
      </c>
      <c r="F83">
        <v>1</v>
      </c>
    </row>
    <row r="84" spans="1:6" x14ac:dyDescent="0.25">
      <c r="A84" t="s">
        <v>163</v>
      </c>
      <c r="B84" t="s">
        <v>71</v>
      </c>
      <c r="C84">
        <v>1300</v>
      </c>
      <c r="D84">
        <v>490</v>
      </c>
      <c r="F84">
        <v>1</v>
      </c>
    </row>
  </sheetData>
  <sortState ref="A4:G84">
    <sortCondition ref="B4:B8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48"/>
  <sheetViews>
    <sheetView zoomScale="85" zoomScaleNormal="85" workbookViewId="0">
      <pane xSplit="5" ySplit="1" topLeftCell="AA38" activePane="bottomRight" state="frozen"/>
      <selection pane="topRight" activeCell="F1" sqref="F1"/>
      <selection pane="bottomLeft" activeCell="A2" sqref="A2"/>
      <selection pane="bottomRight" activeCell="AF48" sqref="AF48"/>
    </sheetView>
  </sheetViews>
  <sheetFormatPr baseColWidth="10" defaultRowHeight="15" x14ac:dyDescent="0.25"/>
  <cols>
    <col min="1" max="1" width="6.28515625" bestFit="1" customWidth="1"/>
    <col min="2" max="2" width="6" bestFit="1" customWidth="1"/>
    <col min="3" max="3" width="25.85546875" bestFit="1" customWidth="1"/>
    <col min="4" max="4" width="9.28515625" bestFit="1" customWidth="1"/>
    <col min="5" max="5" width="15.7109375" bestFit="1" customWidth="1"/>
    <col min="6" max="6" width="20.140625" bestFit="1" customWidth="1"/>
    <col min="7" max="7" width="13.140625" bestFit="1" customWidth="1"/>
    <col min="8" max="8" width="23.7109375" bestFit="1" customWidth="1"/>
    <col min="9" max="25" width="9.28515625" customWidth="1"/>
    <col min="26" max="26" width="23.140625" bestFit="1" customWidth="1"/>
    <col min="27" max="27" width="18" bestFit="1" customWidth="1"/>
    <col min="28" max="28" width="22.140625" bestFit="1" customWidth="1"/>
    <col min="29" max="29" width="25" bestFit="1" customWidth="1"/>
    <col min="30" max="30" width="33.42578125" bestFit="1" customWidth="1"/>
    <col min="31" max="32" width="9.28515625" customWidth="1"/>
    <col min="33" max="33" width="19.85546875" bestFit="1" customWidth="1"/>
    <col min="34" max="34" width="24" bestFit="1" customWidth="1"/>
    <col min="35" max="35" width="9.28515625" customWidth="1"/>
    <col min="36" max="36" width="32.7109375" bestFit="1" customWidth="1"/>
    <col min="37" max="37" width="9.28515625" customWidth="1"/>
    <col min="38" max="38" width="19.28515625" bestFit="1" customWidth="1"/>
    <col min="39" max="39" width="23.42578125" bestFit="1" customWidth="1"/>
    <col min="40" max="40" width="14.85546875" bestFit="1" customWidth="1"/>
    <col min="41" max="41" width="10.42578125" bestFit="1" customWidth="1"/>
    <col min="42" max="42" width="18.7109375" bestFit="1" customWidth="1"/>
    <col min="43" max="43" width="20.140625" bestFit="1" customWidth="1"/>
    <col min="44" max="44" width="29.7109375" style="12" customWidth="1"/>
  </cols>
  <sheetData>
    <row r="1" spans="1:58" s="1" customFormat="1" ht="16.5" thickBot="1" x14ac:dyDescent="0.3">
      <c r="A1" s="1" t="s">
        <v>35</v>
      </c>
      <c r="B1" s="1" t="s">
        <v>0</v>
      </c>
      <c r="C1" s="17" t="s">
        <v>38</v>
      </c>
      <c r="D1" s="1" t="s">
        <v>15</v>
      </c>
      <c r="E1" s="17" t="s">
        <v>37</v>
      </c>
      <c r="F1" s="17" t="s">
        <v>39</v>
      </c>
      <c r="G1" s="17" t="s">
        <v>36</v>
      </c>
      <c r="H1" s="8" t="s">
        <v>43</v>
      </c>
      <c r="I1" s="1" t="s">
        <v>17</v>
      </c>
      <c r="J1" s="1" t="s">
        <v>54</v>
      </c>
      <c r="K1" s="1" t="s">
        <v>58</v>
      </c>
      <c r="L1" s="1" t="s">
        <v>58</v>
      </c>
      <c r="M1" s="1" t="s">
        <v>57</v>
      </c>
      <c r="N1" s="1" t="s">
        <v>55</v>
      </c>
      <c r="O1" s="1" t="s">
        <v>59</v>
      </c>
      <c r="P1" s="1" t="s">
        <v>59</v>
      </c>
      <c r="Q1" s="1" t="s">
        <v>56</v>
      </c>
      <c r="R1" s="1" t="s">
        <v>74</v>
      </c>
      <c r="S1" s="1" t="s">
        <v>76</v>
      </c>
      <c r="T1" s="1" t="s">
        <v>76</v>
      </c>
      <c r="U1" s="1" t="s">
        <v>77</v>
      </c>
      <c r="V1" s="1" t="s">
        <v>193</v>
      </c>
      <c r="W1" s="1" t="s">
        <v>194</v>
      </c>
      <c r="X1" s="1" t="s">
        <v>194</v>
      </c>
      <c r="Y1" s="1" t="s">
        <v>195</v>
      </c>
      <c r="Z1" s="8" t="s">
        <v>48</v>
      </c>
      <c r="AA1" s="8" t="s">
        <v>40</v>
      </c>
      <c r="AB1" s="8" t="s">
        <v>44</v>
      </c>
      <c r="AC1" s="17" t="s">
        <v>49</v>
      </c>
      <c r="AD1" s="17" t="s">
        <v>196</v>
      </c>
      <c r="AE1" s="1" t="s">
        <v>197</v>
      </c>
      <c r="AF1" s="1" t="s">
        <v>93</v>
      </c>
      <c r="AG1" s="8" t="s">
        <v>41</v>
      </c>
      <c r="AH1" s="17" t="s">
        <v>42</v>
      </c>
      <c r="AI1" s="1" t="s">
        <v>53</v>
      </c>
      <c r="AJ1" s="17" t="s">
        <v>20</v>
      </c>
      <c r="AK1" s="1" t="s">
        <v>19</v>
      </c>
      <c r="AL1" s="8" t="s">
        <v>47</v>
      </c>
      <c r="AM1" s="8" t="s">
        <v>50</v>
      </c>
      <c r="AN1" s="8" t="s">
        <v>46</v>
      </c>
      <c r="AO1" s="8" t="s">
        <v>45</v>
      </c>
      <c r="AP1" s="8" t="s">
        <v>51</v>
      </c>
      <c r="AQ1" s="8" t="s">
        <v>52</v>
      </c>
      <c r="AR1" s="18"/>
      <c r="AS1" s="1" t="s">
        <v>1</v>
      </c>
      <c r="AT1" s="1" t="s">
        <v>2</v>
      </c>
      <c r="AU1" s="1" t="s">
        <v>11</v>
      </c>
      <c r="AV1" s="1" t="s">
        <v>3</v>
      </c>
      <c r="AW1" s="1" t="s">
        <v>4</v>
      </c>
      <c r="AX1" s="1" t="s">
        <v>7</v>
      </c>
      <c r="AY1" s="1" t="s">
        <v>5</v>
      </c>
      <c r="AZ1" s="1" t="s">
        <v>6</v>
      </c>
      <c r="BB1" s="3" t="s">
        <v>9</v>
      </c>
      <c r="BC1" s="1" t="s">
        <v>10</v>
      </c>
      <c r="BD1" s="1" t="s">
        <v>12</v>
      </c>
      <c r="BE1" s="1" t="s">
        <v>13</v>
      </c>
      <c r="BF1" s="1" t="s">
        <v>14</v>
      </c>
    </row>
    <row r="2" spans="1:58" ht="15.75" thickTop="1" x14ac:dyDescent="0.25">
      <c r="A2">
        <v>1</v>
      </c>
      <c r="B2">
        <v>6</v>
      </c>
      <c r="C2" t="s">
        <v>34</v>
      </c>
      <c r="E2" t="s">
        <v>129</v>
      </c>
      <c r="G2">
        <v>24</v>
      </c>
      <c r="H2">
        <f>Konstanten!$B$3</f>
        <v>2.5</v>
      </c>
      <c r="I2">
        <f>COUNTIF(Windows!$A$4:$A$84,E2)</f>
        <v>2</v>
      </c>
      <c r="J2" t="str">
        <f>VLOOKUP(E2,Windows!$A$4:$D$84,2,FALSE)</f>
        <v>IU18,5-o</v>
      </c>
      <c r="K2">
        <f>VLOOKUP(J2,Windows!$B$4:$D$84,2,FALSE)/1000</f>
        <v>1.855</v>
      </c>
      <c r="L2">
        <f>VLOOKUP(J2,Windows!$B$4:$D$84,3,FALSE)/1000</f>
        <v>1.32</v>
      </c>
      <c r="M2">
        <f t="shared" ref="M2" si="0">IF(ISNA(L2*K2),0,K2*L2)</f>
        <v>2.4485999999999999</v>
      </c>
      <c r="N2" t="str">
        <f>IF(I2&gt;=2,INDEX(Windows!$B$4:$B$84,MATCH(J2,Windows!$B$4:$B$84,0)+1),0)</f>
        <v>IU7-v</v>
      </c>
      <c r="O2">
        <f>VLOOKUP(N2,Windows!$B$4:$D$84,2,FALSE)/1000</f>
        <v>0.67500000000000004</v>
      </c>
      <c r="P2">
        <f>VLOOKUP(N2,Windows!$B$4:$D$84,3,FALSE)/1000</f>
        <v>1.32</v>
      </c>
      <c r="Q2">
        <f t="shared" ref="Q2" si="1">IF(ISNA(P2*O2),0,O2*P2)</f>
        <v>0.89100000000000013</v>
      </c>
      <c r="R2">
        <f>IF(I2&gt;=3,INDEX(Windows!$B$4:$B$84,MATCH(J2,Windows!$B$4:$B$84,0)+2),0)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" si="2">IF(ISNA(T2*S2),0,S2*T2)</f>
        <v>0</v>
      </c>
      <c r="V2">
        <f>IF(I2&gt;=4,INDEX(Windows!$B$4:$B$84,MATCH(J2,Windows!$B$4:$B$84,0)+3),0)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:Y34" si="3">IF(ISNA(X2*W2),0,W2*X2)</f>
        <v>0</v>
      </c>
      <c r="Z2">
        <f>IF(I2&gt;0,AC2,"N/A")</f>
        <v>180</v>
      </c>
      <c r="AA2">
        <f>SUM(M2,Q2,U2,Y2)</f>
        <v>3.3395999999999999</v>
      </c>
      <c r="AC2">
        <v>180</v>
      </c>
      <c r="AD2">
        <v>100.27</v>
      </c>
      <c r="AE2">
        <f>AD2*50/1000</f>
        <v>5.0134999999999996</v>
      </c>
      <c r="AF2">
        <f>AE2*Konstanten!$B$4</f>
        <v>21.307374999999997</v>
      </c>
      <c r="AG2">
        <f>IF(AF2-AA2&lt;=0, 0, AF2-AA2)</f>
        <v>17.967774999999996</v>
      </c>
      <c r="AH2" t="s">
        <v>83</v>
      </c>
      <c r="AJ2">
        <f>108.67+91.54</f>
        <v>200.21</v>
      </c>
      <c r="AK2">
        <f>50/1000*AJ2</f>
        <v>10.0105</v>
      </c>
      <c r="AL2">
        <f>AK2*Konstanten!$B$3</f>
        <v>25.026250000000001</v>
      </c>
      <c r="AN2">
        <f>IF(B2=9,1,0)</f>
        <v>0</v>
      </c>
      <c r="AO2">
        <f>IF(B2=1,1,0)</f>
        <v>0</v>
      </c>
      <c r="AS2" s="12"/>
      <c r="BB2" s="4"/>
    </row>
    <row r="3" spans="1:58" x14ac:dyDescent="0.25">
      <c r="A3">
        <v>2</v>
      </c>
      <c r="B3">
        <v>6</v>
      </c>
      <c r="E3" t="s">
        <v>129</v>
      </c>
      <c r="G3">
        <v>0</v>
      </c>
      <c r="H3">
        <f>Konstanten!$B$3</f>
        <v>2.5</v>
      </c>
      <c r="I3">
        <v>0</v>
      </c>
      <c r="K3" t="e">
        <f>VLOOKUP(J3,Windows!$B$4:$D$84,2,FALSE)/1000</f>
        <v>#N/A</v>
      </c>
      <c r="L3" t="e">
        <f>VLOOKUP(J3,Windows!$B$4:$D$84,3,FALSE)/1000</f>
        <v>#N/A</v>
      </c>
      <c r="M3">
        <f t="shared" ref="M3" si="4">IF(ISNA(L3*K3),0,K3*L3)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ref="Q3" si="5">IF(ISNA(P3*O3),0,O3*P3)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ref="U3" si="6">IF(ISNA(T3*S3),0,S3*T3)</f>
        <v>0</v>
      </c>
      <c r="V3">
        <f>IF(I3&gt;=4,INDEX(Windows!$B$4:$B$84,MATCH(J3,Windows!$B$4:$B$84,0)+3),0)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si="3"/>
        <v>0</v>
      </c>
      <c r="Z3" t="str">
        <f t="shared" ref="Z3:Z34" si="7">IF(I3&gt;0,AC3,"N/A")</f>
        <v>N/A</v>
      </c>
      <c r="AA3">
        <f t="shared" ref="AA3:AA43" si="8">SUM(M3,Q3,U3,Y3)</f>
        <v>0</v>
      </c>
      <c r="AC3">
        <v>270</v>
      </c>
      <c r="AD3">
        <v>115.65</v>
      </c>
      <c r="AE3">
        <f t="shared" ref="AE3:AE29" si="9">AD3*50/1000</f>
        <v>5.7824999999999998</v>
      </c>
      <c r="AF3">
        <f>AE3*Konstanten!$B$4</f>
        <v>24.575624999999999</v>
      </c>
      <c r="AG3">
        <f>IF(AF3-AA3&lt;=0, 0, AF3-AA3)</f>
        <v>24.575624999999999</v>
      </c>
      <c r="AH3" t="s">
        <v>83</v>
      </c>
      <c r="AK3">
        <f t="shared" ref="AK3:AK29" si="10">50/1000*AJ3</f>
        <v>0</v>
      </c>
      <c r="AL3">
        <f>AK3*Konstanten!$B$3</f>
        <v>0</v>
      </c>
      <c r="AN3">
        <f t="shared" ref="AN3:AN43" si="11">IF(B3=9,1,0)</f>
        <v>0</v>
      </c>
      <c r="AO3">
        <f t="shared" ref="AO3:AO43" si="12">IF(B3=1,1,0)</f>
        <v>0</v>
      </c>
      <c r="AS3" s="12"/>
      <c r="BB3" s="4"/>
    </row>
    <row r="4" spans="1:58" x14ac:dyDescent="0.25">
      <c r="A4">
        <v>3</v>
      </c>
      <c r="B4">
        <v>6</v>
      </c>
      <c r="C4" t="s">
        <v>34</v>
      </c>
      <c r="E4" t="s">
        <v>166</v>
      </c>
      <c r="G4">
        <v>9.9</v>
      </c>
      <c r="H4">
        <f>Konstanten!$B$3</f>
        <v>2.5</v>
      </c>
      <c r="I4">
        <f>COUNTIF(Windows!$A$4:$A$84,E4)</f>
        <v>2</v>
      </c>
      <c r="J4" t="str">
        <f>VLOOKUP(E4,Windows!$A$4:$D$84,2,FALSE)</f>
        <v>IU17,5-v</v>
      </c>
      <c r="K4">
        <f>VLOOKUP(J4,Windows!$B$4:$D$84,2,FALSE)/1000</f>
        <v>1.74</v>
      </c>
      <c r="L4">
        <f>VLOOKUP(J4,Windows!$B$4:$D$84,3,FALSE)/1000</f>
        <v>1.32</v>
      </c>
      <c r="M4">
        <f t="shared" ref="M4:M36" si="13">IF(ISNA(L4*K4),0,K4*L4)</f>
        <v>2.2968000000000002</v>
      </c>
      <c r="N4" t="str">
        <f>IF(I4&gt;=2,INDEX(Windows!$B$4:$B$84,MATCH(E4,Windows!$A$4:$A$84,0)+1),0)</f>
        <v>IU8-o</v>
      </c>
      <c r="O4">
        <f>VLOOKUP(N4,Windows!$B$4:$D$84,2,FALSE)/1000</f>
        <v>0.8</v>
      </c>
      <c r="P4">
        <f>VLOOKUP(N4,Windows!$B$4:$D$84,3,FALSE)/1000</f>
        <v>1.32</v>
      </c>
      <c r="Q4">
        <f t="shared" ref="Q4:Q36" si="14">IF(ISNA(P4*O4),0,O4*P4)</f>
        <v>1.056</v>
      </c>
      <c r="R4">
        <f>IF(I4&gt;=3,INDEX(Windows!$B$4:$B$84,MATCH(E4,Windows!$A$4:$A$84,0)+2),0)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ref="U4:U36" si="15">IF(ISNA(T4*S4),0,S4*T4)</f>
        <v>0</v>
      </c>
      <c r="V4">
        <f>IF(I4&gt;=4,INDEX(Windows!$B$4:$B$84,MATCH(E4,Windows!$A$4:$A$84,0)+3),0)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si="3"/>
        <v>0</v>
      </c>
      <c r="Z4">
        <f t="shared" si="7"/>
        <v>180</v>
      </c>
      <c r="AA4">
        <f t="shared" si="8"/>
        <v>3.3528000000000002</v>
      </c>
      <c r="AC4">
        <v>180</v>
      </c>
      <c r="AD4">
        <v>55.01</v>
      </c>
      <c r="AE4">
        <f t="shared" si="9"/>
        <v>2.7505000000000002</v>
      </c>
      <c r="AF4">
        <f>AE4*Konstanten!$B$4</f>
        <v>11.689625000000001</v>
      </c>
      <c r="AG4">
        <f t="shared" ref="AG4:AG29" si="16">IF(AF4-AA4&lt;=0, 0, AF4-AA4)</f>
        <v>8.336825000000001</v>
      </c>
      <c r="AH4" t="s">
        <v>83</v>
      </c>
      <c r="AJ4">
        <f>53.08+2*74</f>
        <v>201.07999999999998</v>
      </c>
      <c r="AK4">
        <f t="shared" si="10"/>
        <v>10.054</v>
      </c>
      <c r="AL4">
        <f>AK4*Konstanten!$B$3</f>
        <v>25.135000000000002</v>
      </c>
      <c r="AN4">
        <f t="shared" si="11"/>
        <v>0</v>
      </c>
      <c r="AO4">
        <f t="shared" si="12"/>
        <v>0</v>
      </c>
      <c r="AS4" s="12"/>
      <c r="BB4" s="4"/>
    </row>
    <row r="5" spans="1:58" x14ac:dyDescent="0.25">
      <c r="A5">
        <v>4</v>
      </c>
      <c r="B5">
        <v>6</v>
      </c>
      <c r="C5" t="s">
        <v>34</v>
      </c>
      <c r="E5" t="s">
        <v>165</v>
      </c>
      <c r="G5">
        <v>14</v>
      </c>
      <c r="H5">
        <f>Konstanten!$B$3</f>
        <v>2.5</v>
      </c>
      <c r="I5">
        <f>COUNTIF(Windows!$A$4:$A$84,E5)</f>
        <v>2</v>
      </c>
      <c r="J5" t="str">
        <f>VLOOKUP(E5,Windows!$A$4:$D$84,2,FALSE)</f>
        <v>IU17,5-o</v>
      </c>
      <c r="K5">
        <f>VLOOKUP(J5,Windows!$B$4:$D$84,2,FALSE)/1000</f>
        <v>1.74</v>
      </c>
      <c r="L5">
        <f>VLOOKUP(J5,Windows!$B$4:$D$84,3,FALSE)/1000</f>
        <v>1.32</v>
      </c>
      <c r="M5">
        <f t="shared" si="13"/>
        <v>2.2968000000000002</v>
      </c>
      <c r="N5" t="str">
        <f>IF(I5&gt;=2,INDEX(Windows!$B$4:$B$84,MATCH(E5,Windows!$A$4:$A$84,0)+1),0)</f>
        <v>IU8-v</v>
      </c>
      <c r="O5">
        <f>VLOOKUP(N5,Windows!$B$4:$D$84,2,FALSE)/1000</f>
        <v>0.8</v>
      </c>
      <c r="P5">
        <f>VLOOKUP(N5,Windows!$B$4:$D$84,3,FALSE)/1000</f>
        <v>1.32</v>
      </c>
      <c r="Q5">
        <f t="shared" si="14"/>
        <v>1.056</v>
      </c>
      <c r="R5">
        <f>IF(I5&gt;=3,INDEX(Windows!$B$4:$B$84,MATCH(E5,Windows!$A$4:$A$84,0)+2),0)</f>
        <v>0</v>
      </c>
      <c r="S5" t="e">
        <f>VLOOKUP(R5,Windows!$B$4:$D$84,2,FALSE)/1000</f>
        <v>#N/A</v>
      </c>
      <c r="T5" t="e">
        <f>VLOOKUP(R5,Windows!$B$4:$D$84,3,FALSE)/1000</f>
        <v>#N/A</v>
      </c>
      <c r="U5">
        <f t="shared" si="15"/>
        <v>0</v>
      </c>
      <c r="V5">
        <f>IF(I5&gt;=4,INDEX(Windows!$B$4:$B$84,MATCH(E5,Windows!$A$4:$A$84,0)+3),0)</f>
        <v>0</v>
      </c>
      <c r="W5" t="e">
        <f>VLOOKUP(V5,Windows!$B$4:$D$84,2,FALSE)/1000</f>
        <v>#N/A</v>
      </c>
      <c r="X5" t="e">
        <f>VLOOKUP(V5,Windows!$B$4:$D$84,3,FALSE)/1000</f>
        <v>#N/A</v>
      </c>
      <c r="Y5">
        <f t="shared" si="3"/>
        <v>0</v>
      </c>
      <c r="Z5">
        <f t="shared" si="7"/>
        <v>180</v>
      </c>
      <c r="AA5">
        <f t="shared" si="8"/>
        <v>3.3528000000000002</v>
      </c>
      <c r="AC5">
        <v>180</v>
      </c>
      <c r="AD5">
        <v>55.97</v>
      </c>
      <c r="AE5">
        <f t="shared" si="9"/>
        <v>2.7985000000000002</v>
      </c>
      <c r="AF5">
        <f>AE5*Konstanten!$B$4</f>
        <v>11.893625</v>
      </c>
      <c r="AG5">
        <f t="shared" si="16"/>
        <v>8.5408249999999999</v>
      </c>
      <c r="AH5" t="s">
        <v>83</v>
      </c>
      <c r="AJ5">
        <f>55.97+2*105.41</f>
        <v>266.78999999999996</v>
      </c>
      <c r="AK5">
        <f t="shared" si="10"/>
        <v>13.339499999999999</v>
      </c>
      <c r="AL5">
        <f>AK5*Konstanten!$B$3</f>
        <v>33.348749999999995</v>
      </c>
      <c r="AN5">
        <f t="shared" si="11"/>
        <v>0</v>
      </c>
      <c r="AO5">
        <f t="shared" si="12"/>
        <v>0</v>
      </c>
      <c r="AS5" s="12"/>
      <c r="BB5" s="4"/>
    </row>
    <row r="6" spans="1:58" x14ac:dyDescent="0.25">
      <c r="A6">
        <v>5</v>
      </c>
      <c r="B6">
        <v>6</v>
      </c>
      <c r="C6" t="s">
        <v>21</v>
      </c>
      <c r="E6" t="s">
        <v>174</v>
      </c>
      <c r="G6">
        <v>3.7</v>
      </c>
      <c r="H6">
        <f>Konstanten!$B$3</f>
        <v>2.5</v>
      </c>
      <c r="I6">
        <f>COUNTIF(Windows!$A$4:$A$84,E6)</f>
        <v>0</v>
      </c>
      <c r="J6" t="e">
        <f>VLOOKUP(E6,Windows!$A$4:$D$84,2,FALSE)</f>
        <v>#N/A</v>
      </c>
      <c r="K6" t="e">
        <f>VLOOKUP(J6,Windows!$B$4:$D$84,2,FALSE)/1000</f>
        <v>#N/A</v>
      </c>
      <c r="L6" t="e">
        <f>VLOOKUP(J6,Windows!$B$4:$D$84,3,FALSE)/1000</f>
        <v>#N/A</v>
      </c>
      <c r="M6">
        <f t="shared" si="13"/>
        <v>0</v>
      </c>
      <c r="N6">
        <f>IF(I6&gt;=2,INDEX(Windows!$B$4:$B$84,MATCH(E6,Windows!$A$4:$A$84,0)+1),0)</f>
        <v>0</v>
      </c>
      <c r="O6" t="e">
        <f>VLOOKUP(N6,Windows!$B$4:$D$84,2,FALSE)/1000</f>
        <v>#N/A</v>
      </c>
      <c r="P6" t="e">
        <f>VLOOKUP(N6,Windows!$B$4:$D$84,3,FALSE)/1000</f>
        <v>#N/A</v>
      </c>
      <c r="Q6">
        <f t="shared" si="14"/>
        <v>0</v>
      </c>
      <c r="R6">
        <f>IF(I6&gt;=3,INDEX(Windows!$B$4:$B$84,MATCH(E6,Windows!$A$4:$A$84,0)+2),0)</f>
        <v>0</v>
      </c>
      <c r="S6" t="e">
        <f>VLOOKUP(R6,Windows!$B$4:$D$84,2,FALSE)/1000</f>
        <v>#N/A</v>
      </c>
      <c r="T6" t="e">
        <f>VLOOKUP(R6,Windows!$B$4:$D$84,3,FALSE)/1000</f>
        <v>#N/A</v>
      </c>
      <c r="U6">
        <f t="shared" si="15"/>
        <v>0</v>
      </c>
      <c r="V6">
        <f>IF(I6&gt;=4,INDEX(Windows!$B$4:$B$84,MATCH(E6,Windows!$A$4:$A$84,0)+3),0)</f>
        <v>0</v>
      </c>
      <c r="W6" t="e">
        <f>VLOOKUP(V6,Windows!$B$4:$D$84,2,FALSE)/1000</f>
        <v>#N/A</v>
      </c>
      <c r="X6" t="e">
        <f>VLOOKUP(V6,Windows!$B$4:$D$84,3,FALSE)/1000</f>
        <v>#N/A</v>
      </c>
      <c r="Y6">
        <f t="shared" si="3"/>
        <v>0</v>
      </c>
      <c r="Z6" t="str">
        <f t="shared" si="7"/>
        <v>N/A</v>
      </c>
      <c r="AA6">
        <f t="shared" si="8"/>
        <v>0</v>
      </c>
      <c r="AC6" t="s">
        <v>8</v>
      </c>
      <c r="AE6">
        <f t="shared" si="9"/>
        <v>0</v>
      </c>
      <c r="AF6">
        <f>AE6*Konstanten!$B$4</f>
        <v>0</v>
      </c>
      <c r="AG6">
        <f t="shared" si="16"/>
        <v>0</v>
      </c>
      <c r="AJ6">
        <f>2*28.05+2*53.08</f>
        <v>162.26</v>
      </c>
      <c r="AK6">
        <f t="shared" si="10"/>
        <v>8.1129999999999995</v>
      </c>
      <c r="AL6">
        <f>AK6*Konstanten!$B$3</f>
        <v>20.282499999999999</v>
      </c>
      <c r="AN6">
        <f t="shared" si="11"/>
        <v>0</v>
      </c>
      <c r="AO6">
        <f t="shared" si="12"/>
        <v>0</v>
      </c>
      <c r="AS6" s="12"/>
      <c r="BB6" s="4"/>
    </row>
    <row r="7" spans="1:58" x14ac:dyDescent="0.25">
      <c r="A7">
        <v>6</v>
      </c>
      <c r="B7">
        <v>6</v>
      </c>
      <c r="C7" t="s">
        <v>34</v>
      </c>
      <c r="E7" t="s">
        <v>164</v>
      </c>
      <c r="G7">
        <v>13.9</v>
      </c>
      <c r="H7">
        <f>Konstanten!$B$3</f>
        <v>2.5</v>
      </c>
      <c r="I7">
        <f>COUNTIF(Windows!$A$4:$A$84,E7)</f>
        <v>2</v>
      </c>
      <c r="J7" t="str">
        <f>VLOOKUP(E7,Windows!$A$4:$D$84,2,FALSE)</f>
        <v>IU16-v</v>
      </c>
      <c r="K7">
        <f>VLOOKUP(J7,Windows!$B$4:$D$84,2,FALSE)/1000</f>
        <v>1.615</v>
      </c>
      <c r="L7">
        <f>VLOOKUP(J7,Windows!$B$4:$D$84,3,FALSE)/1000</f>
        <v>1.32</v>
      </c>
      <c r="M7">
        <f t="shared" si="13"/>
        <v>2.1318000000000001</v>
      </c>
      <c r="N7" t="str">
        <f>IF(I7&gt;=2,INDEX(Windows!$B$4:$B$84,MATCH(E7,Windows!$A$4:$A$84,0)+1),0)</f>
        <v>IU8-o</v>
      </c>
      <c r="O7">
        <f>VLOOKUP(N7,Windows!$B$4:$D$84,2,FALSE)/1000</f>
        <v>0.8</v>
      </c>
      <c r="P7">
        <f>VLOOKUP(N7,Windows!$B$4:$D$84,3,FALSE)/1000</f>
        <v>1.32</v>
      </c>
      <c r="Q7">
        <f t="shared" si="14"/>
        <v>1.056</v>
      </c>
      <c r="R7">
        <f>IF(I7&gt;=3,INDEX(Windows!$B$4:$B$84,MATCH(E7,Windows!$A$4:$A$84,0)+2),0)</f>
        <v>0</v>
      </c>
      <c r="S7" t="e">
        <f>VLOOKUP(R7,Windows!$B$4:$D$84,2,FALSE)/1000</f>
        <v>#N/A</v>
      </c>
      <c r="T7" t="e">
        <f>VLOOKUP(R7,Windows!$B$4:$D$84,3,FALSE)/1000</f>
        <v>#N/A</v>
      </c>
      <c r="U7">
        <f t="shared" si="15"/>
        <v>0</v>
      </c>
      <c r="V7">
        <f>IF(I7&gt;=4,INDEX(Windows!$B$4:$B$84,MATCH(E7,Windows!$A$4:$A$84,0)+3),0)</f>
        <v>0</v>
      </c>
      <c r="W7" t="e">
        <f>VLOOKUP(V7,Windows!$B$4:$D$84,2,FALSE)/1000</f>
        <v>#N/A</v>
      </c>
      <c r="X7" t="e">
        <f>VLOOKUP(V7,Windows!$B$4:$D$84,3,FALSE)/1000</f>
        <v>#N/A</v>
      </c>
      <c r="Y7">
        <f t="shared" si="3"/>
        <v>0</v>
      </c>
      <c r="Z7">
        <f t="shared" si="7"/>
        <v>180</v>
      </c>
      <c r="AA7">
        <f t="shared" si="8"/>
        <v>3.1878000000000002</v>
      </c>
      <c r="AC7">
        <v>180</v>
      </c>
      <c r="AD7">
        <v>53.42</v>
      </c>
      <c r="AE7">
        <f t="shared" si="9"/>
        <v>2.6709999999999998</v>
      </c>
      <c r="AF7">
        <f>AE7*Konstanten!$B$4</f>
        <v>11.351749999999999</v>
      </c>
      <c r="AG7">
        <f t="shared" si="16"/>
        <v>8.1639499999999998</v>
      </c>
      <c r="AH7" t="s">
        <v>83</v>
      </c>
      <c r="AJ7">
        <f>2*105.39+53.02</f>
        <v>263.8</v>
      </c>
      <c r="AK7">
        <f t="shared" si="10"/>
        <v>13.190000000000001</v>
      </c>
      <c r="AL7">
        <f>AK7*Konstanten!$B$3</f>
        <v>32.975000000000001</v>
      </c>
      <c r="AN7">
        <f t="shared" si="11"/>
        <v>0</v>
      </c>
      <c r="AO7">
        <f t="shared" si="12"/>
        <v>0</v>
      </c>
      <c r="AS7" s="12"/>
      <c r="BB7" s="4"/>
    </row>
    <row r="8" spans="1:58" x14ac:dyDescent="0.25">
      <c r="A8">
        <v>7</v>
      </c>
      <c r="B8">
        <v>6</v>
      </c>
      <c r="C8" t="s">
        <v>34</v>
      </c>
      <c r="E8" t="s">
        <v>128</v>
      </c>
      <c r="G8">
        <v>13.9</v>
      </c>
      <c r="H8">
        <f>Konstanten!$B$3</f>
        <v>2.5</v>
      </c>
      <c r="I8">
        <f>COUNTIF(Windows!$A$4:$A$84,E8)</f>
        <v>2</v>
      </c>
      <c r="J8" t="str">
        <f>VLOOKUP(E8,Windows!$A$4:$D$84,2,FALSE)</f>
        <v>IU16-o</v>
      </c>
      <c r="K8">
        <f>VLOOKUP(J8,Windows!$B$4:$D$84,2,FALSE)/1000</f>
        <v>1.615</v>
      </c>
      <c r="L8">
        <f>VLOOKUP(J8,Windows!$B$4:$D$84,3,FALSE)/1000</f>
        <v>1.32</v>
      </c>
      <c r="M8">
        <f t="shared" si="13"/>
        <v>2.1318000000000001</v>
      </c>
      <c r="N8" t="str">
        <f>IF(I8&gt;=2,INDEX(Windows!$B$4:$B$84,MATCH(E8,Windows!$A$4:$A$84,0)+1),0)</f>
        <v>IU8-v</v>
      </c>
      <c r="O8">
        <f>VLOOKUP(N8,Windows!$B$4:$D$84,2,FALSE)/1000</f>
        <v>0.8</v>
      </c>
      <c r="P8">
        <f>VLOOKUP(N8,Windows!$B$4:$D$84,3,FALSE)/1000</f>
        <v>1.32</v>
      </c>
      <c r="Q8">
        <f t="shared" si="14"/>
        <v>1.056</v>
      </c>
      <c r="R8">
        <f>IF(I8&gt;=3,INDEX(Windows!$B$4:$B$84,MATCH(E8,Windows!$A$4:$A$84,0)+2),0)</f>
        <v>0</v>
      </c>
      <c r="S8" t="e">
        <f>VLOOKUP(R8,Windows!$B$4:$D$84,2,FALSE)/1000</f>
        <v>#N/A</v>
      </c>
      <c r="T8" t="e">
        <f>VLOOKUP(R8,Windows!$B$4:$D$84,3,FALSE)/1000</f>
        <v>#N/A</v>
      </c>
      <c r="U8">
        <f t="shared" si="15"/>
        <v>0</v>
      </c>
      <c r="V8">
        <f>IF(I8&gt;=4,INDEX(Windows!$B$4:$B$84,MATCH(E8,Windows!$A$4:$A$84,0)+3),0)</f>
        <v>0</v>
      </c>
      <c r="W8" t="e">
        <f>VLOOKUP(V8,Windows!$B$4:$D$84,2,FALSE)/1000</f>
        <v>#N/A</v>
      </c>
      <c r="X8" t="e">
        <f>VLOOKUP(V8,Windows!$B$4:$D$84,3,FALSE)/1000</f>
        <v>#N/A</v>
      </c>
      <c r="Y8">
        <f t="shared" si="3"/>
        <v>0</v>
      </c>
      <c r="Z8">
        <f t="shared" si="7"/>
        <v>180</v>
      </c>
      <c r="AA8">
        <f t="shared" si="8"/>
        <v>3.1878000000000002</v>
      </c>
      <c r="AC8">
        <v>180</v>
      </c>
      <c r="AD8">
        <v>53.42</v>
      </c>
      <c r="AE8">
        <f t="shared" si="9"/>
        <v>2.6709999999999998</v>
      </c>
      <c r="AF8">
        <f>AE8*Konstanten!$B$4</f>
        <v>11.351749999999999</v>
      </c>
      <c r="AG8">
        <f t="shared" si="16"/>
        <v>8.1639499999999998</v>
      </c>
      <c r="AH8" t="s">
        <v>83</v>
      </c>
      <c r="AJ8">
        <f>2*105.39+53.02</f>
        <v>263.8</v>
      </c>
      <c r="AK8">
        <f t="shared" si="10"/>
        <v>13.190000000000001</v>
      </c>
      <c r="AL8">
        <f>AK8*Konstanten!$B$3</f>
        <v>32.975000000000001</v>
      </c>
      <c r="AN8">
        <f t="shared" si="11"/>
        <v>0</v>
      </c>
      <c r="AO8">
        <f t="shared" si="12"/>
        <v>0</v>
      </c>
      <c r="AS8" s="12"/>
      <c r="BB8" s="4"/>
    </row>
    <row r="9" spans="1:58" s="12" customFormat="1" x14ac:dyDescent="0.25">
      <c r="A9" s="12">
        <v>8</v>
      </c>
      <c r="B9">
        <v>6</v>
      </c>
      <c r="C9" s="12" t="s">
        <v>34</v>
      </c>
      <c r="E9" s="12" t="s">
        <v>127</v>
      </c>
      <c r="G9" s="12">
        <v>23</v>
      </c>
      <c r="H9">
        <f>Konstanten!$B$3</f>
        <v>2.5</v>
      </c>
      <c r="I9">
        <f>COUNTIF(Windows!$A$4:$A$84,E9)</f>
        <v>3</v>
      </c>
      <c r="J9" t="str">
        <f>VLOOKUP(E9,Windows!$A$4:$D$84,2,FALSE)</f>
        <v>IU11-v</v>
      </c>
      <c r="K9">
        <f>VLOOKUP(J9,Windows!$B$4:$D$84,2,FALSE)/1000</f>
        <v>1.1000000000000001</v>
      </c>
      <c r="L9">
        <f>VLOOKUP(J9,Windows!$B$4:$D$84,3,FALSE)/1000</f>
        <v>1.32</v>
      </c>
      <c r="M9">
        <f t="shared" si="13"/>
        <v>1.4520000000000002</v>
      </c>
      <c r="N9" t="str">
        <f>IF(I9&gt;=2,INDEX(Windows!$B$4:$B$84,MATCH(E9,Windows!$A$4:$A$84,0)+1),0)</f>
        <v>IU18-v</v>
      </c>
      <c r="O9">
        <f>VLOOKUP(N9,Windows!$B$4:$D$84,2,FALSE)/1000</f>
        <v>1.7949999999999999</v>
      </c>
      <c r="P9">
        <f>VLOOKUP(N9,Windows!$B$4:$D$84,3,FALSE)/1000</f>
        <v>1.32</v>
      </c>
      <c r="Q9">
        <f t="shared" si="14"/>
        <v>2.3694000000000002</v>
      </c>
      <c r="R9" t="str">
        <f>IF(I9&gt;=3,INDEX(Windows!$B$4:$B$84,MATCH(E9,Windows!$A$4:$A$84,0)+2),0)</f>
        <v>IU8-o</v>
      </c>
      <c r="S9">
        <f>VLOOKUP(R9,Windows!$B$4:$D$84,2,FALSE)/1000</f>
        <v>0.8</v>
      </c>
      <c r="T9">
        <f>VLOOKUP(R9,Windows!$B$4:$D$84,3,FALSE)/1000</f>
        <v>1.32</v>
      </c>
      <c r="U9">
        <f t="shared" si="15"/>
        <v>1.056</v>
      </c>
      <c r="V9">
        <f>IF(I9&gt;=4,INDEX(Windows!$B$4:$B$84,MATCH(E9,Windows!$A$4:$A$84,0)+3),0)</f>
        <v>0</v>
      </c>
      <c r="W9" t="e">
        <f>VLOOKUP(V9,Windows!$B$4:$D$84,2,FALSE)/1000</f>
        <v>#N/A</v>
      </c>
      <c r="X9" t="e">
        <f>VLOOKUP(V9,Windows!$B$4:$D$84,3,FALSE)/1000</f>
        <v>#N/A</v>
      </c>
      <c r="Y9">
        <f t="shared" si="3"/>
        <v>0</v>
      </c>
      <c r="Z9">
        <f t="shared" si="7"/>
        <v>180</v>
      </c>
      <c r="AA9">
        <f t="shared" si="8"/>
        <v>4.8774000000000006</v>
      </c>
      <c r="AC9" s="12">
        <v>180</v>
      </c>
      <c r="AD9" s="12">
        <v>90.92</v>
      </c>
      <c r="AE9">
        <f t="shared" si="9"/>
        <v>4.5460000000000003</v>
      </c>
      <c r="AF9">
        <f>AE9*Konstanten!$B$4</f>
        <v>19.320500000000003</v>
      </c>
      <c r="AG9">
        <f t="shared" si="16"/>
        <v>14.443100000000001</v>
      </c>
      <c r="AH9" t="s">
        <v>83</v>
      </c>
      <c r="AJ9" s="12">
        <f>2*105.39+87.81</f>
        <v>298.59000000000003</v>
      </c>
      <c r="AK9">
        <f t="shared" si="10"/>
        <v>14.929500000000003</v>
      </c>
      <c r="AL9">
        <f>AK9*Konstanten!$B$3</f>
        <v>37.323750000000004</v>
      </c>
      <c r="AN9">
        <f t="shared" si="11"/>
        <v>0</v>
      </c>
      <c r="AO9">
        <f t="shared" si="12"/>
        <v>0</v>
      </c>
      <c r="BB9" s="4"/>
    </row>
    <row r="10" spans="1:58" x14ac:dyDescent="0.25">
      <c r="A10">
        <v>9</v>
      </c>
      <c r="B10">
        <v>6</v>
      </c>
      <c r="C10" t="s">
        <v>92</v>
      </c>
      <c r="E10" s="15" t="s">
        <v>175</v>
      </c>
      <c r="G10" s="15">
        <v>8.6</v>
      </c>
      <c r="H10">
        <f>Konstanten!$B$3</f>
        <v>2.5</v>
      </c>
      <c r="I10">
        <f>COUNTIF(Windows!$A$4:$A$84,E10)</f>
        <v>0</v>
      </c>
      <c r="J10" t="e">
        <f>VLOOKUP(E10,Windows!$A$4:$D$84,2,FALSE)</f>
        <v>#N/A</v>
      </c>
      <c r="K10" t="e">
        <f>VLOOKUP(J10,Windows!$B$4:$D$84,2,FALSE)/1000</f>
        <v>#N/A</v>
      </c>
      <c r="L10" t="e">
        <f>VLOOKUP(J10,Windows!$B$4:$D$84,3,FALSE)/1000</f>
        <v>#N/A</v>
      </c>
      <c r="M10">
        <f t="shared" si="13"/>
        <v>0</v>
      </c>
      <c r="N10">
        <f>IF(I10&gt;=2,INDEX(Windows!$B$4:$B$84,MATCH(E10,Windows!$A$4:$A$84,0)+1),0)</f>
        <v>0</v>
      </c>
      <c r="O10" t="e">
        <f>VLOOKUP(N10,Windows!$B$4:$D$84,2,FALSE)/1000</f>
        <v>#N/A</v>
      </c>
      <c r="P10" t="e">
        <f>VLOOKUP(N10,Windows!$B$4:$D$84,3,FALSE)/1000</f>
        <v>#N/A</v>
      </c>
      <c r="Q10">
        <f t="shared" si="14"/>
        <v>0</v>
      </c>
      <c r="R10">
        <f>IF(I10&gt;=3,INDEX(Windows!$B$4:$B$84,MATCH(E10,Windows!$A$4:$A$84,0)+2),0)</f>
        <v>0</v>
      </c>
      <c r="S10" t="e">
        <f>VLOOKUP(R10,Windows!$B$4:$D$84,2,FALSE)/1000</f>
        <v>#N/A</v>
      </c>
      <c r="T10" t="e">
        <f>VLOOKUP(R10,Windows!$B$4:$D$84,3,FALSE)/1000</f>
        <v>#N/A</v>
      </c>
      <c r="U10">
        <f t="shared" si="15"/>
        <v>0</v>
      </c>
      <c r="V10">
        <f>IF(I10&gt;=4,INDEX(Windows!$B$4:$B$84,MATCH(E10,Windows!$A$4:$A$84,0)+3),0)</f>
        <v>0</v>
      </c>
      <c r="W10" t="e">
        <f>VLOOKUP(V10,Windows!$B$4:$D$84,2,FALSE)/1000</f>
        <v>#N/A</v>
      </c>
      <c r="X10" t="e">
        <f>VLOOKUP(V10,Windows!$B$4:$D$84,3,FALSE)/1000</f>
        <v>#N/A</v>
      </c>
      <c r="Y10">
        <f t="shared" si="3"/>
        <v>0</v>
      </c>
      <c r="Z10" t="str">
        <f t="shared" si="7"/>
        <v>N/A</v>
      </c>
      <c r="AA10">
        <f t="shared" si="8"/>
        <v>0</v>
      </c>
      <c r="AC10" t="s">
        <v>8</v>
      </c>
      <c r="AE10">
        <f t="shared" si="9"/>
        <v>0</v>
      </c>
      <c r="AF10">
        <f>AE10*Konstanten!$B$4</f>
        <v>0</v>
      </c>
      <c r="AG10">
        <f t="shared" si="16"/>
        <v>0</v>
      </c>
      <c r="AJ10">
        <f>65.26+15.92+64.6+34.19+58.94</f>
        <v>238.91</v>
      </c>
      <c r="AK10">
        <f t="shared" si="10"/>
        <v>11.945500000000001</v>
      </c>
      <c r="AL10">
        <f>AK10*Konstanten!$B$3</f>
        <v>29.863750000000003</v>
      </c>
      <c r="AN10">
        <f t="shared" si="11"/>
        <v>0</v>
      </c>
      <c r="AO10">
        <f t="shared" si="12"/>
        <v>0</v>
      </c>
      <c r="AS10" s="12"/>
      <c r="BB10" s="4"/>
    </row>
    <row r="11" spans="1:58" x14ac:dyDescent="0.25">
      <c r="A11">
        <v>10</v>
      </c>
      <c r="B11">
        <v>6</v>
      </c>
      <c r="C11" s="16" t="s">
        <v>176</v>
      </c>
      <c r="E11" s="15" t="s">
        <v>172</v>
      </c>
      <c r="G11" s="15">
        <v>30.8</v>
      </c>
      <c r="H11">
        <f>Konstanten!$B$3</f>
        <v>2.5</v>
      </c>
      <c r="I11">
        <f>COUNTIF(Windows!$A$4:$A$84,E11)</f>
        <v>2</v>
      </c>
      <c r="J11" t="str">
        <f>VLOOKUP(E11,Windows!$A$4:$D$84,2,FALSE)</f>
        <v>IUA21-o</v>
      </c>
      <c r="K11">
        <f>VLOOKUP(J11,Windows!$B$4:$D$84,2,FALSE)/1000</f>
        <v>2.12</v>
      </c>
      <c r="L11">
        <f>VLOOKUP(J11,Windows!$B$4:$D$84,3,FALSE)/1000</f>
        <v>1.67</v>
      </c>
      <c r="M11">
        <f t="shared" si="13"/>
        <v>3.5404</v>
      </c>
      <c r="N11" t="str">
        <f>IF(I11&gt;=2,INDEX(Windows!$B$4:$B$84,MATCH(E11,Windows!$A$4:$A$84,0)+1),0)</f>
        <v>IUA6-v</v>
      </c>
      <c r="O11">
        <f>VLOOKUP(N11,Windows!$B$4:$D$84,2,FALSE)/1000</f>
        <v>0.56999999999999995</v>
      </c>
      <c r="P11">
        <f>VLOOKUP(N11,Windows!$B$4:$D$84,3,FALSE)/1000</f>
        <v>1.67</v>
      </c>
      <c r="Q11">
        <f t="shared" si="14"/>
        <v>0.95189999999999986</v>
      </c>
      <c r="R11">
        <f>IF(I11&gt;=3,INDEX(Windows!$B$4:$B$84,MATCH(E11,Windows!$A$4:$A$84,0)+2),0)</f>
        <v>0</v>
      </c>
      <c r="S11" t="e">
        <f>VLOOKUP(R11,Windows!$B$4:$D$84,2,FALSE)/1000</f>
        <v>#N/A</v>
      </c>
      <c r="T11" t="e">
        <f>VLOOKUP(R11,Windows!$B$4:$D$84,3,FALSE)/1000</f>
        <v>#N/A</v>
      </c>
      <c r="U11">
        <f t="shared" si="15"/>
        <v>0</v>
      </c>
      <c r="V11">
        <f>IF(I11&gt;=4,INDEX(Windows!$B$4:$B$84,MATCH(E11,Windows!$A$4:$A$84,0)+3),0)</f>
        <v>0</v>
      </c>
      <c r="W11" t="e">
        <f>VLOOKUP(V11,Windows!$B$4:$D$84,2,FALSE)/1000</f>
        <v>#N/A</v>
      </c>
      <c r="X11" t="e">
        <f>VLOOKUP(V11,Windows!$B$4:$D$84,3,FALSE)/1000</f>
        <v>#N/A</v>
      </c>
      <c r="Y11">
        <f t="shared" si="3"/>
        <v>0</v>
      </c>
      <c r="Z11">
        <f t="shared" si="7"/>
        <v>312</v>
      </c>
      <c r="AA11">
        <f t="shared" si="8"/>
        <v>4.4923000000000002</v>
      </c>
      <c r="AC11">
        <v>312</v>
      </c>
      <c r="AD11">
        <v>87.12</v>
      </c>
      <c r="AE11">
        <f t="shared" si="9"/>
        <v>4.3559999999999999</v>
      </c>
      <c r="AF11">
        <f>AE11*Konstanten!$B$4</f>
        <v>18.512999999999998</v>
      </c>
      <c r="AG11">
        <f t="shared" si="16"/>
        <v>14.020699999999998</v>
      </c>
      <c r="AH11" t="s">
        <v>83</v>
      </c>
      <c r="AJ11">
        <f>73.49+20.33+143.09+127.85</f>
        <v>364.76</v>
      </c>
      <c r="AK11">
        <f t="shared" si="10"/>
        <v>18.238</v>
      </c>
      <c r="AL11">
        <f>AK11*Konstanten!$B$3</f>
        <v>45.594999999999999</v>
      </c>
      <c r="AN11">
        <f t="shared" si="11"/>
        <v>0</v>
      </c>
      <c r="AO11">
        <f t="shared" si="12"/>
        <v>0</v>
      </c>
      <c r="AS11" s="12"/>
      <c r="BB11" s="4"/>
    </row>
    <row r="12" spans="1:58" x14ac:dyDescent="0.25">
      <c r="A12">
        <v>11</v>
      </c>
      <c r="B12">
        <v>6</v>
      </c>
      <c r="C12" t="s">
        <v>221</v>
      </c>
      <c r="E12" s="15" t="s">
        <v>177</v>
      </c>
      <c r="G12" s="15">
        <v>9.1999999999999993</v>
      </c>
      <c r="H12">
        <f>Konstanten!$B$3</f>
        <v>2.5</v>
      </c>
      <c r="I12">
        <f>COUNTIF(Windows!$A$4:$A$84,E12)</f>
        <v>0</v>
      </c>
      <c r="J12" t="e">
        <f>VLOOKUP(E12,Windows!$A$4:$D$84,2,FALSE)</f>
        <v>#N/A</v>
      </c>
      <c r="K12" t="e">
        <f>VLOOKUP(J12,Windows!$B$4:$D$84,2,FALSE)/1000</f>
        <v>#N/A</v>
      </c>
      <c r="L12" t="e">
        <f>VLOOKUP(J12,Windows!$B$4:$D$84,3,FALSE)/1000</f>
        <v>#N/A</v>
      </c>
      <c r="M12">
        <f t="shared" si="13"/>
        <v>0</v>
      </c>
      <c r="N12">
        <f>IF(I12&gt;=2,INDEX(Windows!$B$4:$B$84,MATCH(E12,Windows!$A$4:$A$84,0)+1),0)</f>
        <v>0</v>
      </c>
      <c r="O12" t="e">
        <f>VLOOKUP(N12,Windows!$B$4:$D$84,2,FALSE)/1000</f>
        <v>#N/A</v>
      </c>
      <c r="P12" t="e">
        <f>VLOOKUP(N12,Windows!$B$4:$D$84,3,FALSE)/1000</f>
        <v>#N/A</v>
      </c>
      <c r="Q12">
        <f t="shared" si="14"/>
        <v>0</v>
      </c>
      <c r="R12">
        <f>IF(I12&gt;=3,INDEX(Windows!$B$4:$B$84,MATCH(E12,Windows!$A$4:$A$84,0)+2),0)</f>
        <v>0</v>
      </c>
      <c r="S12" t="e">
        <f>VLOOKUP(R12,Windows!$B$4:$D$84,2,FALSE)/1000</f>
        <v>#N/A</v>
      </c>
      <c r="T12" t="e">
        <f>VLOOKUP(R12,Windows!$B$4:$D$84,3,FALSE)/1000</f>
        <v>#N/A</v>
      </c>
      <c r="U12">
        <f t="shared" si="15"/>
        <v>0</v>
      </c>
      <c r="V12">
        <f>IF(I12&gt;=4,INDEX(Windows!$B$4:$B$84,MATCH(E12,Windows!$A$4:$A$84,0)+3),0)</f>
        <v>0</v>
      </c>
      <c r="W12" t="e">
        <f>VLOOKUP(V12,Windows!$B$4:$D$84,2,FALSE)/1000</f>
        <v>#N/A</v>
      </c>
      <c r="X12" t="e">
        <f>VLOOKUP(V12,Windows!$B$4:$D$84,3,FALSE)/1000</f>
        <v>#N/A</v>
      </c>
      <c r="Y12">
        <f t="shared" si="3"/>
        <v>0</v>
      </c>
      <c r="Z12" t="str">
        <f t="shared" si="7"/>
        <v>N/A</v>
      </c>
      <c r="AA12">
        <f t="shared" si="8"/>
        <v>0</v>
      </c>
      <c r="AC12">
        <v>132</v>
      </c>
      <c r="AD12">
        <v>40.22</v>
      </c>
      <c r="AE12">
        <f t="shared" si="9"/>
        <v>2.0110000000000001</v>
      </c>
      <c r="AF12">
        <f>AE12*Konstanten!$B$4</f>
        <v>8.5467500000000012</v>
      </c>
      <c r="AG12">
        <f t="shared" si="16"/>
        <v>8.5467500000000012</v>
      </c>
      <c r="AH12" t="s">
        <v>83</v>
      </c>
      <c r="AJ12">
        <f>2*102.03+37.25</f>
        <v>241.31</v>
      </c>
      <c r="AK12">
        <f t="shared" si="10"/>
        <v>12.0655</v>
      </c>
      <c r="AL12">
        <f>AK12*Konstanten!$B$3</f>
        <v>30.16375</v>
      </c>
      <c r="AN12">
        <f t="shared" si="11"/>
        <v>0</v>
      </c>
      <c r="AO12">
        <f t="shared" si="12"/>
        <v>0</v>
      </c>
      <c r="AS12" s="12"/>
      <c r="BB12" s="4"/>
    </row>
    <row r="13" spans="1:58" x14ac:dyDescent="0.25">
      <c r="A13">
        <v>12</v>
      </c>
      <c r="B13">
        <v>6</v>
      </c>
      <c r="C13" t="s">
        <v>221</v>
      </c>
      <c r="E13" s="15" t="s">
        <v>178</v>
      </c>
      <c r="G13" s="15">
        <v>9.1999999999999993</v>
      </c>
      <c r="H13">
        <f>Konstanten!$B$3</f>
        <v>2.5</v>
      </c>
      <c r="I13">
        <f>COUNTIF(Windows!$A$4:$A$84,E13)</f>
        <v>0</v>
      </c>
      <c r="J13" t="e">
        <f>VLOOKUP(E13,Windows!$A$4:$D$84,2,FALSE)</f>
        <v>#N/A</v>
      </c>
      <c r="K13" t="e">
        <f>VLOOKUP(J13,Windows!$B$4:$D$84,2,FALSE)/1000</f>
        <v>#N/A</v>
      </c>
      <c r="L13" t="e">
        <f>VLOOKUP(J13,Windows!$B$4:$D$84,3,FALSE)/1000</f>
        <v>#N/A</v>
      </c>
      <c r="M13">
        <f t="shared" si="13"/>
        <v>0</v>
      </c>
      <c r="N13">
        <f>IF(I13&gt;=2,INDEX(Windows!$B$4:$B$84,MATCH(E13,Windows!$A$4:$A$84,0)+1),0)</f>
        <v>0</v>
      </c>
      <c r="O13" t="e">
        <f>VLOOKUP(N13,Windows!$B$4:$D$84,2,FALSE)/1000</f>
        <v>#N/A</v>
      </c>
      <c r="P13" t="e">
        <f>VLOOKUP(N13,Windows!$B$4:$D$84,3,FALSE)/1000</f>
        <v>#N/A</v>
      </c>
      <c r="Q13">
        <f t="shared" si="14"/>
        <v>0</v>
      </c>
      <c r="R13">
        <f>IF(I13&gt;=3,INDEX(Windows!$B$4:$B$84,MATCH(E13,Windows!$A$4:$A$84,0)+2),0)</f>
        <v>0</v>
      </c>
      <c r="S13" t="e">
        <f>VLOOKUP(R13,Windows!$B$4:$D$84,2,FALSE)/1000</f>
        <v>#N/A</v>
      </c>
      <c r="T13" t="e">
        <f>VLOOKUP(R13,Windows!$B$4:$D$84,3,FALSE)/1000</f>
        <v>#N/A</v>
      </c>
      <c r="U13">
        <f t="shared" si="15"/>
        <v>0</v>
      </c>
      <c r="V13">
        <f>IF(I13&gt;=4,INDEX(Windows!$B$4:$B$84,MATCH(E13,Windows!$A$4:$A$84,0)+3),0)</f>
        <v>0</v>
      </c>
      <c r="W13" t="e">
        <f>VLOOKUP(V13,Windows!$B$4:$D$84,2,FALSE)/1000</f>
        <v>#N/A</v>
      </c>
      <c r="X13" t="e">
        <f>VLOOKUP(V13,Windows!$B$4:$D$84,3,FALSE)/1000</f>
        <v>#N/A</v>
      </c>
      <c r="Y13">
        <f t="shared" si="3"/>
        <v>0</v>
      </c>
      <c r="Z13" t="str">
        <f t="shared" si="7"/>
        <v>N/A</v>
      </c>
      <c r="AA13">
        <f t="shared" si="8"/>
        <v>0</v>
      </c>
      <c r="AC13">
        <v>132</v>
      </c>
      <c r="AD13">
        <v>40.22</v>
      </c>
      <c r="AE13">
        <f t="shared" si="9"/>
        <v>2.0110000000000001</v>
      </c>
      <c r="AF13">
        <f>AE13*Konstanten!$B$4</f>
        <v>8.5467500000000012</v>
      </c>
      <c r="AG13">
        <f t="shared" si="16"/>
        <v>8.5467500000000012</v>
      </c>
      <c r="AH13" t="s">
        <v>83</v>
      </c>
      <c r="AJ13">
        <f>2*102.03+37.25</f>
        <v>241.31</v>
      </c>
      <c r="AK13">
        <f t="shared" si="10"/>
        <v>12.0655</v>
      </c>
      <c r="AL13">
        <f>AK13*Konstanten!$B$3</f>
        <v>30.16375</v>
      </c>
      <c r="AN13">
        <f t="shared" si="11"/>
        <v>0</v>
      </c>
      <c r="AO13">
        <f t="shared" si="12"/>
        <v>0</v>
      </c>
      <c r="AS13" s="12"/>
      <c r="BB13" s="4"/>
    </row>
    <row r="14" spans="1:58" x14ac:dyDescent="0.25">
      <c r="A14">
        <v>13</v>
      </c>
      <c r="B14">
        <v>6</v>
      </c>
      <c r="C14" t="s">
        <v>23</v>
      </c>
      <c r="E14" s="15" t="s">
        <v>179</v>
      </c>
      <c r="F14" t="s">
        <v>172</v>
      </c>
      <c r="G14" s="15">
        <v>6.7</v>
      </c>
      <c r="H14">
        <f>Konstanten!$B$3</f>
        <v>2.5</v>
      </c>
      <c r="I14">
        <f>COUNTIF(Windows!$A$4:$A$84,E14)</f>
        <v>0</v>
      </c>
      <c r="J14" t="e">
        <f>VLOOKUP(E14,Windows!$A$4:$D$84,2,FALSE)</f>
        <v>#N/A</v>
      </c>
      <c r="K14" t="e">
        <f>VLOOKUP(J14,Windows!$B$4:$D$84,2,FALSE)/1000</f>
        <v>#N/A</v>
      </c>
      <c r="L14" t="e">
        <f>VLOOKUP(J14,Windows!$B$4:$D$84,3,FALSE)/1000</f>
        <v>#N/A</v>
      </c>
      <c r="M14">
        <f t="shared" si="13"/>
        <v>0</v>
      </c>
      <c r="N14">
        <f>IF(I14&gt;=2,INDEX(Windows!$B$4:$B$84,MATCH(E14,Windows!$A$4:$A$84,0)+1),0)</f>
        <v>0</v>
      </c>
      <c r="O14" t="e">
        <f>VLOOKUP(N14,Windows!$B$4:$D$84,2,FALSE)/1000</f>
        <v>#N/A</v>
      </c>
      <c r="P14" t="e">
        <f>VLOOKUP(N14,Windows!$B$4:$D$84,3,FALSE)/1000</f>
        <v>#N/A</v>
      </c>
      <c r="Q14">
        <f t="shared" si="14"/>
        <v>0</v>
      </c>
      <c r="R14">
        <f>IF(I14&gt;=3,INDEX(Windows!$B$4:$B$84,MATCH(E14,Windows!$A$4:$A$84,0)+2),0)</f>
        <v>0</v>
      </c>
      <c r="S14" t="e">
        <f>VLOOKUP(R14,Windows!$B$4:$D$84,2,FALSE)/1000</f>
        <v>#N/A</v>
      </c>
      <c r="T14" t="e">
        <f>VLOOKUP(R14,Windows!$B$4:$D$84,3,FALSE)/1000</f>
        <v>#N/A</v>
      </c>
      <c r="U14">
        <f t="shared" si="15"/>
        <v>0</v>
      </c>
      <c r="V14">
        <f>IF(I14&gt;=4,INDEX(Windows!$B$4:$B$84,MATCH(E14,Windows!$A$4:$A$84,0)+3),0)</f>
        <v>0</v>
      </c>
      <c r="W14" t="e">
        <f>VLOOKUP(V14,Windows!$B$4:$D$84,2,FALSE)/1000</f>
        <v>#N/A</v>
      </c>
      <c r="X14" t="e">
        <f>VLOOKUP(V14,Windows!$B$4:$D$84,3,FALSE)/1000</f>
        <v>#N/A</v>
      </c>
      <c r="Y14">
        <f t="shared" si="3"/>
        <v>0</v>
      </c>
      <c r="Z14" t="str">
        <f t="shared" si="7"/>
        <v>N/A</v>
      </c>
      <c r="AA14">
        <f t="shared" si="8"/>
        <v>0</v>
      </c>
      <c r="AC14">
        <v>312</v>
      </c>
      <c r="AD14">
        <v>54.46</v>
      </c>
      <c r="AE14">
        <f t="shared" si="9"/>
        <v>2.7229999999999999</v>
      </c>
      <c r="AF14">
        <f>AE14*Konstanten!$B$4</f>
        <v>11.572749999999999</v>
      </c>
      <c r="AG14">
        <f t="shared" si="16"/>
        <v>11.572749999999999</v>
      </c>
      <c r="AH14" t="s">
        <v>83</v>
      </c>
      <c r="AJ14">
        <f>2*51.98+51.82</f>
        <v>155.78</v>
      </c>
      <c r="AK14">
        <f t="shared" si="10"/>
        <v>7.7890000000000006</v>
      </c>
      <c r="AL14">
        <f>AK14*Konstanten!$B$3</f>
        <v>19.4725</v>
      </c>
      <c r="AN14">
        <f t="shared" si="11"/>
        <v>0</v>
      </c>
      <c r="AO14">
        <f t="shared" si="12"/>
        <v>0</v>
      </c>
      <c r="AS14" s="12"/>
      <c r="BB14" s="4"/>
    </row>
    <row r="15" spans="1:58" x14ac:dyDescent="0.25">
      <c r="A15">
        <v>14</v>
      </c>
      <c r="B15">
        <v>6</v>
      </c>
      <c r="C15" t="s">
        <v>176</v>
      </c>
      <c r="E15" s="15" t="s">
        <v>136</v>
      </c>
      <c r="G15" s="15">
        <v>31.1</v>
      </c>
      <c r="H15">
        <f>Konstanten!$B$3</f>
        <v>2.5</v>
      </c>
      <c r="I15">
        <f>COUNTIF(Windows!$A$4:$A$84,E15)</f>
        <v>2</v>
      </c>
      <c r="J15" t="str">
        <f>VLOOKUP(E15,Windows!$A$4:$D$84,2,FALSE)</f>
        <v>IU10,5-o+VTL3-o</v>
      </c>
      <c r="K15">
        <f>VLOOKUP(J15,Windows!$B$4:$D$84,2,FALSE)/1000</f>
        <v>1.325</v>
      </c>
      <c r="L15">
        <f>VLOOKUP(J15,Windows!$B$4:$D$84,3,FALSE)/1000</f>
        <v>1.67</v>
      </c>
      <c r="M15">
        <f t="shared" si="13"/>
        <v>2.2127499999999998</v>
      </c>
      <c r="N15" t="str">
        <f>IF(I15&gt;=2,INDEX(Windows!$B$4:$B$84,MATCH(E15,Windows!$A$4:$A$84,0)+1),0)</f>
        <v>IU21-v</v>
      </c>
      <c r="O15">
        <f>VLOOKUP(N15,Windows!$B$4:$D$84,2,FALSE)/1000</f>
        <v>2.12</v>
      </c>
      <c r="P15">
        <f>VLOOKUP(N15,Windows!$B$4:$D$84,3,FALSE)/1000</f>
        <v>1.67</v>
      </c>
      <c r="Q15">
        <f t="shared" si="14"/>
        <v>3.5404</v>
      </c>
      <c r="R15">
        <f>IF(I15&gt;=3,INDEX(Windows!$B$4:$B$84,MATCH(E15,Windows!$A$4:$A$84,0)+2),0)</f>
        <v>0</v>
      </c>
      <c r="S15" t="e">
        <f>VLOOKUP(R15,Windows!$B$4:$D$84,2,FALSE)/1000</f>
        <v>#N/A</v>
      </c>
      <c r="T15" t="e">
        <f>VLOOKUP(R15,Windows!$B$4:$D$84,3,FALSE)/1000</f>
        <v>#N/A</v>
      </c>
      <c r="U15">
        <f t="shared" si="15"/>
        <v>0</v>
      </c>
      <c r="V15">
        <f>IF(I15&gt;=4,INDEX(Windows!$B$4:$B$84,MATCH(E15,Windows!$A$4:$A$84,0)+3),0)</f>
        <v>0</v>
      </c>
      <c r="W15" t="e">
        <f>VLOOKUP(V15,Windows!$B$4:$D$84,2,FALSE)/1000</f>
        <v>#N/A</v>
      </c>
      <c r="X15" t="e">
        <f>VLOOKUP(V15,Windows!$B$4:$D$84,3,FALSE)/1000</f>
        <v>#N/A</v>
      </c>
      <c r="Y15">
        <f t="shared" si="3"/>
        <v>0</v>
      </c>
      <c r="Z15">
        <f t="shared" si="7"/>
        <v>312</v>
      </c>
      <c r="AA15">
        <f t="shared" si="8"/>
        <v>5.7531499999999998</v>
      </c>
      <c r="AC15">
        <v>312</v>
      </c>
      <c r="AD15">
        <v>87.55</v>
      </c>
      <c r="AE15">
        <f t="shared" si="9"/>
        <v>4.3775000000000004</v>
      </c>
      <c r="AF15">
        <f>AE15*Konstanten!$B$4</f>
        <v>18.604375000000001</v>
      </c>
      <c r="AG15">
        <f t="shared" si="16"/>
        <v>12.851225000000001</v>
      </c>
      <c r="AH15" t="s">
        <v>83</v>
      </c>
      <c r="AJ15">
        <f>2*143+87.03</f>
        <v>373.03</v>
      </c>
      <c r="AK15">
        <f t="shared" si="10"/>
        <v>18.651499999999999</v>
      </c>
      <c r="AL15">
        <f>AK15*Konstanten!$B$3</f>
        <v>46.628749999999997</v>
      </c>
      <c r="AN15">
        <f t="shared" si="11"/>
        <v>0</v>
      </c>
      <c r="AO15">
        <f t="shared" si="12"/>
        <v>0</v>
      </c>
      <c r="AS15" s="12"/>
      <c r="BB15" s="4"/>
    </row>
    <row r="16" spans="1:58" x14ac:dyDescent="0.25">
      <c r="A16">
        <v>15</v>
      </c>
      <c r="B16">
        <v>6</v>
      </c>
      <c r="C16" t="s">
        <v>23</v>
      </c>
      <c r="E16" s="15" t="s">
        <v>180</v>
      </c>
      <c r="F16" t="s">
        <v>136</v>
      </c>
      <c r="G16" s="15">
        <v>6.7</v>
      </c>
      <c r="H16">
        <f>Konstanten!$B$3</f>
        <v>2.5</v>
      </c>
      <c r="I16">
        <f>COUNTIF(Windows!$A$4:$A$84,E16)</f>
        <v>0</v>
      </c>
      <c r="J16" t="e">
        <f>VLOOKUP(E16,Windows!$A$4:$D$84,2,FALSE)</f>
        <v>#N/A</v>
      </c>
      <c r="K16" t="e">
        <f>VLOOKUP(J16,Windows!$B$4:$D$84,2,FALSE)/1000</f>
        <v>#N/A</v>
      </c>
      <c r="L16" t="e">
        <f>VLOOKUP(J16,Windows!$B$4:$D$84,3,FALSE)/1000</f>
        <v>#N/A</v>
      </c>
      <c r="M16">
        <f t="shared" si="13"/>
        <v>0</v>
      </c>
      <c r="N16">
        <f>IF(I16&gt;=2,INDEX(Windows!$B$4:$B$84,MATCH(E16,Windows!$A$4:$A$84,0)+1),0)</f>
        <v>0</v>
      </c>
      <c r="O16" t="e">
        <f>VLOOKUP(N16,Windows!$B$4:$D$84,2,FALSE)/1000</f>
        <v>#N/A</v>
      </c>
      <c r="P16" t="e">
        <f>VLOOKUP(N16,Windows!$B$4:$D$84,3,FALSE)/1000</f>
        <v>#N/A</v>
      </c>
      <c r="Q16">
        <f t="shared" si="14"/>
        <v>0</v>
      </c>
      <c r="R16">
        <f>IF(I16&gt;=3,INDEX(Windows!$B$4:$B$84,MATCH(E16,Windows!$A$4:$A$84,0)+2),0)</f>
        <v>0</v>
      </c>
      <c r="S16" t="e">
        <f>VLOOKUP(R16,Windows!$B$4:$D$84,2,FALSE)/1000</f>
        <v>#N/A</v>
      </c>
      <c r="T16" t="e">
        <f>VLOOKUP(R16,Windows!$B$4:$D$84,3,FALSE)/1000</f>
        <v>#N/A</v>
      </c>
      <c r="U16">
        <f t="shared" si="15"/>
        <v>0</v>
      </c>
      <c r="V16">
        <f>IF(I16&gt;=4,INDEX(Windows!$B$4:$B$84,MATCH(E16,Windows!$A$4:$A$84,0)+3),0)</f>
        <v>0</v>
      </c>
      <c r="W16" t="e">
        <f>VLOOKUP(V16,Windows!$B$4:$D$84,2,FALSE)/1000</f>
        <v>#N/A</v>
      </c>
      <c r="X16" t="e">
        <f>VLOOKUP(V16,Windows!$B$4:$D$84,3,FALSE)/1000</f>
        <v>#N/A</v>
      </c>
      <c r="Y16">
        <f t="shared" si="3"/>
        <v>0</v>
      </c>
      <c r="Z16" t="str">
        <f t="shared" si="7"/>
        <v>N/A</v>
      </c>
      <c r="AA16">
        <f t="shared" si="8"/>
        <v>0</v>
      </c>
      <c r="AC16" t="s">
        <v>8</v>
      </c>
      <c r="AE16">
        <f t="shared" si="9"/>
        <v>0</v>
      </c>
      <c r="AF16">
        <f>AE16*Konstanten!$B$4</f>
        <v>0</v>
      </c>
      <c r="AG16">
        <f t="shared" si="16"/>
        <v>0</v>
      </c>
      <c r="AJ16">
        <f>2*(51.82+51.99)</f>
        <v>207.62</v>
      </c>
      <c r="AK16">
        <f t="shared" si="10"/>
        <v>10.381</v>
      </c>
      <c r="AL16">
        <f>AK16*Konstanten!$B$3</f>
        <v>25.952500000000001</v>
      </c>
      <c r="AN16">
        <f t="shared" si="11"/>
        <v>0</v>
      </c>
      <c r="AO16">
        <f t="shared" si="12"/>
        <v>0</v>
      </c>
      <c r="AS16" s="12"/>
      <c r="BB16" s="4"/>
    </row>
    <row r="17" spans="1:54" x14ac:dyDescent="0.25">
      <c r="A17">
        <v>16</v>
      </c>
      <c r="B17">
        <v>6</v>
      </c>
      <c r="C17" t="s">
        <v>24</v>
      </c>
      <c r="E17" s="15" t="s">
        <v>181</v>
      </c>
      <c r="G17" s="15">
        <v>4.2</v>
      </c>
      <c r="H17">
        <f>Konstanten!$B$3</f>
        <v>2.5</v>
      </c>
      <c r="I17">
        <f>COUNTIF(Windows!$A$4:$A$84,E17)</f>
        <v>0</v>
      </c>
      <c r="J17" t="e">
        <f>VLOOKUP(E17,Windows!$A$4:$D$84,2,FALSE)</f>
        <v>#N/A</v>
      </c>
      <c r="K17" t="e">
        <f>VLOOKUP(J17,Windows!$B$4:$D$84,2,FALSE)/1000</f>
        <v>#N/A</v>
      </c>
      <c r="L17" t="e">
        <f>VLOOKUP(J17,Windows!$B$4:$D$84,3,FALSE)/1000</f>
        <v>#N/A</v>
      </c>
      <c r="M17">
        <f t="shared" si="13"/>
        <v>0</v>
      </c>
      <c r="N17">
        <f>IF(I17&gt;=2,INDEX(Windows!$B$4:$B$84,MATCH(E17,Windows!$A$4:$A$84,0)+1),0)</f>
        <v>0</v>
      </c>
      <c r="O17" t="e">
        <f>VLOOKUP(N17,Windows!$B$4:$D$84,2,FALSE)/1000</f>
        <v>#N/A</v>
      </c>
      <c r="P17" t="e">
        <f>VLOOKUP(N17,Windows!$B$4:$D$84,3,FALSE)/1000</f>
        <v>#N/A</v>
      </c>
      <c r="Q17">
        <f t="shared" si="14"/>
        <v>0</v>
      </c>
      <c r="R17">
        <f>IF(I17&gt;=3,INDEX(Windows!$B$4:$B$84,MATCH(E17,Windows!$A$4:$A$84,0)+2),0)</f>
        <v>0</v>
      </c>
      <c r="S17" t="e">
        <f>VLOOKUP(R17,Windows!$B$4:$D$84,2,FALSE)/1000</f>
        <v>#N/A</v>
      </c>
      <c r="T17" t="e">
        <f>VLOOKUP(R17,Windows!$B$4:$D$84,3,FALSE)/1000</f>
        <v>#N/A</v>
      </c>
      <c r="U17">
        <f t="shared" si="15"/>
        <v>0</v>
      </c>
      <c r="V17">
        <f>IF(I17&gt;=4,INDEX(Windows!$B$4:$B$84,MATCH(E17,Windows!$A$4:$A$84,0)+3),0)</f>
        <v>0</v>
      </c>
      <c r="W17" t="e">
        <f>VLOOKUP(V17,Windows!$B$4:$D$84,2,FALSE)/1000</f>
        <v>#N/A</v>
      </c>
      <c r="X17" t="e">
        <f>VLOOKUP(V17,Windows!$B$4:$D$84,3,FALSE)/1000</f>
        <v>#N/A</v>
      </c>
      <c r="Y17">
        <f t="shared" si="3"/>
        <v>0</v>
      </c>
      <c r="Z17" t="str">
        <f t="shared" si="7"/>
        <v>N/A</v>
      </c>
      <c r="AA17">
        <f t="shared" si="8"/>
        <v>0</v>
      </c>
      <c r="AC17" t="s">
        <v>8</v>
      </c>
      <c r="AE17">
        <f t="shared" si="9"/>
        <v>0</v>
      </c>
      <c r="AF17">
        <f>AE17*Konstanten!$B$4</f>
        <v>0</v>
      </c>
      <c r="AG17">
        <f t="shared" si="16"/>
        <v>0</v>
      </c>
      <c r="AJ17">
        <f>2*(51.82+34.21)</f>
        <v>172.06</v>
      </c>
      <c r="AK17">
        <f t="shared" si="10"/>
        <v>8.6029999999999998</v>
      </c>
      <c r="AL17">
        <f>AK17*Konstanten!$B$3</f>
        <v>21.5075</v>
      </c>
      <c r="AN17">
        <f t="shared" si="11"/>
        <v>0</v>
      </c>
      <c r="AO17">
        <f t="shared" si="12"/>
        <v>0</v>
      </c>
      <c r="AS17" s="12"/>
      <c r="BB17" s="4"/>
    </row>
    <row r="18" spans="1:54" x14ac:dyDescent="0.25">
      <c r="A18">
        <v>17</v>
      </c>
      <c r="B18">
        <v>6</v>
      </c>
      <c r="C18" t="s">
        <v>21</v>
      </c>
      <c r="E18" s="15" t="s">
        <v>182</v>
      </c>
      <c r="G18" s="15">
        <v>29.2</v>
      </c>
      <c r="H18">
        <f>Konstanten!$B$3</f>
        <v>2.5</v>
      </c>
      <c r="I18">
        <f>COUNTIF(Windows!$A$4:$A$84,E18)</f>
        <v>0</v>
      </c>
      <c r="J18" t="e">
        <f>VLOOKUP(E18,Windows!$A$4:$D$84,2,FALSE)</f>
        <v>#N/A</v>
      </c>
      <c r="K18" t="e">
        <f>VLOOKUP(J18,Windows!$B$4:$D$84,2,FALSE)/1000</f>
        <v>#N/A</v>
      </c>
      <c r="L18" t="e">
        <f>VLOOKUP(J18,Windows!$B$4:$D$84,3,FALSE)/1000</f>
        <v>#N/A</v>
      </c>
      <c r="M18">
        <f t="shared" si="13"/>
        <v>0</v>
      </c>
      <c r="N18">
        <f>IF(I18&gt;=2,INDEX(Windows!$B$4:$B$84,MATCH(E18,Windows!$A$4:$A$84,0)+1),0)</f>
        <v>0</v>
      </c>
      <c r="O18" t="e">
        <f>VLOOKUP(N18,Windows!$B$4:$D$84,2,FALSE)/1000</f>
        <v>#N/A</v>
      </c>
      <c r="P18" t="e">
        <f>VLOOKUP(N18,Windows!$B$4:$D$84,3,FALSE)/1000</f>
        <v>#N/A</v>
      </c>
      <c r="Q18">
        <f t="shared" si="14"/>
        <v>0</v>
      </c>
      <c r="R18">
        <f>IF(I18&gt;=3,INDEX(Windows!$B$4:$B$84,MATCH(E18,Windows!$A$4:$A$84,0)+2),0)</f>
        <v>0</v>
      </c>
      <c r="S18" t="e">
        <f>VLOOKUP(R18,Windows!$B$4:$D$84,2,FALSE)/1000</f>
        <v>#N/A</v>
      </c>
      <c r="T18" t="e">
        <f>VLOOKUP(R18,Windows!$B$4:$D$84,3,FALSE)/1000</f>
        <v>#N/A</v>
      </c>
      <c r="U18">
        <f t="shared" si="15"/>
        <v>0</v>
      </c>
      <c r="V18">
        <f>IF(I18&gt;=4,INDEX(Windows!$B$4:$B$84,MATCH(E18,Windows!$A$4:$A$84,0)+3),0)</f>
        <v>0</v>
      </c>
      <c r="W18" t="e">
        <f>VLOOKUP(V18,Windows!$B$4:$D$84,2,FALSE)/1000</f>
        <v>#N/A</v>
      </c>
      <c r="X18" t="e">
        <f>VLOOKUP(V18,Windows!$B$4:$D$84,3,FALSE)/1000</f>
        <v>#N/A</v>
      </c>
      <c r="Y18">
        <f t="shared" si="3"/>
        <v>0</v>
      </c>
      <c r="Z18" t="str">
        <f t="shared" si="7"/>
        <v>N/A</v>
      </c>
      <c r="AA18">
        <f t="shared" si="8"/>
        <v>0</v>
      </c>
      <c r="AC18" t="s">
        <v>8</v>
      </c>
      <c r="AE18">
        <f t="shared" si="9"/>
        <v>0</v>
      </c>
      <c r="AF18">
        <f>AE18*Konstanten!$B$4</f>
        <v>0</v>
      </c>
      <c r="AG18">
        <f t="shared" si="16"/>
        <v>0</v>
      </c>
      <c r="AJ18">
        <f>127.7+97.66+143.44+32.04+20.33</f>
        <v>421.17</v>
      </c>
      <c r="AK18">
        <f t="shared" si="10"/>
        <v>21.058500000000002</v>
      </c>
      <c r="AL18">
        <f>AK18*Konstanten!$B$3</f>
        <v>52.646250000000009</v>
      </c>
      <c r="AN18">
        <f t="shared" si="11"/>
        <v>0</v>
      </c>
      <c r="AO18">
        <f t="shared" si="12"/>
        <v>0</v>
      </c>
      <c r="AS18" s="12"/>
      <c r="BB18" s="4"/>
    </row>
    <row r="19" spans="1:54" x14ac:dyDescent="0.25">
      <c r="A19">
        <v>18</v>
      </c>
      <c r="B19">
        <v>6</v>
      </c>
      <c r="C19" t="s">
        <v>18</v>
      </c>
      <c r="E19" s="15" t="s">
        <v>183</v>
      </c>
      <c r="G19" s="15">
        <v>9.1</v>
      </c>
      <c r="H19">
        <f>Konstanten!$B$3</f>
        <v>2.5</v>
      </c>
      <c r="I19">
        <f>COUNTIF(Windows!$A$4:$A$84,E19)</f>
        <v>0</v>
      </c>
      <c r="J19" t="e">
        <f>VLOOKUP(E19,Windows!$A$4:$D$84,2,FALSE)</f>
        <v>#N/A</v>
      </c>
      <c r="K19" t="e">
        <f>VLOOKUP(J19,Windows!$B$4:$D$84,2,FALSE)/1000</f>
        <v>#N/A</v>
      </c>
      <c r="L19" t="e">
        <f>VLOOKUP(J19,Windows!$B$4:$D$84,3,FALSE)/1000</f>
        <v>#N/A</v>
      </c>
      <c r="M19">
        <f t="shared" si="13"/>
        <v>0</v>
      </c>
      <c r="N19">
        <f>IF(I19&gt;=2,INDEX(Windows!$B$4:$B$84,MATCH(E19,Windows!$A$4:$A$84,0)+1),0)</f>
        <v>0</v>
      </c>
      <c r="O19" t="e">
        <f>VLOOKUP(N19,Windows!$B$4:$D$84,2,FALSE)/1000</f>
        <v>#N/A</v>
      </c>
      <c r="P19" t="e">
        <f>VLOOKUP(N19,Windows!$B$4:$D$84,3,FALSE)/1000</f>
        <v>#N/A</v>
      </c>
      <c r="Q19">
        <f t="shared" si="14"/>
        <v>0</v>
      </c>
      <c r="R19">
        <f>IF(I19&gt;=3,INDEX(Windows!$B$4:$B$84,MATCH(E19,Windows!$A$4:$A$84,0)+2),0)</f>
        <v>0</v>
      </c>
      <c r="S19" t="e">
        <f>VLOOKUP(R19,Windows!$B$4:$D$84,2,FALSE)/1000</f>
        <v>#N/A</v>
      </c>
      <c r="T19" t="e">
        <f>VLOOKUP(R19,Windows!$B$4:$D$84,3,FALSE)/1000</f>
        <v>#N/A</v>
      </c>
      <c r="U19">
        <f t="shared" si="15"/>
        <v>0</v>
      </c>
      <c r="V19">
        <f>IF(I19&gt;=4,INDEX(Windows!$B$4:$B$84,MATCH(E19,Windows!$A$4:$A$84,0)+3),0)</f>
        <v>0</v>
      </c>
      <c r="W19" t="e">
        <f>VLOOKUP(V19,Windows!$B$4:$D$84,2,FALSE)/1000</f>
        <v>#N/A</v>
      </c>
      <c r="X19" t="e">
        <f>VLOOKUP(V19,Windows!$B$4:$D$84,3,FALSE)/1000</f>
        <v>#N/A</v>
      </c>
      <c r="Y19">
        <f t="shared" si="3"/>
        <v>0</v>
      </c>
      <c r="Z19" t="str">
        <f t="shared" si="7"/>
        <v>N/A</v>
      </c>
      <c r="AA19">
        <f t="shared" si="8"/>
        <v>0</v>
      </c>
      <c r="AC19" t="s">
        <v>8</v>
      </c>
      <c r="AE19">
        <f t="shared" si="9"/>
        <v>0</v>
      </c>
      <c r="AF19">
        <f>AE19*Konstanten!$B$4</f>
        <v>0</v>
      </c>
      <c r="AG19">
        <f t="shared" si="16"/>
        <v>0</v>
      </c>
      <c r="AJ19">
        <f>2*(51.41+66.88)</f>
        <v>236.57999999999998</v>
      </c>
      <c r="AK19">
        <f t="shared" si="10"/>
        <v>11.829000000000001</v>
      </c>
      <c r="AL19">
        <f>AK19*Konstanten!$B$3</f>
        <v>29.572500000000002</v>
      </c>
      <c r="AN19">
        <f t="shared" si="11"/>
        <v>0</v>
      </c>
      <c r="AO19">
        <f t="shared" si="12"/>
        <v>0</v>
      </c>
      <c r="AS19" s="12"/>
      <c r="BB19" s="4"/>
    </row>
    <row r="20" spans="1:54" x14ac:dyDescent="0.25">
      <c r="A20">
        <v>19</v>
      </c>
      <c r="B20">
        <v>6</v>
      </c>
      <c r="C20" t="s">
        <v>18</v>
      </c>
      <c r="E20" s="15" t="s">
        <v>184</v>
      </c>
      <c r="G20" s="15">
        <v>11.4</v>
      </c>
      <c r="H20">
        <f>Konstanten!$B$3</f>
        <v>2.5</v>
      </c>
      <c r="I20">
        <f>COUNTIF(Windows!$A$4:$A$84,E20)</f>
        <v>0</v>
      </c>
      <c r="J20" t="e">
        <f>VLOOKUP(E20,Windows!$A$4:$D$84,2,FALSE)</f>
        <v>#N/A</v>
      </c>
      <c r="K20" t="e">
        <f>VLOOKUP(J20,Windows!$B$4:$D$84,2,FALSE)/1000</f>
        <v>#N/A</v>
      </c>
      <c r="L20" t="e">
        <f>VLOOKUP(J20,Windows!$B$4:$D$84,3,FALSE)/1000</f>
        <v>#N/A</v>
      </c>
      <c r="M20">
        <f t="shared" si="13"/>
        <v>0</v>
      </c>
      <c r="N20">
        <f>IF(I20&gt;=2,INDEX(Windows!$B$4:$B$84,MATCH(E20,Windows!$A$4:$A$84,0)+1),0)</f>
        <v>0</v>
      </c>
      <c r="O20" t="e">
        <f>VLOOKUP(N20,Windows!$B$4:$D$84,2,FALSE)/1000</f>
        <v>#N/A</v>
      </c>
      <c r="P20" t="e">
        <f>VLOOKUP(N20,Windows!$B$4:$D$84,3,FALSE)/1000</f>
        <v>#N/A</v>
      </c>
      <c r="Q20">
        <f t="shared" si="14"/>
        <v>0</v>
      </c>
      <c r="R20">
        <f>IF(I20&gt;=3,INDEX(Windows!$B$4:$B$84,MATCH(E20,Windows!$A$4:$A$84,0)+2),0)</f>
        <v>0</v>
      </c>
      <c r="S20" t="e">
        <f>VLOOKUP(R20,Windows!$B$4:$D$84,2,FALSE)/1000</f>
        <v>#N/A</v>
      </c>
      <c r="T20" t="e">
        <f>VLOOKUP(R20,Windows!$B$4:$D$84,3,FALSE)/1000</f>
        <v>#N/A</v>
      </c>
      <c r="U20">
        <f t="shared" si="15"/>
        <v>0</v>
      </c>
      <c r="V20">
        <f>IF(I20&gt;=4,INDEX(Windows!$B$4:$B$84,MATCH(E20,Windows!$A$4:$A$84,0)+3),0)</f>
        <v>0</v>
      </c>
      <c r="W20" t="e">
        <f>VLOOKUP(V20,Windows!$B$4:$D$84,2,FALSE)/1000</f>
        <v>#N/A</v>
      </c>
      <c r="X20" t="e">
        <f>VLOOKUP(V20,Windows!$B$4:$D$84,3,FALSE)/1000</f>
        <v>#N/A</v>
      </c>
      <c r="Y20">
        <f t="shared" si="3"/>
        <v>0</v>
      </c>
      <c r="Z20" t="str">
        <f t="shared" si="7"/>
        <v>N/A</v>
      </c>
      <c r="AA20">
        <f t="shared" si="8"/>
        <v>0</v>
      </c>
      <c r="AC20" t="s">
        <v>8</v>
      </c>
      <c r="AE20">
        <f t="shared" si="9"/>
        <v>0</v>
      </c>
      <c r="AF20">
        <f>AE20*Konstanten!$B$4</f>
        <v>0</v>
      </c>
      <c r="AG20">
        <f t="shared" si="16"/>
        <v>0</v>
      </c>
      <c r="AJ20">
        <f>10.13+58.84+51.41+41.79+72.64+35.39</f>
        <v>270.2</v>
      </c>
      <c r="AK20">
        <f t="shared" si="10"/>
        <v>13.51</v>
      </c>
      <c r="AL20">
        <f>AK20*Konstanten!$B$3</f>
        <v>33.774999999999999</v>
      </c>
      <c r="AN20">
        <f t="shared" si="11"/>
        <v>0</v>
      </c>
      <c r="AO20">
        <f t="shared" si="12"/>
        <v>0</v>
      </c>
      <c r="AS20" s="12"/>
      <c r="BB20" s="4"/>
    </row>
    <row r="21" spans="1:54" x14ac:dyDescent="0.25">
      <c r="A21" s="12">
        <v>20</v>
      </c>
      <c r="B21">
        <v>6</v>
      </c>
      <c r="C21" t="s">
        <v>18</v>
      </c>
      <c r="E21" s="15" t="s">
        <v>185</v>
      </c>
      <c r="F21" t="s">
        <v>184</v>
      </c>
      <c r="G21" s="15">
        <v>2</v>
      </c>
      <c r="H21">
        <f>Konstanten!$B$3</f>
        <v>2.5</v>
      </c>
      <c r="I21">
        <f>COUNTIF(Windows!$A$4:$A$84,E21)</f>
        <v>0</v>
      </c>
      <c r="J21" t="e">
        <f>VLOOKUP(E21,Windows!$A$4:$D$84,2,FALSE)</f>
        <v>#N/A</v>
      </c>
      <c r="K21" t="e">
        <f>VLOOKUP(J21,Windows!$B$4:$D$84,2,FALSE)/1000</f>
        <v>#N/A</v>
      </c>
      <c r="L21" t="e">
        <f>VLOOKUP(J21,Windows!$B$4:$D$84,3,FALSE)/1000</f>
        <v>#N/A</v>
      </c>
      <c r="M21">
        <f t="shared" si="13"/>
        <v>0</v>
      </c>
      <c r="N21">
        <f>IF(I21&gt;=2,INDEX(Windows!$B$4:$B$84,MATCH(E21,Windows!$A$4:$A$84,0)+1),0)</f>
        <v>0</v>
      </c>
      <c r="O21" t="e">
        <f>VLOOKUP(N21,Windows!$B$4:$D$84,2,FALSE)/1000</f>
        <v>#N/A</v>
      </c>
      <c r="P21" t="e">
        <f>VLOOKUP(N21,Windows!$B$4:$D$84,3,FALSE)/1000</f>
        <v>#N/A</v>
      </c>
      <c r="Q21">
        <f t="shared" si="14"/>
        <v>0</v>
      </c>
      <c r="R21">
        <f>IF(I21&gt;=3,INDEX(Windows!$B$4:$B$84,MATCH(E21,Windows!$A$4:$A$84,0)+2),0)</f>
        <v>0</v>
      </c>
      <c r="S21" t="e">
        <f>VLOOKUP(R21,Windows!$B$4:$D$84,2,FALSE)/1000</f>
        <v>#N/A</v>
      </c>
      <c r="T21" t="e">
        <f>VLOOKUP(R21,Windows!$B$4:$D$84,3,FALSE)/1000</f>
        <v>#N/A</v>
      </c>
      <c r="U21">
        <f t="shared" si="15"/>
        <v>0</v>
      </c>
      <c r="V21">
        <f>IF(I21&gt;=4,INDEX(Windows!$B$4:$B$84,MATCH(E21,Windows!$A$4:$A$84,0)+3),0)</f>
        <v>0</v>
      </c>
      <c r="W21" t="e">
        <f>VLOOKUP(V21,Windows!$B$4:$D$84,2,FALSE)/1000</f>
        <v>#N/A</v>
      </c>
      <c r="X21" t="e">
        <f>VLOOKUP(V21,Windows!$B$4:$D$84,3,FALSE)/1000</f>
        <v>#N/A</v>
      </c>
      <c r="Y21">
        <f t="shared" si="3"/>
        <v>0</v>
      </c>
      <c r="Z21" t="str">
        <f t="shared" si="7"/>
        <v>N/A</v>
      </c>
      <c r="AA21">
        <f t="shared" si="8"/>
        <v>0</v>
      </c>
      <c r="AC21" t="s">
        <v>8</v>
      </c>
      <c r="AE21">
        <f t="shared" si="9"/>
        <v>0</v>
      </c>
      <c r="AF21">
        <f>AE21*Konstanten!$B$4</f>
        <v>0</v>
      </c>
      <c r="AG21">
        <f t="shared" si="16"/>
        <v>0</v>
      </c>
      <c r="AJ21">
        <f>27.01+22.32+28.19+10.13+35.39</f>
        <v>123.03999999999999</v>
      </c>
      <c r="AK21">
        <f t="shared" si="10"/>
        <v>6.1520000000000001</v>
      </c>
      <c r="AL21">
        <f>AK21*Konstanten!$B$3</f>
        <v>15.38</v>
      </c>
      <c r="AN21">
        <f t="shared" si="11"/>
        <v>0</v>
      </c>
      <c r="AO21">
        <f t="shared" si="12"/>
        <v>0</v>
      </c>
      <c r="AS21" s="12"/>
      <c r="BB21" s="4"/>
    </row>
    <row r="22" spans="1:54" x14ac:dyDescent="0.25">
      <c r="A22">
        <v>21</v>
      </c>
      <c r="B22">
        <v>6</v>
      </c>
      <c r="C22" t="s">
        <v>176</v>
      </c>
      <c r="E22" s="15" t="s">
        <v>145</v>
      </c>
      <c r="G22" s="15">
        <v>30.9</v>
      </c>
      <c r="H22">
        <f>Konstanten!$B$3</f>
        <v>2.5</v>
      </c>
      <c r="I22">
        <f>COUNTIF(Windows!$A$4:$A$84,E22)</f>
        <v>2</v>
      </c>
      <c r="J22" t="str">
        <f>VLOOKUP(E22,Windows!$A$4:$D$84,2,FALSE)</f>
        <v>IU10,5-v+OTL3-v</v>
      </c>
      <c r="K22">
        <f>VLOOKUP(J22,Windows!$B$4:$D$84,2,FALSE)/1000</f>
        <v>1.325</v>
      </c>
      <c r="L22">
        <f>VLOOKUP(J22,Windows!$B$4:$D$84,3,FALSE)/1000</f>
        <v>1.67</v>
      </c>
      <c r="M22">
        <f t="shared" si="13"/>
        <v>2.2127499999999998</v>
      </c>
      <c r="N22" t="str">
        <f>IF(I22&gt;=2,INDEX(Windows!$B$4:$B$84,MATCH(E22,Windows!$A$4:$A$84,0)+1),0)</f>
        <v>IU21-o</v>
      </c>
      <c r="O22">
        <f>VLOOKUP(N22,Windows!$B$4:$D$84,2,FALSE)/1000</f>
        <v>2.12</v>
      </c>
      <c r="P22">
        <f>VLOOKUP(N22,Windows!$B$4:$D$84,3,FALSE)/1000</f>
        <v>1.67</v>
      </c>
      <c r="Q22">
        <f t="shared" si="14"/>
        <v>3.5404</v>
      </c>
      <c r="R22">
        <f>IF(I22&gt;=3,INDEX(Windows!$B$4:$B$84,MATCH(E22,Windows!$A$4:$A$84,0)+2),0)</f>
        <v>0</v>
      </c>
      <c r="S22" t="e">
        <f>VLOOKUP(R22,Windows!$B$4:$D$84,2,FALSE)/1000</f>
        <v>#N/A</v>
      </c>
      <c r="T22" t="e">
        <f>VLOOKUP(R22,Windows!$B$4:$D$84,3,FALSE)/1000</f>
        <v>#N/A</v>
      </c>
      <c r="U22">
        <f t="shared" si="15"/>
        <v>0</v>
      </c>
      <c r="V22">
        <f>IF(I22&gt;=4,INDEX(Windows!$B$4:$B$84,MATCH(E22,Windows!$A$4:$A$84,0)+3),0)</f>
        <v>0</v>
      </c>
      <c r="W22" t="e">
        <f>VLOOKUP(V22,Windows!$B$4:$D$84,2,FALSE)/1000</f>
        <v>#N/A</v>
      </c>
      <c r="X22" t="e">
        <f>VLOOKUP(V22,Windows!$B$4:$D$84,3,FALSE)/1000</f>
        <v>#N/A</v>
      </c>
      <c r="Y22">
        <f t="shared" si="3"/>
        <v>0</v>
      </c>
      <c r="Z22">
        <f t="shared" si="7"/>
        <v>312</v>
      </c>
      <c r="AA22">
        <f t="shared" si="8"/>
        <v>5.7531499999999998</v>
      </c>
      <c r="AC22">
        <v>312</v>
      </c>
      <c r="AD22">
        <v>87.53</v>
      </c>
      <c r="AE22">
        <f t="shared" si="9"/>
        <v>4.3765000000000001</v>
      </c>
      <c r="AF22">
        <f>AE22*Konstanten!$B$4</f>
        <v>18.600124999999998</v>
      </c>
      <c r="AG22">
        <f t="shared" si="16"/>
        <v>12.846974999999999</v>
      </c>
      <c r="AH22" t="s">
        <v>83</v>
      </c>
      <c r="AJ22">
        <f>2*142.96+87.04</f>
        <v>372.96000000000004</v>
      </c>
      <c r="AK22">
        <f t="shared" si="10"/>
        <v>18.648000000000003</v>
      </c>
      <c r="AL22">
        <f>AK22*Konstanten!$B$3</f>
        <v>46.620000000000005</v>
      </c>
      <c r="AN22">
        <f t="shared" si="11"/>
        <v>0</v>
      </c>
      <c r="AO22">
        <f t="shared" si="12"/>
        <v>0</v>
      </c>
      <c r="AS22" s="12"/>
      <c r="BB22" s="4"/>
    </row>
    <row r="23" spans="1:54" x14ac:dyDescent="0.25">
      <c r="A23">
        <v>22</v>
      </c>
      <c r="B23">
        <v>6</v>
      </c>
      <c r="C23" t="s">
        <v>23</v>
      </c>
      <c r="E23" s="15" t="s">
        <v>186</v>
      </c>
      <c r="F23" t="s">
        <v>145</v>
      </c>
      <c r="G23" s="15">
        <v>6.7</v>
      </c>
      <c r="H23">
        <f>Konstanten!$B$3</f>
        <v>2.5</v>
      </c>
      <c r="I23">
        <f>COUNTIF(Windows!$A$4:$A$84,E23)</f>
        <v>0</v>
      </c>
      <c r="J23" t="e">
        <f>VLOOKUP(E23,Windows!$A$4:$D$84,2,FALSE)</f>
        <v>#N/A</v>
      </c>
      <c r="K23" t="e">
        <f>VLOOKUP(J23,Windows!$B$4:$D$84,2,FALSE)/1000</f>
        <v>#N/A</v>
      </c>
      <c r="L23" t="e">
        <f>VLOOKUP(J23,Windows!$B$4:$D$84,3,FALSE)/1000</f>
        <v>#N/A</v>
      </c>
      <c r="M23">
        <f t="shared" si="13"/>
        <v>0</v>
      </c>
      <c r="N23">
        <f>IF(I23&gt;=2,INDEX(Windows!$B$4:$B$84,MATCH(E23,Windows!$A$4:$A$84,0)+1),0)</f>
        <v>0</v>
      </c>
      <c r="O23" t="e">
        <f>VLOOKUP(N23,Windows!$B$4:$D$84,2,FALSE)/1000</f>
        <v>#N/A</v>
      </c>
      <c r="P23" t="e">
        <f>VLOOKUP(N23,Windows!$B$4:$D$84,3,FALSE)/1000</f>
        <v>#N/A</v>
      </c>
      <c r="Q23">
        <f t="shared" si="14"/>
        <v>0</v>
      </c>
      <c r="R23">
        <f>IF(I23&gt;=3,INDEX(Windows!$B$4:$B$84,MATCH(E23,Windows!$A$4:$A$84,0)+2),0)</f>
        <v>0</v>
      </c>
      <c r="S23" t="e">
        <f>VLOOKUP(R23,Windows!$B$4:$D$84,2,FALSE)/1000</f>
        <v>#N/A</v>
      </c>
      <c r="T23" t="e">
        <f>VLOOKUP(R23,Windows!$B$4:$D$84,3,FALSE)/1000</f>
        <v>#N/A</v>
      </c>
      <c r="U23">
        <f t="shared" si="15"/>
        <v>0</v>
      </c>
      <c r="V23">
        <f>IF(I23&gt;=4,INDEX(Windows!$B$4:$B$84,MATCH(E23,Windows!$A$4:$A$84,0)+3),0)</f>
        <v>0</v>
      </c>
      <c r="W23" t="e">
        <f>VLOOKUP(V23,Windows!$B$4:$D$84,2,FALSE)/1000</f>
        <v>#N/A</v>
      </c>
      <c r="X23" t="e">
        <f>VLOOKUP(V23,Windows!$B$4:$D$84,3,FALSE)/1000</f>
        <v>#N/A</v>
      </c>
      <c r="Y23">
        <f t="shared" si="3"/>
        <v>0</v>
      </c>
      <c r="Z23" t="str">
        <f t="shared" si="7"/>
        <v>N/A</v>
      </c>
      <c r="AA23">
        <f t="shared" si="8"/>
        <v>0</v>
      </c>
      <c r="AC23" t="s">
        <v>8</v>
      </c>
      <c r="AE23">
        <f t="shared" si="9"/>
        <v>0</v>
      </c>
      <c r="AF23">
        <f>AE23*Konstanten!$B$4</f>
        <v>0</v>
      </c>
      <c r="AG23">
        <f t="shared" si="16"/>
        <v>0</v>
      </c>
      <c r="AJ23">
        <f>2*(52.06+51.82)</f>
        <v>207.76</v>
      </c>
      <c r="AK23">
        <f t="shared" si="10"/>
        <v>10.388</v>
      </c>
      <c r="AL23">
        <f>AK23*Konstanten!$B$3</f>
        <v>25.97</v>
      </c>
      <c r="AN23">
        <f t="shared" si="11"/>
        <v>0</v>
      </c>
      <c r="AO23">
        <f t="shared" si="12"/>
        <v>0</v>
      </c>
      <c r="AS23" s="12"/>
      <c r="BB23" s="4"/>
    </row>
    <row r="24" spans="1:54" x14ac:dyDescent="0.25">
      <c r="A24">
        <v>23</v>
      </c>
      <c r="B24">
        <v>6</v>
      </c>
      <c r="C24" t="s">
        <v>176</v>
      </c>
      <c r="E24" s="15" t="s">
        <v>137</v>
      </c>
      <c r="G24" s="15">
        <v>31.1</v>
      </c>
      <c r="H24">
        <f>Konstanten!$B$3</f>
        <v>2.5</v>
      </c>
      <c r="I24">
        <f>COUNTIF(Windows!$A$4:$A$84,E24)</f>
        <v>2</v>
      </c>
      <c r="J24" t="str">
        <f>VLOOKUP(E24,Windows!$A$4:$D$84,2,FALSE)</f>
        <v>IU10,5-o+VTL3-o</v>
      </c>
      <c r="K24">
        <f>VLOOKUP(J24,Windows!$B$4:$D$84,2,FALSE)/1000</f>
        <v>1.325</v>
      </c>
      <c r="L24">
        <f>VLOOKUP(J24,Windows!$B$4:$D$84,3,FALSE)/1000</f>
        <v>1.67</v>
      </c>
      <c r="M24">
        <f t="shared" si="13"/>
        <v>2.2127499999999998</v>
      </c>
      <c r="N24" t="str">
        <f>IF(I24&gt;=2,INDEX(Windows!$B$4:$B$84,MATCH(E24,Windows!$A$4:$A$84,0)+1),0)</f>
        <v>IU21-v</v>
      </c>
      <c r="O24">
        <f>VLOOKUP(N24,Windows!$B$4:$D$84,2,FALSE)/1000</f>
        <v>2.12</v>
      </c>
      <c r="P24">
        <f>VLOOKUP(N24,Windows!$B$4:$D$84,3,FALSE)/1000</f>
        <v>1.67</v>
      </c>
      <c r="Q24">
        <f t="shared" si="14"/>
        <v>3.5404</v>
      </c>
      <c r="R24">
        <f>IF(I24&gt;=3,INDEX(Windows!$B$4:$B$84,MATCH(E24,Windows!$A$4:$A$84,0)+2),0)</f>
        <v>0</v>
      </c>
      <c r="S24" t="e">
        <f>VLOOKUP(R24,Windows!$B$4:$D$84,2,FALSE)/1000</f>
        <v>#N/A</v>
      </c>
      <c r="T24" t="e">
        <f>VLOOKUP(R24,Windows!$B$4:$D$84,3,FALSE)/1000</f>
        <v>#N/A</v>
      </c>
      <c r="U24">
        <f t="shared" si="15"/>
        <v>0</v>
      </c>
      <c r="V24">
        <f>IF(I24&gt;=4,INDEX(Windows!$B$4:$B$84,MATCH(E24,Windows!$A$4:$A$84,0)+3),0)</f>
        <v>0</v>
      </c>
      <c r="W24" t="e">
        <f>VLOOKUP(V24,Windows!$B$4:$D$84,2,FALSE)/1000</f>
        <v>#N/A</v>
      </c>
      <c r="X24" t="e">
        <f>VLOOKUP(V24,Windows!$B$4:$D$84,3,FALSE)/1000</f>
        <v>#N/A</v>
      </c>
      <c r="Y24">
        <f t="shared" si="3"/>
        <v>0</v>
      </c>
      <c r="Z24">
        <f t="shared" si="7"/>
        <v>312</v>
      </c>
      <c r="AA24">
        <f t="shared" si="8"/>
        <v>5.7531499999999998</v>
      </c>
      <c r="AC24">
        <v>312</v>
      </c>
      <c r="AD24">
        <v>87.04</v>
      </c>
      <c r="AE24">
        <f t="shared" si="9"/>
        <v>4.3520000000000003</v>
      </c>
      <c r="AF24">
        <f>AE24*Konstanten!$B$4</f>
        <v>18.496000000000002</v>
      </c>
      <c r="AG24">
        <f t="shared" si="16"/>
        <v>12.742850000000002</v>
      </c>
      <c r="AH24" t="s">
        <v>83</v>
      </c>
      <c r="AJ24">
        <f>87.03+2*143</f>
        <v>373.03</v>
      </c>
      <c r="AK24">
        <f t="shared" si="10"/>
        <v>18.651499999999999</v>
      </c>
      <c r="AL24">
        <f>AK24*Konstanten!$B$3</f>
        <v>46.628749999999997</v>
      </c>
      <c r="AN24">
        <f t="shared" si="11"/>
        <v>0</v>
      </c>
      <c r="AO24">
        <f t="shared" si="12"/>
        <v>0</v>
      </c>
      <c r="AS24" s="12"/>
      <c r="BB24" s="4"/>
    </row>
    <row r="25" spans="1:54" x14ac:dyDescent="0.25">
      <c r="A25">
        <v>24</v>
      </c>
      <c r="B25">
        <v>6</v>
      </c>
      <c r="C25" t="s">
        <v>23</v>
      </c>
      <c r="E25" s="15" t="s">
        <v>187</v>
      </c>
      <c r="F25" t="s">
        <v>137</v>
      </c>
      <c r="G25" s="15">
        <v>6.7</v>
      </c>
      <c r="H25">
        <f>Konstanten!$B$3</f>
        <v>2.5</v>
      </c>
      <c r="I25">
        <f>COUNTIF(Windows!$A$4:$A$84,E25)</f>
        <v>0</v>
      </c>
      <c r="J25" t="e">
        <f>VLOOKUP(E25,Windows!$A$4:$D$84,2,FALSE)</f>
        <v>#N/A</v>
      </c>
      <c r="K25" t="e">
        <f>VLOOKUP(J25,Windows!$B$4:$D$84,2,FALSE)/1000</f>
        <v>#N/A</v>
      </c>
      <c r="L25" t="e">
        <f>VLOOKUP(J25,Windows!$B$4:$D$84,3,FALSE)/1000</f>
        <v>#N/A</v>
      </c>
      <c r="M25">
        <f t="shared" si="13"/>
        <v>0</v>
      </c>
      <c r="N25">
        <f>IF(I25&gt;=2,INDEX(Windows!$B$4:$B$84,MATCH(E25,Windows!$A$4:$A$84,0)+1),0)</f>
        <v>0</v>
      </c>
      <c r="O25" t="e">
        <f>VLOOKUP(N25,Windows!$B$4:$D$84,2,FALSE)/1000</f>
        <v>#N/A</v>
      </c>
      <c r="P25" t="e">
        <f>VLOOKUP(N25,Windows!$B$4:$D$84,3,FALSE)/1000</f>
        <v>#N/A</v>
      </c>
      <c r="Q25">
        <f t="shared" si="14"/>
        <v>0</v>
      </c>
      <c r="R25">
        <f>IF(I25&gt;=3,INDEX(Windows!$B$4:$B$84,MATCH(E25,Windows!$A$4:$A$84,0)+2),0)</f>
        <v>0</v>
      </c>
      <c r="S25" t="e">
        <f>VLOOKUP(R25,Windows!$B$4:$D$84,2,FALSE)/1000</f>
        <v>#N/A</v>
      </c>
      <c r="T25" t="e">
        <f>VLOOKUP(R25,Windows!$B$4:$D$84,3,FALSE)/1000</f>
        <v>#N/A</v>
      </c>
      <c r="U25">
        <f t="shared" si="15"/>
        <v>0</v>
      </c>
      <c r="V25">
        <f>IF(I25&gt;=4,INDEX(Windows!$B$4:$B$84,MATCH(E25,Windows!$A$4:$A$84,0)+3),0)</f>
        <v>0</v>
      </c>
      <c r="W25" t="e">
        <f>VLOOKUP(V25,Windows!$B$4:$D$84,2,FALSE)/1000</f>
        <v>#N/A</v>
      </c>
      <c r="X25" t="e">
        <f>VLOOKUP(V25,Windows!$B$4:$D$84,3,FALSE)/1000</f>
        <v>#N/A</v>
      </c>
      <c r="Y25">
        <f t="shared" si="3"/>
        <v>0</v>
      </c>
      <c r="Z25" t="str">
        <f t="shared" si="7"/>
        <v>N/A</v>
      </c>
      <c r="AA25">
        <f t="shared" si="8"/>
        <v>0</v>
      </c>
      <c r="AC25" t="s">
        <v>8</v>
      </c>
      <c r="AE25">
        <f t="shared" si="9"/>
        <v>0</v>
      </c>
      <c r="AF25">
        <f>AE25*Konstanten!$B$4</f>
        <v>0</v>
      </c>
      <c r="AG25">
        <f t="shared" si="16"/>
        <v>0</v>
      </c>
      <c r="AJ25">
        <f>2*(51.82+51.99)</f>
        <v>207.62</v>
      </c>
      <c r="AK25">
        <f t="shared" si="10"/>
        <v>10.381</v>
      </c>
      <c r="AL25">
        <f>AK25*Konstanten!$B$3</f>
        <v>25.952500000000001</v>
      </c>
      <c r="AN25">
        <f t="shared" si="11"/>
        <v>0</v>
      </c>
      <c r="AO25">
        <f t="shared" si="12"/>
        <v>0</v>
      </c>
    </row>
    <row r="26" spans="1:54" x14ac:dyDescent="0.25">
      <c r="A26">
        <v>25</v>
      </c>
      <c r="B26">
        <v>6</v>
      </c>
      <c r="C26" t="s">
        <v>176</v>
      </c>
      <c r="E26" s="15" t="s">
        <v>138</v>
      </c>
      <c r="G26" s="15">
        <v>24.4</v>
      </c>
      <c r="H26">
        <f>Konstanten!$B$3</f>
        <v>2.5</v>
      </c>
      <c r="I26">
        <f>COUNTIF(Windows!$A$4:$A$84,E26)</f>
        <v>2</v>
      </c>
      <c r="J26" t="str">
        <f>VLOOKUP(E26,Windows!$A$4:$D$84,2,FALSE)</f>
        <v>IU10,5-o+VTL3-o</v>
      </c>
      <c r="K26">
        <f>VLOOKUP(J26,Windows!$B$4:$D$84,2,FALSE)/1000</f>
        <v>1.325</v>
      </c>
      <c r="L26">
        <f>VLOOKUP(J26,Windows!$B$4:$D$84,3,FALSE)/1000</f>
        <v>1.67</v>
      </c>
      <c r="M26">
        <f t="shared" si="13"/>
        <v>2.2127499999999998</v>
      </c>
      <c r="N26" t="str">
        <f>IF(I26&gt;=2,INDEX(Windows!$B$4:$B$84,MATCH(E26,Windows!$A$4:$A$84,0)+1),0)</f>
        <v>IU20-v</v>
      </c>
      <c r="O26">
        <f>VLOOKUP(N26,Windows!$B$4:$D$84,2,FALSE)/1000</f>
        <v>1.9950000000000001</v>
      </c>
      <c r="P26">
        <f>VLOOKUP(N26,Windows!$B$4:$D$84,3,FALSE)/1000</f>
        <v>1.67</v>
      </c>
      <c r="Q26">
        <f t="shared" si="14"/>
        <v>3.3316500000000002</v>
      </c>
      <c r="R26">
        <f>IF(I26&gt;=3,INDEX(Windows!$B$4:$B$84,MATCH(E26,Windows!$A$4:$A$84,0)+2),0)</f>
        <v>0</v>
      </c>
      <c r="S26" t="e">
        <f>VLOOKUP(R26,Windows!$B$4:$D$84,2,FALSE)/1000</f>
        <v>#N/A</v>
      </c>
      <c r="T26" t="e">
        <f>VLOOKUP(R26,Windows!$B$4:$D$84,3,FALSE)/1000</f>
        <v>#N/A</v>
      </c>
      <c r="U26">
        <f t="shared" si="15"/>
        <v>0</v>
      </c>
      <c r="V26">
        <f>IF(I26&gt;=4,INDEX(Windows!$B$4:$B$84,MATCH(E26,Windows!$A$4:$A$84,0)+3),0)</f>
        <v>0</v>
      </c>
      <c r="W26" t="e">
        <f>VLOOKUP(V26,Windows!$B$4:$D$84,2,FALSE)/1000</f>
        <v>#N/A</v>
      </c>
      <c r="X26" t="e">
        <f>VLOOKUP(V26,Windows!$B$4:$D$84,3,FALSE)/1000</f>
        <v>#N/A</v>
      </c>
      <c r="Y26">
        <f t="shared" si="3"/>
        <v>0</v>
      </c>
      <c r="Z26">
        <f t="shared" si="7"/>
        <v>312</v>
      </c>
      <c r="AA26">
        <f t="shared" si="8"/>
        <v>5.5443999999999996</v>
      </c>
      <c r="AC26">
        <v>312</v>
      </c>
      <c r="AD26">
        <v>90</v>
      </c>
      <c r="AE26">
        <f t="shared" si="9"/>
        <v>4.5</v>
      </c>
      <c r="AF26">
        <f>AE26*Konstanten!$B$4</f>
        <v>19.125</v>
      </c>
      <c r="AG26">
        <f t="shared" si="16"/>
        <v>13.5806</v>
      </c>
      <c r="AH26" t="s">
        <v>83</v>
      </c>
      <c r="AJ26">
        <f>143+40.64+52.49+22.25+24.39+82.25</f>
        <v>365.02</v>
      </c>
      <c r="AK26">
        <f t="shared" si="10"/>
        <v>18.251000000000001</v>
      </c>
      <c r="AL26">
        <f>AK26*Konstanten!$B$3</f>
        <v>45.627500000000005</v>
      </c>
      <c r="AN26">
        <f t="shared" si="11"/>
        <v>0</v>
      </c>
      <c r="AO26">
        <f t="shared" si="12"/>
        <v>0</v>
      </c>
    </row>
    <row r="27" spans="1:54" x14ac:dyDescent="0.25">
      <c r="A27">
        <v>26</v>
      </c>
      <c r="B27">
        <v>6</v>
      </c>
      <c r="C27" t="s">
        <v>23</v>
      </c>
      <c r="E27" s="15" t="s">
        <v>188</v>
      </c>
      <c r="F27" t="s">
        <v>138</v>
      </c>
      <c r="G27" s="15">
        <v>6</v>
      </c>
      <c r="H27">
        <f>Konstanten!$B$3</f>
        <v>2.5</v>
      </c>
      <c r="I27">
        <f>COUNTIF(Windows!$A$4:$A$84,E27)</f>
        <v>0</v>
      </c>
      <c r="J27" t="e">
        <f>VLOOKUP(E27,Windows!$A$4:$D$84,2,FALSE)</f>
        <v>#N/A</v>
      </c>
      <c r="K27" t="e">
        <f>VLOOKUP(J27,Windows!$B$4:$D$84,2,FALSE)/1000</f>
        <v>#N/A</v>
      </c>
      <c r="L27" t="e">
        <f>VLOOKUP(J27,Windows!$B$4:$D$84,3,FALSE)/1000</f>
        <v>#N/A</v>
      </c>
      <c r="M27">
        <f t="shared" si="13"/>
        <v>0</v>
      </c>
      <c r="N27">
        <f>IF(I27&gt;=2,INDEX(Windows!$B$4:$B$84,MATCH(E27,Windows!$A$4:$A$84,0)+1),0)</f>
        <v>0</v>
      </c>
      <c r="O27" t="e">
        <f>VLOOKUP(N27,Windows!$B$4:$D$84,2,FALSE)/1000</f>
        <v>#N/A</v>
      </c>
      <c r="P27" t="e">
        <f>VLOOKUP(N27,Windows!$B$4:$D$84,3,FALSE)/1000</f>
        <v>#N/A</v>
      </c>
      <c r="Q27">
        <f t="shared" si="14"/>
        <v>0</v>
      </c>
      <c r="R27">
        <f>IF(I27&gt;=3,INDEX(Windows!$B$4:$B$84,MATCH(E27,Windows!$A$4:$A$84,0)+2),0)</f>
        <v>0</v>
      </c>
      <c r="S27" t="e">
        <f>VLOOKUP(R27,Windows!$B$4:$D$84,2,FALSE)/1000</f>
        <v>#N/A</v>
      </c>
      <c r="T27" t="e">
        <f>VLOOKUP(R27,Windows!$B$4:$D$84,3,FALSE)/1000</f>
        <v>#N/A</v>
      </c>
      <c r="U27">
        <f t="shared" si="15"/>
        <v>0</v>
      </c>
      <c r="V27">
        <f>IF(I27&gt;=4,INDEX(Windows!$B$4:$B$84,MATCH(E27,Windows!$A$4:$A$84,0)+3),0)</f>
        <v>0</v>
      </c>
      <c r="W27" t="e">
        <f>VLOOKUP(V27,Windows!$B$4:$D$84,2,FALSE)/1000</f>
        <v>#N/A</v>
      </c>
      <c r="X27" t="e">
        <f>VLOOKUP(V27,Windows!$B$4:$D$84,3,FALSE)/1000</f>
        <v>#N/A</v>
      </c>
      <c r="Y27">
        <f t="shared" si="3"/>
        <v>0</v>
      </c>
      <c r="Z27" t="str">
        <f t="shared" si="7"/>
        <v>N/A</v>
      </c>
      <c r="AA27">
        <f t="shared" si="8"/>
        <v>0</v>
      </c>
      <c r="AC27" t="s">
        <v>8</v>
      </c>
      <c r="AE27">
        <f t="shared" si="9"/>
        <v>0</v>
      </c>
      <c r="AF27">
        <f>AE27*Konstanten!$B$4</f>
        <v>0</v>
      </c>
      <c r="AG27">
        <f t="shared" si="16"/>
        <v>0</v>
      </c>
      <c r="AJ27">
        <f>45.47+61.04+24.39+22.25+52.49</f>
        <v>205.64</v>
      </c>
      <c r="AK27">
        <f t="shared" si="10"/>
        <v>10.282</v>
      </c>
      <c r="AL27">
        <f>AK27*Konstanten!$B$3</f>
        <v>25.704999999999998</v>
      </c>
      <c r="AN27">
        <f t="shared" si="11"/>
        <v>0</v>
      </c>
      <c r="AO27">
        <f t="shared" si="12"/>
        <v>0</v>
      </c>
    </row>
    <row r="28" spans="1:54" x14ac:dyDescent="0.25">
      <c r="A28">
        <v>27</v>
      </c>
      <c r="B28">
        <v>6</v>
      </c>
      <c r="C28" t="s">
        <v>176</v>
      </c>
      <c r="E28" s="15" t="s">
        <v>146</v>
      </c>
      <c r="G28" s="15">
        <v>24.4</v>
      </c>
      <c r="H28">
        <f>Konstanten!$B$3</f>
        <v>2.5</v>
      </c>
      <c r="I28">
        <f>COUNTIF(Windows!$A$4:$A$84,E28)</f>
        <v>2</v>
      </c>
      <c r="J28" t="str">
        <f>VLOOKUP(E28,Windows!$A$4:$D$84,2,FALSE)</f>
        <v>IU10,5-v+OTL3-v</v>
      </c>
      <c r="K28">
        <f>VLOOKUP(J28,Windows!$B$4:$D$84,2,FALSE)/1000</f>
        <v>1.325</v>
      </c>
      <c r="L28">
        <f>VLOOKUP(J28,Windows!$B$4:$D$84,3,FALSE)/1000</f>
        <v>1.67</v>
      </c>
      <c r="M28">
        <f t="shared" si="13"/>
        <v>2.2127499999999998</v>
      </c>
      <c r="N28" t="str">
        <f>IF(I28&gt;=2,INDEX(Windows!$B$4:$B$84,MATCH(E28,Windows!$A$4:$A$84,0)+1),0)</f>
        <v>IU20-o</v>
      </c>
      <c r="O28">
        <f>VLOOKUP(N28,Windows!$B$4:$D$84,2,FALSE)/1000</f>
        <v>1.9950000000000001</v>
      </c>
      <c r="P28">
        <f>VLOOKUP(N28,Windows!$B$4:$D$84,3,FALSE)/1000</f>
        <v>1.67</v>
      </c>
      <c r="Q28">
        <f t="shared" si="14"/>
        <v>3.3316500000000002</v>
      </c>
      <c r="R28">
        <f>IF(I28&gt;=3,INDEX(Windows!$B$4:$B$84,MATCH(E28,Windows!$A$4:$A$84,0)+2),0)</f>
        <v>0</v>
      </c>
      <c r="S28" t="e">
        <f>VLOOKUP(R28,Windows!$B$4:$D$84,2,FALSE)/1000</f>
        <v>#N/A</v>
      </c>
      <c r="T28" t="e">
        <f>VLOOKUP(R28,Windows!$B$4:$D$84,3,FALSE)/1000</f>
        <v>#N/A</v>
      </c>
      <c r="U28">
        <f t="shared" si="15"/>
        <v>0</v>
      </c>
      <c r="V28">
        <f>IF(I28&gt;=4,INDEX(Windows!$B$4:$B$84,MATCH(E28,Windows!$A$4:$A$84,0)+3),0)</f>
        <v>0</v>
      </c>
      <c r="W28" t="e">
        <f>VLOOKUP(V28,Windows!$B$4:$D$84,2,FALSE)/1000</f>
        <v>#N/A</v>
      </c>
      <c r="X28" t="e">
        <f>VLOOKUP(V28,Windows!$B$4:$D$84,3,FALSE)/1000</f>
        <v>#N/A</v>
      </c>
      <c r="Y28">
        <f t="shared" si="3"/>
        <v>0</v>
      </c>
      <c r="Z28">
        <f t="shared" si="7"/>
        <v>312</v>
      </c>
      <c r="AA28">
        <f t="shared" si="8"/>
        <v>5.5443999999999996</v>
      </c>
      <c r="AC28">
        <v>312</v>
      </c>
      <c r="AD28">
        <v>90</v>
      </c>
      <c r="AE28">
        <f t="shared" si="9"/>
        <v>4.5</v>
      </c>
      <c r="AF28">
        <f>AE28*Konstanten!$B$4</f>
        <v>19.125</v>
      </c>
      <c r="AG28">
        <f t="shared" si="16"/>
        <v>13.5806</v>
      </c>
      <c r="AH28" t="s">
        <v>83</v>
      </c>
      <c r="AJ28">
        <f>143+40.64+52.49+22.25+24.39+82.25</f>
        <v>365.02</v>
      </c>
      <c r="AK28">
        <f t="shared" si="10"/>
        <v>18.251000000000001</v>
      </c>
      <c r="AL28">
        <f>AK28*Konstanten!$B$3</f>
        <v>45.627500000000005</v>
      </c>
      <c r="AN28">
        <f t="shared" si="11"/>
        <v>0</v>
      </c>
      <c r="AO28">
        <f t="shared" si="12"/>
        <v>0</v>
      </c>
    </row>
    <row r="29" spans="1:54" x14ac:dyDescent="0.25">
      <c r="A29">
        <v>28</v>
      </c>
      <c r="B29">
        <v>6</v>
      </c>
      <c r="C29" t="s">
        <v>23</v>
      </c>
      <c r="E29" s="15" t="s">
        <v>189</v>
      </c>
      <c r="F29" t="s">
        <v>146</v>
      </c>
      <c r="G29" s="15">
        <v>6</v>
      </c>
      <c r="H29">
        <f>Konstanten!$B$3</f>
        <v>2.5</v>
      </c>
      <c r="I29">
        <f>COUNTIF(Windows!$A$4:$A$84,E29)</f>
        <v>0</v>
      </c>
      <c r="J29" t="e">
        <f>VLOOKUP(E29,Windows!$A$4:$D$84,2,FALSE)</f>
        <v>#N/A</v>
      </c>
      <c r="K29" t="e">
        <f>VLOOKUP(J29,Windows!$B$4:$D$84,2,FALSE)/1000</f>
        <v>#N/A</v>
      </c>
      <c r="L29" t="e">
        <f>VLOOKUP(J29,Windows!$B$4:$D$84,3,FALSE)/1000</f>
        <v>#N/A</v>
      </c>
      <c r="M29">
        <f t="shared" si="13"/>
        <v>0</v>
      </c>
      <c r="N29">
        <f>IF(I29&gt;=2,INDEX(Windows!$B$4:$B$84,MATCH(E29,Windows!$A$4:$A$84,0)+1),0)</f>
        <v>0</v>
      </c>
      <c r="O29" t="e">
        <f>VLOOKUP(N29,Windows!$B$4:$D$84,2,FALSE)/1000</f>
        <v>#N/A</v>
      </c>
      <c r="P29" t="e">
        <f>VLOOKUP(N29,Windows!$B$4:$D$84,3,FALSE)/1000</f>
        <v>#N/A</v>
      </c>
      <c r="Q29">
        <f t="shared" si="14"/>
        <v>0</v>
      </c>
      <c r="R29">
        <f>IF(I29&gt;=3,INDEX(Windows!$B$4:$B$84,MATCH(E29,Windows!$A$4:$A$84,0)+2),0)</f>
        <v>0</v>
      </c>
      <c r="S29" t="e">
        <f>VLOOKUP(R29,Windows!$B$4:$D$84,2,FALSE)/1000</f>
        <v>#N/A</v>
      </c>
      <c r="T29" t="e">
        <f>VLOOKUP(R29,Windows!$B$4:$D$84,3,FALSE)/1000</f>
        <v>#N/A</v>
      </c>
      <c r="U29">
        <f t="shared" si="15"/>
        <v>0</v>
      </c>
      <c r="V29">
        <f>IF(I29&gt;=4,INDEX(Windows!$B$4:$B$84,MATCH(E29,Windows!$A$4:$A$84,0)+3),0)</f>
        <v>0</v>
      </c>
      <c r="W29" t="e">
        <f>VLOOKUP(V29,Windows!$B$4:$D$84,2,FALSE)/1000</f>
        <v>#N/A</v>
      </c>
      <c r="X29" t="e">
        <f>VLOOKUP(V29,Windows!$B$4:$D$84,3,FALSE)/1000</f>
        <v>#N/A</v>
      </c>
      <c r="Y29">
        <f t="shared" si="3"/>
        <v>0</v>
      </c>
      <c r="Z29" t="str">
        <f t="shared" si="7"/>
        <v>N/A</v>
      </c>
      <c r="AA29">
        <f t="shared" si="8"/>
        <v>0</v>
      </c>
      <c r="AC29" t="s">
        <v>8</v>
      </c>
      <c r="AE29">
        <f t="shared" si="9"/>
        <v>0</v>
      </c>
      <c r="AF29">
        <f>AE29*Konstanten!$B$4</f>
        <v>0</v>
      </c>
      <c r="AG29">
        <f t="shared" si="16"/>
        <v>0</v>
      </c>
      <c r="AJ29">
        <f>45.47+61.04+24.39+22.25+52.49</f>
        <v>205.64</v>
      </c>
      <c r="AK29">
        <f t="shared" si="10"/>
        <v>10.282</v>
      </c>
      <c r="AL29">
        <f>AK29*Konstanten!$B$3</f>
        <v>25.704999999999998</v>
      </c>
      <c r="AN29">
        <f t="shared" si="11"/>
        <v>0</v>
      </c>
      <c r="AO29">
        <f t="shared" si="12"/>
        <v>0</v>
      </c>
    </row>
    <row r="30" spans="1:54" x14ac:dyDescent="0.25">
      <c r="A30">
        <v>29</v>
      </c>
      <c r="B30">
        <v>6</v>
      </c>
      <c r="C30" t="s">
        <v>33</v>
      </c>
      <c r="E30" s="15" t="s">
        <v>139</v>
      </c>
      <c r="G30" s="15">
        <v>19.3</v>
      </c>
      <c r="H30">
        <f>Konstanten!$B$3</f>
        <v>2.5</v>
      </c>
      <c r="I30">
        <f>COUNTIF(Windows!$A$4:$A$84,E30)</f>
        <v>2</v>
      </c>
      <c r="J30" t="str">
        <f>VLOOKUP(E30,Windows!$A$4:$D$84,2,FALSE)</f>
        <v>IU10,5-o+VTL3-o</v>
      </c>
      <c r="K30">
        <f>VLOOKUP(J30,Windows!$B$4:$D$84,2,FALSE)/1000</f>
        <v>1.325</v>
      </c>
      <c r="L30">
        <f>VLOOKUP(J30,Windows!$B$4:$D$84,3,FALSE)/1000</f>
        <v>1.67</v>
      </c>
      <c r="M30">
        <f t="shared" si="13"/>
        <v>2.2127499999999998</v>
      </c>
      <c r="N30" t="str">
        <f>IF(I30&gt;=2,INDEX(Windows!$B$4:$B$84,MATCH(E30,Windows!$A$4:$A$84,0)+1),0)</f>
        <v>IU20-v</v>
      </c>
      <c r="O30">
        <f>VLOOKUP(N30,Windows!$B$4:$D$84,2,FALSE)/1000</f>
        <v>1.9950000000000001</v>
      </c>
      <c r="P30">
        <f>VLOOKUP(N30,Windows!$B$4:$D$84,3,FALSE)/1000</f>
        <v>1.67</v>
      </c>
      <c r="Q30">
        <f t="shared" si="14"/>
        <v>3.3316500000000002</v>
      </c>
      <c r="R30">
        <f>IF(I30&gt;=3,INDEX(Windows!$B$4:$B$84,MATCH(E30,Windows!$A$4:$A$84,0)+2),0)</f>
        <v>0</v>
      </c>
      <c r="S30" t="e">
        <f>VLOOKUP(R30,Windows!$B$4:$D$84,2,FALSE)/1000</f>
        <v>#N/A</v>
      </c>
      <c r="T30" t="e">
        <f>VLOOKUP(R30,Windows!$B$4:$D$84,3,FALSE)/1000</f>
        <v>#N/A</v>
      </c>
      <c r="U30">
        <f t="shared" si="15"/>
        <v>0</v>
      </c>
      <c r="V30">
        <f>IF(I30&gt;=4,INDEX(Windows!$B$4:$B$84,MATCH(E30,Windows!$A$4:$A$84,0)+3),0)</f>
        <v>0</v>
      </c>
      <c r="W30" t="e">
        <f>VLOOKUP(V30,Windows!$B$4:$D$84,2,FALSE)/1000</f>
        <v>#N/A</v>
      </c>
      <c r="X30" t="e">
        <f>VLOOKUP(V30,Windows!$B$4:$D$84,3,FALSE)/1000</f>
        <v>#N/A</v>
      </c>
      <c r="Y30">
        <f t="shared" si="3"/>
        <v>0</v>
      </c>
      <c r="Z30">
        <f t="shared" si="7"/>
        <v>312</v>
      </c>
      <c r="AA30">
        <f t="shared" si="8"/>
        <v>5.5443999999999996</v>
      </c>
      <c r="AC30">
        <v>312</v>
      </c>
      <c r="AD30">
        <v>87.19</v>
      </c>
      <c r="AE30">
        <f t="shared" ref="AE30:AE34" si="17">AD30*50/1000</f>
        <v>4.3594999999999997</v>
      </c>
      <c r="AF30">
        <f>AE30*Konstanten!$B$4</f>
        <v>18.527874999999998</v>
      </c>
      <c r="AG30">
        <f t="shared" ref="AG30:AG34" si="18">IF(AF30-AA30&lt;=0, 0, AF30-AA30)</f>
        <v>12.983474999999999</v>
      </c>
      <c r="AH30" t="s">
        <v>83</v>
      </c>
      <c r="AJ30">
        <f>82.32+22.83+24.02+43.18+93.33</f>
        <v>265.68</v>
      </c>
      <c r="AK30">
        <f t="shared" ref="AK30:AK34" si="19">50/1000*AJ30</f>
        <v>13.284000000000001</v>
      </c>
      <c r="AL30">
        <f>AK30*Konstanten!$B$3</f>
        <v>33.21</v>
      </c>
      <c r="AN30">
        <f t="shared" si="11"/>
        <v>0</v>
      </c>
      <c r="AO30">
        <f t="shared" si="12"/>
        <v>0</v>
      </c>
    </row>
    <row r="31" spans="1:54" x14ac:dyDescent="0.25">
      <c r="A31">
        <v>30</v>
      </c>
      <c r="B31">
        <v>6</v>
      </c>
      <c r="C31" t="s">
        <v>32</v>
      </c>
      <c r="E31" s="15" t="s">
        <v>191</v>
      </c>
      <c r="F31" t="s">
        <v>139</v>
      </c>
      <c r="G31" s="15">
        <v>4.7</v>
      </c>
      <c r="H31">
        <f>Konstanten!$B$3</f>
        <v>2.5</v>
      </c>
      <c r="I31">
        <f>COUNTIF(Windows!$A$4:$A$84,E31)</f>
        <v>0</v>
      </c>
      <c r="J31" t="e">
        <f>VLOOKUP(E31,Windows!$A$4:$D$84,2,FALSE)</f>
        <v>#N/A</v>
      </c>
      <c r="K31" t="e">
        <f>VLOOKUP(J31,Windows!$B$4:$D$84,2,FALSE)/1000</f>
        <v>#N/A</v>
      </c>
      <c r="L31" t="e">
        <f>VLOOKUP(J31,Windows!$B$4:$D$84,3,FALSE)/1000</f>
        <v>#N/A</v>
      </c>
      <c r="M31">
        <f t="shared" si="13"/>
        <v>0</v>
      </c>
      <c r="N31">
        <f>IF(I31&gt;=2,INDEX(Windows!$B$4:$B$84,MATCH(E31,Windows!$A$4:$A$84,0)+1),0)</f>
        <v>0</v>
      </c>
      <c r="O31" t="e">
        <f>VLOOKUP(N31,Windows!$B$4:$D$84,2,FALSE)/1000</f>
        <v>#N/A</v>
      </c>
      <c r="P31" t="e">
        <f>VLOOKUP(N31,Windows!$B$4:$D$84,3,FALSE)/1000</f>
        <v>#N/A</v>
      </c>
      <c r="Q31">
        <f t="shared" si="14"/>
        <v>0</v>
      </c>
      <c r="R31">
        <f>IF(I31&gt;=3,INDEX(Windows!$B$4:$B$84,MATCH(E31,Windows!$A$4:$A$84,0)+2),0)</f>
        <v>0</v>
      </c>
      <c r="S31" t="e">
        <f>VLOOKUP(R31,Windows!$B$4:$D$84,2,FALSE)/1000</f>
        <v>#N/A</v>
      </c>
      <c r="T31" t="e">
        <f>VLOOKUP(R31,Windows!$B$4:$D$84,3,FALSE)/1000</f>
        <v>#N/A</v>
      </c>
      <c r="U31">
        <f t="shared" si="15"/>
        <v>0</v>
      </c>
      <c r="V31">
        <f>IF(I31&gt;=4,INDEX(Windows!$B$4:$B$84,MATCH(E31,Windows!$A$4:$A$84,0)+3),0)</f>
        <v>0</v>
      </c>
      <c r="W31" t="e">
        <f>VLOOKUP(V31,Windows!$B$4:$D$84,2,FALSE)/1000</f>
        <v>#N/A</v>
      </c>
      <c r="X31" t="e">
        <f>VLOOKUP(V31,Windows!$B$4:$D$84,3,FALSE)/1000</f>
        <v>#N/A</v>
      </c>
      <c r="Y31">
        <f t="shared" si="3"/>
        <v>0</v>
      </c>
      <c r="Z31" t="str">
        <f t="shared" si="7"/>
        <v>N/A</v>
      </c>
      <c r="AA31">
        <f t="shared" si="8"/>
        <v>0</v>
      </c>
      <c r="AC31" t="s">
        <v>8</v>
      </c>
      <c r="AE31">
        <f t="shared" si="17"/>
        <v>0</v>
      </c>
      <c r="AF31">
        <f>AE31*Konstanten!$B$4</f>
        <v>0</v>
      </c>
      <c r="AG31">
        <f t="shared" si="18"/>
        <v>0</v>
      </c>
      <c r="AJ31">
        <f>2*(43.18+46.48)</f>
        <v>179.32</v>
      </c>
      <c r="AK31">
        <f t="shared" si="19"/>
        <v>8.9659999999999993</v>
      </c>
      <c r="AL31">
        <f>AK31*Konstanten!$B$3</f>
        <v>22.414999999999999</v>
      </c>
      <c r="AN31">
        <f t="shared" si="11"/>
        <v>0</v>
      </c>
      <c r="AO31">
        <f t="shared" si="12"/>
        <v>0</v>
      </c>
    </row>
    <row r="32" spans="1:54" x14ac:dyDescent="0.25">
      <c r="A32">
        <v>31</v>
      </c>
      <c r="B32">
        <v>6</v>
      </c>
      <c r="C32" t="s">
        <v>23</v>
      </c>
      <c r="E32" s="15" t="s">
        <v>190</v>
      </c>
      <c r="F32" t="s">
        <v>139</v>
      </c>
      <c r="G32" s="15">
        <v>6</v>
      </c>
      <c r="H32">
        <f>Konstanten!$B$3</f>
        <v>2.5</v>
      </c>
      <c r="I32">
        <f>COUNTIF(Windows!$A$4:$A$84,E32)</f>
        <v>0</v>
      </c>
      <c r="J32" t="e">
        <f>VLOOKUP(E32,Windows!$A$4:$D$84,2,FALSE)</f>
        <v>#N/A</v>
      </c>
      <c r="K32" t="e">
        <f>VLOOKUP(J32,Windows!$B$4:$D$84,2,FALSE)/1000</f>
        <v>#N/A</v>
      </c>
      <c r="L32" t="e">
        <f>VLOOKUP(J32,Windows!$B$4:$D$84,3,FALSE)/1000</f>
        <v>#N/A</v>
      </c>
      <c r="M32">
        <f t="shared" si="13"/>
        <v>0</v>
      </c>
      <c r="N32">
        <f>IF(I32&gt;=2,INDEX(Windows!$B$4:$B$84,MATCH(E32,Windows!$A$4:$A$84,0)+1),0)</f>
        <v>0</v>
      </c>
      <c r="O32" t="e">
        <f>VLOOKUP(N32,Windows!$B$4:$D$84,2,FALSE)/1000</f>
        <v>#N/A</v>
      </c>
      <c r="P32" t="e">
        <f>VLOOKUP(N32,Windows!$B$4:$D$84,3,FALSE)/1000</f>
        <v>#N/A</v>
      </c>
      <c r="Q32">
        <f t="shared" si="14"/>
        <v>0</v>
      </c>
      <c r="R32">
        <f>IF(I32&gt;=3,INDEX(Windows!$B$4:$B$84,MATCH(E32,Windows!$A$4:$A$84,0)+2),0)</f>
        <v>0</v>
      </c>
      <c r="S32" t="e">
        <f>VLOOKUP(R32,Windows!$B$4:$D$84,2,FALSE)/1000</f>
        <v>#N/A</v>
      </c>
      <c r="T32" t="e">
        <f>VLOOKUP(R32,Windows!$B$4:$D$84,3,FALSE)/1000</f>
        <v>#N/A</v>
      </c>
      <c r="U32">
        <f t="shared" si="15"/>
        <v>0</v>
      </c>
      <c r="V32">
        <f>IF(I32&gt;=4,INDEX(Windows!$B$4:$B$84,MATCH(E32,Windows!$A$4:$A$84,0)+3),0)</f>
        <v>0</v>
      </c>
      <c r="W32" t="e">
        <f>VLOOKUP(V32,Windows!$B$4:$D$84,2,FALSE)/1000</f>
        <v>#N/A</v>
      </c>
      <c r="X32" t="e">
        <f>VLOOKUP(V32,Windows!$B$4:$D$84,3,FALSE)/1000</f>
        <v>#N/A</v>
      </c>
      <c r="Y32">
        <f t="shared" si="3"/>
        <v>0</v>
      </c>
      <c r="Z32" t="str">
        <f t="shared" si="7"/>
        <v>N/A</v>
      </c>
      <c r="AA32">
        <f t="shared" si="8"/>
        <v>0</v>
      </c>
      <c r="AC32" t="s">
        <v>8</v>
      </c>
      <c r="AE32">
        <f t="shared" si="17"/>
        <v>0</v>
      </c>
      <c r="AF32">
        <f>AE32*Konstanten!$B$4</f>
        <v>0</v>
      </c>
      <c r="AG32">
        <f t="shared" si="18"/>
        <v>0</v>
      </c>
      <c r="AJ32">
        <f>45.47+61.04+24.39+22.25+52.49</f>
        <v>205.64</v>
      </c>
      <c r="AK32">
        <f t="shared" si="19"/>
        <v>10.282</v>
      </c>
      <c r="AL32">
        <f>AK32*Konstanten!$B$3</f>
        <v>25.704999999999998</v>
      </c>
      <c r="AN32">
        <f t="shared" si="11"/>
        <v>0</v>
      </c>
      <c r="AO32">
        <f t="shared" si="12"/>
        <v>0</v>
      </c>
    </row>
    <row r="33" spans="1:44" x14ac:dyDescent="0.25">
      <c r="A33">
        <v>32</v>
      </c>
      <c r="B33">
        <v>6</v>
      </c>
      <c r="C33" t="s">
        <v>33</v>
      </c>
      <c r="E33" s="15" t="s">
        <v>147</v>
      </c>
      <c r="G33" s="15">
        <v>19.3</v>
      </c>
      <c r="H33">
        <f>Konstanten!$B$3</f>
        <v>2.5</v>
      </c>
      <c r="I33">
        <f>COUNTIF(Windows!$A$4:$A$84,E33)</f>
        <v>2</v>
      </c>
      <c r="J33" t="str">
        <f>VLOOKUP(E33,Windows!$A$4:$D$84,2,FALSE)</f>
        <v>IU10,5-v+OTL3-v</v>
      </c>
      <c r="K33">
        <f>VLOOKUP(J33,Windows!$B$4:$D$84,2,FALSE)/1000</f>
        <v>1.325</v>
      </c>
      <c r="L33">
        <f>VLOOKUP(J33,Windows!$B$4:$D$84,3,FALSE)/1000</f>
        <v>1.67</v>
      </c>
      <c r="M33">
        <f t="shared" si="13"/>
        <v>2.2127499999999998</v>
      </c>
      <c r="N33" t="str">
        <f>IF(I33&gt;=2,INDEX(Windows!$B$4:$B$84,MATCH(E33,Windows!$A$4:$A$84,0)+1),0)</f>
        <v>IU20-o</v>
      </c>
      <c r="O33">
        <f>VLOOKUP(N33,Windows!$B$4:$D$84,2,FALSE)/1000</f>
        <v>1.9950000000000001</v>
      </c>
      <c r="P33">
        <f>VLOOKUP(N33,Windows!$B$4:$D$84,3,FALSE)/1000</f>
        <v>1.67</v>
      </c>
      <c r="Q33">
        <f t="shared" si="14"/>
        <v>3.3316500000000002</v>
      </c>
      <c r="R33">
        <f>IF(I33&gt;=3,INDEX(Windows!$B$4:$B$84,MATCH(E33,Windows!$A$4:$A$84,0)+2),0)</f>
        <v>0</v>
      </c>
      <c r="S33" t="e">
        <f>VLOOKUP(R33,Windows!$B$4:$D$84,2,FALSE)/1000</f>
        <v>#N/A</v>
      </c>
      <c r="T33" t="e">
        <f>VLOOKUP(R33,Windows!$B$4:$D$84,3,FALSE)/1000</f>
        <v>#N/A</v>
      </c>
      <c r="U33">
        <f t="shared" si="15"/>
        <v>0</v>
      </c>
      <c r="V33">
        <f>IF(I33&gt;=4,INDEX(Windows!$B$4:$B$84,MATCH(E33,Windows!$A$4:$A$84,0)+3),0)</f>
        <v>0</v>
      </c>
      <c r="W33" t="e">
        <f>VLOOKUP(V33,Windows!$B$4:$D$84,2,FALSE)/1000</f>
        <v>#N/A</v>
      </c>
      <c r="X33" t="e">
        <f>VLOOKUP(V33,Windows!$B$4:$D$84,3,FALSE)/1000</f>
        <v>#N/A</v>
      </c>
      <c r="Y33">
        <f t="shared" si="3"/>
        <v>0</v>
      </c>
      <c r="Z33">
        <f t="shared" si="7"/>
        <v>312</v>
      </c>
      <c r="AA33">
        <f t="shared" si="8"/>
        <v>5.5443999999999996</v>
      </c>
      <c r="AC33">
        <v>312</v>
      </c>
      <c r="AD33">
        <v>87.19</v>
      </c>
      <c r="AE33">
        <f t="shared" si="17"/>
        <v>4.3594999999999997</v>
      </c>
      <c r="AF33">
        <f>AE33*Konstanten!$B$4</f>
        <v>18.527874999999998</v>
      </c>
      <c r="AG33">
        <f t="shared" si="18"/>
        <v>12.983474999999999</v>
      </c>
      <c r="AH33" t="s">
        <v>83</v>
      </c>
      <c r="AJ33">
        <v>265.68</v>
      </c>
      <c r="AK33">
        <f t="shared" si="19"/>
        <v>13.284000000000001</v>
      </c>
      <c r="AL33">
        <f>AK33*Konstanten!$B$3</f>
        <v>33.21</v>
      </c>
      <c r="AN33">
        <f t="shared" si="11"/>
        <v>0</v>
      </c>
      <c r="AO33">
        <f t="shared" si="12"/>
        <v>0</v>
      </c>
    </row>
    <row r="34" spans="1:44" x14ac:dyDescent="0.25">
      <c r="A34">
        <v>33</v>
      </c>
      <c r="B34">
        <v>6</v>
      </c>
      <c r="C34" t="s">
        <v>32</v>
      </c>
      <c r="E34" s="15" t="s">
        <v>198</v>
      </c>
      <c r="F34" t="s">
        <v>147</v>
      </c>
      <c r="G34" s="15">
        <v>4.7</v>
      </c>
      <c r="H34">
        <f>Konstanten!$B$3</f>
        <v>2.5</v>
      </c>
      <c r="I34">
        <f>COUNTIF(Windows!$A$4:$A$84,E34)</f>
        <v>0</v>
      </c>
      <c r="J34" t="e">
        <f>VLOOKUP(E34,Windows!$A$4:$D$84,2,FALSE)</f>
        <v>#N/A</v>
      </c>
      <c r="K34" t="e">
        <f>VLOOKUP(J34,Windows!$B$4:$D$84,2,FALSE)/1000</f>
        <v>#N/A</v>
      </c>
      <c r="L34" t="e">
        <f>VLOOKUP(J34,Windows!$B$4:$D$84,3,FALSE)/1000</f>
        <v>#N/A</v>
      </c>
      <c r="M34">
        <f t="shared" si="13"/>
        <v>0</v>
      </c>
      <c r="N34">
        <f>IF(I34&gt;=2,INDEX(Windows!$B$4:$B$84,MATCH(E34,Windows!$A$4:$A$84,0)+1),0)</f>
        <v>0</v>
      </c>
      <c r="O34" t="e">
        <f>VLOOKUP(N34,Windows!$B$4:$D$84,2,FALSE)/1000</f>
        <v>#N/A</v>
      </c>
      <c r="P34" t="e">
        <f>VLOOKUP(N34,Windows!$B$4:$D$84,3,FALSE)/1000</f>
        <v>#N/A</v>
      </c>
      <c r="Q34">
        <f t="shared" si="14"/>
        <v>0</v>
      </c>
      <c r="R34">
        <f>IF(I34&gt;=3,INDEX(Windows!$B$4:$B$84,MATCH(E34,Windows!$A$4:$A$84,0)+2),0)</f>
        <v>0</v>
      </c>
      <c r="S34" t="e">
        <f>VLOOKUP(R34,Windows!$B$4:$D$84,2,FALSE)/1000</f>
        <v>#N/A</v>
      </c>
      <c r="T34" t="e">
        <f>VLOOKUP(R34,Windows!$B$4:$D$84,3,FALSE)/1000</f>
        <v>#N/A</v>
      </c>
      <c r="U34">
        <f t="shared" si="15"/>
        <v>0</v>
      </c>
      <c r="V34">
        <f>IF(I34&gt;=4,INDEX(Windows!$B$4:$B$84,MATCH(E34,Windows!$A$4:$A$84,0)+3),0)</f>
        <v>0</v>
      </c>
      <c r="W34" t="e">
        <f>VLOOKUP(V34,Windows!$B$4:$D$84,2,FALSE)/1000</f>
        <v>#N/A</v>
      </c>
      <c r="X34" t="e">
        <f>VLOOKUP(V34,Windows!$B$4:$D$84,3,FALSE)/1000</f>
        <v>#N/A</v>
      </c>
      <c r="Y34">
        <f t="shared" si="3"/>
        <v>0</v>
      </c>
      <c r="Z34" t="str">
        <f t="shared" si="7"/>
        <v>N/A</v>
      </c>
      <c r="AA34">
        <f t="shared" si="8"/>
        <v>0</v>
      </c>
      <c r="AC34" t="s">
        <v>8</v>
      </c>
      <c r="AE34">
        <f t="shared" si="17"/>
        <v>0</v>
      </c>
      <c r="AF34">
        <f>AE34*Konstanten!$B$4</f>
        <v>0</v>
      </c>
      <c r="AG34">
        <f t="shared" si="18"/>
        <v>0</v>
      </c>
      <c r="AJ34">
        <v>179.32</v>
      </c>
      <c r="AK34">
        <f t="shared" si="19"/>
        <v>8.9659999999999993</v>
      </c>
      <c r="AL34">
        <f>AK34*Konstanten!$B$3</f>
        <v>22.414999999999999</v>
      </c>
      <c r="AN34">
        <f t="shared" si="11"/>
        <v>0</v>
      </c>
      <c r="AO34">
        <f t="shared" si="12"/>
        <v>0</v>
      </c>
    </row>
    <row r="35" spans="1:44" x14ac:dyDescent="0.25">
      <c r="A35">
        <v>34</v>
      </c>
      <c r="B35">
        <v>6</v>
      </c>
      <c r="C35" t="s">
        <v>23</v>
      </c>
      <c r="E35" s="15" t="s">
        <v>198</v>
      </c>
      <c r="F35" t="s">
        <v>147</v>
      </c>
      <c r="G35" s="15">
        <v>6</v>
      </c>
      <c r="H35">
        <f>Konstanten!$B$3</f>
        <v>2.5</v>
      </c>
      <c r="I35">
        <f>COUNTIF(Windows!$A$4:$A$84,E35)</f>
        <v>0</v>
      </c>
      <c r="J35" t="e">
        <f>VLOOKUP(E35,Windows!$A$4:$D$84,2,FALSE)</f>
        <v>#N/A</v>
      </c>
      <c r="K35" t="e">
        <f>VLOOKUP(J35,Windows!$B$4:$D$84,2,FALSE)/1000</f>
        <v>#N/A</v>
      </c>
      <c r="L35" t="e">
        <f>VLOOKUP(J35,Windows!$B$4:$D$84,3,FALSE)/1000</f>
        <v>#N/A</v>
      </c>
      <c r="M35">
        <f t="shared" si="13"/>
        <v>0</v>
      </c>
      <c r="N35">
        <f>IF(I35&gt;=2,INDEX(Windows!$B$4:$B$84,MATCH(J35,Windows!$B$4:$B$84,0)+1),0)</f>
        <v>0</v>
      </c>
      <c r="O35" t="e">
        <f>VLOOKUP(N35,Windows!$B$4:$D$84,2,FALSE)/1000</f>
        <v>#N/A</v>
      </c>
      <c r="P35" t="e">
        <f>VLOOKUP(N35,Windows!$B$4:$D$84,3,FALSE)/1000</f>
        <v>#N/A</v>
      </c>
      <c r="Q35">
        <f t="shared" si="14"/>
        <v>0</v>
      </c>
      <c r="R35">
        <f>IF(I35&gt;=3,INDEX(Windows!$B$4:$B$84,MATCH(J35,Windows!$B$4:$B$84,0)+2),0)</f>
        <v>0</v>
      </c>
      <c r="S35" t="e">
        <f>VLOOKUP(R35,Windows!$B$4:$D$84,2,FALSE)/1000</f>
        <v>#N/A</v>
      </c>
      <c r="T35" t="e">
        <f>VLOOKUP(R35,Windows!$B$4:$D$84,3,FALSE)/1000</f>
        <v>#N/A</v>
      </c>
      <c r="U35">
        <f t="shared" si="15"/>
        <v>0</v>
      </c>
      <c r="V35">
        <f>IF(I35&gt;=4,INDEX(Windows!$B$4:$B$84,MATCH(J35,Windows!$B$4:$B$84,0)+3),0)</f>
        <v>0</v>
      </c>
      <c r="W35" t="e">
        <f>VLOOKUP(V35,Windows!$B$4:$D$84,2,FALSE)/1000</f>
        <v>#N/A</v>
      </c>
      <c r="X35" t="e">
        <f>VLOOKUP(V35,Windows!$B$4:$D$84,3,FALSE)/1000</f>
        <v>#N/A</v>
      </c>
      <c r="Y35">
        <f t="shared" ref="Y35:Y43" si="20">IF(ISNA(X35*W35),0,W35*X35)</f>
        <v>0</v>
      </c>
      <c r="Z35" t="str">
        <f>IF(I35&gt;0,AC35,"N/A")</f>
        <v>N/A</v>
      </c>
      <c r="AA35">
        <f t="shared" si="8"/>
        <v>0</v>
      </c>
      <c r="AC35" t="s">
        <v>8</v>
      </c>
      <c r="AE35">
        <f>AD35*50/1000</f>
        <v>0</v>
      </c>
      <c r="AF35">
        <f>AE35*Konstanten!$B$4</f>
        <v>0</v>
      </c>
      <c r="AG35">
        <f>IF(AF35-AA35&lt;=0, 0, AF35-AA35)</f>
        <v>0</v>
      </c>
      <c r="AJ35">
        <v>205.64</v>
      </c>
      <c r="AK35">
        <f>50/1000*AJ35</f>
        <v>10.282</v>
      </c>
      <c r="AL35">
        <f>AK35*Konstanten!$B$3</f>
        <v>25.704999999999998</v>
      </c>
      <c r="AN35">
        <f t="shared" si="11"/>
        <v>0</v>
      </c>
      <c r="AO35">
        <f t="shared" si="12"/>
        <v>0</v>
      </c>
    </row>
    <row r="36" spans="1:44" x14ac:dyDescent="0.25">
      <c r="A36">
        <v>35</v>
      </c>
      <c r="B36">
        <v>6</v>
      </c>
      <c r="C36" t="s">
        <v>33</v>
      </c>
      <c r="E36" s="15" t="s">
        <v>140</v>
      </c>
      <c r="G36" s="15">
        <v>19.3</v>
      </c>
      <c r="H36">
        <f>Konstanten!$B$3</f>
        <v>2.5</v>
      </c>
      <c r="I36">
        <f>COUNTIF(Windows!$A$4:$A$84,E36)</f>
        <v>2</v>
      </c>
      <c r="J36" t="str">
        <f>VLOOKUP(E36,Windows!$A$4:$D$84,2,FALSE)</f>
        <v>IU10,5-o+VTL3-o</v>
      </c>
      <c r="K36">
        <f>VLOOKUP(J36,Windows!$B$4:$D$84,2,FALSE)/1000</f>
        <v>1.325</v>
      </c>
      <c r="L36">
        <f>VLOOKUP(J36,Windows!$B$4:$D$84,3,FALSE)/1000</f>
        <v>1.67</v>
      </c>
      <c r="M36">
        <f t="shared" si="13"/>
        <v>2.2127499999999998</v>
      </c>
      <c r="N36" t="str">
        <f>IF(I36&gt;=2,INDEX(Windows!$B$4:$B$84,MATCH(J36,Windows!$B$4:$B$84,0)+1),0)</f>
        <v>IU21-v</v>
      </c>
      <c r="O36">
        <f>VLOOKUP(N36,Windows!$B$4:$D$84,2,FALSE)/1000</f>
        <v>2.12</v>
      </c>
      <c r="P36">
        <f>VLOOKUP(N36,Windows!$B$4:$D$84,3,FALSE)/1000</f>
        <v>1.67</v>
      </c>
      <c r="Q36">
        <f t="shared" si="14"/>
        <v>3.5404</v>
      </c>
      <c r="R36">
        <f>IF(I36&gt;=3,INDEX(Windows!$B$4:$B$84,MATCH(J36,Windows!$B$4:$B$84,0)+2),0)</f>
        <v>0</v>
      </c>
      <c r="S36" t="e">
        <f>VLOOKUP(R36,Windows!$B$4:$D$84,2,FALSE)/1000</f>
        <v>#N/A</v>
      </c>
      <c r="T36" t="e">
        <f>VLOOKUP(R36,Windows!$B$4:$D$84,3,FALSE)/1000</f>
        <v>#N/A</v>
      </c>
      <c r="U36">
        <f t="shared" si="15"/>
        <v>0</v>
      </c>
      <c r="V36">
        <f>IF(I36&gt;=4,INDEX(Windows!$B$4:$B$84,MATCH(J36,Windows!$B$4:$B$84,0)+3),0)</f>
        <v>0</v>
      </c>
      <c r="W36" t="e">
        <f>VLOOKUP(V36,Windows!$B$4:$D$84,2,FALSE)/1000</f>
        <v>#N/A</v>
      </c>
      <c r="X36" t="e">
        <f>VLOOKUP(V36,Windows!$B$4:$D$84,3,FALSE)/1000</f>
        <v>#N/A</v>
      </c>
      <c r="Y36">
        <f t="shared" si="20"/>
        <v>0</v>
      </c>
      <c r="Z36">
        <f t="shared" ref="Z36:Z43" si="21">IF(I36&gt;0,AC36,"N/A")</f>
        <v>312</v>
      </c>
      <c r="AA36">
        <f t="shared" si="8"/>
        <v>5.7531499999999998</v>
      </c>
      <c r="AC36">
        <v>312</v>
      </c>
      <c r="AD36">
        <v>87.19</v>
      </c>
      <c r="AE36">
        <f t="shared" ref="AE36:AE45" si="22">AD36*50/1000</f>
        <v>4.3594999999999997</v>
      </c>
      <c r="AF36">
        <f>AE36*Konstanten!$B$4</f>
        <v>18.527874999999998</v>
      </c>
      <c r="AG36">
        <f>IF(AF36-AA36&lt;=0, 0, AF36-AA36)</f>
        <v>12.774724999999998</v>
      </c>
      <c r="AH36" t="s">
        <v>83</v>
      </c>
      <c r="AJ36">
        <v>265.68</v>
      </c>
      <c r="AK36">
        <f t="shared" ref="AK36:AK43" si="23">50/1000*AJ36</f>
        <v>13.284000000000001</v>
      </c>
      <c r="AL36">
        <f>AK36*Konstanten!$B$3</f>
        <v>33.21</v>
      </c>
      <c r="AN36">
        <f t="shared" si="11"/>
        <v>0</v>
      </c>
      <c r="AO36">
        <f t="shared" si="12"/>
        <v>0</v>
      </c>
    </row>
    <row r="37" spans="1:44" x14ac:dyDescent="0.25">
      <c r="A37">
        <v>36</v>
      </c>
      <c r="B37">
        <v>6</v>
      </c>
      <c r="C37" t="s">
        <v>32</v>
      </c>
      <c r="E37" s="15" t="s">
        <v>205</v>
      </c>
      <c r="F37" t="s">
        <v>140</v>
      </c>
      <c r="G37" s="15">
        <v>4.7</v>
      </c>
      <c r="H37">
        <f>Konstanten!$B$3</f>
        <v>2.5</v>
      </c>
      <c r="I37">
        <f>COUNTIF(Windows!$A$4:$A$84,E37)</f>
        <v>0</v>
      </c>
      <c r="J37" t="e">
        <f>VLOOKUP(E37,Windows!$A$4:$D$84,2,FALSE)</f>
        <v>#N/A</v>
      </c>
      <c r="K37" t="e">
        <f>VLOOKUP(J37,Windows!$B$4:$D$84,2,FALSE)/1000</f>
        <v>#N/A</v>
      </c>
      <c r="L37" t="e">
        <f>VLOOKUP(J37,Windows!$B$4:$D$84,3,FALSE)/1000</f>
        <v>#N/A</v>
      </c>
      <c r="M37">
        <f t="shared" ref="M37:M43" si="24">IF(ISNA(L37*K37),0,K37*L37)</f>
        <v>0</v>
      </c>
      <c r="N37">
        <f>IF(I37&gt;=2,INDEX(Windows!$B$4:$B$84,MATCH(E37,Windows!$A$4:$A$84,0)+1),0)</f>
        <v>0</v>
      </c>
      <c r="O37" t="e">
        <f>VLOOKUP(N37,Windows!$B$4:$D$84,2,FALSE)/1000</f>
        <v>#N/A</v>
      </c>
      <c r="P37" t="e">
        <f>VLOOKUP(N37,Windows!$B$4:$D$84,3,FALSE)/1000</f>
        <v>#N/A</v>
      </c>
      <c r="Q37">
        <f t="shared" ref="Q37:Q43" si="25">IF(ISNA(P37*O37),0,O37*P37)</f>
        <v>0</v>
      </c>
      <c r="R37">
        <f>IF(I37&gt;=3,INDEX(Windows!$B$4:$B$84,MATCH(E37,Windows!$A$4:$A$84,0)+2),0)</f>
        <v>0</v>
      </c>
      <c r="S37" t="e">
        <f>VLOOKUP(R37,Windows!$B$4:$D$84,2,FALSE)/1000</f>
        <v>#N/A</v>
      </c>
      <c r="T37" t="e">
        <f>VLOOKUP(R37,Windows!$B$4:$D$84,3,FALSE)/1000</f>
        <v>#N/A</v>
      </c>
      <c r="U37">
        <f t="shared" ref="U37:U43" si="26">IF(ISNA(T37*S37),0,S37*T37)</f>
        <v>0</v>
      </c>
      <c r="V37">
        <f>IF(I37&gt;=4,INDEX(Windows!$B$4:$B$84,MATCH(E37,Windows!$A$4:$A$84,0)+3),0)</f>
        <v>0</v>
      </c>
      <c r="W37" t="e">
        <f>VLOOKUP(V37,Windows!$B$4:$D$84,2,FALSE)/1000</f>
        <v>#N/A</v>
      </c>
      <c r="X37" t="e">
        <f>VLOOKUP(V37,Windows!$B$4:$D$84,3,FALSE)/1000</f>
        <v>#N/A</v>
      </c>
      <c r="Y37">
        <f t="shared" si="20"/>
        <v>0</v>
      </c>
      <c r="Z37" t="str">
        <f t="shared" si="21"/>
        <v>N/A</v>
      </c>
      <c r="AA37">
        <f t="shared" si="8"/>
        <v>0</v>
      </c>
      <c r="AC37" t="s">
        <v>8</v>
      </c>
      <c r="AE37">
        <f t="shared" si="22"/>
        <v>0</v>
      </c>
      <c r="AF37">
        <f>AE37*Konstanten!$B$4</f>
        <v>0</v>
      </c>
      <c r="AG37">
        <f t="shared" ref="AG37:AG46" si="27">IF(AF37-AA37&lt;=0, 0, AF37-AA37)</f>
        <v>0</v>
      </c>
      <c r="AJ37">
        <v>179.32</v>
      </c>
      <c r="AK37">
        <f t="shared" si="23"/>
        <v>8.9659999999999993</v>
      </c>
      <c r="AL37">
        <f>AK37*Konstanten!$B$3</f>
        <v>22.414999999999999</v>
      </c>
      <c r="AN37">
        <f t="shared" si="11"/>
        <v>0</v>
      </c>
      <c r="AO37">
        <f t="shared" si="12"/>
        <v>0</v>
      </c>
      <c r="AR37"/>
    </row>
    <row r="38" spans="1:44" x14ac:dyDescent="0.25">
      <c r="A38">
        <v>37</v>
      </c>
      <c r="B38">
        <v>6</v>
      </c>
      <c r="C38" s="12" t="s">
        <v>23</v>
      </c>
      <c r="D38" s="12"/>
      <c r="E38" s="15" t="s">
        <v>199</v>
      </c>
      <c r="F38" s="12" t="s">
        <v>140</v>
      </c>
      <c r="G38" s="15">
        <v>6</v>
      </c>
      <c r="H38">
        <f>Konstanten!$B$3</f>
        <v>2.5</v>
      </c>
      <c r="I38">
        <f>COUNTIF(Windows!$A$4:$A$84,E38)</f>
        <v>0</v>
      </c>
      <c r="J38" t="e">
        <f>VLOOKUP(E38,Windows!$A$4:$D$84,2,FALSE)</f>
        <v>#N/A</v>
      </c>
      <c r="K38" t="e">
        <f>VLOOKUP(J38,Windows!$B$4:$D$84,2,FALSE)/1000</f>
        <v>#N/A</v>
      </c>
      <c r="L38" t="e">
        <f>VLOOKUP(J38,Windows!$B$4:$D$84,3,FALSE)/1000</f>
        <v>#N/A</v>
      </c>
      <c r="M38">
        <f t="shared" si="24"/>
        <v>0</v>
      </c>
      <c r="N38">
        <f>IF(I38&gt;=2,INDEX(Windows!$B$4:$B$84,MATCH(E38,Windows!$A$4:$A$84,0)+1),0)</f>
        <v>0</v>
      </c>
      <c r="O38" t="e">
        <f>VLOOKUP(N38,Windows!$B$4:$D$84,2,FALSE)/1000</f>
        <v>#N/A</v>
      </c>
      <c r="P38" t="e">
        <f>VLOOKUP(N38,Windows!$B$4:$D$84,3,FALSE)/1000</f>
        <v>#N/A</v>
      </c>
      <c r="Q38">
        <f t="shared" si="25"/>
        <v>0</v>
      </c>
      <c r="R38">
        <f>IF(I38&gt;=3,INDEX(Windows!$B$4:$B$84,MATCH(E38,Windows!$A$4:$A$84,0)+2),0)</f>
        <v>0</v>
      </c>
      <c r="S38" t="e">
        <f>VLOOKUP(R38,Windows!$B$4:$D$84,2,FALSE)/1000</f>
        <v>#N/A</v>
      </c>
      <c r="T38" t="e">
        <f>VLOOKUP(R38,Windows!$B$4:$D$84,3,FALSE)/1000</f>
        <v>#N/A</v>
      </c>
      <c r="U38">
        <f t="shared" si="26"/>
        <v>0</v>
      </c>
      <c r="V38">
        <f>IF(I38&gt;=4,INDEX(Windows!$B$4:$B$84,MATCH(E38,Windows!$A$4:$A$84,0)+3),0)</f>
        <v>0</v>
      </c>
      <c r="W38" t="e">
        <f>VLOOKUP(V38,Windows!$B$4:$D$84,2,FALSE)/1000</f>
        <v>#N/A</v>
      </c>
      <c r="X38" t="e">
        <f>VLOOKUP(V38,Windows!$B$4:$D$84,3,FALSE)/1000</f>
        <v>#N/A</v>
      </c>
      <c r="Y38">
        <f t="shared" si="20"/>
        <v>0</v>
      </c>
      <c r="Z38" t="str">
        <f t="shared" si="21"/>
        <v>N/A</v>
      </c>
      <c r="AA38">
        <f t="shared" si="8"/>
        <v>0</v>
      </c>
      <c r="AC38" t="s">
        <v>8</v>
      </c>
      <c r="AE38">
        <f t="shared" si="22"/>
        <v>0</v>
      </c>
      <c r="AF38">
        <f>AE38*Konstanten!$B$4</f>
        <v>0</v>
      </c>
      <c r="AG38">
        <f t="shared" si="27"/>
        <v>0</v>
      </c>
      <c r="AJ38">
        <v>205.64</v>
      </c>
      <c r="AK38">
        <f t="shared" si="23"/>
        <v>10.282</v>
      </c>
      <c r="AL38">
        <f>AK38*Konstanten!$B$3</f>
        <v>25.704999999999998</v>
      </c>
      <c r="AN38">
        <f t="shared" si="11"/>
        <v>0</v>
      </c>
      <c r="AO38">
        <f t="shared" si="12"/>
        <v>0</v>
      </c>
    </row>
    <row r="39" spans="1:44" x14ac:dyDescent="0.25">
      <c r="A39">
        <v>38</v>
      </c>
      <c r="B39">
        <v>6</v>
      </c>
      <c r="C39" s="16" t="s">
        <v>33</v>
      </c>
      <c r="E39" s="15" t="s">
        <v>148</v>
      </c>
      <c r="G39" s="15">
        <v>19.3</v>
      </c>
      <c r="H39">
        <f>Konstanten!$B$3</f>
        <v>2.5</v>
      </c>
      <c r="I39">
        <f>COUNTIF(Windows!$A$4:$A$84,E39)</f>
        <v>2</v>
      </c>
      <c r="J39" t="str">
        <f>VLOOKUP(E39,Windows!$A$4:$D$84,2,FALSE)</f>
        <v>IU10,5-v+OTL3-v</v>
      </c>
      <c r="K39">
        <f>VLOOKUP(J39,Windows!$B$4:$D$84,2,FALSE)/1000</f>
        <v>1.325</v>
      </c>
      <c r="L39">
        <f>VLOOKUP(J39,Windows!$B$4:$D$84,3,FALSE)/1000</f>
        <v>1.67</v>
      </c>
      <c r="M39">
        <f t="shared" si="24"/>
        <v>2.2127499999999998</v>
      </c>
      <c r="N39" t="str">
        <f>IF(I39&gt;=2,INDEX(Windows!$B$4:$B$84,MATCH(E39,Windows!$A$4:$A$84,0)+1),0)</f>
        <v>IU20-o</v>
      </c>
      <c r="O39">
        <f>VLOOKUP(N39,Windows!$B$4:$D$84,2,FALSE)/1000</f>
        <v>1.9950000000000001</v>
      </c>
      <c r="P39">
        <f>VLOOKUP(N39,Windows!$B$4:$D$84,3,FALSE)/1000</f>
        <v>1.67</v>
      </c>
      <c r="Q39">
        <f t="shared" si="25"/>
        <v>3.3316500000000002</v>
      </c>
      <c r="R39">
        <f>IF(I39&gt;=3,INDEX(Windows!$B$4:$B$84,MATCH(E39,Windows!$A$4:$A$84,0)+2),0)</f>
        <v>0</v>
      </c>
      <c r="S39" t="e">
        <f>VLOOKUP(R39,Windows!$B$4:$D$84,2,FALSE)/1000</f>
        <v>#N/A</v>
      </c>
      <c r="T39" t="e">
        <f>VLOOKUP(R39,Windows!$B$4:$D$84,3,FALSE)/1000</f>
        <v>#N/A</v>
      </c>
      <c r="U39">
        <f t="shared" si="26"/>
        <v>0</v>
      </c>
      <c r="V39">
        <f>IF(I39&gt;=4,INDEX(Windows!$B$4:$B$84,MATCH(E39,Windows!$A$4:$A$84,0)+3),0)</f>
        <v>0</v>
      </c>
      <c r="W39" t="e">
        <f>VLOOKUP(V39,Windows!$B$4:$D$84,2,FALSE)/1000</f>
        <v>#N/A</v>
      </c>
      <c r="X39" t="e">
        <f>VLOOKUP(V39,Windows!$B$4:$D$84,3,FALSE)/1000</f>
        <v>#N/A</v>
      </c>
      <c r="Y39">
        <f t="shared" si="20"/>
        <v>0</v>
      </c>
      <c r="Z39">
        <f t="shared" si="21"/>
        <v>312</v>
      </c>
      <c r="AA39">
        <f t="shared" si="8"/>
        <v>5.5443999999999996</v>
      </c>
      <c r="AC39">
        <v>312</v>
      </c>
      <c r="AD39">
        <v>87.19</v>
      </c>
      <c r="AE39">
        <f t="shared" si="22"/>
        <v>4.3594999999999997</v>
      </c>
      <c r="AF39">
        <f>AE39*Konstanten!$B$4</f>
        <v>18.527874999999998</v>
      </c>
      <c r="AG39">
        <f t="shared" si="27"/>
        <v>12.983474999999999</v>
      </c>
      <c r="AH39" t="s">
        <v>83</v>
      </c>
      <c r="AJ39">
        <v>265.68</v>
      </c>
      <c r="AK39">
        <f t="shared" si="23"/>
        <v>13.284000000000001</v>
      </c>
      <c r="AL39">
        <f>AK39*Konstanten!$B$3</f>
        <v>33.21</v>
      </c>
      <c r="AN39">
        <f t="shared" si="11"/>
        <v>0</v>
      </c>
      <c r="AO39">
        <f t="shared" si="12"/>
        <v>0</v>
      </c>
    </row>
    <row r="40" spans="1:44" x14ac:dyDescent="0.25">
      <c r="A40" s="12">
        <v>39</v>
      </c>
      <c r="B40">
        <v>6</v>
      </c>
      <c r="C40" s="15" t="s">
        <v>32</v>
      </c>
      <c r="E40" s="15" t="s">
        <v>200</v>
      </c>
      <c r="F40" t="s">
        <v>148</v>
      </c>
      <c r="G40" s="15">
        <v>4.7</v>
      </c>
      <c r="H40">
        <f>Konstanten!$B$3</f>
        <v>2.5</v>
      </c>
      <c r="I40">
        <f>COUNTIF(Windows!$A$4:$A$84,E40)</f>
        <v>0</v>
      </c>
      <c r="J40" t="e">
        <f>VLOOKUP(E40,Windows!$A$4:$D$84,2,FALSE)</f>
        <v>#N/A</v>
      </c>
      <c r="K40" t="e">
        <f>VLOOKUP(J40,Windows!$B$4:$D$84,2,FALSE)/1000</f>
        <v>#N/A</v>
      </c>
      <c r="L40" t="e">
        <f>VLOOKUP(J40,Windows!$B$4:$D$84,3,FALSE)/1000</f>
        <v>#N/A</v>
      </c>
      <c r="M40">
        <f t="shared" si="24"/>
        <v>0</v>
      </c>
      <c r="N40">
        <f>IF(I40&gt;=2,INDEX(Windows!$B$4:$B$84,MATCH(E40,Windows!$A$4:$A$84,0)+1),0)</f>
        <v>0</v>
      </c>
      <c r="O40" t="e">
        <f>VLOOKUP(N40,Windows!$B$4:$D$84,2,FALSE)/1000</f>
        <v>#N/A</v>
      </c>
      <c r="P40" t="e">
        <f>VLOOKUP(N40,Windows!$B$4:$D$84,3,FALSE)/1000</f>
        <v>#N/A</v>
      </c>
      <c r="Q40">
        <f t="shared" si="25"/>
        <v>0</v>
      </c>
      <c r="R40">
        <f>IF(I40&gt;=3,INDEX(Windows!$B$4:$B$84,MATCH(E40,Windows!$A$4:$A$84,0)+2),0)</f>
        <v>0</v>
      </c>
      <c r="S40" t="e">
        <f>VLOOKUP(R40,Windows!$B$4:$D$84,2,FALSE)/1000</f>
        <v>#N/A</v>
      </c>
      <c r="T40" t="e">
        <f>VLOOKUP(R40,Windows!$B$4:$D$84,3,FALSE)/1000</f>
        <v>#N/A</v>
      </c>
      <c r="U40">
        <f t="shared" si="26"/>
        <v>0</v>
      </c>
      <c r="V40">
        <f>IF(I40&gt;=4,INDEX(Windows!$B$4:$B$84,MATCH(E40,Windows!$A$4:$A$84,0)+3),0)</f>
        <v>0</v>
      </c>
      <c r="W40" t="e">
        <f>VLOOKUP(V40,Windows!$B$4:$D$84,2,FALSE)/1000</f>
        <v>#N/A</v>
      </c>
      <c r="X40" t="e">
        <f>VLOOKUP(V40,Windows!$B$4:$D$84,3,FALSE)/1000</f>
        <v>#N/A</v>
      </c>
      <c r="Y40">
        <f t="shared" si="20"/>
        <v>0</v>
      </c>
      <c r="Z40" t="str">
        <f t="shared" si="21"/>
        <v>N/A</v>
      </c>
      <c r="AA40">
        <f t="shared" si="8"/>
        <v>0</v>
      </c>
      <c r="AC40" t="s">
        <v>8</v>
      </c>
      <c r="AE40">
        <f t="shared" si="22"/>
        <v>0</v>
      </c>
      <c r="AF40">
        <f>AE40*Konstanten!$B$4</f>
        <v>0</v>
      </c>
      <c r="AG40">
        <f t="shared" si="27"/>
        <v>0</v>
      </c>
      <c r="AJ40">
        <v>179.32</v>
      </c>
      <c r="AK40">
        <f t="shared" si="23"/>
        <v>8.9659999999999993</v>
      </c>
      <c r="AL40">
        <f>AK40*Konstanten!$B$3</f>
        <v>22.414999999999999</v>
      </c>
      <c r="AN40">
        <f t="shared" si="11"/>
        <v>0</v>
      </c>
      <c r="AO40">
        <f t="shared" si="12"/>
        <v>0</v>
      </c>
    </row>
    <row r="41" spans="1:44" x14ac:dyDescent="0.25">
      <c r="A41">
        <v>40</v>
      </c>
      <c r="B41">
        <v>6</v>
      </c>
      <c r="C41" s="15" t="s">
        <v>23</v>
      </c>
      <c r="E41" s="15" t="s">
        <v>201</v>
      </c>
      <c r="F41" t="s">
        <v>148</v>
      </c>
      <c r="G41" s="15">
        <v>6</v>
      </c>
      <c r="H41">
        <f>Konstanten!$B$3</f>
        <v>2.5</v>
      </c>
      <c r="I41">
        <f>COUNTIF(Windows!$A$4:$A$84,E41)</f>
        <v>0</v>
      </c>
      <c r="J41" t="e">
        <f>VLOOKUP(E41,Windows!$A$4:$D$84,2,FALSE)</f>
        <v>#N/A</v>
      </c>
      <c r="K41" t="e">
        <f>VLOOKUP(J41,Windows!$B$4:$D$84,2,FALSE)/1000</f>
        <v>#N/A</v>
      </c>
      <c r="L41" t="e">
        <f>VLOOKUP(J41,Windows!$B$4:$D$84,3,FALSE)/1000</f>
        <v>#N/A</v>
      </c>
      <c r="M41">
        <f t="shared" si="24"/>
        <v>0</v>
      </c>
      <c r="N41">
        <f>IF(I41&gt;=2,INDEX(Windows!$B$4:$B$84,MATCH(E41,Windows!$A$4:$A$84,0)+1),0)</f>
        <v>0</v>
      </c>
      <c r="O41" t="e">
        <f>VLOOKUP(N41,Windows!$B$4:$D$84,2,FALSE)/1000</f>
        <v>#N/A</v>
      </c>
      <c r="P41" t="e">
        <f>VLOOKUP(N41,Windows!$B$4:$D$84,3,FALSE)/1000</f>
        <v>#N/A</v>
      </c>
      <c r="Q41">
        <f t="shared" si="25"/>
        <v>0</v>
      </c>
      <c r="R41">
        <f>IF(I41&gt;=3,INDEX(Windows!$B$4:$B$84,MATCH(E41,Windows!$A$4:$A$84,0)+2),0)</f>
        <v>0</v>
      </c>
      <c r="S41" t="e">
        <f>VLOOKUP(R41,Windows!$B$4:$D$84,2,FALSE)/1000</f>
        <v>#N/A</v>
      </c>
      <c r="T41" t="e">
        <f>VLOOKUP(R41,Windows!$B$4:$D$84,3,FALSE)/1000</f>
        <v>#N/A</v>
      </c>
      <c r="U41">
        <f t="shared" si="26"/>
        <v>0</v>
      </c>
      <c r="V41">
        <f>IF(I41&gt;=4,INDEX(Windows!$B$4:$B$84,MATCH(E41,Windows!$A$4:$A$84,0)+3),0)</f>
        <v>0</v>
      </c>
      <c r="W41" t="e">
        <f>VLOOKUP(V41,Windows!$B$4:$D$84,2,FALSE)/1000</f>
        <v>#N/A</v>
      </c>
      <c r="X41" t="e">
        <f>VLOOKUP(V41,Windows!$B$4:$D$84,3,FALSE)/1000</f>
        <v>#N/A</v>
      </c>
      <c r="Y41">
        <f t="shared" si="20"/>
        <v>0</v>
      </c>
      <c r="Z41" t="str">
        <f t="shared" si="21"/>
        <v>N/A</v>
      </c>
      <c r="AA41">
        <f t="shared" si="8"/>
        <v>0</v>
      </c>
      <c r="AC41" t="s">
        <v>8</v>
      </c>
      <c r="AE41">
        <f t="shared" si="22"/>
        <v>0</v>
      </c>
      <c r="AF41">
        <f>AE41*Konstanten!$B$4</f>
        <v>0</v>
      </c>
      <c r="AG41">
        <f t="shared" si="27"/>
        <v>0</v>
      </c>
      <c r="AJ41">
        <v>205.64</v>
      </c>
      <c r="AK41">
        <f t="shared" si="23"/>
        <v>10.282</v>
      </c>
      <c r="AL41">
        <f>AK41*Konstanten!$B$3</f>
        <v>25.704999999999998</v>
      </c>
      <c r="AN41">
        <f t="shared" si="11"/>
        <v>0</v>
      </c>
      <c r="AO41">
        <f t="shared" si="12"/>
        <v>0</v>
      </c>
    </row>
    <row r="42" spans="1:44" x14ac:dyDescent="0.25">
      <c r="A42">
        <v>41</v>
      </c>
      <c r="B42">
        <v>6</v>
      </c>
      <c r="C42" s="15" t="s">
        <v>21</v>
      </c>
      <c r="E42" s="15" t="s">
        <v>206</v>
      </c>
      <c r="G42" s="15">
        <v>122</v>
      </c>
      <c r="H42">
        <f>Konstanten!$B$3</f>
        <v>2.5</v>
      </c>
      <c r="I42">
        <f>COUNTIF(Windows!$A$4:$A$84,E42)</f>
        <v>0</v>
      </c>
      <c r="J42" t="e">
        <f>VLOOKUP(E42,Windows!$A$4:$D$84,2,FALSE)</f>
        <v>#N/A</v>
      </c>
      <c r="K42" t="e">
        <f>VLOOKUP(J42,Windows!$B$4:$D$84,2,FALSE)/1000</f>
        <v>#N/A</v>
      </c>
      <c r="L42" t="e">
        <f>VLOOKUP(J42,Windows!$B$4:$D$84,3,FALSE)/1000</f>
        <v>#N/A</v>
      </c>
      <c r="M42">
        <f t="shared" si="24"/>
        <v>0</v>
      </c>
      <c r="N42">
        <f>IF(I42&gt;=2,INDEX(Windows!$B$4:$B$84,MATCH(E42,Windows!$A$4:$A$84,0)+1),0)</f>
        <v>0</v>
      </c>
      <c r="O42" t="e">
        <f>VLOOKUP(N42,Windows!$B$4:$D$84,2,FALSE)/1000</f>
        <v>#N/A</v>
      </c>
      <c r="P42" t="e">
        <f>VLOOKUP(N42,Windows!$B$4:$D$84,3,FALSE)/1000</f>
        <v>#N/A</v>
      </c>
      <c r="Q42">
        <f t="shared" si="25"/>
        <v>0</v>
      </c>
      <c r="R42">
        <f>IF(I42&gt;=3,INDEX(Windows!$B$4:$B$84,MATCH(E42,Windows!$A$4:$A$84,0)+2),0)</f>
        <v>0</v>
      </c>
      <c r="S42" t="e">
        <f>VLOOKUP(R42,Windows!$B$4:$D$84,2,FALSE)/1000</f>
        <v>#N/A</v>
      </c>
      <c r="T42" t="e">
        <f>VLOOKUP(R42,Windows!$B$4:$D$84,3,FALSE)/1000</f>
        <v>#N/A</v>
      </c>
      <c r="U42">
        <f t="shared" si="26"/>
        <v>0</v>
      </c>
      <c r="V42">
        <f>IF(I42&gt;=4,INDEX(Windows!$B$4:$B$84,MATCH(E42,Windows!$A$4:$A$84,0)+3),0)</f>
        <v>0</v>
      </c>
      <c r="W42" t="e">
        <f>VLOOKUP(V42,Windows!$B$4:$D$84,2,FALSE)/1000</f>
        <v>#N/A</v>
      </c>
      <c r="X42" t="e">
        <f>VLOOKUP(V42,Windows!$B$4:$D$84,3,FALSE)/1000</f>
        <v>#N/A</v>
      </c>
      <c r="Y42">
        <f t="shared" si="20"/>
        <v>0</v>
      </c>
      <c r="Z42" t="str">
        <f t="shared" si="21"/>
        <v>N/A</v>
      </c>
      <c r="AA42">
        <f t="shared" si="8"/>
        <v>0</v>
      </c>
      <c r="AC42" t="s">
        <v>8</v>
      </c>
      <c r="AE42">
        <f t="shared" si="22"/>
        <v>0</v>
      </c>
      <c r="AF42">
        <f>AE42*Konstanten!$B$4</f>
        <v>0</v>
      </c>
      <c r="AG42">
        <f t="shared" si="27"/>
        <v>0</v>
      </c>
      <c r="AJ42">
        <f>866.23*2+2*47+2*81-16.73+22.03+12.09+40</f>
        <v>2045.85</v>
      </c>
      <c r="AK42">
        <f t="shared" si="23"/>
        <v>102.2925</v>
      </c>
      <c r="AL42">
        <f>AK42*Konstanten!$B$3</f>
        <v>255.73125000000002</v>
      </c>
      <c r="AN42">
        <f t="shared" si="11"/>
        <v>0</v>
      </c>
      <c r="AO42">
        <f t="shared" si="12"/>
        <v>0</v>
      </c>
    </row>
    <row r="43" spans="1:44" x14ac:dyDescent="0.25">
      <c r="A43">
        <v>42</v>
      </c>
      <c r="B43">
        <v>6</v>
      </c>
      <c r="C43" s="15" t="s">
        <v>21</v>
      </c>
      <c r="E43" s="15" t="s">
        <v>207</v>
      </c>
      <c r="G43" s="15">
        <v>63.8</v>
      </c>
      <c r="H43">
        <f>Konstanten!$B$3</f>
        <v>2.5</v>
      </c>
      <c r="I43">
        <f>COUNTIF(Windows!$A$4:$A$84,E43)</f>
        <v>0</v>
      </c>
      <c r="J43" t="e">
        <f>VLOOKUP(E43,Windows!$A$4:$D$84,2,FALSE)</f>
        <v>#N/A</v>
      </c>
      <c r="K43" t="e">
        <f>VLOOKUP(J43,Windows!$B$4:$D$84,2,FALSE)/1000</f>
        <v>#N/A</v>
      </c>
      <c r="L43" t="e">
        <f>VLOOKUP(J43,Windows!$B$4:$D$84,3,FALSE)/1000</f>
        <v>#N/A</v>
      </c>
      <c r="M43">
        <f t="shared" si="24"/>
        <v>0</v>
      </c>
      <c r="N43">
        <f>IF(I43&gt;=2,INDEX(Windows!$B$4:$B$84,MATCH(E43,Windows!$A$4:$A$84,0)+1),0)</f>
        <v>0</v>
      </c>
      <c r="O43" t="e">
        <f>VLOOKUP(N43,Windows!$B$4:$D$84,2,FALSE)/1000</f>
        <v>#N/A</v>
      </c>
      <c r="P43" t="e">
        <f>VLOOKUP(N43,Windows!$B$4:$D$84,3,FALSE)/1000</f>
        <v>#N/A</v>
      </c>
      <c r="Q43">
        <f t="shared" si="25"/>
        <v>0</v>
      </c>
      <c r="R43">
        <f>IF(I43&gt;=3,INDEX(Windows!$B$4:$B$84,MATCH(E43,Windows!$A$4:$A$84,0)+2),0)</f>
        <v>0</v>
      </c>
      <c r="S43" t="e">
        <f>VLOOKUP(R43,Windows!$B$4:$D$84,2,FALSE)/1000</f>
        <v>#N/A</v>
      </c>
      <c r="T43" t="e">
        <f>VLOOKUP(R43,Windows!$B$4:$D$84,3,FALSE)/1000</f>
        <v>#N/A</v>
      </c>
      <c r="U43">
        <f t="shared" si="26"/>
        <v>0</v>
      </c>
      <c r="V43">
        <f>IF(I43&gt;=4,INDEX(Windows!$B$4:$B$84,MATCH(E43,Windows!$A$4:$A$84,0)+3),0)</f>
        <v>0</v>
      </c>
      <c r="W43" t="e">
        <f>VLOOKUP(V43,Windows!$B$4:$D$84,2,FALSE)/1000</f>
        <v>#N/A</v>
      </c>
      <c r="X43" t="e">
        <f>VLOOKUP(V43,Windows!$B$4:$D$84,3,FALSE)/1000</f>
        <v>#N/A</v>
      </c>
      <c r="Y43">
        <f t="shared" si="20"/>
        <v>0</v>
      </c>
      <c r="Z43" t="str">
        <f t="shared" si="21"/>
        <v>N/A</v>
      </c>
      <c r="AA43">
        <f t="shared" si="8"/>
        <v>0</v>
      </c>
      <c r="AC43" t="s">
        <v>8</v>
      </c>
      <c r="AE43">
        <f t="shared" si="22"/>
        <v>0</v>
      </c>
      <c r="AF43">
        <f>AE43*Konstanten!$B$4</f>
        <v>0</v>
      </c>
      <c r="AG43">
        <f t="shared" si="27"/>
        <v>0</v>
      </c>
      <c r="AJ43">
        <f>96.67+33.36+78.66+32.15+58.34+123.29+12.94+17.47+63.5+14.39+42.67+197.44</f>
        <v>770.87999999999988</v>
      </c>
      <c r="AK43">
        <f t="shared" si="23"/>
        <v>38.543999999999997</v>
      </c>
      <c r="AL43">
        <f>AK43*Konstanten!$B$3</f>
        <v>96.359999999999985</v>
      </c>
      <c r="AN43">
        <f t="shared" si="11"/>
        <v>0</v>
      </c>
      <c r="AO43">
        <f t="shared" si="12"/>
        <v>0</v>
      </c>
    </row>
    <row r="44" spans="1:44" x14ac:dyDescent="0.25">
      <c r="A44" s="12">
        <v>43</v>
      </c>
      <c r="B44">
        <v>6</v>
      </c>
      <c r="C44" s="15" t="s">
        <v>34</v>
      </c>
      <c r="E44" s="15" t="s">
        <v>208</v>
      </c>
      <c r="G44" s="15">
        <v>7.9</v>
      </c>
      <c r="H44">
        <f>Konstanten!$B$3</f>
        <v>2.5</v>
      </c>
      <c r="I44">
        <f>COUNTIF(Windows!$A$4:$A$84,E44)</f>
        <v>0</v>
      </c>
      <c r="J44" t="e">
        <f>VLOOKUP(E44,Windows!$A$4:$D$84,2,FALSE)</f>
        <v>#N/A</v>
      </c>
      <c r="K44" t="e">
        <f>VLOOKUP(J44,Windows!$B$4:$D$84,2,FALSE)/1000</f>
        <v>#N/A</v>
      </c>
      <c r="L44" t="e">
        <f>VLOOKUP(J44,Windows!$B$4:$D$84,3,FALSE)/1000</f>
        <v>#N/A</v>
      </c>
      <c r="M44">
        <f t="shared" ref="M44:M48" si="28">IF(ISNA(L44*K44),0,K44*L44)</f>
        <v>0</v>
      </c>
      <c r="N44">
        <f>IF(I44&gt;=2,INDEX(Windows!$B$4:$B$84,MATCH(E44,Windows!$A$4:$A$84,0)+1),0)</f>
        <v>0</v>
      </c>
      <c r="O44" t="e">
        <f>VLOOKUP(N44,Windows!$B$4:$D$84,2,FALSE)/1000</f>
        <v>#N/A</v>
      </c>
      <c r="P44" t="e">
        <f>VLOOKUP(N44,Windows!$B$4:$D$84,3,FALSE)/1000</f>
        <v>#N/A</v>
      </c>
      <c r="Q44">
        <f t="shared" ref="Q44:Q48" si="29">IF(ISNA(P44*O44),0,O44*P44)</f>
        <v>0</v>
      </c>
      <c r="R44">
        <f>IF(I44&gt;=3,INDEX(Windows!$B$4:$B$84,MATCH(E44,Windows!$A$4:$A$84,0)+2),0)</f>
        <v>0</v>
      </c>
      <c r="S44" t="e">
        <f>VLOOKUP(R44,Windows!$B$4:$D$84,2,FALSE)/1000</f>
        <v>#N/A</v>
      </c>
      <c r="T44" t="e">
        <f>VLOOKUP(R44,Windows!$B$4:$D$84,3,FALSE)/1000</f>
        <v>#N/A</v>
      </c>
      <c r="U44">
        <f t="shared" ref="U44:U48" si="30">IF(ISNA(T44*S44),0,S44*T44)</f>
        <v>0</v>
      </c>
      <c r="V44">
        <f>IF(I44&gt;=4,INDEX(Windows!$B$4:$B$84,MATCH(E44,Windows!$A$4:$A$84,0)+3),0)</f>
        <v>0</v>
      </c>
      <c r="W44" t="e">
        <f>VLOOKUP(V44,Windows!$B$4:$D$84,2,FALSE)/1000</f>
        <v>#N/A</v>
      </c>
      <c r="X44" t="e">
        <f>VLOOKUP(V44,Windows!$B$4:$D$84,3,FALSE)/1000</f>
        <v>#N/A</v>
      </c>
      <c r="Y44">
        <f t="shared" ref="Y44:Y48" si="31">IF(ISNA(X44*W44),0,W44*X44)</f>
        <v>0</v>
      </c>
      <c r="Z44" t="str">
        <f t="shared" ref="Z44:Z48" si="32">IF(I44&gt;0,AC44,"N/A")</f>
        <v>N/A</v>
      </c>
      <c r="AA44">
        <f t="shared" ref="AA44:AA48" si="33">SUM(M44,Q44,U44,Y44)</f>
        <v>0</v>
      </c>
      <c r="AC44" t="s">
        <v>8</v>
      </c>
      <c r="AE44">
        <f t="shared" si="22"/>
        <v>0</v>
      </c>
      <c r="AF44">
        <f>AE44*Konstanten!$B$4</f>
        <v>0</v>
      </c>
      <c r="AG44">
        <f t="shared" si="27"/>
        <v>0</v>
      </c>
      <c r="AJ44">
        <f>77.81+41.86+63.18+22.03+28.11</f>
        <v>232.99</v>
      </c>
      <c r="AK44">
        <f t="shared" ref="AK44:AK48" si="34">50/1000*AJ44</f>
        <v>11.649500000000002</v>
      </c>
      <c r="AL44">
        <f>AK44*Konstanten!$B$3</f>
        <v>29.123750000000005</v>
      </c>
      <c r="AN44">
        <f t="shared" ref="AN44:AN48" si="35">IF(B44=9,1,0)</f>
        <v>0</v>
      </c>
      <c r="AO44">
        <f t="shared" ref="AO44:AO48" si="36">IF(B44=1,1,0)</f>
        <v>0</v>
      </c>
    </row>
    <row r="45" spans="1:44" x14ac:dyDescent="0.25">
      <c r="A45">
        <v>44</v>
      </c>
      <c r="B45">
        <v>6</v>
      </c>
      <c r="C45" s="15" t="s">
        <v>34</v>
      </c>
      <c r="E45" s="15" t="s">
        <v>203</v>
      </c>
      <c r="G45" s="15">
        <v>15.5</v>
      </c>
      <c r="H45">
        <f>Konstanten!$B$3</f>
        <v>2.5</v>
      </c>
      <c r="I45">
        <f>COUNTIF(Windows!$A$4:$A$84,E45)</f>
        <v>0</v>
      </c>
      <c r="J45" t="e">
        <f>VLOOKUP(E45,Windows!$A$4:$D$84,2,FALSE)</f>
        <v>#N/A</v>
      </c>
      <c r="K45" t="e">
        <f>VLOOKUP(J45,Windows!$B$4:$D$84,2,FALSE)/1000</f>
        <v>#N/A</v>
      </c>
      <c r="L45" t="e">
        <f>VLOOKUP(J45,Windows!$B$4:$D$84,3,FALSE)/1000</f>
        <v>#N/A</v>
      </c>
      <c r="M45">
        <f t="shared" si="28"/>
        <v>0</v>
      </c>
      <c r="N45">
        <f>IF(I45&gt;=2,INDEX(Windows!$B$4:$B$84,MATCH(E45,Windows!$A$4:$A$84,0)+1),0)</f>
        <v>0</v>
      </c>
      <c r="O45" t="e">
        <f>VLOOKUP(N45,Windows!$B$4:$D$84,2,FALSE)/1000</f>
        <v>#N/A</v>
      </c>
      <c r="P45" t="e">
        <f>VLOOKUP(N45,Windows!$B$4:$D$84,3,FALSE)/1000</f>
        <v>#N/A</v>
      </c>
      <c r="Q45">
        <f t="shared" si="29"/>
        <v>0</v>
      </c>
      <c r="R45">
        <f>IF(I45&gt;=3,INDEX(Windows!$B$4:$B$84,MATCH(E45,Windows!$A$4:$A$84,0)+2),0)</f>
        <v>0</v>
      </c>
      <c r="S45" t="e">
        <f>VLOOKUP(R45,Windows!$B$4:$D$84,2,FALSE)/1000</f>
        <v>#N/A</v>
      </c>
      <c r="T45" t="e">
        <f>VLOOKUP(R45,Windows!$B$4:$D$84,3,FALSE)/1000</f>
        <v>#N/A</v>
      </c>
      <c r="U45">
        <f t="shared" si="30"/>
        <v>0</v>
      </c>
      <c r="V45">
        <f>IF(I45&gt;=4,INDEX(Windows!$B$4:$B$84,MATCH(E45,Windows!$A$4:$A$84,0)+3),0)</f>
        <v>0</v>
      </c>
      <c r="W45" t="e">
        <f>VLOOKUP(V45,Windows!$B$4:$D$84,2,FALSE)/1000</f>
        <v>#N/A</v>
      </c>
      <c r="X45" t="e">
        <f>VLOOKUP(V45,Windows!$B$4:$D$84,3,FALSE)/1000</f>
        <v>#N/A</v>
      </c>
      <c r="Y45">
        <f t="shared" si="31"/>
        <v>0</v>
      </c>
      <c r="Z45" t="str">
        <f t="shared" si="32"/>
        <v>N/A</v>
      </c>
      <c r="AA45">
        <f t="shared" si="33"/>
        <v>0</v>
      </c>
      <c r="AC45" t="s">
        <v>8</v>
      </c>
      <c r="AE45">
        <f t="shared" si="22"/>
        <v>0</v>
      </c>
      <c r="AF45">
        <f>AE45*Konstanten!$B$4</f>
        <v>0</v>
      </c>
      <c r="AG45">
        <f t="shared" si="27"/>
        <v>0</v>
      </c>
      <c r="AJ45">
        <f>87.8+46.39+15.07+28.96+72.73+75.86</f>
        <v>326.81</v>
      </c>
      <c r="AK45">
        <f t="shared" si="34"/>
        <v>16.340500000000002</v>
      </c>
      <c r="AL45">
        <f>AK45*Konstanten!$B$3</f>
        <v>40.851250000000007</v>
      </c>
      <c r="AN45">
        <f t="shared" si="35"/>
        <v>0</v>
      </c>
      <c r="AO45">
        <f t="shared" si="36"/>
        <v>0</v>
      </c>
    </row>
    <row r="46" spans="1:44" x14ac:dyDescent="0.25">
      <c r="A46">
        <v>45</v>
      </c>
      <c r="B46">
        <v>6</v>
      </c>
      <c r="C46" s="15" t="s">
        <v>18</v>
      </c>
      <c r="E46" s="15" t="s">
        <v>204</v>
      </c>
      <c r="G46" s="15">
        <v>32.799999999999997</v>
      </c>
      <c r="H46">
        <f>Konstanten!$B$3</f>
        <v>2.5</v>
      </c>
      <c r="I46">
        <f>COUNTIF(Windows!$A$4:$A$84,E46)</f>
        <v>0</v>
      </c>
      <c r="J46" t="e">
        <f>VLOOKUP(E46,Windows!$A$4:$D$84,2,FALSE)</f>
        <v>#N/A</v>
      </c>
      <c r="K46" t="e">
        <f>VLOOKUP(J46,Windows!$B$4:$D$84,2,FALSE)/1000</f>
        <v>#N/A</v>
      </c>
      <c r="L46" t="e">
        <f>VLOOKUP(J46,Windows!$B$4:$D$84,3,FALSE)/1000</f>
        <v>#N/A</v>
      </c>
      <c r="M46">
        <f t="shared" si="28"/>
        <v>0</v>
      </c>
      <c r="N46">
        <f>IF(I46&gt;=2,INDEX(Windows!$B$4:$B$84,MATCH(E46,Windows!$A$4:$A$84,0)+1),0)</f>
        <v>0</v>
      </c>
      <c r="O46" t="e">
        <f>VLOOKUP(N46,Windows!$B$4:$D$84,2,FALSE)/1000</f>
        <v>#N/A</v>
      </c>
      <c r="P46" t="e">
        <f>VLOOKUP(N46,Windows!$B$4:$D$84,3,FALSE)/1000</f>
        <v>#N/A</v>
      </c>
      <c r="Q46">
        <f t="shared" si="29"/>
        <v>0</v>
      </c>
      <c r="R46">
        <f>IF(I46&gt;=3,INDEX(Windows!$B$4:$B$84,MATCH(E46,Windows!$A$4:$A$84,0)+2),0)</f>
        <v>0</v>
      </c>
      <c r="S46" t="e">
        <f>VLOOKUP(R46,Windows!$B$4:$D$84,2,FALSE)/1000</f>
        <v>#N/A</v>
      </c>
      <c r="T46" t="e">
        <f>VLOOKUP(R46,Windows!$B$4:$D$84,3,FALSE)/1000</f>
        <v>#N/A</v>
      </c>
      <c r="U46">
        <f t="shared" si="30"/>
        <v>0</v>
      </c>
      <c r="V46">
        <f>IF(I46&gt;=4,INDEX(Windows!$B$4:$B$84,MATCH(E46,Windows!$A$4:$A$84,0)+3),0)</f>
        <v>0</v>
      </c>
      <c r="W46" t="e">
        <f>VLOOKUP(V46,Windows!$B$4:$D$84,2,FALSE)/1000</f>
        <v>#N/A</v>
      </c>
      <c r="X46" t="e">
        <f>VLOOKUP(V46,Windows!$B$4:$D$84,3,FALSE)/1000</f>
        <v>#N/A</v>
      </c>
      <c r="Y46">
        <f t="shared" si="31"/>
        <v>0</v>
      </c>
      <c r="Z46" t="str">
        <f t="shared" si="32"/>
        <v>N/A</v>
      </c>
      <c r="AA46">
        <f t="shared" si="33"/>
        <v>0</v>
      </c>
      <c r="AC46" t="s">
        <v>8</v>
      </c>
      <c r="AE46">
        <f t="shared" ref="AE46:AE48" si="37">AD46*50/1000</f>
        <v>0</v>
      </c>
      <c r="AF46">
        <f>AE46*Konstanten!$B$4</f>
        <v>0</v>
      </c>
      <c r="AG46">
        <f t="shared" si="27"/>
        <v>0</v>
      </c>
      <c r="AJ46">
        <f>129.59+99.75+129.57+102.02</f>
        <v>460.92999999999995</v>
      </c>
      <c r="AK46">
        <f t="shared" si="34"/>
        <v>23.046499999999998</v>
      </c>
      <c r="AL46">
        <f>AK46*Konstanten!$B$3</f>
        <v>57.616249999999994</v>
      </c>
      <c r="AN46">
        <f t="shared" si="35"/>
        <v>0</v>
      </c>
      <c r="AO46">
        <f t="shared" si="36"/>
        <v>0</v>
      </c>
    </row>
    <row r="47" spans="1:44" x14ac:dyDescent="0.25">
      <c r="A47">
        <v>46</v>
      </c>
      <c r="B47">
        <v>6</v>
      </c>
      <c r="C47" s="15" t="s">
        <v>18</v>
      </c>
      <c r="E47" s="15" t="s">
        <v>209</v>
      </c>
      <c r="F47" t="s">
        <v>204</v>
      </c>
      <c r="G47" s="15">
        <v>7.6</v>
      </c>
      <c r="H47">
        <f>Konstanten!$B$3</f>
        <v>2.5</v>
      </c>
      <c r="I47">
        <f>COUNTIF(Windows!$A$4:$A$84,E47)</f>
        <v>0</v>
      </c>
      <c r="J47" t="e">
        <f>VLOOKUP(E47,Windows!$A$4:$D$84,2,FALSE)</f>
        <v>#N/A</v>
      </c>
      <c r="K47" t="e">
        <f>VLOOKUP(J47,Windows!$B$4:$D$84,2,FALSE)/1000</f>
        <v>#N/A</v>
      </c>
      <c r="L47" t="e">
        <f>VLOOKUP(J47,Windows!$B$4:$D$84,3,FALSE)/1000</f>
        <v>#N/A</v>
      </c>
      <c r="M47">
        <f t="shared" si="28"/>
        <v>0</v>
      </c>
      <c r="N47">
        <f>IF(I47&gt;=2,INDEX(Windows!$B$4:$B$84,MATCH(E47,Windows!$A$4:$A$84,0)+1),0)</f>
        <v>0</v>
      </c>
      <c r="O47" t="e">
        <f>VLOOKUP(N47,Windows!$B$4:$D$84,2,FALSE)/1000</f>
        <v>#N/A</v>
      </c>
      <c r="P47" t="e">
        <f>VLOOKUP(N47,Windows!$B$4:$D$84,3,FALSE)/1000</f>
        <v>#N/A</v>
      </c>
      <c r="Q47">
        <f t="shared" si="29"/>
        <v>0</v>
      </c>
      <c r="R47">
        <f>IF(I47&gt;=3,INDEX(Windows!$B$4:$B$84,MATCH(E47,Windows!$A$4:$A$84,0)+2),0)</f>
        <v>0</v>
      </c>
      <c r="S47" t="e">
        <f>VLOOKUP(R47,Windows!$B$4:$D$84,2,FALSE)/1000</f>
        <v>#N/A</v>
      </c>
      <c r="T47" t="e">
        <f>VLOOKUP(R47,Windows!$B$4:$D$84,3,FALSE)/1000</f>
        <v>#N/A</v>
      </c>
      <c r="U47">
        <f t="shared" si="30"/>
        <v>0</v>
      </c>
      <c r="V47">
        <f>IF(I47&gt;=4,INDEX(Windows!$B$4:$B$84,MATCH(E47,Windows!$A$4:$A$84,0)+3),0)</f>
        <v>0</v>
      </c>
      <c r="W47" t="e">
        <f>VLOOKUP(V47,Windows!$B$4:$D$84,2,FALSE)/1000</f>
        <v>#N/A</v>
      </c>
      <c r="X47" t="e">
        <f>VLOOKUP(V47,Windows!$B$4:$D$84,3,FALSE)/1000</f>
        <v>#N/A</v>
      </c>
      <c r="Y47">
        <f t="shared" si="31"/>
        <v>0</v>
      </c>
      <c r="Z47" t="str">
        <f t="shared" si="32"/>
        <v>N/A</v>
      </c>
      <c r="AA47">
        <f t="shared" si="33"/>
        <v>0</v>
      </c>
      <c r="AC47" t="s">
        <v>8</v>
      </c>
      <c r="AE47">
        <f t="shared" si="37"/>
        <v>0</v>
      </c>
      <c r="AF47">
        <f>AE47*Konstanten!$B$4</f>
        <v>0</v>
      </c>
      <c r="AG47">
        <f t="shared" ref="AG47:AG48" si="38">IF(AF47-AA47&lt;=0, 0, AF47-AA47)</f>
        <v>0</v>
      </c>
      <c r="AJ47">
        <f>2*(52.41+59.94)</f>
        <v>224.7</v>
      </c>
      <c r="AK47">
        <f t="shared" si="34"/>
        <v>11.234999999999999</v>
      </c>
      <c r="AL47">
        <f>AK47*Konstanten!$B$3</f>
        <v>28.087499999999999</v>
      </c>
      <c r="AN47">
        <f t="shared" si="35"/>
        <v>0</v>
      </c>
      <c r="AO47">
        <f t="shared" si="36"/>
        <v>0</v>
      </c>
    </row>
    <row r="48" spans="1:44" x14ac:dyDescent="0.25">
      <c r="A48" s="12">
        <v>47</v>
      </c>
      <c r="B48">
        <v>6</v>
      </c>
      <c r="C48" s="15" t="s">
        <v>18</v>
      </c>
      <c r="E48" s="15" t="s">
        <v>210</v>
      </c>
      <c r="G48" s="15">
        <v>14.5</v>
      </c>
      <c r="H48">
        <f>Konstanten!$B$3</f>
        <v>2.5</v>
      </c>
      <c r="I48">
        <f>COUNTIF(Windows!$A$4:$A$84,E48)</f>
        <v>0</v>
      </c>
      <c r="J48" t="e">
        <f>VLOOKUP(E48,Windows!$A$4:$D$84,2,FALSE)</f>
        <v>#N/A</v>
      </c>
      <c r="K48" t="e">
        <f>VLOOKUP(J48,Windows!$B$4:$D$84,2,FALSE)/1000</f>
        <v>#N/A</v>
      </c>
      <c r="L48" t="e">
        <f>VLOOKUP(J48,Windows!$B$4:$D$84,3,FALSE)/1000</f>
        <v>#N/A</v>
      </c>
      <c r="M48">
        <f t="shared" si="28"/>
        <v>0</v>
      </c>
      <c r="N48">
        <f>IF(I48&gt;=2,INDEX(Windows!$B$4:$B$84,MATCH(E48,Windows!$A$4:$A$84,0)+1),0)</f>
        <v>0</v>
      </c>
      <c r="O48" t="e">
        <f>VLOOKUP(N48,Windows!$B$4:$D$84,2,FALSE)/1000</f>
        <v>#N/A</v>
      </c>
      <c r="P48" t="e">
        <f>VLOOKUP(N48,Windows!$B$4:$D$84,3,FALSE)/1000</f>
        <v>#N/A</v>
      </c>
      <c r="Q48">
        <f t="shared" si="29"/>
        <v>0</v>
      </c>
      <c r="R48">
        <f>IF(I48&gt;=3,INDEX(Windows!$B$4:$B$84,MATCH(E48,Windows!$A$4:$A$84,0)+2),0)</f>
        <v>0</v>
      </c>
      <c r="S48" t="e">
        <f>VLOOKUP(R48,Windows!$B$4:$D$84,2,FALSE)/1000</f>
        <v>#N/A</v>
      </c>
      <c r="T48" t="e">
        <f>VLOOKUP(R48,Windows!$B$4:$D$84,3,FALSE)/1000</f>
        <v>#N/A</v>
      </c>
      <c r="U48">
        <f t="shared" si="30"/>
        <v>0</v>
      </c>
      <c r="V48">
        <f>IF(I48&gt;=4,INDEX(Windows!$B$4:$B$84,MATCH(E48,Windows!$A$4:$A$84,0)+3),0)</f>
        <v>0</v>
      </c>
      <c r="W48" t="e">
        <f>VLOOKUP(V48,Windows!$B$4:$D$84,2,FALSE)/1000</f>
        <v>#N/A</v>
      </c>
      <c r="X48" t="e">
        <f>VLOOKUP(V48,Windows!$B$4:$D$84,3,FALSE)/1000</f>
        <v>#N/A</v>
      </c>
      <c r="Y48">
        <f t="shared" si="31"/>
        <v>0</v>
      </c>
      <c r="Z48" t="str">
        <f t="shared" si="32"/>
        <v>N/A</v>
      </c>
      <c r="AA48">
        <f t="shared" si="33"/>
        <v>0</v>
      </c>
      <c r="AC48" t="s">
        <v>8</v>
      </c>
      <c r="AE48">
        <f t="shared" si="37"/>
        <v>0</v>
      </c>
      <c r="AF48">
        <f>AE48*Konstanten!$B$4</f>
        <v>0</v>
      </c>
      <c r="AG48">
        <f t="shared" si="38"/>
        <v>0</v>
      </c>
      <c r="AJ48">
        <f>162.04+18.54+17.6+143.34+40.47</f>
        <v>381.99</v>
      </c>
      <c r="AK48">
        <f t="shared" si="34"/>
        <v>19.099500000000003</v>
      </c>
      <c r="AL48">
        <f>AK48*Konstanten!$B$3</f>
        <v>47.748750000000008</v>
      </c>
      <c r="AN48">
        <f t="shared" si="35"/>
        <v>0</v>
      </c>
      <c r="AO48">
        <f t="shared" si="36"/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42"/>
  <sheetViews>
    <sheetView zoomScale="55" zoomScaleNormal="55" workbookViewId="0">
      <selection activeCell="K42" sqref="K42"/>
    </sheetView>
  </sheetViews>
  <sheetFormatPr baseColWidth="10" defaultRowHeight="15" x14ac:dyDescent="0.25"/>
  <sheetData>
    <row r="4" spans="1:19" ht="28.5" x14ac:dyDescent="0.45">
      <c r="B4" s="9" t="s">
        <v>108</v>
      </c>
      <c r="L4" s="11" t="s">
        <v>109</v>
      </c>
      <c r="S4" s="11" t="s">
        <v>110</v>
      </c>
    </row>
    <row r="5" spans="1:19" x14ac:dyDescent="0.25">
      <c r="A5" s="13" t="s">
        <v>126</v>
      </c>
    </row>
    <row r="42" spans="3:22" ht="26.25" x14ac:dyDescent="0.4">
      <c r="C42" s="11" t="s">
        <v>111</v>
      </c>
      <c r="J42" t="s">
        <v>289</v>
      </c>
      <c r="N42" s="10" t="s">
        <v>112</v>
      </c>
      <c r="V42" s="11" t="s">
        <v>113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45"/>
  <sheetViews>
    <sheetView zoomScale="85" zoomScaleNormal="85" workbookViewId="0">
      <pane xSplit="5" ySplit="1" topLeftCell="X2" activePane="bottomRight" state="frozen"/>
      <selection pane="topRight" activeCell="F1" sqref="F1"/>
      <selection pane="bottomLeft" activeCell="A2" sqref="A2"/>
      <selection pane="bottomRight" activeCell="AF2" sqref="AF2"/>
    </sheetView>
  </sheetViews>
  <sheetFormatPr baseColWidth="10" defaultRowHeight="15" x14ac:dyDescent="0.25"/>
  <cols>
    <col min="1" max="1" width="6.28515625" bestFit="1" customWidth="1"/>
    <col min="2" max="2" width="6" bestFit="1" customWidth="1"/>
    <col min="3" max="3" width="15.140625" bestFit="1" customWidth="1"/>
    <col min="4" max="4" width="9.28515625" bestFit="1" customWidth="1"/>
    <col min="5" max="5" width="15.7109375" bestFit="1" customWidth="1"/>
    <col min="6" max="6" width="20.140625" bestFit="1" customWidth="1"/>
    <col min="7" max="7" width="13.140625" bestFit="1" customWidth="1"/>
    <col min="8" max="8" width="23.7109375" bestFit="1" customWidth="1"/>
    <col min="9" max="25" width="9.28515625" customWidth="1"/>
    <col min="26" max="26" width="23.140625" bestFit="1" customWidth="1"/>
    <col min="27" max="27" width="18" bestFit="1" customWidth="1"/>
    <col min="28" max="28" width="22.140625" bestFit="1" customWidth="1"/>
    <col min="29" max="29" width="25" bestFit="1" customWidth="1"/>
    <col min="30" max="30" width="33.42578125" bestFit="1" customWidth="1"/>
    <col min="31" max="32" width="9.28515625" customWidth="1"/>
    <col min="33" max="33" width="19.85546875" bestFit="1" customWidth="1"/>
    <col min="34" max="34" width="24" bestFit="1" customWidth="1"/>
    <col min="35" max="35" width="9.28515625" customWidth="1"/>
    <col min="36" max="36" width="32.7109375" bestFit="1" customWidth="1"/>
    <col min="37" max="37" width="9.28515625" customWidth="1"/>
    <col min="38" max="38" width="19.28515625" bestFit="1" customWidth="1"/>
    <col min="39" max="39" width="23.42578125" bestFit="1" customWidth="1"/>
    <col min="40" max="40" width="14.85546875" bestFit="1" customWidth="1"/>
    <col min="41" max="41" width="10.42578125" bestFit="1" customWidth="1"/>
    <col min="42" max="42" width="18.7109375" bestFit="1" customWidth="1"/>
    <col min="43" max="43" width="20.140625" bestFit="1" customWidth="1"/>
    <col min="44" max="44" width="29.7109375" style="12" customWidth="1"/>
  </cols>
  <sheetData>
    <row r="1" spans="1:58" s="1" customFormat="1" ht="16.5" thickBot="1" x14ac:dyDescent="0.3">
      <c r="A1" s="1" t="s">
        <v>35</v>
      </c>
      <c r="B1" s="1" t="s">
        <v>0</v>
      </c>
      <c r="C1" s="17" t="s">
        <v>38</v>
      </c>
      <c r="D1" s="1" t="s">
        <v>15</v>
      </c>
      <c r="E1" s="17" t="s">
        <v>37</v>
      </c>
      <c r="F1" s="17" t="s">
        <v>39</v>
      </c>
      <c r="G1" s="17" t="s">
        <v>36</v>
      </c>
      <c r="H1" s="8" t="s">
        <v>43</v>
      </c>
      <c r="I1" s="1" t="s">
        <v>17</v>
      </c>
      <c r="J1" s="1" t="s">
        <v>54</v>
      </c>
      <c r="K1" s="1" t="s">
        <v>58</v>
      </c>
      <c r="L1" s="1" t="s">
        <v>58</v>
      </c>
      <c r="M1" s="1" t="s">
        <v>57</v>
      </c>
      <c r="N1" s="1" t="s">
        <v>55</v>
      </c>
      <c r="O1" s="1" t="s">
        <v>59</v>
      </c>
      <c r="P1" s="1" t="s">
        <v>59</v>
      </c>
      <c r="Q1" s="1" t="s">
        <v>56</v>
      </c>
      <c r="R1" s="1" t="s">
        <v>74</v>
      </c>
      <c r="S1" s="1" t="s">
        <v>76</v>
      </c>
      <c r="T1" s="1" t="s">
        <v>76</v>
      </c>
      <c r="U1" s="1" t="s">
        <v>77</v>
      </c>
      <c r="V1" s="1" t="s">
        <v>193</v>
      </c>
      <c r="W1" s="1" t="s">
        <v>194</v>
      </c>
      <c r="X1" s="1" t="s">
        <v>194</v>
      </c>
      <c r="Y1" s="1" t="s">
        <v>195</v>
      </c>
      <c r="Z1" s="8" t="s">
        <v>48</v>
      </c>
      <c r="AA1" s="8" t="s">
        <v>40</v>
      </c>
      <c r="AB1" s="8" t="s">
        <v>44</v>
      </c>
      <c r="AC1" s="17" t="s">
        <v>49</v>
      </c>
      <c r="AD1" s="17" t="s">
        <v>196</v>
      </c>
      <c r="AE1" s="1" t="s">
        <v>197</v>
      </c>
      <c r="AF1" s="1" t="s">
        <v>93</v>
      </c>
      <c r="AG1" s="8" t="s">
        <v>41</v>
      </c>
      <c r="AH1" s="17" t="s">
        <v>42</v>
      </c>
      <c r="AI1" s="1" t="s">
        <v>53</v>
      </c>
      <c r="AJ1" s="17" t="s">
        <v>20</v>
      </c>
      <c r="AK1" s="1" t="s">
        <v>19</v>
      </c>
      <c r="AL1" s="8" t="s">
        <v>47</v>
      </c>
      <c r="AM1" s="8" t="s">
        <v>50</v>
      </c>
      <c r="AN1" s="8" t="s">
        <v>46</v>
      </c>
      <c r="AO1" s="8" t="s">
        <v>45</v>
      </c>
      <c r="AP1" s="8" t="s">
        <v>51</v>
      </c>
      <c r="AQ1" s="8" t="s">
        <v>52</v>
      </c>
      <c r="AR1" s="18"/>
      <c r="AS1" s="1" t="s">
        <v>1</v>
      </c>
      <c r="AT1" s="1" t="s">
        <v>2</v>
      </c>
      <c r="AU1" s="1" t="s">
        <v>11</v>
      </c>
      <c r="AV1" s="1" t="s">
        <v>3</v>
      </c>
      <c r="AW1" s="1" t="s">
        <v>4</v>
      </c>
      <c r="AX1" s="1" t="s">
        <v>7</v>
      </c>
      <c r="AY1" s="1" t="s">
        <v>5</v>
      </c>
      <c r="AZ1" s="1" t="s">
        <v>6</v>
      </c>
      <c r="BB1" s="3" t="s">
        <v>9</v>
      </c>
      <c r="BC1" s="1" t="s">
        <v>10</v>
      </c>
      <c r="BD1" s="1" t="s">
        <v>12</v>
      </c>
      <c r="BE1" s="1" t="s">
        <v>13</v>
      </c>
      <c r="BF1" s="1" t="s">
        <v>14</v>
      </c>
    </row>
    <row r="2" spans="1:58" ht="15.75" thickTop="1" x14ac:dyDescent="0.25">
      <c r="A2">
        <v>1</v>
      </c>
      <c r="B2">
        <v>6</v>
      </c>
      <c r="C2" t="s">
        <v>34</v>
      </c>
      <c r="E2" t="s">
        <v>202</v>
      </c>
      <c r="G2" s="19">
        <v>14.6</v>
      </c>
      <c r="H2">
        <f>Konstanten!$B$3</f>
        <v>2.5</v>
      </c>
      <c r="I2">
        <f>COUNTIF(Windows!$A$4:$A$84,E2)</f>
        <v>0</v>
      </c>
      <c r="J2" t="e">
        <f>VLOOKUP(E2,Windows!$A$4:$D$84,2,FALSE)</f>
        <v>#N/A</v>
      </c>
      <c r="K2" t="e">
        <f>VLOOKUP(J2,Windows!$B$4:$D$84,2,FALSE)/1000</f>
        <v>#N/A</v>
      </c>
      <c r="L2" t="e">
        <f>VLOOKUP(J2,Windows!$B$4:$D$84,3,FALSE)/1000</f>
        <v>#N/A</v>
      </c>
      <c r="M2">
        <f t="shared" ref="M2:M44" si="0">IF(ISNA(L2*K2),0,K2*L2)</f>
        <v>0</v>
      </c>
      <c r="N2">
        <f>IF(I2&gt;=2,INDEX(Windows!$B$4:$B$84,MATCH(J2,Windows!$B$4:$B$84,0)+1),0)</f>
        <v>0</v>
      </c>
      <c r="O2" t="e">
        <f>VLOOKUP(N2,Windows!$B$4:$D$84,2,FALSE)/1000</f>
        <v>#N/A</v>
      </c>
      <c r="P2" t="e">
        <f>VLOOKUP(N2,Windows!$B$4:$D$84,3,FALSE)/1000</f>
        <v>#N/A</v>
      </c>
      <c r="Q2">
        <f t="shared" ref="Q2:Q44" si="1">IF(ISNA(P2*O2),0,O2*P2)</f>
        <v>0</v>
      </c>
      <c r="R2">
        <f>IF(I2&gt;=3,INDEX(Windows!$B$4:$B$84,MATCH(J2,Windows!$B$4:$B$84,0)+2),0)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:U44" si="2">IF(ISNA(T2*S2),0,S2*T2)</f>
        <v>0</v>
      </c>
      <c r="V2">
        <f>IF(I2&gt;=4,INDEX(Windows!$B$4:$B$84,MATCH(J2,Windows!$B$4:$B$84,0)+3),0)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:Y44" si="3">IF(ISNA(X2*W2),0,W2*X2)</f>
        <v>0</v>
      </c>
      <c r="Z2" t="str">
        <f>IF(I2&gt;0,AC2,"N/A")</f>
        <v>N/A</v>
      </c>
      <c r="AA2">
        <f>SUM(M2,Q2,U2,Y2)</f>
        <v>0</v>
      </c>
      <c r="AC2" t="s">
        <v>8</v>
      </c>
      <c r="AE2">
        <f>AD2*50/1000</f>
        <v>0</v>
      </c>
      <c r="AF2">
        <f>AE2*Konstanten!$B$4</f>
        <v>0</v>
      </c>
      <c r="AG2">
        <f>IF(AF2-AA2&lt;=0, 0, AF2-AA2)</f>
        <v>0</v>
      </c>
      <c r="AJ2" s="19">
        <f>26+72.56+98.38+57.57+72.39+15</f>
        <v>341.9</v>
      </c>
      <c r="AK2" s="19">
        <f>50/1000*AJ2</f>
        <v>17.094999999999999</v>
      </c>
      <c r="AL2" s="19">
        <f>AK2*Konstanten!$B$3</f>
        <v>42.737499999999997</v>
      </c>
      <c r="AN2">
        <f>IF(B2=9,1,0)</f>
        <v>0</v>
      </c>
      <c r="AO2">
        <f>IF(B2=1,1,0)</f>
        <v>0</v>
      </c>
      <c r="AS2" s="12"/>
      <c r="BB2" s="4"/>
    </row>
    <row r="3" spans="1:58" x14ac:dyDescent="0.25">
      <c r="A3">
        <v>2</v>
      </c>
      <c r="B3">
        <v>6</v>
      </c>
      <c r="C3" t="s">
        <v>21</v>
      </c>
      <c r="E3" t="s">
        <v>211</v>
      </c>
      <c r="G3" s="19">
        <v>46.7</v>
      </c>
      <c r="H3">
        <f>Konstanten!$B$3</f>
        <v>2.5</v>
      </c>
      <c r="I3">
        <v>0</v>
      </c>
      <c r="J3" t="e">
        <f>VLOOKUP(E3,Windows!$A$4:$D$84,2,FALSE)</f>
        <v>#N/A</v>
      </c>
      <c r="K3" t="e">
        <f>VLOOKUP(J3,Windows!$B$4:$D$84,2,FALSE)/1000</f>
        <v>#N/A</v>
      </c>
      <c r="L3" t="e">
        <f>VLOOKUP(J3,Windows!$B$4:$D$84,3,FALSE)/1000</f>
        <v>#N/A</v>
      </c>
      <c r="M3">
        <f t="shared" si="0"/>
        <v>0</v>
      </c>
      <c r="N3">
        <f>IF(I3&gt;=2,INDEX(Windows!$B$4:$B$84,MATCH(J3,Windows!$B$4:$B$84,0)+1),0)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si="1"/>
        <v>0</v>
      </c>
      <c r="R3">
        <f>IF(I3&gt;=3,INDEX(Windows!$B$4:$B$84,MATCH(J3,Windows!$B$4:$B$84,0)+2),0)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si="2"/>
        <v>0</v>
      </c>
      <c r="V3">
        <f>IF(I3&gt;=4,INDEX(Windows!$B$4:$B$84,MATCH(J3,Windows!$B$4:$B$84,0)+3),0)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si="3"/>
        <v>0</v>
      </c>
      <c r="Z3" t="str">
        <f t="shared" ref="Z3:Z34" si="4">IF(I3&gt;0,AC3,"N/A")</f>
        <v>N/A</v>
      </c>
      <c r="AA3">
        <f t="shared" ref="AA3:AA44" si="5">SUM(M3,Q3,U3,Y3)</f>
        <v>0</v>
      </c>
      <c r="AC3" t="s">
        <v>8</v>
      </c>
      <c r="AE3">
        <f t="shared" ref="AE3:AE34" si="6">AD3*50/1000</f>
        <v>0</v>
      </c>
      <c r="AF3">
        <f>AE3*Konstanten!$B$4</f>
        <v>0</v>
      </c>
      <c r="AG3">
        <f>IF(AF3-AA3&lt;=0, 0, AF3-AA3)</f>
        <v>0</v>
      </c>
      <c r="AJ3" s="19">
        <f>2*(378.21+47)</f>
        <v>850.42</v>
      </c>
      <c r="AK3" s="19">
        <f t="shared" ref="AK3:AK34" si="7">50/1000*AJ3</f>
        <v>42.521000000000001</v>
      </c>
      <c r="AL3" s="19">
        <f>AK3*Konstanten!$B$3</f>
        <v>106.30250000000001</v>
      </c>
      <c r="AN3">
        <f t="shared" ref="AN3:AN44" si="8">IF(B3=9,1,0)</f>
        <v>0</v>
      </c>
      <c r="AO3">
        <f t="shared" ref="AO3:AO44" si="9">IF(B3=1,1,0)</f>
        <v>0</v>
      </c>
      <c r="AS3" s="12"/>
      <c r="BB3" s="4"/>
    </row>
    <row r="4" spans="1:58" x14ac:dyDescent="0.25">
      <c r="A4">
        <v>3</v>
      </c>
      <c r="B4">
        <v>6</v>
      </c>
      <c r="C4" t="s">
        <v>21</v>
      </c>
      <c r="E4" t="s">
        <v>212</v>
      </c>
      <c r="G4" s="19">
        <v>50.4</v>
      </c>
      <c r="H4">
        <f>Konstanten!$B$3</f>
        <v>2.5</v>
      </c>
      <c r="I4">
        <f>COUNTIF(Windows!$A$4:$A$84,E4)</f>
        <v>0</v>
      </c>
      <c r="J4" t="e">
        <f>VLOOKUP(E4,Windows!$A$4:$D$84,2,FALSE)</f>
        <v>#N/A</v>
      </c>
      <c r="K4" t="e">
        <f>VLOOKUP(J4,Windows!$B$4:$D$84,2,FALSE)/1000</f>
        <v>#N/A</v>
      </c>
      <c r="L4" t="e">
        <f>VLOOKUP(J4,Windows!$B$4:$D$84,3,FALSE)/1000</f>
        <v>#N/A</v>
      </c>
      <c r="M4">
        <f t="shared" si="0"/>
        <v>0</v>
      </c>
      <c r="N4">
        <f>IF(I4&gt;=2,INDEX(Windows!$B$4:$B$84,MATCH(E4,Windows!$A$4:$A$84,0)+1),0)</f>
        <v>0</v>
      </c>
      <c r="O4" t="e">
        <f>VLOOKUP(N4,Windows!$B$4:$D$84,2,FALSE)/1000</f>
        <v>#N/A</v>
      </c>
      <c r="P4" t="e">
        <f>VLOOKUP(N4,Windows!$B$4:$D$84,3,FALSE)/1000</f>
        <v>#N/A</v>
      </c>
      <c r="Q4">
        <f t="shared" si="1"/>
        <v>0</v>
      </c>
      <c r="R4">
        <f>IF(I4&gt;=3,INDEX(Windows!$B$4:$B$84,MATCH(E4,Windows!$A$4:$A$84,0)+2),0)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si="2"/>
        <v>0</v>
      </c>
      <c r="V4">
        <f>IF(I4&gt;=4,INDEX(Windows!$B$4:$B$84,MATCH(E4,Windows!$A$4:$A$84,0)+3),0)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si="3"/>
        <v>0</v>
      </c>
      <c r="Z4" t="str">
        <f t="shared" si="4"/>
        <v>N/A</v>
      </c>
      <c r="AA4">
        <f t="shared" si="5"/>
        <v>0</v>
      </c>
      <c r="AC4" t="s">
        <v>8</v>
      </c>
      <c r="AE4">
        <f t="shared" si="6"/>
        <v>0</v>
      </c>
      <c r="AF4">
        <f>AE4*Konstanten!$B$4</f>
        <v>0</v>
      </c>
      <c r="AG4">
        <f t="shared" ref="AG4:AG34" si="10">IF(AF4-AA4&lt;=0, 0, AF4-AA4)</f>
        <v>0</v>
      </c>
      <c r="AJ4" s="19">
        <f>2*(419.95+47.88)</f>
        <v>935.66</v>
      </c>
      <c r="AK4" s="19">
        <f t="shared" si="7"/>
        <v>46.783000000000001</v>
      </c>
      <c r="AL4" s="19">
        <f>AK4*Konstanten!$B$3</f>
        <v>116.95750000000001</v>
      </c>
      <c r="AN4">
        <f t="shared" si="8"/>
        <v>0</v>
      </c>
      <c r="AO4">
        <f t="shared" si="9"/>
        <v>0</v>
      </c>
      <c r="AS4" s="12"/>
      <c r="BB4" s="4"/>
    </row>
    <row r="5" spans="1:58" x14ac:dyDescent="0.25">
      <c r="A5">
        <v>4</v>
      </c>
      <c r="B5">
        <v>6</v>
      </c>
      <c r="C5" t="s">
        <v>21</v>
      </c>
      <c r="E5" t="s">
        <v>213</v>
      </c>
      <c r="G5" s="19">
        <v>27.2</v>
      </c>
      <c r="H5">
        <f>Konstanten!$B$3</f>
        <v>2.5</v>
      </c>
      <c r="I5">
        <f>COUNTIF(Windows!$A$4:$A$84,E5)</f>
        <v>0</v>
      </c>
      <c r="J5" t="e">
        <f>VLOOKUP(E5,Windows!$A$4:$D$84,2,FALSE)</f>
        <v>#N/A</v>
      </c>
      <c r="K5" t="e">
        <f>VLOOKUP(J5,Windows!$B$4:$D$84,2,FALSE)/1000</f>
        <v>#N/A</v>
      </c>
      <c r="L5" t="e">
        <f>VLOOKUP(J5,Windows!$B$4:$D$84,3,FALSE)/1000</f>
        <v>#N/A</v>
      </c>
      <c r="M5">
        <f t="shared" si="0"/>
        <v>0</v>
      </c>
      <c r="N5">
        <f>IF(I5&gt;=2,INDEX(Windows!$B$4:$B$84,MATCH(E5,Windows!$A$4:$A$84,0)+1),0)</f>
        <v>0</v>
      </c>
      <c r="O5" t="e">
        <f>VLOOKUP(N5,Windows!$B$4:$D$84,2,FALSE)/1000</f>
        <v>#N/A</v>
      </c>
      <c r="P5" t="e">
        <f>VLOOKUP(N5,Windows!$B$4:$D$84,3,FALSE)/1000</f>
        <v>#N/A</v>
      </c>
      <c r="Q5">
        <f t="shared" si="1"/>
        <v>0</v>
      </c>
      <c r="R5">
        <f>IF(I5&gt;=3,INDEX(Windows!$B$4:$B$84,MATCH(E5,Windows!$A$4:$A$84,0)+2),0)</f>
        <v>0</v>
      </c>
      <c r="S5" t="e">
        <f>VLOOKUP(R5,Windows!$B$4:$D$84,2,FALSE)/1000</f>
        <v>#N/A</v>
      </c>
      <c r="T5" t="e">
        <f>VLOOKUP(R5,Windows!$B$4:$D$84,3,FALSE)/1000</f>
        <v>#N/A</v>
      </c>
      <c r="U5">
        <f t="shared" si="2"/>
        <v>0</v>
      </c>
      <c r="V5">
        <f>IF(I5&gt;=4,INDEX(Windows!$B$4:$B$84,MATCH(E5,Windows!$A$4:$A$84,0)+3),0)</f>
        <v>0</v>
      </c>
      <c r="W5" t="e">
        <f>VLOOKUP(V5,Windows!$B$4:$D$84,2,FALSE)/1000</f>
        <v>#N/A</v>
      </c>
      <c r="X5" t="e">
        <f>VLOOKUP(V5,Windows!$B$4:$D$84,3,FALSE)/1000</f>
        <v>#N/A</v>
      </c>
      <c r="Y5">
        <f t="shared" si="3"/>
        <v>0</v>
      </c>
      <c r="Z5" t="str">
        <f t="shared" si="4"/>
        <v>N/A</v>
      </c>
      <c r="AA5">
        <f t="shared" si="5"/>
        <v>0</v>
      </c>
      <c r="AC5" t="s">
        <v>8</v>
      </c>
      <c r="AE5">
        <f t="shared" si="6"/>
        <v>0</v>
      </c>
      <c r="AF5">
        <f>AE5*Konstanten!$B$4</f>
        <v>0</v>
      </c>
      <c r="AG5">
        <f t="shared" si="10"/>
        <v>0</v>
      </c>
      <c r="AJ5" s="19">
        <f>2*(61.98+175.34)</f>
        <v>474.64</v>
      </c>
      <c r="AK5" s="19">
        <f t="shared" si="7"/>
        <v>23.731999999999999</v>
      </c>
      <c r="AL5" s="19">
        <f>AK5*Konstanten!$B$3</f>
        <v>59.33</v>
      </c>
      <c r="AN5">
        <f t="shared" si="8"/>
        <v>0</v>
      </c>
      <c r="AO5">
        <f t="shared" si="9"/>
        <v>0</v>
      </c>
      <c r="AS5" s="12"/>
      <c r="BB5" s="4"/>
    </row>
    <row r="6" spans="1:58" x14ac:dyDescent="0.25">
      <c r="A6">
        <v>5</v>
      </c>
      <c r="B6">
        <v>6</v>
      </c>
      <c r="C6" t="s">
        <v>21</v>
      </c>
      <c r="E6" t="s">
        <v>214</v>
      </c>
      <c r="G6" s="19">
        <v>13.3</v>
      </c>
      <c r="H6">
        <f>Konstanten!$B$3</f>
        <v>2.5</v>
      </c>
      <c r="I6">
        <f>COUNTIF(Windows!$A$4:$A$84,E6)</f>
        <v>0</v>
      </c>
      <c r="J6" t="e">
        <f>VLOOKUP(E6,Windows!$A$4:$D$84,2,FALSE)</f>
        <v>#N/A</v>
      </c>
      <c r="K6" t="e">
        <f>VLOOKUP(J6,Windows!$B$4:$D$84,2,FALSE)/1000</f>
        <v>#N/A</v>
      </c>
      <c r="L6" t="e">
        <f>VLOOKUP(J6,Windows!$B$4:$D$84,3,FALSE)/1000</f>
        <v>#N/A</v>
      </c>
      <c r="M6">
        <f t="shared" si="0"/>
        <v>0</v>
      </c>
      <c r="N6">
        <f>IF(I6&gt;=2,INDEX(Windows!$B$4:$B$84,MATCH(E6,Windows!$A$4:$A$84,0)+1),0)</f>
        <v>0</v>
      </c>
      <c r="O6" t="e">
        <f>VLOOKUP(N6,Windows!$B$4:$D$84,2,FALSE)/1000</f>
        <v>#N/A</v>
      </c>
      <c r="P6" t="e">
        <f>VLOOKUP(N6,Windows!$B$4:$D$84,3,FALSE)/1000</f>
        <v>#N/A</v>
      </c>
      <c r="Q6">
        <f t="shared" si="1"/>
        <v>0</v>
      </c>
      <c r="R6">
        <f>IF(I6&gt;=3,INDEX(Windows!$B$4:$B$84,MATCH(E6,Windows!$A$4:$A$84,0)+2),0)</f>
        <v>0</v>
      </c>
      <c r="S6" t="e">
        <f>VLOOKUP(R6,Windows!$B$4:$D$84,2,FALSE)/1000</f>
        <v>#N/A</v>
      </c>
      <c r="T6" t="e">
        <f>VLOOKUP(R6,Windows!$B$4:$D$84,3,FALSE)/1000</f>
        <v>#N/A</v>
      </c>
      <c r="U6">
        <f t="shared" si="2"/>
        <v>0</v>
      </c>
      <c r="V6">
        <f>IF(I6&gt;=4,INDEX(Windows!$B$4:$B$84,MATCH(E6,Windows!$A$4:$A$84,0)+3),0)</f>
        <v>0</v>
      </c>
      <c r="W6" t="e">
        <f>VLOOKUP(V6,Windows!$B$4:$D$84,2,FALSE)/1000</f>
        <v>#N/A</v>
      </c>
      <c r="X6" t="e">
        <f>VLOOKUP(V6,Windows!$B$4:$D$84,3,FALSE)/1000</f>
        <v>#N/A</v>
      </c>
      <c r="Y6">
        <f t="shared" si="3"/>
        <v>0</v>
      </c>
      <c r="Z6" t="str">
        <f t="shared" si="4"/>
        <v>N/A</v>
      </c>
      <c r="AA6">
        <f t="shared" si="5"/>
        <v>0</v>
      </c>
      <c r="AC6" t="s">
        <v>8</v>
      </c>
      <c r="AE6">
        <f t="shared" si="6"/>
        <v>0</v>
      </c>
      <c r="AF6">
        <f>AE6*Konstanten!$B$4</f>
        <v>0</v>
      </c>
      <c r="AG6">
        <f t="shared" si="10"/>
        <v>0</v>
      </c>
      <c r="AJ6" s="19">
        <f>2*(100.91+52.07)</f>
        <v>305.95999999999998</v>
      </c>
      <c r="AK6" s="19">
        <f t="shared" si="7"/>
        <v>15.298</v>
      </c>
      <c r="AL6" s="19">
        <f>AK6*Konstanten!$B$3</f>
        <v>38.244999999999997</v>
      </c>
      <c r="AN6">
        <f t="shared" si="8"/>
        <v>0</v>
      </c>
      <c r="AO6">
        <f t="shared" si="9"/>
        <v>0</v>
      </c>
      <c r="AS6" s="12"/>
      <c r="BB6" s="4"/>
    </row>
    <row r="7" spans="1:58" x14ac:dyDescent="0.25">
      <c r="A7">
        <v>6</v>
      </c>
      <c r="B7">
        <v>6</v>
      </c>
      <c r="C7" t="s">
        <v>25</v>
      </c>
      <c r="E7" t="s">
        <v>217</v>
      </c>
      <c r="G7" s="19">
        <v>23</v>
      </c>
      <c r="H7">
        <f>Konstanten!$B$3</f>
        <v>2.5</v>
      </c>
      <c r="I7">
        <v>3</v>
      </c>
      <c r="J7" s="13" t="s">
        <v>219</v>
      </c>
      <c r="K7">
        <f>50/1000*50.29</f>
        <v>2.5145</v>
      </c>
      <c r="L7">
        <v>1.67</v>
      </c>
      <c r="M7">
        <f t="shared" si="0"/>
        <v>4.1992149999999997</v>
      </c>
      <c r="N7" s="13" t="s">
        <v>219</v>
      </c>
      <c r="O7">
        <f>50/1000*15.75</f>
        <v>0.78750000000000009</v>
      </c>
      <c r="P7">
        <v>1.67</v>
      </c>
      <c r="Q7">
        <f t="shared" si="1"/>
        <v>1.3151250000000001</v>
      </c>
      <c r="R7" s="13" t="s">
        <v>219</v>
      </c>
      <c r="S7">
        <f>50/1000*30.05</f>
        <v>1.5025000000000002</v>
      </c>
      <c r="T7">
        <v>1.67</v>
      </c>
      <c r="U7">
        <f t="shared" si="2"/>
        <v>2.5091750000000004</v>
      </c>
      <c r="V7">
        <f>IF(I7&gt;=4,INDEX(Windows!$B$4:$B$84,MATCH(E7,Windows!$A$4:$A$84,0)+3),0)</f>
        <v>0</v>
      </c>
      <c r="W7" t="e">
        <f>VLOOKUP(V7,Windows!$B$4:$D$84,2,FALSE)/1000</f>
        <v>#N/A</v>
      </c>
      <c r="X7" t="e">
        <f>VLOOKUP(V7,Windows!$B$4:$D$84,3,FALSE)/1000</f>
        <v>#N/A</v>
      </c>
      <c r="Y7">
        <f t="shared" si="3"/>
        <v>0</v>
      </c>
      <c r="Z7">
        <f t="shared" si="4"/>
        <v>312</v>
      </c>
      <c r="AA7">
        <f t="shared" si="5"/>
        <v>8.0235149999999997</v>
      </c>
      <c r="AC7">
        <v>312</v>
      </c>
      <c r="AD7">
        <v>101.29</v>
      </c>
      <c r="AE7">
        <f t="shared" si="6"/>
        <v>5.0644999999999998</v>
      </c>
      <c r="AF7">
        <f>AE7*Konstanten!$B$4</f>
        <v>21.524124999999998</v>
      </c>
      <c r="AG7">
        <f t="shared" si="10"/>
        <v>13.500609999999998</v>
      </c>
      <c r="AH7" t="s">
        <v>83</v>
      </c>
      <c r="AJ7" s="19">
        <f>2*91.99+101.29</f>
        <v>285.27</v>
      </c>
      <c r="AK7" s="19">
        <f t="shared" si="7"/>
        <v>14.263500000000001</v>
      </c>
      <c r="AL7" s="19">
        <f>AK7*Konstanten!$B$3</f>
        <v>35.658749999999998</v>
      </c>
      <c r="AN7">
        <f t="shared" si="8"/>
        <v>0</v>
      </c>
      <c r="AO7">
        <f t="shared" si="9"/>
        <v>0</v>
      </c>
      <c r="AS7" s="12"/>
      <c r="BB7" s="4"/>
    </row>
    <row r="8" spans="1:58" x14ac:dyDescent="0.25">
      <c r="A8">
        <v>7</v>
      </c>
      <c r="B8">
        <v>6</v>
      </c>
      <c r="C8" t="s">
        <v>34</v>
      </c>
      <c r="E8" t="s">
        <v>173</v>
      </c>
      <c r="G8" s="19">
        <v>24.9</v>
      </c>
      <c r="H8">
        <f>Konstanten!$B$3</f>
        <v>2.5</v>
      </c>
      <c r="I8">
        <f>COUNTIF(Windows!$A$4:$A$84,E8)</f>
        <v>2</v>
      </c>
      <c r="J8" t="str">
        <f>VLOOKUP(E8,Windows!$A$4:$D$84,2,FALSE)</f>
        <v>IUA24-v</v>
      </c>
      <c r="K8">
        <f>VLOOKUP(J8,Windows!$B$4:$D$84,2,FALSE)/1000</f>
        <v>2.41</v>
      </c>
      <c r="L8">
        <f>VLOOKUP(J8,Windows!$B$4:$D$84,3,FALSE)/1000</f>
        <v>1.67</v>
      </c>
      <c r="M8">
        <f t="shared" si="0"/>
        <v>4.0247000000000002</v>
      </c>
      <c r="N8" t="str">
        <f>IF(I8&gt;=2,INDEX(Windows!$B$4:$B$84,MATCH(E8,Windows!$A$4:$A$84,0)+1),0)</f>
        <v>IUA9,5-o</v>
      </c>
      <c r="O8">
        <f>VLOOKUP(N8,Windows!$B$4:$D$84,2,FALSE)/1000</f>
        <v>0.94</v>
      </c>
      <c r="P8">
        <f>VLOOKUP(N8,Windows!$B$4:$D$84,3,FALSE)/1000</f>
        <v>1.67</v>
      </c>
      <c r="Q8">
        <f t="shared" si="1"/>
        <v>1.5697999999999999</v>
      </c>
      <c r="R8">
        <f>IF(I8&gt;=3,INDEX(Windows!$B$4:$B$84,MATCH(E8,Windows!$A$4:$A$84,0)+2),0)</f>
        <v>0</v>
      </c>
      <c r="S8" t="e">
        <f>VLOOKUP(R8,Windows!$B$4:$D$84,2,FALSE)/1000</f>
        <v>#N/A</v>
      </c>
      <c r="T8" t="e">
        <f>VLOOKUP(R8,Windows!$B$4:$D$84,3,FALSE)/1000</f>
        <v>#N/A</v>
      </c>
      <c r="U8">
        <f t="shared" si="2"/>
        <v>0</v>
      </c>
      <c r="V8">
        <f>IF(I8&gt;=4,INDEX(Windows!$B$4:$B$84,MATCH(E8,Windows!$A$4:$A$84,0)+3),0)</f>
        <v>0</v>
      </c>
      <c r="W8" t="e">
        <f>VLOOKUP(V8,Windows!$B$4:$D$84,2,FALSE)/1000</f>
        <v>#N/A</v>
      </c>
      <c r="X8" t="e">
        <f>VLOOKUP(V8,Windows!$B$4:$D$84,3,FALSE)/1000</f>
        <v>#N/A</v>
      </c>
      <c r="Y8">
        <f t="shared" si="3"/>
        <v>0</v>
      </c>
      <c r="Z8">
        <f t="shared" si="4"/>
        <v>312</v>
      </c>
      <c r="AA8">
        <f t="shared" si="5"/>
        <v>5.5945</v>
      </c>
      <c r="AC8">
        <v>312</v>
      </c>
      <c r="AD8">
        <v>72.8</v>
      </c>
      <c r="AE8">
        <f t="shared" si="6"/>
        <v>3.64</v>
      </c>
      <c r="AF8">
        <f>AE8*Konstanten!$B$4</f>
        <v>15.47</v>
      </c>
      <c r="AG8">
        <f t="shared" si="10"/>
        <v>9.8755000000000006</v>
      </c>
      <c r="AH8" t="s">
        <v>83</v>
      </c>
      <c r="AJ8" s="19">
        <f>138.99+62.76+36.07+10.39+102.19</f>
        <v>350.4</v>
      </c>
      <c r="AK8" s="19">
        <f t="shared" si="7"/>
        <v>17.52</v>
      </c>
      <c r="AL8" s="19">
        <f>AK8*Konstanten!$B$3</f>
        <v>43.8</v>
      </c>
      <c r="AN8">
        <f t="shared" si="8"/>
        <v>0</v>
      </c>
      <c r="AO8">
        <f t="shared" si="9"/>
        <v>0</v>
      </c>
      <c r="AS8" s="12"/>
      <c r="BB8" s="4"/>
    </row>
    <row r="9" spans="1:58" s="12" customFormat="1" x14ac:dyDescent="0.25">
      <c r="A9" s="12">
        <v>8</v>
      </c>
      <c r="B9">
        <v>6</v>
      </c>
      <c r="C9" s="12" t="s">
        <v>21</v>
      </c>
      <c r="E9" s="12" t="s">
        <v>218</v>
      </c>
      <c r="F9" s="12" t="s">
        <v>173</v>
      </c>
      <c r="G9" s="20">
        <v>5.5</v>
      </c>
      <c r="H9">
        <f>Konstanten!$B$3</f>
        <v>2.5</v>
      </c>
      <c r="I9">
        <f>COUNTIF(Windows!$A$4:$A$84,E9)</f>
        <v>0</v>
      </c>
      <c r="J9" t="e">
        <f>VLOOKUP(E9,Windows!$A$4:$D$84,2,FALSE)</f>
        <v>#N/A</v>
      </c>
      <c r="K9" t="e">
        <f>VLOOKUP(J9,Windows!$B$4:$D$84,2,FALSE)/1000</f>
        <v>#N/A</v>
      </c>
      <c r="L9" t="e">
        <f>VLOOKUP(J9,Windows!$B$4:$D$84,3,FALSE)/1000</f>
        <v>#N/A</v>
      </c>
      <c r="M9">
        <f t="shared" si="0"/>
        <v>0</v>
      </c>
      <c r="N9">
        <f>IF(I9&gt;=2,INDEX(Windows!$B$4:$B$84,MATCH(E9,Windows!$A$4:$A$84,0)+1),0)</f>
        <v>0</v>
      </c>
      <c r="O9" t="e">
        <f>VLOOKUP(N9,Windows!$B$4:$D$84,2,FALSE)/1000</f>
        <v>#N/A</v>
      </c>
      <c r="P9" t="e">
        <f>VLOOKUP(N9,Windows!$B$4:$D$84,3,FALSE)/1000</f>
        <v>#N/A</v>
      </c>
      <c r="Q9">
        <f t="shared" si="1"/>
        <v>0</v>
      </c>
      <c r="R9">
        <f>IF(I9&gt;=3,INDEX(Windows!$B$4:$B$84,MATCH(E9,Windows!$A$4:$A$84,0)+2),0)</f>
        <v>0</v>
      </c>
      <c r="S9" t="e">
        <f>VLOOKUP(R9,Windows!$B$4:$D$84,2,FALSE)/1000</f>
        <v>#N/A</v>
      </c>
      <c r="T9" t="e">
        <f>VLOOKUP(R9,Windows!$B$4:$D$84,3,FALSE)/1000</f>
        <v>#N/A</v>
      </c>
      <c r="U9">
        <f t="shared" si="2"/>
        <v>0</v>
      </c>
      <c r="V9">
        <f>IF(I9&gt;=4,INDEX(Windows!$B$4:$B$84,MATCH(E9,Windows!$A$4:$A$84,0)+3),0)</f>
        <v>0</v>
      </c>
      <c r="W9" t="e">
        <f>VLOOKUP(V9,Windows!$B$4:$D$84,2,FALSE)/1000</f>
        <v>#N/A</v>
      </c>
      <c r="X9" t="e">
        <f>VLOOKUP(V9,Windows!$B$4:$D$84,3,FALSE)/1000</f>
        <v>#N/A</v>
      </c>
      <c r="Y9">
        <f t="shared" si="3"/>
        <v>0</v>
      </c>
      <c r="Z9" t="str">
        <f t="shared" si="4"/>
        <v>N/A</v>
      </c>
      <c r="AA9">
        <f t="shared" si="5"/>
        <v>0</v>
      </c>
      <c r="AC9" s="12" t="s">
        <v>8</v>
      </c>
      <c r="AE9">
        <f t="shared" si="6"/>
        <v>0</v>
      </c>
      <c r="AF9">
        <f>AE9*Konstanten!$B$4</f>
        <v>0</v>
      </c>
      <c r="AG9">
        <f t="shared" si="10"/>
        <v>0</v>
      </c>
      <c r="AH9"/>
      <c r="AJ9" s="20">
        <f>40.56+37.68+10+24.32+29.55+61.98</f>
        <v>204.09</v>
      </c>
      <c r="AK9" s="19">
        <f t="shared" si="7"/>
        <v>10.204500000000001</v>
      </c>
      <c r="AL9" s="19">
        <f>AK9*Konstanten!$B$3</f>
        <v>25.511250000000004</v>
      </c>
      <c r="AN9">
        <f t="shared" si="8"/>
        <v>0</v>
      </c>
      <c r="AO9">
        <f t="shared" si="9"/>
        <v>0</v>
      </c>
      <c r="BB9" s="4"/>
    </row>
    <row r="10" spans="1:58" x14ac:dyDescent="0.25">
      <c r="A10">
        <v>9</v>
      </c>
      <c r="B10">
        <v>6</v>
      </c>
      <c r="C10" s="15" t="s">
        <v>34</v>
      </c>
      <c r="E10" s="15" t="s">
        <v>171</v>
      </c>
      <c r="G10" s="21">
        <v>14.1</v>
      </c>
      <c r="H10">
        <f>Konstanten!$B$3</f>
        <v>2.5</v>
      </c>
      <c r="I10">
        <f>COUNTIF(Windows!$A$4:$A$84,E10)</f>
        <v>2</v>
      </c>
      <c r="J10" t="str">
        <f>VLOOKUP(E10,Windows!$A$4:$D$84,2,FALSE)</f>
        <v>IUA18,5-o</v>
      </c>
      <c r="K10">
        <f>VLOOKUP(J10,Windows!$B$4:$D$84,2,FALSE)/1000</f>
        <v>1.84</v>
      </c>
      <c r="L10">
        <f>VLOOKUP(J10,Windows!$B$4:$D$84,3,FALSE)/1000</f>
        <v>1.67</v>
      </c>
      <c r="M10">
        <f t="shared" si="0"/>
        <v>3.0728</v>
      </c>
      <c r="N10" t="str">
        <f>IF(I10&gt;=2,INDEX(Windows!$B$4:$B$84,MATCH(E10,Windows!$A$4:$A$84,0)+1),0)</f>
        <v>IUA6-o</v>
      </c>
      <c r="O10">
        <f>VLOOKUP(N10,Windows!$B$4:$D$84,2,FALSE)/1000</f>
        <v>0.61</v>
      </c>
      <c r="P10">
        <f>VLOOKUP(N10,Windows!$B$4:$D$84,3,FALSE)/1000</f>
        <v>1.67</v>
      </c>
      <c r="Q10">
        <f t="shared" si="1"/>
        <v>1.0186999999999999</v>
      </c>
      <c r="R10">
        <f>IF(I10&gt;=3,INDEX(Windows!$B$4:$B$84,MATCH(E10,Windows!$A$4:$A$84,0)+2),0)</f>
        <v>0</v>
      </c>
      <c r="S10" t="e">
        <f>VLOOKUP(R10,Windows!$B$4:$D$84,2,FALSE)/1000</f>
        <v>#N/A</v>
      </c>
      <c r="T10" t="e">
        <f>VLOOKUP(R10,Windows!$B$4:$D$84,3,FALSE)/1000</f>
        <v>#N/A</v>
      </c>
      <c r="U10">
        <f t="shared" si="2"/>
        <v>0</v>
      </c>
      <c r="V10">
        <f>IF(I10&gt;=4,INDEX(Windows!$B$4:$B$84,MATCH(E10,Windows!$A$4:$A$84,0)+3),0)</f>
        <v>0</v>
      </c>
      <c r="W10" t="e">
        <f>VLOOKUP(V10,Windows!$B$4:$D$84,2,FALSE)/1000</f>
        <v>#N/A</v>
      </c>
      <c r="X10" t="e">
        <f>VLOOKUP(V10,Windows!$B$4:$D$84,3,FALSE)/1000</f>
        <v>#N/A</v>
      </c>
      <c r="Y10">
        <f t="shared" si="3"/>
        <v>0</v>
      </c>
      <c r="Z10">
        <f t="shared" si="4"/>
        <v>312</v>
      </c>
      <c r="AA10">
        <f t="shared" si="5"/>
        <v>4.0914999999999999</v>
      </c>
      <c r="AC10">
        <v>312</v>
      </c>
      <c r="AD10">
        <v>70.7</v>
      </c>
      <c r="AE10">
        <f t="shared" si="6"/>
        <v>3.5350000000000001</v>
      </c>
      <c r="AF10">
        <f>AE10*Konstanten!$B$4</f>
        <v>15.02375</v>
      </c>
      <c r="AG10">
        <f t="shared" si="10"/>
        <v>10.93225</v>
      </c>
      <c r="AH10" t="s">
        <v>83</v>
      </c>
      <c r="AJ10" s="19">
        <f>2*78.02+70.7</f>
        <v>226.74</v>
      </c>
      <c r="AK10" s="19">
        <f t="shared" si="7"/>
        <v>11.337000000000002</v>
      </c>
      <c r="AL10" s="19">
        <f>AK10*Konstanten!$B$3</f>
        <v>28.342500000000005</v>
      </c>
      <c r="AN10">
        <f t="shared" si="8"/>
        <v>0</v>
      </c>
      <c r="AO10">
        <f t="shared" si="9"/>
        <v>0</v>
      </c>
      <c r="AS10" s="12"/>
      <c r="BB10" s="4"/>
    </row>
    <row r="11" spans="1:58" x14ac:dyDescent="0.25">
      <c r="A11">
        <v>10</v>
      </c>
      <c r="B11">
        <v>6</v>
      </c>
      <c r="C11" t="s">
        <v>176</v>
      </c>
      <c r="E11" s="15" t="s">
        <v>167</v>
      </c>
      <c r="G11" s="21">
        <v>31.1</v>
      </c>
      <c r="H11">
        <f>Konstanten!$B$3</f>
        <v>2.5</v>
      </c>
      <c r="I11">
        <f>COUNTIF(Windows!$A$4:$A$84,E11)</f>
        <v>2</v>
      </c>
      <c r="J11" t="str">
        <f>VLOOKUP(E11,Windows!$A$4:$D$84,2,FALSE)</f>
        <v>IU18-o+VTL3-o</v>
      </c>
      <c r="K11">
        <f>VLOOKUP(J11,Windows!$B$4:$D$84,2,FALSE)/1000</f>
        <v>2.0750000000000002</v>
      </c>
      <c r="L11">
        <f>VLOOKUP(J11,Windows!$B$4:$D$84,3,FALSE)/1000</f>
        <v>1.67</v>
      </c>
      <c r="M11">
        <f t="shared" si="0"/>
        <v>3.4652500000000002</v>
      </c>
      <c r="N11" t="str">
        <f>IF(I11&gt;=2,INDEX(Windows!$B$4:$B$84,MATCH(E11,Windows!$A$4:$A$84,0)+1),0)</f>
        <v>IU21-v</v>
      </c>
      <c r="O11">
        <f>VLOOKUP(N11,Windows!$B$4:$D$84,2,FALSE)/1000</f>
        <v>2.12</v>
      </c>
      <c r="P11">
        <f>VLOOKUP(N11,Windows!$B$4:$D$84,3,FALSE)/1000</f>
        <v>1.67</v>
      </c>
      <c r="Q11">
        <f t="shared" si="1"/>
        <v>3.5404</v>
      </c>
      <c r="R11">
        <f>IF(I11&gt;=3,INDEX(Windows!$B$4:$B$84,MATCH(E11,Windows!$A$4:$A$84,0)+2),0)</f>
        <v>0</v>
      </c>
      <c r="S11" t="e">
        <f>VLOOKUP(R11,Windows!$B$4:$D$84,2,FALSE)/1000</f>
        <v>#N/A</v>
      </c>
      <c r="T11" t="e">
        <f>VLOOKUP(R11,Windows!$B$4:$D$84,3,FALSE)/1000</f>
        <v>#N/A</v>
      </c>
      <c r="U11">
        <f t="shared" si="2"/>
        <v>0</v>
      </c>
      <c r="V11">
        <f>IF(I11&gt;=4,INDEX(Windows!$B$4:$B$84,MATCH(E11,Windows!$A$4:$A$84,0)+3),0)</f>
        <v>0</v>
      </c>
      <c r="W11" t="e">
        <f>VLOOKUP(V11,Windows!$B$4:$D$84,2,FALSE)/1000</f>
        <v>#N/A</v>
      </c>
      <c r="X11" t="e">
        <f>VLOOKUP(V11,Windows!$B$4:$D$84,3,FALSE)/1000</f>
        <v>#N/A</v>
      </c>
      <c r="Y11">
        <f t="shared" si="3"/>
        <v>0</v>
      </c>
      <c r="Z11">
        <f t="shared" si="4"/>
        <v>312</v>
      </c>
      <c r="AA11">
        <f t="shared" si="5"/>
        <v>7.0056500000000002</v>
      </c>
      <c r="AC11">
        <v>312</v>
      </c>
      <c r="AD11">
        <v>92.84</v>
      </c>
      <c r="AE11">
        <f t="shared" si="6"/>
        <v>4.6420000000000003</v>
      </c>
      <c r="AF11">
        <f>AE11*Konstanten!$B$4</f>
        <v>19.7285</v>
      </c>
      <c r="AG11">
        <f t="shared" si="10"/>
        <v>12.722850000000001</v>
      </c>
      <c r="AH11" t="s">
        <v>83</v>
      </c>
      <c r="AJ11" s="19">
        <f>77.94+12.19+65.02+80.26+143</f>
        <v>378.40999999999997</v>
      </c>
      <c r="AK11" s="19">
        <f t="shared" si="7"/>
        <v>18.920500000000001</v>
      </c>
      <c r="AL11" s="19">
        <f>AK11*Konstanten!$B$3</f>
        <v>47.301250000000003</v>
      </c>
      <c r="AN11">
        <f t="shared" si="8"/>
        <v>0</v>
      </c>
      <c r="AO11">
        <f t="shared" si="9"/>
        <v>0</v>
      </c>
      <c r="AS11" s="12"/>
      <c r="BB11" s="4"/>
    </row>
    <row r="12" spans="1:58" x14ac:dyDescent="0.25">
      <c r="A12">
        <v>11</v>
      </c>
      <c r="B12">
        <v>6</v>
      </c>
      <c r="C12" t="s">
        <v>23</v>
      </c>
      <c r="E12" s="15" t="s">
        <v>220</v>
      </c>
      <c r="F12" t="s">
        <v>167</v>
      </c>
      <c r="G12" s="21">
        <v>5.9</v>
      </c>
      <c r="H12">
        <f>Konstanten!$B$3</f>
        <v>2.5</v>
      </c>
      <c r="I12">
        <f>COUNTIF(Windows!$A$4:$A$84,E12)</f>
        <v>0</v>
      </c>
      <c r="J12" t="e">
        <f>VLOOKUP(E12,Windows!$A$4:$D$84,2,FALSE)</f>
        <v>#N/A</v>
      </c>
      <c r="K12" t="e">
        <f>VLOOKUP(J12,Windows!$B$4:$D$84,2,FALSE)/1000</f>
        <v>#N/A</v>
      </c>
      <c r="L12" t="e">
        <f>VLOOKUP(J12,Windows!$B$4:$D$84,3,FALSE)/1000</f>
        <v>#N/A</v>
      </c>
      <c r="M12">
        <f t="shared" ref="M12" si="11">IF(ISNA(L12*K12),0,K12*L12)</f>
        <v>0</v>
      </c>
      <c r="N12">
        <f>IF(I12&gt;=2,INDEX(Windows!$B$4:$B$84,MATCH(E12,Windows!$A$4:$A$84,0)+1),0)</f>
        <v>0</v>
      </c>
      <c r="O12" t="e">
        <f>VLOOKUP(N12,Windows!$B$4:$D$84,2,FALSE)/1000</f>
        <v>#N/A</v>
      </c>
      <c r="P12" t="e">
        <f>VLOOKUP(N12,Windows!$B$4:$D$84,3,FALSE)/1000</f>
        <v>#N/A</v>
      </c>
      <c r="Q12">
        <f t="shared" ref="Q12" si="12">IF(ISNA(P12*O12),0,O12*P12)</f>
        <v>0</v>
      </c>
      <c r="R12">
        <f>IF(I12&gt;=3,INDEX(Windows!$B$4:$B$84,MATCH(E12,Windows!$A$4:$A$84,0)+2),0)</f>
        <v>0</v>
      </c>
      <c r="S12" t="e">
        <f>VLOOKUP(R12,Windows!$B$4:$D$84,2,FALSE)/1000</f>
        <v>#N/A</v>
      </c>
      <c r="T12" t="e">
        <f>VLOOKUP(R12,Windows!$B$4:$D$84,3,FALSE)/1000</f>
        <v>#N/A</v>
      </c>
      <c r="U12">
        <f t="shared" ref="U12" si="13">IF(ISNA(T12*S12),0,S12*T12)</f>
        <v>0</v>
      </c>
      <c r="V12">
        <f>IF(I12&gt;=4,INDEX(Windows!$B$4:$B$84,MATCH(E12,Windows!$A$4:$A$84,0)+3),0)</f>
        <v>0</v>
      </c>
      <c r="W12" t="e">
        <f>VLOOKUP(V12,Windows!$B$4:$D$84,2,FALSE)/1000</f>
        <v>#N/A</v>
      </c>
      <c r="X12" t="e">
        <f>VLOOKUP(V12,Windows!$B$4:$D$84,3,FALSE)/1000</f>
        <v>#N/A</v>
      </c>
      <c r="Y12">
        <f t="shared" ref="Y12" si="14">IF(ISNA(X12*W12),0,W12*X12)</f>
        <v>0</v>
      </c>
      <c r="Z12" t="str">
        <f t="shared" si="4"/>
        <v>N/A</v>
      </c>
      <c r="AA12">
        <f t="shared" si="5"/>
        <v>0</v>
      </c>
      <c r="AC12" t="s">
        <v>8</v>
      </c>
      <c r="AE12">
        <f t="shared" si="6"/>
        <v>0</v>
      </c>
      <c r="AF12">
        <f>AE12*Konstanten!$B$4</f>
        <v>0</v>
      </c>
      <c r="AG12">
        <f t="shared" si="10"/>
        <v>0</v>
      </c>
      <c r="AJ12" s="19">
        <f>2*(46.82+50.12)</f>
        <v>193.88</v>
      </c>
      <c r="AK12" s="19">
        <f t="shared" si="7"/>
        <v>9.6940000000000008</v>
      </c>
      <c r="AL12" s="19">
        <f>AK12*Konstanten!$B$3</f>
        <v>24.235000000000003</v>
      </c>
      <c r="AN12">
        <f t="shared" si="8"/>
        <v>0</v>
      </c>
      <c r="AO12">
        <f t="shared" si="9"/>
        <v>0</v>
      </c>
      <c r="AS12" s="12"/>
      <c r="BB12" s="4"/>
    </row>
    <row r="13" spans="1:58" x14ac:dyDescent="0.25">
      <c r="A13">
        <v>12</v>
      </c>
      <c r="B13">
        <v>6</v>
      </c>
      <c r="C13" t="s">
        <v>221</v>
      </c>
      <c r="E13" s="15" t="s">
        <v>222</v>
      </c>
      <c r="G13" s="21">
        <v>8</v>
      </c>
      <c r="H13">
        <f>Konstanten!$B$3</f>
        <v>2.5</v>
      </c>
      <c r="I13">
        <f>COUNTIF(Windows!$A$4:$A$84,E13)</f>
        <v>0</v>
      </c>
      <c r="J13" t="e">
        <f>VLOOKUP(E13,Windows!$A$4:$D$84,2,FALSE)</f>
        <v>#N/A</v>
      </c>
      <c r="K13" t="e">
        <f>VLOOKUP(J13,Windows!$B$4:$D$84,2,FALSE)/1000</f>
        <v>#N/A</v>
      </c>
      <c r="L13" t="e">
        <f>VLOOKUP(J13,Windows!$B$4:$D$84,3,FALSE)/1000</f>
        <v>#N/A</v>
      </c>
      <c r="M13">
        <f t="shared" si="0"/>
        <v>0</v>
      </c>
      <c r="N13">
        <f>IF(I13&gt;=2,INDEX(Windows!$B$4:$B$84,MATCH(E13,Windows!$A$4:$A$84,0)+1),0)</f>
        <v>0</v>
      </c>
      <c r="O13" t="e">
        <f>VLOOKUP(N13,Windows!$B$4:$D$84,2,FALSE)/1000</f>
        <v>#N/A</v>
      </c>
      <c r="P13" t="e">
        <f>VLOOKUP(N13,Windows!$B$4:$D$84,3,FALSE)/1000</f>
        <v>#N/A</v>
      </c>
      <c r="Q13">
        <f t="shared" si="1"/>
        <v>0</v>
      </c>
      <c r="R13">
        <f>IF(I13&gt;=3,INDEX(Windows!$B$4:$B$84,MATCH(E13,Windows!$A$4:$A$84,0)+2),0)</f>
        <v>0</v>
      </c>
      <c r="S13" t="e">
        <f>VLOOKUP(R13,Windows!$B$4:$D$84,2,FALSE)/1000</f>
        <v>#N/A</v>
      </c>
      <c r="T13" t="e">
        <f>VLOOKUP(R13,Windows!$B$4:$D$84,3,FALSE)/1000</f>
        <v>#N/A</v>
      </c>
      <c r="U13">
        <f t="shared" si="2"/>
        <v>0</v>
      </c>
      <c r="V13">
        <f>IF(I13&gt;=4,INDEX(Windows!$B$4:$B$84,MATCH(E13,Windows!$A$4:$A$84,0)+3),0)</f>
        <v>0</v>
      </c>
      <c r="W13" t="e">
        <f>VLOOKUP(V13,Windows!$B$4:$D$84,2,FALSE)/1000</f>
        <v>#N/A</v>
      </c>
      <c r="X13" t="e">
        <f>VLOOKUP(V13,Windows!$B$4:$D$84,3,FALSE)/1000</f>
        <v>#N/A</v>
      </c>
      <c r="Y13">
        <f t="shared" si="3"/>
        <v>0</v>
      </c>
      <c r="Z13" t="str">
        <f t="shared" si="4"/>
        <v>N/A</v>
      </c>
      <c r="AA13">
        <f t="shared" si="5"/>
        <v>0</v>
      </c>
      <c r="AC13">
        <v>42</v>
      </c>
      <c r="AD13">
        <v>31.5</v>
      </c>
      <c r="AE13">
        <f t="shared" si="6"/>
        <v>1.575</v>
      </c>
      <c r="AF13">
        <f>AE13*Konstanten!$B$4</f>
        <v>6.6937499999999996</v>
      </c>
      <c r="AG13">
        <f t="shared" si="10"/>
        <v>6.6937499999999996</v>
      </c>
      <c r="AH13" t="s">
        <v>83</v>
      </c>
      <c r="AJ13" s="19">
        <f>2*104.4+31.5</f>
        <v>240.3</v>
      </c>
      <c r="AK13" s="19">
        <f t="shared" si="7"/>
        <v>12.015000000000001</v>
      </c>
      <c r="AL13" s="19">
        <f>AK13*Konstanten!$B$3</f>
        <v>30.037500000000001</v>
      </c>
      <c r="AN13">
        <f t="shared" si="8"/>
        <v>0</v>
      </c>
      <c r="AO13">
        <f t="shared" si="9"/>
        <v>0</v>
      </c>
      <c r="AS13" s="12"/>
      <c r="BB13" s="4"/>
    </row>
    <row r="14" spans="1:58" x14ac:dyDescent="0.25">
      <c r="A14">
        <v>13</v>
      </c>
      <c r="B14">
        <v>6</v>
      </c>
      <c r="C14" t="s">
        <v>221</v>
      </c>
      <c r="E14" s="15" t="s">
        <v>223</v>
      </c>
      <c r="G14" s="21">
        <v>8.6</v>
      </c>
      <c r="H14">
        <f>Konstanten!$B$3</f>
        <v>2.5</v>
      </c>
      <c r="I14">
        <f>COUNTIF(Windows!$A$4:$A$84,E14)</f>
        <v>0</v>
      </c>
      <c r="J14" t="e">
        <f>VLOOKUP(E14,Windows!$A$4:$D$84,2,FALSE)</f>
        <v>#N/A</v>
      </c>
      <c r="K14" t="e">
        <f>VLOOKUP(J14,Windows!$B$4:$D$84,2,FALSE)/1000</f>
        <v>#N/A</v>
      </c>
      <c r="L14" t="e">
        <f>VLOOKUP(J14,Windows!$B$4:$D$84,3,FALSE)/1000</f>
        <v>#N/A</v>
      </c>
      <c r="M14">
        <f t="shared" si="0"/>
        <v>0</v>
      </c>
      <c r="N14">
        <f>IF(I14&gt;=2,INDEX(Windows!$B$4:$B$84,MATCH(E14,Windows!$A$4:$A$84,0)+1),0)</f>
        <v>0</v>
      </c>
      <c r="O14" t="e">
        <f>VLOOKUP(N14,Windows!$B$4:$D$84,2,FALSE)/1000</f>
        <v>#N/A</v>
      </c>
      <c r="P14" t="e">
        <f>VLOOKUP(N14,Windows!$B$4:$D$84,3,FALSE)/1000</f>
        <v>#N/A</v>
      </c>
      <c r="Q14">
        <f t="shared" si="1"/>
        <v>0</v>
      </c>
      <c r="R14">
        <f>IF(I14&gt;=3,INDEX(Windows!$B$4:$B$84,MATCH(E14,Windows!$A$4:$A$84,0)+2),0)</f>
        <v>0</v>
      </c>
      <c r="S14" t="e">
        <f>VLOOKUP(R14,Windows!$B$4:$D$84,2,FALSE)/1000</f>
        <v>#N/A</v>
      </c>
      <c r="T14" t="e">
        <f>VLOOKUP(R14,Windows!$B$4:$D$84,3,FALSE)/1000</f>
        <v>#N/A</v>
      </c>
      <c r="U14">
        <f t="shared" si="2"/>
        <v>0</v>
      </c>
      <c r="V14">
        <f>IF(I14&gt;=4,INDEX(Windows!$B$4:$B$84,MATCH(E14,Windows!$A$4:$A$84,0)+3),0)</f>
        <v>0</v>
      </c>
      <c r="W14" t="e">
        <f>VLOOKUP(V14,Windows!$B$4:$D$84,2,FALSE)/1000</f>
        <v>#N/A</v>
      </c>
      <c r="X14" t="e">
        <f>VLOOKUP(V14,Windows!$B$4:$D$84,3,FALSE)/1000</f>
        <v>#N/A</v>
      </c>
      <c r="Y14">
        <f t="shared" si="3"/>
        <v>0</v>
      </c>
      <c r="Z14" t="str">
        <f t="shared" si="4"/>
        <v>N/A</v>
      </c>
      <c r="AA14">
        <f t="shared" si="5"/>
        <v>0</v>
      </c>
      <c r="AC14" t="s">
        <v>8</v>
      </c>
      <c r="AE14">
        <f t="shared" si="6"/>
        <v>0</v>
      </c>
      <c r="AF14">
        <f>AE14*Konstanten!$B$4</f>
        <v>0</v>
      </c>
      <c r="AG14">
        <f t="shared" si="10"/>
        <v>0</v>
      </c>
      <c r="AJ14" s="19">
        <f>2*(92.46+36.91)</f>
        <v>258.74</v>
      </c>
      <c r="AK14" s="19">
        <f t="shared" si="7"/>
        <v>12.937000000000001</v>
      </c>
      <c r="AL14" s="19">
        <f>AK14*Konstanten!$B$3</f>
        <v>32.342500000000001</v>
      </c>
      <c r="AN14">
        <f t="shared" si="8"/>
        <v>0</v>
      </c>
      <c r="AO14">
        <f t="shared" si="9"/>
        <v>0</v>
      </c>
      <c r="AS14" s="12"/>
      <c r="BB14" s="4"/>
    </row>
    <row r="15" spans="1:58" x14ac:dyDescent="0.25">
      <c r="A15">
        <v>14</v>
      </c>
      <c r="B15">
        <v>6</v>
      </c>
      <c r="C15" t="s">
        <v>176</v>
      </c>
      <c r="E15" s="15" t="s">
        <v>152</v>
      </c>
      <c r="G15" s="21">
        <v>33.5</v>
      </c>
      <c r="H15">
        <f>Konstanten!$B$3</f>
        <v>2.5</v>
      </c>
      <c r="I15">
        <f>COUNTIF(Windows!$A$4:$A$84,E15)</f>
        <v>2</v>
      </c>
      <c r="J15" t="str">
        <f>VLOOKUP(E15,Windows!$A$4:$D$84,2,FALSE)</f>
        <v>IU11-o+VTL3-o</v>
      </c>
      <c r="K15">
        <f>VLOOKUP(J15,Windows!$B$4:$D$84,2,FALSE)/1000</f>
        <v>1.35</v>
      </c>
      <c r="L15">
        <f>VLOOKUP(J15,Windows!$B$4:$D$84,3,FALSE)/1000</f>
        <v>1.67</v>
      </c>
      <c r="M15">
        <f t="shared" si="0"/>
        <v>2.2545000000000002</v>
      </c>
      <c r="N15" t="str">
        <f>IF(I15&gt;=2,INDEX(Windows!$B$4:$B$84,MATCH(E15,Windows!$A$4:$A$84,0)+1),0)</f>
        <v>IU21-o</v>
      </c>
      <c r="O15">
        <f>VLOOKUP(N15,Windows!$B$4:$D$84,2,FALSE)/1000</f>
        <v>2.12</v>
      </c>
      <c r="P15">
        <f>VLOOKUP(N15,Windows!$B$4:$D$84,3,FALSE)/1000</f>
        <v>1.67</v>
      </c>
      <c r="Q15">
        <f t="shared" si="1"/>
        <v>3.5404</v>
      </c>
      <c r="R15">
        <f>IF(I15&gt;=3,INDEX(Windows!$B$4:$B$84,MATCH(E15,Windows!$A$4:$A$84,0)+2),0)</f>
        <v>0</v>
      </c>
      <c r="S15" t="e">
        <f>VLOOKUP(R15,Windows!$B$4:$D$84,2,FALSE)/1000</f>
        <v>#N/A</v>
      </c>
      <c r="T15" t="e">
        <f>VLOOKUP(R15,Windows!$B$4:$D$84,3,FALSE)/1000</f>
        <v>#N/A</v>
      </c>
      <c r="U15">
        <f t="shared" si="2"/>
        <v>0</v>
      </c>
      <c r="V15">
        <f>IF(I15&gt;=4,INDEX(Windows!$B$4:$B$84,MATCH(E15,Windows!$A$4:$A$84,0)+3),0)</f>
        <v>0</v>
      </c>
      <c r="W15" t="e">
        <f>VLOOKUP(V15,Windows!$B$4:$D$84,2,FALSE)/1000</f>
        <v>#N/A</v>
      </c>
      <c r="X15" t="e">
        <f>VLOOKUP(V15,Windows!$B$4:$D$84,3,FALSE)/1000</f>
        <v>#N/A</v>
      </c>
      <c r="Y15">
        <f t="shared" si="3"/>
        <v>0</v>
      </c>
      <c r="Z15">
        <f t="shared" si="4"/>
        <v>42</v>
      </c>
      <c r="AA15">
        <f t="shared" si="5"/>
        <v>5.7949000000000002</v>
      </c>
      <c r="AC15">
        <v>42</v>
      </c>
      <c r="AD15">
        <v>92.03</v>
      </c>
      <c r="AE15">
        <f t="shared" si="6"/>
        <v>4.6014999999999997</v>
      </c>
      <c r="AF15">
        <f>AE15*Konstanten!$B$4</f>
        <v>19.556374999999999</v>
      </c>
      <c r="AG15">
        <f t="shared" si="10"/>
        <v>13.761474999999999</v>
      </c>
      <c r="AH15" t="s">
        <v>83</v>
      </c>
      <c r="AJ15" s="19">
        <f>114.22+23.71+23.46+49.87+45.7+175.1</f>
        <v>432.06000000000006</v>
      </c>
      <c r="AK15" s="19">
        <f t="shared" si="7"/>
        <v>21.603000000000005</v>
      </c>
      <c r="AL15" s="19">
        <f>AK15*Konstanten!$B$3</f>
        <v>54.007500000000014</v>
      </c>
      <c r="AN15">
        <f t="shared" si="8"/>
        <v>0</v>
      </c>
      <c r="AO15">
        <f t="shared" si="9"/>
        <v>0</v>
      </c>
      <c r="AS15" s="12"/>
      <c r="BB15" s="4"/>
    </row>
    <row r="16" spans="1:58" x14ac:dyDescent="0.25">
      <c r="A16">
        <v>15</v>
      </c>
      <c r="B16">
        <v>6</v>
      </c>
      <c r="C16" t="s">
        <v>23</v>
      </c>
      <c r="E16" s="15" t="s">
        <v>215</v>
      </c>
      <c r="F16" t="s">
        <v>152</v>
      </c>
      <c r="G16" s="21">
        <v>5.9</v>
      </c>
      <c r="H16">
        <f>Konstanten!$B$3</f>
        <v>2.5</v>
      </c>
      <c r="I16">
        <f>COUNTIF(Windows!$A$4:$A$84,E16)</f>
        <v>0</v>
      </c>
      <c r="J16" t="e">
        <f>VLOOKUP(E16,Windows!$A$4:$D$84,2,FALSE)</f>
        <v>#N/A</v>
      </c>
      <c r="K16" t="e">
        <f>VLOOKUP(J16,Windows!$B$4:$D$84,2,FALSE)/1000</f>
        <v>#N/A</v>
      </c>
      <c r="L16" t="e">
        <f>VLOOKUP(J16,Windows!$B$4:$D$84,3,FALSE)/1000</f>
        <v>#N/A</v>
      </c>
      <c r="M16">
        <f t="shared" si="0"/>
        <v>0</v>
      </c>
      <c r="N16">
        <f>IF(I16&gt;=2,INDEX(Windows!$B$4:$B$84,MATCH(E16,Windows!$A$4:$A$84,0)+1),0)</f>
        <v>0</v>
      </c>
      <c r="O16" t="e">
        <f>VLOOKUP(N16,Windows!$B$4:$D$84,2,FALSE)/1000</f>
        <v>#N/A</v>
      </c>
      <c r="P16" t="e">
        <f>VLOOKUP(N16,Windows!$B$4:$D$84,3,FALSE)/1000</f>
        <v>#N/A</v>
      </c>
      <c r="Q16">
        <f t="shared" si="1"/>
        <v>0</v>
      </c>
      <c r="R16">
        <f>IF(I16&gt;=3,INDEX(Windows!$B$4:$B$84,MATCH(E16,Windows!$A$4:$A$84,0)+2),0)</f>
        <v>0</v>
      </c>
      <c r="S16" t="e">
        <f>VLOOKUP(R16,Windows!$B$4:$D$84,2,FALSE)/1000</f>
        <v>#N/A</v>
      </c>
      <c r="T16" t="e">
        <f>VLOOKUP(R16,Windows!$B$4:$D$84,3,FALSE)/1000</f>
        <v>#N/A</v>
      </c>
      <c r="U16">
        <f t="shared" si="2"/>
        <v>0</v>
      </c>
      <c r="V16">
        <f>IF(I16&gt;=4,INDEX(Windows!$B$4:$B$84,MATCH(E16,Windows!$A$4:$A$84,0)+3),0)</f>
        <v>0</v>
      </c>
      <c r="W16" t="e">
        <f>VLOOKUP(V16,Windows!$B$4:$D$84,2,FALSE)/1000</f>
        <v>#N/A</v>
      </c>
      <c r="X16" t="e">
        <f>VLOOKUP(V16,Windows!$B$4:$D$84,3,FALSE)/1000</f>
        <v>#N/A</v>
      </c>
      <c r="Y16">
        <f t="shared" si="3"/>
        <v>0</v>
      </c>
      <c r="Z16" t="str">
        <f t="shared" si="4"/>
        <v>N/A</v>
      </c>
      <c r="AA16">
        <f t="shared" si="5"/>
        <v>0</v>
      </c>
      <c r="AC16" t="s">
        <v>8</v>
      </c>
      <c r="AE16">
        <f t="shared" si="6"/>
        <v>0</v>
      </c>
      <c r="AF16">
        <f>AE16*Konstanten!$B$4</f>
        <v>0</v>
      </c>
      <c r="AG16">
        <f t="shared" si="10"/>
        <v>0</v>
      </c>
      <c r="AJ16" s="19">
        <f>23.71+23.46+49.87+44.55+58.45</f>
        <v>200.03999999999996</v>
      </c>
      <c r="AK16" s="19">
        <f t="shared" si="7"/>
        <v>10.001999999999999</v>
      </c>
      <c r="AL16" s="19">
        <f>AK16*Konstanten!$B$3</f>
        <v>25.004999999999995</v>
      </c>
      <c r="AN16">
        <f t="shared" si="8"/>
        <v>0</v>
      </c>
      <c r="AO16">
        <f t="shared" si="9"/>
        <v>0</v>
      </c>
      <c r="AS16" s="12"/>
      <c r="BB16" s="4"/>
    </row>
    <row r="17" spans="1:54" x14ac:dyDescent="0.25">
      <c r="A17">
        <v>16</v>
      </c>
      <c r="B17">
        <v>6</v>
      </c>
      <c r="C17" t="s">
        <v>176</v>
      </c>
      <c r="E17" s="15" t="s">
        <v>157</v>
      </c>
      <c r="G17" s="21">
        <v>32.200000000000003</v>
      </c>
      <c r="H17">
        <f>Konstanten!$B$3</f>
        <v>2.5</v>
      </c>
      <c r="I17">
        <f>COUNTIF(Windows!$A$4:$A$84,E17)</f>
        <v>2</v>
      </c>
      <c r="J17" t="str">
        <f>VLOOKUP(E17,Windows!$A$4:$D$84,2,FALSE)</f>
        <v>IU11-v+OTL-v</v>
      </c>
      <c r="K17">
        <f>VLOOKUP(J17,Windows!$B$4:$D$84,2,FALSE)/1000</f>
        <v>1.35</v>
      </c>
      <c r="L17">
        <f>VLOOKUP(J17,Windows!$B$4:$D$84,3,FALSE)/1000</f>
        <v>1.67</v>
      </c>
      <c r="M17">
        <f t="shared" si="0"/>
        <v>2.2545000000000002</v>
      </c>
      <c r="N17" t="str">
        <f>IF(I17&gt;=2,INDEX(Windows!$B$4:$B$84,MATCH(E17,Windows!$A$4:$A$84,0)+1),0)</f>
        <v>IU21-o</v>
      </c>
      <c r="O17">
        <f>VLOOKUP(N17,Windows!$B$4:$D$84,2,FALSE)/1000</f>
        <v>2.12</v>
      </c>
      <c r="P17">
        <f>VLOOKUP(N17,Windows!$B$4:$D$84,3,FALSE)/1000</f>
        <v>1.67</v>
      </c>
      <c r="Q17">
        <f t="shared" si="1"/>
        <v>3.5404</v>
      </c>
      <c r="R17">
        <f>IF(I17&gt;=3,INDEX(Windows!$B$4:$B$84,MATCH(E17,Windows!$A$4:$A$84,0)+2),0)</f>
        <v>0</v>
      </c>
      <c r="S17" t="e">
        <f>VLOOKUP(R17,Windows!$B$4:$D$84,2,FALSE)/1000</f>
        <v>#N/A</v>
      </c>
      <c r="T17" t="e">
        <f>VLOOKUP(R17,Windows!$B$4:$D$84,3,FALSE)/1000</f>
        <v>#N/A</v>
      </c>
      <c r="U17">
        <f t="shared" si="2"/>
        <v>0</v>
      </c>
      <c r="V17">
        <f>IF(I17&gt;=4,INDEX(Windows!$B$4:$B$84,MATCH(E17,Windows!$A$4:$A$84,0)+3),0)</f>
        <v>0</v>
      </c>
      <c r="W17" t="e">
        <f>VLOOKUP(V17,Windows!$B$4:$D$84,2,FALSE)/1000</f>
        <v>#N/A</v>
      </c>
      <c r="X17" t="e">
        <f>VLOOKUP(V17,Windows!$B$4:$D$84,3,FALSE)/1000</f>
        <v>#N/A</v>
      </c>
      <c r="Y17">
        <f t="shared" si="3"/>
        <v>0</v>
      </c>
      <c r="Z17">
        <f t="shared" si="4"/>
        <v>42</v>
      </c>
      <c r="AA17">
        <f t="shared" si="5"/>
        <v>5.7949000000000002</v>
      </c>
      <c r="AC17">
        <v>42</v>
      </c>
      <c r="AD17">
        <v>88.98</v>
      </c>
      <c r="AE17">
        <f t="shared" si="6"/>
        <v>4.4489999999999998</v>
      </c>
      <c r="AF17">
        <f>AE17*Konstanten!$B$4</f>
        <v>18.908249999999999</v>
      </c>
      <c r="AG17">
        <f t="shared" si="10"/>
        <v>13.113349999999999</v>
      </c>
      <c r="AH17" t="s">
        <v>83</v>
      </c>
      <c r="AJ17" s="19">
        <f>114.22+23.71+23.46+49.87+175.1+42.59</f>
        <v>428.95000000000005</v>
      </c>
      <c r="AK17" s="19">
        <f t="shared" si="7"/>
        <v>21.447500000000005</v>
      </c>
      <c r="AL17" s="19">
        <f>AK17*Konstanten!$B$3</f>
        <v>53.618750000000013</v>
      </c>
      <c r="AN17">
        <f t="shared" si="8"/>
        <v>0</v>
      </c>
      <c r="AO17">
        <f t="shared" si="9"/>
        <v>0</v>
      </c>
      <c r="AS17" s="12"/>
      <c r="BB17" s="4"/>
    </row>
    <row r="18" spans="1:54" x14ac:dyDescent="0.25">
      <c r="A18">
        <v>17</v>
      </c>
      <c r="B18">
        <v>6</v>
      </c>
      <c r="C18" t="s">
        <v>23</v>
      </c>
      <c r="E18" s="15" t="s">
        <v>224</v>
      </c>
      <c r="F18" s="15" t="s">
        <v>157</v>
      </c>
      <c r="G18" s="21">
        <v>5.9</v>
      </c>
      <c r="H18">
        <f>Konstanten!$B$3</f>
        <v>2.5</v>
      </c>
      <c r="I18">
        <f>COUNTIF(Windows!$A$4:$A$84,E18)</f>
        <v>0</v>
      </c>
      <c r="J18" t="e">
        <f>VLOOKUP(E18,Windows!$A$4:$D$84,2,FALSE)</f>
        <v>#N/A</v>
      </c>
      <c r="K18" t="e">
        <f>VLOOKUP(J18,Windows!$B$4:$D$84,2,FALSE)/1000</f>
        <v>#N/A</v>
      </c>
      <c r="L18" t="e">
        <f>VLOOKUP(J18,Windows!$B$4:$D$84,3,FALSE)/1000</f>
        <v>#N/A</v>
      </c>
      <c r="M18">
        <f t="shared" si="0"/>
        <v>0</v>
      </c>
      <c r="N18">
        <f>IF(I18&gt;=2,INDEX(Windows!$B$4:$B$84,MATCH(E18,Windows!$A$4:$A$84,0)+1),0)</f>
        <v>0</v>
      </c>
      <c r="O18" t="e">
        <f>VLOOKUP(N18,Windows!$B$4:$D$84,2,FALSE)/1000</f>
        <v>#N/A</v>
      </c>
      <c r="P18" t="e">
        <f>VLOOKUP(N18,Windows!$B$4:$D$84,3,FALSE)/1000</f>
        <v>#N/A</v>
      </c>
      <c r="Q18">
        <f t="shared" si="1"/>
        <v>0</v>
      </c>
      <c r="R18">
        <f>IF(I18&gt;=3,INDEX(Windows!$B$4:$B$84,MATCH(E18,Windows!$A$4:$A$84,0)+2),0)</f>
        <v>0</v>
      </c>
      <c r="S18" t="e">
        <f>VLOOKUP(R18,Windows!$B$4:$D$84,2,FALSE)/1000</f>
        <v>#N/A</v>
      </c>
      <c r="T18" t="e">
        <f>VLOOKUP(R18,Windows!$B$4:$D$84,3,FALSE)/1000</f>
        <v>#N/A</v>
      </c>
      <c r="U18">
        <f t="shared" si="2"/>
        <v>0</v>
      </c>
      <c r="V18">
        <f>IF(I18&gt;=4,INDEX(Windows!$B$4:$B$84,MATCH(E18,Windows!$A$4:$A$84,0)+3),0)</f>
        <v>0</v>
      </c>
      <c r="W18" t="e">
        <f>VLOOKUP(V18,Windows!$B$4:$D$84,2,FALSE)/1000</f>
        <v>#N/A</v>
      </c>
      <c r="X18" t="e">
        <f>VLOOKUP(V18,Windows!$B$4:$D$84,3,FALSE)/1000</f>
        <v>#N/A</v>
      </c>
      <c r="Y18">
        <f t="shared" si="3"/>
        <v>0</v>
      </c>
      <c r="Z18" t="str">
        <f t="shared" si="4"/>
        <v>N/A</v>
      </c>
      <c r="AA18">
        <f t="shared" si="5"/>
        <v>0</v>
      </c>
      <c r="AC18" t="s">
        <v>8</v>
      </c>
      <c r="AE18">
        <f t="shared" si="6"/>
        <v>0</v>
      </c>
      <c r="AF18">
        <f>AE18*Konstanten!$B$4</f>
        <v>0</v>
      </c>
      <c r="AG18">
        <f t="shared" si="10"/>
        <v>0</v>
      </c>
      <c r="AJ18" s="19">
        <f>23.71+23.46+49.87+44.55+58.45</f>
        <v>200.03999999999996</v>
      </c>
      <c r="AK18" s="19">
        <f t="shared" si="7"/>
        <v>10.001999999999999</v>
      </c>
      <c r="AL18" s="19">
        <f>AK18*Konstanten!$B$3</f>
        <v>25.004999999999995</v>
      </c>
      <c r="AN18">
        <f t="shared" si="8"/>
        <v>0</v>
      </c>
      <c r="AO18">
        <f t="shared" si="9"/>
        <v>0</v>
      </c>
      <c r="AS18" s="12"/>
      <c r="BB18" s="4"/>
    </row>
    <row r="19" spans="1:54" x14ac:dyDescent="0.25">
      <c r="A19">
        <v>18</v>
      </c>
      <c r="B19">
        <v>6</v>
      </c>
      <c r="C19" t="s">
        <v>176</v>
      </c>
      <c r="E19" s="15" t="s">
        <v>168</v>
      </c>
      <c r="G19" s="21">
        <v>31.9</v>
      </c>
      <c r="H19">
        <f>Konstanten!$B$3</f>
        <v>2.5</v>
      </c>
      <c r="I19">
        <f>COUNTIF(Windows!$A$4:$A$84,E19)</f>
        <v>2</v>
      </c>
      <c r="J19" t="str">
        <f>VLOOKUP(E19,Windows!$A$4:$D$84,2,FALSE)</f>
        <v>IU20-o</v>
      </c>
      <c r="K19">
        <f>VLOOKUP(J19,Windows!$B$4:$D$84,2,FALSE)/1000</f>
        <v>1.9950000000000001</v>
      </c>
      <c r="L19">
        <f>VLOOKUP(J19,Windows!$B$4:$D$84,3,FALSE)/1000</f>
        <v>1.67</v>
      </c>
      <c r="M19">
        <f t="shared" si="0"/>
        <v>3.3316500000000002</v>
      </c>
      <c r="N19" t="str">
        <f>IF(I19&gt;=2,INDEX(Windows!$B$4:$B$84,MATCH(E19,Windows!$A$4:$A$84,0)+1),0)</f>
        <v>IU9,5-v+VTL3-o</v>
      </c>
      <c r="O19">
        <f>VLOOKUP(N19,Windows!$B$4:$D$84,2,FALSE)/1000</f>
        <v>1.2</v>
      </c>
      <c r="P19">
        <f>VLOOKUP(N19,Windows!$B$4:$D$84,3,FALSE)/1000</f>
        <v>1.67</v>
      </c>
      <c r="Q19">
        <f t="shared" si="1"/>
        <v>2.004</v>
      </c>
      <c r="R19">
        <f>IF(I19&gt;=3,INDEX(Windows!$B$4:$B$84,MATCH(E19,Windows!$A$4:$A$84,0)+2),0)</f>
        <v>0</v>
      </c>
      <c r="S19" t="e">
        <f>VLOOKUP(R19,Windows!$B$4:$D$84,2,FALSE)/1000</f>
        <v>#N/A</v>
      </c>
      <c r="T19" t="e">
        <f>VLOOKUP(R19,Windows!$B$4:$D$84,3,FALSE)/1000</f>
        <v>#N/A</v>
      </c>
      <c r="U19">
        <f t="shared" si="2"/>
        <v>0</v>
      </c>
      <c r="V19">
        <f>IF(I19&gt;=4,INDEX(Windows!$B$4:$B$84,MATCH(E19,Windows!$A$4:$A$84,0)+3),0)</f>
        <v>0</v>
      </c>
      <c r="W19" t="e">
        <f>VLOOKUP(V19,Windows!$B$4:$D$84,2,FALSE)/1000</f>
        <v>#N/A</v>
      </c>
      <c r="X19" t="e">
        <f>VLOOKUP(V19,Windows!$B$4:$D$84,3,FALSE)/1000</f>
        <v>#N/A</v>
      </c>
      <c r="Y19">
        <f t="shared" si="3"/>
        <v>0</v>
      </c>
      <c r="Z19">
        <f t="shared" si="4"/>
        <v>42</v>
      </c>
      <c r="AA19">
        <f t="shared" si="5"/>
        <v>5.3356500000000002</v>
      </c>
      <c r="AC19">
        <v>42</v>
      </c>
      <c r="AD19">
        <v>88.99</v>
      </c>
      <c r="AE19">
        <f t="shared" si="6"/>
        <v>4.4494999999999996</v>
      </c>
      <c r="AF19">
        <f>AE19*Konstanten!$B$4</f>
        <v>18.910374999999998</v>
      </c>
      <c r="AG19">
        <f t="shared" si="10"/>
        <v>13.574724999999997</v>
      </c>
      <c r="AH19" t="s">
        <v>83</v>
      </c>
      <c r="AJ19" s="19">
        <f>114.22+23.71+23.46+49.87+175.1+42.29</f>
        <v>428.65000000000003</v>
      </c>
      <c r="AK19" s="19">
        <f t="shared" si="7"/>
        <v>21.432500000000005</v>
      </c>
      <c r="AL19" s="19">
        <f>AK19*Konstanten!$B$3</f>
        <v>53.581250000000011</v>
      </c>
      <c r="AN19">
        <f t="shared" si="8"/>
        <v>0</v>
      </c>
      <c r="AO19">
        <f t="shared" si="9"/>
        <v>0</v>
      </c>
      <c r="AS19" s="12"/>
      <c r="BB19" s="4"/>
    </row>
    <row r="20" spans="1:54" x14ac:dyDescent="0.25">
      <c r="A20">
        <v>19</v>
      </c>
      <c r="B20">
        <v>6</v>
      </c>
      <c r="C20" t="s">
        <v>23</v>
      </c>
      <c r="E20" s="15" t="s">
        <v>225</v>
      </c>
      <c r="F20" s="15" t="s">
        <v>168</v>
      </c>
      <c r="G20" s="21">
        <v>6</v>
      </c>
      <c r="H20">
        <f>Konstanten!$B$3</f>
        <v>2.5</v>
      </c>
      <c r="I20">
        <f>COUNTIF(Windows!$A$4:$A$84,E20)</f>
        <v>0</v>
      </c>
      <c r="J20" t="e">
        <f>VLOOKUP(E20,Windows!$A$4:$D$84,2,FALSE)</f>
        <v>#N/A</v>
      </c>
      <c r="K20" t="e">
        <f>VLOOKUP(J20,Windows!$B$4:$D$84,2,FALSE)/1000</f>
        <v>#N/A</v>
      </c>
      <c r="L20" t="e">
        <f>VLOOKUP(J20,Windows!$B$4:$D$84,3,FALSE)/1000</f>
        <v>#N/A</v>
      </c>
      <c r="M20">
        <f t="shared" si="0"/>
        <v>0</v>
      </c>
      <c r="N20">
        <f>IF(I20&gt;=2,INDEX(Windows!$B$4:$B$84,MATCH(E20,Windows!$A$4:$A$84,0)+1),0)</f>
        <v>0</v>
      </c>
      <c r="O20" t="e">
        <f>VLOOKUP(N20,Windows!$B$4:$D$84,2,FALSE)/1000</f>
        <v>#N/A</v>
      </c>
      <c r="P20" t="e">
        <f>VLOOKUP(N20,Windows!$B$4:$D$84,3,FALSE)/1000</f>
        <v>#N/A</v>
      </c>
      <c r="Q20">
        <f t="shared" si="1"/>
        <v>0</v>
      </c>
      <c r="R20">
        <f>IF(I20&gt;=3,INDEX(Windows!$B$4:$B$84,MATCH(E20,Windows!$A$4:$A$84,0)+2),0)</f>
        <v>0</v>
      </c>
      <c r="S20" t="e">
        <f>VLOOKUP(R20,Windows!$B$4:$D$84,2,FALSE)/1000</f>
        <v>#N/A</v>
      </c>
      <c r="T20" t="e">
        <f>VLOOKUP(R20,Windows!$B$4:$D$84,3,FALSE)/1000</f>
        <v>#N/A</v>
      </c>
      <c r="U20">
        <f t="shared" si="2"/>
        <v>0</v>
      </c>
      <c r="V20">
        <f>IF(I20&gt;=4,INDEX(Windows!$B$4:$B$84,MATCH(E20,Windows!$A$4:$A$84,0)+3),0)</f>
        <v>0</v>
      </c>
      <c r="W20" t="e">
        <f>VLOOKUP(V20,Windows!$B$4:$D$84,2,FALSE)/1000</f>
        <v>#N/A</v>
      </c>
      <c r="X20" t="e">
        <f>VLOOKUP(V20,Windows!$B$4:$D$84,3,FALSE)/1000</f>
        <v>#N/A</v>
      </c>
      <c r="Y20">
        <f t="shared" si="3"/>
        <v>0</v>
      </c>
      <c r="Z20" t="str">
        <f t="shared" si="4"/>
        <v>N/A</v>
      </c>
      <c r="AA20">
        <f t="shared" si="5"/>
        <v>0</v>
      </c>
      <c r="AC20" t="s">
        <v>8</v>
      </c>
      <c r="AE20">
        <f t="shared" si="6"/>
        <v>0</v>
      </c>
      <c r="AF20">
        <f>AE20*Konstanten!$B$4</f>
        <v>0</v>
      </c>
      <c r="AG20">
        <f t="shared" si="10"/>
        <v>0</v>
      </c>
      <c r="AJ20" s="19">
        <f>58.51+43.15+46.57+23.73+23.37</f>
        <v>195.32999999999998</v>
      </c>
      <c r="AK20" s="19">
        <f t="shared" si="7"/>
        <v>9.7665000000000006</v>
      </c>
      <c r="AL20" s="19">
        <f>AK20*Konstanten!$B$3</f>
        <v>24.416250000000002</v>
      </c>
      <c r="AN20">
        <f t="shared" si="8"/>
        <v>0</v>
      </c>
      <c r="AO20">
        <f t="shared" si="9"/>
        <v>0</v>
      </c>
      <c r="AS20" s="12"/>
      <c r="BB20" s="4"/>
    </row>
    <row r="21" spans="1:54" x14ac:dyDescent="0.25">
      <c r="A21" s="12">
        <v>20</v>
      </c>
      <c r="B21">
        <v>6</v>
      </c>
      <c r="C21" t="s">
        <v>176</v>
      </c>
      <c r="E21" s="15" t="s">
        <v>151</v>
      </c>
      <c r="G21" s="21">
        <v>35.5</v>
      </c>
      <c r="H21">
        <f>Konstanten!$B$3</f>
        <v>2.5</v>
      </c>
      <c r="I21">
        <f>COUNTIF(Windows!$A$4:$A$84,E21)</f>
        <v>2</v>
      </c>
      <c r="J21" t="str">
        <f>VLOOKUP(E21,Windows!$A$4:$D$84,2,FALSE)</f>
        <v>IU11,5-v+TL3-v</v>
      </c>
      <c r="K21">
        <f>VLOOKUP(J21,Windows!$B$4:$D$84,2,FALSE)/1000</f>
        <v>1.155</v>
      </c>
      <c r="L21">
        <f>VLOOKUP(J21,Windows!$B$4:$D$84,3,FALSE)/1000</f>
        <v>1.67</v>
      </c>
      <c r="M21">
        <f t="shared" si="0"/>
        <v>1.92885</v>
      </c>
      <c r="N21" t="str">
        <f>IF(I21&gt;=2,INDEX(Windows!$B$4:$B$84,MATCH(E21,Windows!$A$4:$A$84,0)+1),0)</f>
        <v>IU21-o</v>
      </c>
      <c r="O21">
        <f>VLOOKUP(N21,Windows!$B$4:$D$84,2,FALSE)/1000</f>
        <v>2.12</v>
      </c>
      <c r="P21">
        <f>VLOOKUP(N21,Windows!$B$4:$D$84,3,FALSE)/1000</f>
        <v>1.67</v>
      </c>
      <c r="Q21">
        <f t="shared" si="1"/>
        <v>3.5404</v>
      </c>
      <c r="R21">
        <f>IF(I21&gt;=3,INDEX(Windows!$B$4:$B$84,MATCH(E21,Windows!$A$4:$A$84,0)+2),0)</f>
        <v>0</v>
      </c>
      <c r="S21" t="e">
        <f>VLOOKUP(R21,Windows!$B$4:$D$84,2,FALSE)/1000</f>
        <v>#N/A</v>
      </c>
      <c r="T21" t="e">
        <f>VLOOKUP(R21,Windows!$B$4:$D$84,3,FALSE)/1000</f>
        <v>#N/A</v>
      </c>
      <c r="U21">
        <f t="shared" si="2"/>
        <v>0</v>
      </c>
      <c r="V21">
        <f>IF(I21&gt;=4,INDEX(Windows!$B$4:$B$84,MATCH(E21,Windows!$A$4:$A$84,0)+3),0)</f>
        <v>0</v>
      </c>
      <c r="W21" t="e">
        <f>VLOOKUP(V21,Windows!$B$4:$D$84,2,FALSE)/1000</f>
        <v>#N/A</v>
      </c>
      <c r="X21" t="e">
        <f>VLOOKUP(V21,Windows!$B$4:$D$84,3,FALSE)/1000</f>
        <v>#N/A</v>
      </c>
      <c r="Y21">
        <f t="shared" si="3"/>
        <v>0</v>
      </c>
      <c r="Z21">
        <f t="shared" si="4"/>
        <v>42</v>
      </c>
      <c r="AA21">
        <f t="shared" si="5"/>
        <v>5.4692499999999997</v>
      </c>
      <c r="AC21">
        <v>42</v>
      </c>
      <c r="AD21">
        <v>96.51</v>
      </c>
      <c r="AE21">
        <f t="shared" si="6"/>
        <v>4.8254999999999999</v>
      </c>
      <c r="AF21">
        <f>AE21*Konstanten!$B$4</f>
        <v>20.508375000000001</v>
      </c>
      <c r="AG21">
        <f t="shared" si="10"/>
        <v>15.039125000000002</v>
      </c>
      <c r="AH21" t="s">
        <v>83</v>
      </c>
      <c r="AJ21" s="19">
        <f>175.31+97.31</f>
        <v>272.62</v>
      </c>
      <c r="AK21" s="19">
        <f t="shared" si="7"/>
        <v>13.631</v>
      </c>
      <c r="AL21" s="19">
        <f>AK21*Konstanten!$B$3</f>
        <v>34.077500000000001</v>
      </c>
      <c r="AN21">
        <f t="shared" si="8"/>
        <v>0</v>
      </c>
      <c r="AO21">
        <f t="shared" si="9"/>
        <v>0</v>
      </c>
      <c r="AS21" s="12"/>
      <c r="BB21" s="4"/>
    </row>
    <row r="22" spans="1:54" x14ac:dyDescent="0.25">
      <c r="A22">
        <v>21</v>
      </c>
      <c r="B22">
        <v>6</v>
      </c>
      <c r="E22" s="15" t="s">
        <v>151</v>
      </c>
      <c r="G22" s="21">
        <v>0</v>
      </c>
      <c r="H22">
        <f>Konstanten!$B$3</f>
        <v>2.5</v>
      </c>
      <c r="I22">
        <v>0</v>
      </c>
      <c r="K22" t="e">
        <f>VLOOKUP(J22,Windows!$B$4:$D$84,2,FALSE)/1000</f>
        <v>#N/A</v>
      </c>
      <c r="L22" t="e">
        <f>VLOOKUP(J22,Windows!$B$4:$D$84,3,FALSE)/1000</f>
        <v>#N/A</v>
      </c>
      <c r="M22">
        <f t="shared" si="0"/>
        <v>0</v>
      </c>
      <c r="O22" t="e">
        <f>VLOOKUP(N22,Windows!$B$4:$D$84,2,FALSE)/1000</f>
        <v>#N/A</v>
      </c>
      <c r="P22" t="e">
        <f>VLOOKUP(N22,Windows!$B$4:$D$84,3,FALSE)/1000</f>
        <v>#N/A</v>
      </c>
      <c r="Q22">
        <f t="shared" si="1"/>
        <v>0</v>
      </c>
      <c r="S22" t="e">
        <f>VLOOKUP(R22,Windows!$B$4:$D$84,2,FALSE)/1000</f>
        <v>#N/A</v>
      </c>
      <c r="T22" t="e">
        <f>VLOOKUP(R22,Windows!$B$4:$D$84,3,FALSE)/1000</f>
        <v>#N/A</v>
      </c>
      <c r="U22">
        <f t="shared" si="2"/>
        <v>0</v>
      </c>
      <c r="W22" t="e">
        <f>VLOOKUP(V22,Windows!$B$4:$D$84,2,FALSE)/1000</f>
        <v>#N/A</v>
      </c>
      <c r="X22" t="e">
        <f>VLOOKUP(V22,Windows!$B$4:$D$84,3,FALSE)/1000</f>
        <v>#N/A</v>
      </c>
      <c r="Y22">
        <f t="shared" si="3"/>
        <v>0</v>
      </c>
      <c r="Z22" t="str">
        <f t="shared" si="4"/>
        <v>N/A</v>
      </c>
      <c r="AA22">
        <f t="shared" si="5"/>
        <v>0</v>
      </c>
      <c r="AC22">
        <v>132</v>
      </c>
      <c r="AD22">
        <v>175.31</v>
      </c>
      <c r="AE22">
        <f t="shared" si="6"/>
        <v>8.7654999999999994</v>
      </c>
      <c r="AF22">
        <f>AE22*Konstanten!$B$4</f>
        <v>37.253374999999998</v>
      </c>
      <c r="AG22">
        <f t="shared" si="10"/>
        <v>37.253374999999998</v>
      </c>
      <c r="AH22" t="s">
        <v>83</v>
      </c>
      <c r="AJ22" s="19"/>
      <c r="AK22" s="19">
        <f t="shared" si="7"/>
        <v>0</v>
      </c>
      <c r="AL22" s="19">
        <f>AK22*Konstanten!$B$3</f>
        <v>0</v>
      </c>
      <c r="AN22">
        <f t="shared" si="8"/>
        <v>0</v>
      </c>
      <c r="AO22">
        <f t="shared" si="9"/>
        <v>0</v>
      </c>
      <c r="AS22" s="12"/>
      <c r="BB22" s="4"/>
    </row>
    <row r="23" spans="1:54" x14ac:dyDescent="0.25">
      <c r="A23">
        <v>22</v>
      </c>
      <c r="B23">
        <v>6</v>
      </c>
      <c r="C23" t="s">
        <v>23</v>
      </c>
      <c r="E23" s="15" t="s">
        <v>226</v>
      </c>
      <c r="G23" s="21">
        <v>6</v>
      </c>
      <c r="H23">
        <f>Konstanten!$B$3</f>
        <v>2.5</v>
      </c>
      <c r="I23">
        <f>COUNTIF(Windows!$A$4:$A$84,E23)</f>
        <v>0</v>
      </c>
      <c r="J23" t="e">
        <f>VLOOKUP(E23,Windows!$A$4:$D$84,2,FALSE)</f>
        <v>#N/A</v>
      </c>
      <c r="K23" t="e">
        <f>VLOOKUP(J23,Windows!$B$4:$D$84,2,FALSE)/1000</f>
        <v>#N/A</v>
      </c>
      <c r="L23" t="e">
        <f>VLOOKUP(J23,Windows!$B$4:$D$84,3,FALSE)/1000</f>
        <v>#N/A</v>
      </c>
      <c r="M23">
        <f t="shared" si="0"/>
        <v>0</v>
      </c>
      <c r="N23">
        <f>IF(I23&gt;=2,INDEX(Windows!$B$4:$B$84,MATCH(E23,Windows!$A$4:$A$84,0)+1),0)</f>
        <v>0</v>
      </c>
      <c r="O23" t="e">
        <f>VLOOKUP(N23,Windows!$B$4:$D$84,2,FALSE)/1000</f>
        <v>#N/A</v>
      </c>
      <c r="P23" t="e">
        <f>VLOOKUP(N23,Windows!$B$4:$D$84,3,FALSE)/1000</f>
        <v>#N/A</v>
      </c>
      <c r="Q23">
        <f t="shared" si="1"/>
        <v>0</v>
      </c>
      <c r="R23">
        <f>IF(I23&gt;=3,INDEX(Windows!$B$4:$B$84,MATCH(E23,Windows!$A$4:$A$84,0)+2),0)</f>
        <v>0</v>
      </c>
      <c r="S23" t="e">
        <f>VLOOKUP(R23,Windows!$B$4:$D$84,2,FALSE)/1000</f>
        <v>#N/A</v>
      </c>
      <c r="T23" t="e">
        <f>VLOOKUP(R23,Windows!$B$4:$D$84,3,FALSE)/1000</f>
        <v>#N/A</v>
      </c>
      <c r="U23">
        <f t="shared" si="2"/>
        <v>0</v>
      </c>
      <c r="V23">
        <f>IF(I23&gt;=4,INDEX(Windows!$B$4:$B$84,MATCH(E23,Windows!$A$4:$A$84,0)+3),0)</f>
        <v>0</v>
      </c>
      <c r="W23" t="e">
        <f>VLOOKUP(V23,Windows!$B$4:$D$84,2,FALSE)/1000</f>
        <v>#N/A</v>
      </c>
      <c r="X23" t="e">
        <f>VLOOKUP(V23,Windows!$B$4:$D$84,3,FALSE)/1000</f>
        <v>#N/A</v>
      </c>
      <c r="Y23">
        <f t="shared" si="3"/>
        <v>0</v>
      </c>
      <c r="Z23" t="str">
        <f t="shared" si="4"/>
        <v>N/A</v>
      </c>
      <c r="AA23">
        <f t="shared" si="5"/>
        <v>0</v>
      </c>
      <c r="AC23" t="s">
        <v>8</v>
      </c>
      <c r="AE23">
        <f t="shared" si="6"/>
        <v>0</v>
      </c>
      <c r="AF23">
        <f>AE23*Konstanten!$B$4</f>
        <v>0</v>
      </c>
      <c r="AG23">
        <f t="shared" si="10"/>
        <v>0</v>
      </c>
      <c r="AJ23" s="19">
        <f>58.51+43.15+46.57+23.73+23.37</f>
        <v>195.32999999999998</v>
      </c>
      <c r="AK23" s="19">
        <f t="shared" si="7"/>
        <v>9.7665000000000006</v>
      </c>
      <c r="AL23" s="19">
        <f>AK23*Konstanten!$B$3</f>
        <v>24.416250000000002</v>
      </c>
      <c r="AN23">
        <f t="shared" si="8"/>
        <v>0</v>
      </c>
      <c r="AO23">
        <f t="shared" si="9"/>
        <v>0</v>
      </c>
      <c r="AS23" s="12"/>
      <c r="BB23" s="4"/>
    </row>
    <row r="24" spans="1:54" x14ac:dyDescent="0.25">
      <c r="A24">
        <v>23</v>
      </c>
      <c r="B24">
        <v>6</v>
      </c>
      <c r="C24" t="s">
        <v>92</v>
      </c>
      <c r="E24" s="15" t="s">
        <v>227</v>
      </c>
      <c r="G24" s="21">
        <v>8.5</v>
      </c>
      <c r="H24">
        <f>Konstanten!$B$3</f>
        <v>2.5</v>
      </c>
      <c r="I24">
        <f>COUNTIF(Windows!$A$4:$A$84,E24)</f>
        <v>0</v>
      </c>
      <c r="J24" t="e">
        <f>VLOOKUP(E24,Windows!$A$4:$D$84,2,FALSE)</f>
        <v>#N/A</v>
      </c>
      <c r="K24" t="e">
        <f>VLOOKUP(J24,Windows!$B$4:$D$84,2,FALSE)/1000</f>
        <v>#N/A</v>
      </c>
      <c r="L24" t="e">
        <f>VLOOKUP(J24,Windows!$B$4:$D$84,3,FALSE)/1000</f>
        <v>#N/A</v>
      </c>
      <c r="M24">
        <f t="shared" si="0"/>
        <v>0</v>
      </c>
      <c r="N24">
        <f>IF(I24&gt;=2,INDEX(Windows!$B$4:$B$84,MATCH(E24,Windows!$A$4:$A$84,0)+1),0)</f>
        <v>0</v>
      </c>
      <c r="O24" t="e">
        <f>VLOOKUP(N24,Windows!$B$4:$D$84,2,FALSE)/1000</f>
        <v>#N/A</v>
      </c>
      <c r="P24" t="e">
        <f>VLOOKUP(N24,Windows!$B$4:$D$84,3,FALSE)/1000</f>
        <v>#N/A</v>
      </c>
      <c r="Q24">
        <f t="shared" si="1"/>
        <v>0</v>
      </c>
      <c r="R24">
        <f>IF(I24&gt;=3,INDEX(Windows!$B$4:$B$84,MATCH(E24,Windows!$A$4:$A$84,0)+2),0)</f>
        <v>0</v>
      </c>
      <c r="S24" t="e">
        <f>VLOOKUP(R24,Windows!$B$4:$D$84,2,FALSE)/1000</f>
        <v>#N/A</v>
      </c>
      <c r="T24" t="e">
        <f>VLOOKUP(R24,Windows!$B$4:$D$84,3,FALSE)/1000</f>
        <v>#N/A</v>
      </c>
      <c r="U24">
        <f t="shared" si="2"/>
        <v>0</v>
      </c>
      <c r="V24">
        <f>IF(I24&gt;=4,INDEX(Windows!$B$4:$B$84,MATCH(E24,Windows!$A$4:$A$84,0)+3),0)</f>
        <v>0</v>
      </c>
      <c r="W24" t="e">
        <f>VLOOKUP(V24,Windows!$B$4:$D$84,2,FALSE)/1000</f>
        <v>#N/A</v>
      </c>
      <c r="X24" t="e">
        <f>VLOOKUP(V24,Windows!$B$4:$D$84,3,FALSE)/1000</f>
        <v>#N/A</v>
      </c>
      <c r="Y24">
        <f t="shared" si="3"/>
        <v>0</v>
      </c>
      <c r="Z24" t="str">
        <f t="shared" si="4"/>
        <v>N/A</v>
      </c>
      <c r="AA24">
        <f t="shared" si="5"/>
        <v>0</v>
      </c>
      <c r="AC24" t="s">
        <v>8</v>
      </c>
      <c r="AE24">
        <f t="shared" si="6"/>
        <v>0</v>
      </c>
      <c r="AF24">
        <f>AE24*Konstanten!$B$4</f>
        <v>0</v>
      </c>
      <c r="AG24">
        <f t="shared" si="10"/>
        <v>0</v>
      </c>
      <c r="AJ24" s="19">
        <f>38.61+66.72+7.54+17.95+21.17+14.39+18.63+44.37+9.23+25.99</f>
        <v>264.59999999999997</v>
      </c>
      <c r="AK24" s="19">
        <f t="shared" si="7"/>
        <v>13.229999999999999</v>
      </c>
      <c r="AL24" s="19">
        <f>AK24*Konstanten!$B$3</f>
        <v>33.074999999999996</v>
      </c>
      <c r="AN24">
        <f t="shared" si="8"/>
        <v>0</v>
      </c>
      <c r="AO24">
        <f t="shared" si="9"/>
        <v>0</v>
      </c>
      <c r="AS24" s="12"/>
      <c r="BB24" s="4"/>
    </row>
    <row r="25" spans="1:54" x14ac:dyDescent="0.25">
      <c r="A25">
        <v>24</v>
      </c>
      <c r="B25">
        <v>6</v>
      </c>
      <c r="C25" t="s">
        <v>23</v>
      </c>
      <c r="E25" s="15" t="s">
        <v>228</v>
      </c>
      <c r="G25" s="21">
        <v>10.1</v>
      </c>
      <c r="H25">
        <f>Konstanten!$B$3</f>
        <v>2.5</v>
      </c>
      <c r="I25">
        <f>COUNTIF(Windows!$A$4:$A$84,E25)</f>
        <v>0</v>
      </c>
      <c r="J25" t="e">
        <f>VLOOKUP(E25,Windows!$A$4:$D$84,2,FALSE)</f>
        <v>#N/A</v>
      </c>
      <c r="K25" t="e">
        <f>VLOOKUP(J25,Windows!$B$4:$D$84,2,FALSE)/1000</f>
        <v>#N/A</v>
      </c>
      <c r="L25" t="e">
        <f>VLOOKUP(J25,Windows!$B$4:$D$84,3,FALSE)/1000</f>
        <v>#N/A</v>
      </c>
      <c r="M25">
        <f t="shared" si="0"/>
        <v>0</v>
      </c>
      <c r="N25">
        <f>IF(I25&gt;=2,INDEX(Windows!$B$4:$B$84,MATCH(E25,Windows!$A$4:$A$84,0)+1),0)</f>
        <v>0</v>
      </c>
      <c r="O25" t="e">
        <f>VLOOKUP(N25,Windows!$B$4:$D$84,2,FALSE)/1000</f>
        <v>#N/A</v>
      </c>
      <c r="P25" t="e">
        <f>VLOOKUP(N25,Windows!$B$4:$D$84,3,FALSE)/1000</f>
        <v>#N/A</v>
      </c>
      <c r="Q25">
        <f t="shared" si="1"/>
        <v>0</v>
      </c>
      <c r="R25">
        <f>IF(I25&gt;=3,INDEX(Windows!$B$4:$B$84,MATCH(E25,Windows!$A$4:$A$84,0)+2),0)</f>
        <v>0</v>
      </c>
      <c r="S25" t="e">
        <f>VLOOKUP(R25,Windows!$B$4:$D$84,2,FALSE)/1000</f>
        <v>#N/A</v>
      </c>
      <c r="T25" t="e">
        <f>VLOOKUP(R25,Windows!$B$4:$D$84,3,FALSE)/1000</f>
        <v>#N/A</v>
      </c>
      <c r="U25">
        <f t="shared" si="2"/>
        <v>0</v>
      </c>
      <c r="V25">
        <f>IF(I25&gt;=4,INDEX(Windows!$B$4:$B$84,MATCH(E25,Windows!$A$4:$A$84,0)+3),0)</f>
        <v>0</v>
      </c>
      <c r="W25" t="e">
        <f>VLOOKUP(V25,Windows!$B$4:$D$84,2,FALSE)/1000</f>
        <v>#N/A</v>
      </c>
      <c r="X25" t="e">
        <f>VLOOKUP(V25,Windows!$B$4:$D$84,3,FALSE)/1000</f>
        <v>#N/A</v>
      </c>
      <c r="Y25">
        <f t="shared" si="3"/>
        <v>0</v>
      </c>
      <c r="Z25" t="str">
        <f t="shared" si="4"/>
        <v>N/A</v>
      </c>
      <c r="AA25">
        <f t="shared" si="5"/>
        <v>0</v>
      </c>
      <c r="AC25" t="s">
        <v>8</v>
      </c>
      <c r="AE25">
        <f t="shared" si="6"/>
        <v>0</v>
      </c>
      <c r="AF25">
        <f>AE25*Konstanten!$B$4</f>
        <v>0</v>
      </c>
      <c r="AG25">
        <f t="shared" si="10"/>
        <v>0</v>
      </c>
      <c r="AJ25" s="19">
        <f>57.4+70.36+63.58+26+9.23+44.37</f>
        <v>270.93999999999994</v>
      </c>
      <c r="AK25" s="19">
        <f t="shared" si="7"/>
        <v>13.546999999999997</v>
      </c>
      <c r="AL25" s="19">
        <f>AK25*Konstanten!$B$3</f>
        <v>33.867499999999993</v>
      </c>
      <c r="AN25">
        <f t="shared" si="8"/>
        <v>0</v>
      </c>
      <c r="AO25">
        <f t="shared" si="9"/>
        <v>0</v>
      </c>
    </row>
    <row r="26" spans="1:54" x14ac:dyDescent="0.25">
      <c r="A26">
        <v>25</v>
      </c>
      <c r="B26">
        <v>6</v>
      </c>
      <c r="C26" t="s">
        <v>24</v>
      </c>
      <c r="E26" s="15" t="s">
        <v>229</v>
      </c>
      <c r="G26" s="21">
        <v>7.2</v>
      </c>
      <c r="H26">
        <f>Konstanten!$B$3</f>
        <v>2.5</v>
      </c>
      <c r="I26">
        <f>COUNTIF(Windows!$A$4:$A$84,E26)</f>
        <v>0</v>
      </c>
      <c r="J26" t="e">
        <f>VLOOKUP(E26,Windows!$A$4:$D$84,2,FALSE)</f>
        <v>#N/A</v>
      </c>
      <c r="K26" t="e">
        <f>VLOOKUP(J26,Windows!$B$4:$D$84,2,FALSE)/1000</f>
        <v>#N/A</v>
      </c>
      <c r="L26" t="e">
        <f>VLOOKUP(J26,Windows!$B$4:$D$84,3,FALSE)/1000</f>
        <v>#N/A</v>
      </c>
      <c r="M26">
        <f t="shared" si="0"/>
        <v>0</v>
      </c>
      <c r="N26">
        <f>IF(I26&gt;=2,INDEX(Windows!$B$4:$B$84,MATCH(E26,Windows!$A$4:$A$84,0)+1),0)</f>
        <v>0</v>
      </c>
      <c r="O26" t="e">
        <f>VLOOKUP(N26,Windows!$B$4:$D$84,2,FALSE)/1000</f>
        <v>#N/A</v>
      </c>
      <c r="P26" t="e">
        <f>VLOOKUP(N26,Windows!$B$4:$D$84,3,FALSE)/1000</f>
        <v>#N/A</v>
      </c>
      <c r="Q26">
        <f t="shared" si="1"/>
        <v>0</v>
      </c>
      <c r="R26">
        <f>IF(I26&gt;=3,INDEX(Windows!$B$4:$B$84,MATCH(E26,Windows!$A$4:$A$84,0)+2),0)</f>
        <v>0</v>
      </c>
      <c r="S26" t="e">
        <f>VLOOKUP(R26,Windows!$B$4:$D$84,2,FALSE)/1000</f>
        <v>#N/A</v>
      </c>
      <c r="T26" t="e">
        <f>VLOOKUP(R26,Windows!$B$4:$D$84,3,FALSE)/1000</f>
        <v>#N/A</v>
      </c>
      <c r="U26">
        <f t="shared" si="2"/>
        <v>0</v>
      </c>
      <c r="V26">
        <f>IF(I26&gt;=4,INDEX(Windows!$B$4:$B$84,MATCH(E26,Windows!$A$4:$A$84,0)+3),0)</f>
        <v>0</v>
      </c>
      <c r="W26" t="e">
        <f>VLOOKUP(V26,Windows!$B$4:$D$84,2,FALSE)/1000</f>
        <v>#N/A</v>
      </c>
      <c r="X26" t="e">
        <f>VLOOKUP(V26,Windows!$B$4:$D$84,3,FALSE)/1000</f>
        <v>#N/A</v>
      </c>
      <c r="Y26">
        <f t="shared" si="3"/>
        <v>0</v>
      </c>
      <c r="Z26" t="str">
        <f t="shared" si="4"/>
        <v>N/A</v>
      </c>
      <c r="AA26">
        <f t="shared" si="5"/>
        <v>0</v>
      </c>
      <c r="AC26" t="s">
        <v>8</v>
      </c>
      <c r="AE26">
        <f t="shared" si="6"/>
        <v>0</v>
      </c>
      <c r="AF26">
        <f>AE26*Konstanten!$B$4</f>
        <v>0</v>
      </c>
      <c r="AG26">
        <f t="shared" si="10"/>
        <v>0</v>
      </c>
      <c r="AJ26" s="19">
        <f>2*(72.96+39.36)</f>
        <v>224.64</v>
      </c>
      <c r="AK26" s="19">
        <f t="shared" si="7"/>
        <v>11.231999999999999</v>
      </c>
      <c r="AL26" s="19">
        <f>AK26*Konstanten!$B$3</f>
        <v>28.08</v>
      </c>
      <c r="AN26">
        <f t="shared" si="8"/>
        <v>0</v>
      </c>
      <c r="AO26">
        <f t="shared" si="9"/>
        <v>0</v>
      </c>
    </row>
    <row r="27" spans="1:54" x14ac:dyDescent="0.25">
      <c r="A27">
        <v>26</v>
      </c>
      <c r="B27">
        <v>6</v>
      </c>
      <c r="C27" t="s">
        <v>24</v>
      </c>
      <c r="E27" s="15" t="s">
        <v>216</v>
      </c>
      <c r="G27" s="21">
        <v>6.8</v>
      </c>
      <c r="H27">
        <f>Konstanten!$B$3</f>
        <v>2.5</v>
      </c>
      <c r="I27">
        <f>COUNTIF(Windows!$A$4:$A$84,E27)</f>
        <v>0</v>
      </c>
      <c r="J27" t="e">
        <f>VLOOKUP(E27,Windows!$A$4:$D$84,2,FALSE)</f>
        <v>#N/A</v>
      </c>
      <c r="K27" t="e">
        <f>VLOOKUP(J27,Windows!$B$4:$D$84,2,FALSE)/1000</f>
        <v>#N/A</v>
      </c>
      <c r="L27" t="e">
        <f>VLOOKUP(J27,Windows!$B$4:$D$84,3,FALSE)/1000</f>
        <v>#N/A</v>
      </c>
      <c r="M27">
        <f t="shared" si="0"/>
        <v>0</v>
      </c>
      <c r="N27">
        <f>IF(I27&gt;=2,INDEX(Windows!$B$4:$B$84,MATCH(E27,Windows!$A$4:$A$84,0)+1),0)</f>
        <v>0</v>
      </c>
      <c r="O27" t="e">
        <f>VLOOKUP(N27,Windows!$B$4:$D$84,2,FALSE)/1000</f>
        <v>#N/A</v>
      </c>
      <c r="P27" t="e">
        <f>VLOOKUP(N27,Windows!$B$4:$D$84,3,FALSE)/1000</f>
        <v>#N/A</v>
      </c>
      <c r="Q27">
        <f t="shared" si="1"/>
        <v>0</v>
      </c>
      <c r="R27">
        <f>IF(I27&gt;=3,INDEX(Windows!$B$4:$B$84,MATCH(E27,Windows!$A$4:$A$84,0)+2),0)</f>
        <v>0</v>
      </c>
      <c r="S27" t="e">
        <f>VLOOKUP(R27,Windows!$B$4:$D$84,2,FALSE)/1000</f>
        <v>#N/A</v>
      </c>
      <c r="T27" t="e">
        <f>VLOOKUP(R27,Windows!$B$4:$D$84,3,FALSE)/1000</f>
        <v>#N/A</v>
      </c>
      <c r="U27">
        <f t="shared" si="2"/>
        <v>0</v>
      </c>
      <c r="V27">
        <f>IF(I27&gt;=4,INDEX(Windows!$B$4:$B$84,MATCH(E27,Windows!$A$4:$A$84,0)+3),0)</f>
        <v>0</v>
      </c>
      <c r="W27" t="e">
        <f>VLOOKUP(V27,Windows!$B$4:$D$84,2,FALSE)/1000</f>
        <v>#N/A</v>
      </c>
      <c r="X27" t="e">
        <f>VLOOKUP(V27,Windows!$B$4:$D$84,3,FALSE)/1000</f>
        <v>#N/A</v>
      </c>
      <c r="Y27">
        <f t="shared" si="3"/>
        <v>0</v>
      </c>
      <c r="Z27" t="str">
        <f t="shared" si="4"/>
        <v>N/A</v>
      </c>
      <c r="AA27">
        <f t="shared" si="5"/>
        <v>0</v>
      </c>
      <c r="AC27" t="s">
        <v>8</v>
      </c>
      <c r="AE27">
        <f t="shared" si="6"/>
        <v>0</v>
      </c>
      <c r="AF27">
        <f>AE27*Konstanten!$B$4</f>
        <v>0</v>
      </c>
      <c r="AG27">
        <f t="shared" si="10"/>
        <v>0</v>
      </c>
      <c r="AJ27" s="19">
        <f>2*(37+72.96)</f>
        <v>219.92</v>
      </c>
      <c r="AK27" s="19">
        <f t="shared" si="7"/>
        <v>10.996</v>
      </c>
      <c r="AL27" s="19">
        <f>AK27*Konstanten!$B$3</f>
        <v>27.490000000000002</v>
      </c>
      <c r="AN27">
        <f t="shared" si="8"/>
        <v>0</v>
      </c>
      <c r="AO27">
        <f t="shared" si="9"/>
        <v>0</v>
      </c>
    </row>
    <row r="28" spans="1:54" x14ac:dyDescent="0.25">
      <c r="A28">
        <v>27</v>
      </c>
      <c r="B28">
        <v>6</v>
      </c>
      <c r="C28" t="s">
        <v>230</v>
      </c>
      <c r="E28" s="15" t="s">
        <v>231</v>
      </c>
      <c r="G28" s="21">
        <v>16.100000000000001</v>
      </c>
      <c r="H28">
        <f>Konstanten!$B$3</f>
        <v>2.5</v>
      </c>
      <c r="I28">
        <f>COUNTIF(Windows!$A$4:$A$84,E28)</f>
        <v>0</v>
      </c>
      <c r="J28" t="e">
        <f>VLOOKUP(E28,Windows!$A$4:$D$84,2,FALSE)</f>
        <v>#N/A</v>
      </c>
      <c r="K28" t="e">
        <f>VLOOKUP(J28,Windows!$B$4:$D$84,2,FALSE)/1000</f>
        <v>#N/A</v>
      </c>
      <c r="L28" t="e">
        <f>VLOOKUP(J28,Windows!$B$4:$D$84,3,FALSE)/1000</f>
        <v>#N/A</v>
      </c>
      <c r="M28">
        <f t="shared" si="0"/>
        <v>0</v>
      </c>
      <c r="N28">
        <f>IF(I28&gt;=2,INDEX(Windows!$B$4:$B$84,MATCH(E28,Windows!$A$4:$A$84,0)+1),0)</f>
        <v>0</v>
      </c>
      <c r="O28" t="e">
        <f>VLOOKUP(N28,Windows!$B$4:$D$84,2,FALSE)/1000</f>
        <v>#N/A</v>
      </c>
      <c r="P28" t="e">
        <f>VLOOKUP(N28,Windows!$B$4:$D$84,3,FALSE)/1000</f>
        <v>#N/A</v>
      </c>
      <c r="Q28">
        <f t="shared" si="1"/>
        <v>0</v>
      </c>
      <c r="R28">
        <f>IF(I28&gt;=3,INDEX(Windows!$B$4:$B$84,MATCH(E28,Windows!$A$4:$A$84,0)+2),0)</f>
        <v>0</v>
      </c>
      <c r="S28" t="e">
        <f>VLOOKUP(R28,Windows!$B$4:$D$84,2,FALSE)/1000</f>
        <v>#N/A</v>
      </c>
      <c r="T28" t="e">
        <f>VLOOKUP(R28,Windows!$B$4:$D$84,3,FALSE)/1000</f>
        <v>#N/A</v>
      </c>
      <c r="U28">
        <f t="shared" si="2"/>
        <v>0</v>
      </c>
      <c r="V28">
        <f>IF(I28&gt;=4,INDEX(Windows!$B$4:$B$84,MATCH(E28,Windows!$A$4:$A$84,0)+3),0)</f>
        <v>0</v>
      </c>
      <c r="W28" t="e">
        <f>VLOOKUP(V28,Windows!$B$4:$D$84,2,FALSE)/1000</f>
        <v>#N/A</v>
      </c>
      <c r="X28" t="e">
        <f>VLOOKUP(V28,Windows!$B$4:$D$84,3,FALSE)/1000</f>
        <v>#N/A</v>
      </c>
      <c r="Y28">
        <f t="shared" si="3"/>
        <v>0</v>
      </c>
      <c r="Z28" t="str">
        <f t="shared" si="4"/>
        <v>N/A</v>
      </c>
      <c r="AA28">
        <f t="shared" si="5"/>
        <v>0</v>
      </c>
      <c r="AC28" t="s">
        <v>8</v>
      </c>
      <c r="AE28">
        <f t="shared" si="6"/>
        <v>0</v>
      </c>
      <c r="AF28">
        <f>AE28*Konstanten!$B$4</f>
        <v>0</v>
      </c>
      <c r="AG28">
        <f t="shared" si="10"/>
        <v>0</v>
      </c>
      <c r="AJ28" s="19">
        <f>2*(88.99+72.96)</f>
        <v>323.89999999999998</v>
      </c>
      <c r="AK28" s="19">
        <f t="shared" si="7"/>
        <v>16.195</v>
      </c>
      <c r="AL28" s="19">
        <f>AK28*Konstanten!$B$3</f>
        <v>40.487499999999997</v>
      </c>
      <c r="AN28">
        <f t="shared" si="8"/>
        <v>0</v>
      </c>
      <c r="AO28">
        <f t="shared" si="9"/>
        <v>0</v>
      </c>
    </row>
    <row r="29" spans="1:54" x14ac:dyDescent="0.25">
      <c r="A29">
        <v>28</v>
      </c>
      <c r="B29">
        <v>6</v>
      </c>
      <c r="C29" t="s">
        <v>25</v>
      </c>
      <c r="E29" s="15" t="s">
        <v>232</v>
      </c>
      <c r="G29" s="21">
        <v>12</v>
      </c>
      <c r="H29">
        <f>Konstanten!$B$3</f>
        <v>2.5</v>
      </c>
      <c r="I29">
        <f>COUNTIF(Windows!$A$4:$A$84,E29)</f>
        <v>0</v>
      </c>
      <c r="J29" t="e">
        <f>VLOOKUP(E29,Windows!$A$4:$D$84,2,FALSE)</f>
        <v>#N/A</v>
      </c>
      <c r="K29" t="e">
        <f>VLOOKUP(J29,Windows!$B$4:$D$84,2,FALSE)/1000</f>
        <v>#N/A</v>
      </c>
      <c r="L29" t="e">
        <f>VLOOKUP(J29,Windows!$B$4:$D$84,3,FALSE)/1000</f>
        <v>#N/A</v>
      </c>
      <c r="M29">
        <f t="shared" si="0"/>
        <v>0</v>
      </c>
      <c r="N29">
        <f>IF(I29&gt;=2,INDEX(Windows!$B$4:$B$84,MATCH(E29,Windows!$A$4:$A$84,0)+1),0)</f>
        <v>0</v>
      </c>
      <c r="O29" t="e">
        <f>VLOOKUP(N29,Windows!$B$4:$D$84,2,FALSE)/1000</f>
        <v>#N/A</v>
      </c>
      <c r="P29" t="e">
        <f>VLOOKUP(N29,Windows!$B$4:$D$84,3,FALSE)/1000</f>
        <v>#N/A</v>
      </c>
      <c r="Q29">
        <f t="shared" si="1"/>
        <v>0</v>
      </c>
      <c r="R29">
        <f>IF(I29&gt;=3,INDEX(Windows!$B$4:$B$84,MATCH(E29,Windows!$A$4:$A$84,0)+2),0)</f>
        <v>0</v>
      </c>
      <c r="S29" t="e">
        <f>VLOOKUP(R29,Windows!$B$4:$D$84,2,FALSE)/1000</f>
        <v>#N/A</v>
      </c>
      <c r="T29" t="e">
        <f>VLOOKUP(R29,Windows!$B$4:$D$84,3,FALSE)/1000</f>
        <v>#N/A</v>
      </c>
      <c r="U29">
        <f t="shared" si="2"/>
        <v>0</v>
      </c>
      <c r="V29">
        <f>IF(I29&gt;=4,INDEX(Windows!$B$4:$B$84,MATCH(E29,Windows!$A$4:$A$84,0)+3),0)</f>
        <v>0</v>
      </c>
      <c r="W29" t="e">
        <f>VLOOKUP(V29,Windows!$B$4:$D$84,2,FALSE)/1000</f>
        <v>#N/A</v>
      </c>
      <c r="X29" t="e">
        <f>VLOOKUP(V29,Windows!$B$4:$D$84,3,FALSE)/1000</f>
        <v>#N/A</v>
      </c>
      <c r="Y29">
        <f t="shared" si="3"/>
        <v>0</v>
      </c>
      <c r="Z29" t="str">
        <f t="shared" si="4"/>
        <v>N/A</v>
      </c>
      <c r="AA29">
        <f t="shared" si="5"/>
        <v>0</v>
      </c>
      <c r="AC29" t="s">
        <v>8</v>
      </c>
      <c r="AE29">
        <f t="shared" si="6"/>
        <v>0</v>
      </c>
      <c r="AF29">
        <f>AE29*Konstanten!$B$4</f>
        <v>0</v>
      </c>
      <c r="AG29">
        <f t="shared" si="10"/>
        <v>0</v>
      </c>
      <c r="AJ29" s="19">
        <f>2*(65.87+72.96)</f>
        <v>277.65999999999997</v>
      </c>
      <c r="AK29" s="19">
        <f t="shared" si="7"/>
        <v>13.882999999999999</v>
      </c>
      <c r="AL29" s="19">
        <f>AK29*Konstanten!$B$3</f>
        <v>34.707499999999996</v>
      </c>
      <c r="AN29">
        <f t="shared" si="8"/>
        <v>0</v>
      </c>
      <c r="AO29">
        <f t="shared" si="9"/>
        <v>0</v>
      </c>
    </row>
    <row r="30" spans="1:54" x14ac:dyDescent="0.25">
      <c r="A30">
        <v>29</v>
      </c>
      <c r="B30">
        <v>6</v>
      </c>
      <c r="C30" t="s">
        <v>18</v>
      </c>
      <c r="E30" s="15" t="s">
        <v>233</v>
      </c>
      <c r="G30" s="21">
        <v>3.4</v>
      </c>
      <c r="H30">
        <f>Konstanten!$B$3</f>
        <v>2.5</v>
      </c>
      <c r="I30">
        <f>COUNTIF(Windows!$A$4:$A$84,E30)</f>
        <v>0</v>
      </c>
      <c r="J30" t="e">
        <f>VLOOKUP(E30,Windows!$A$4:$D$84,2,FALSE)</f>
        <v>#N/A</v>
      </c>
      <c r="K30" t="e">
        <f>VLOOKUP(J30,Windows!$B$4:$D$84,2,FALSE)/1000</f>
        <v>#N/A</v>
      </c>
      <c r="L30" t="e">
        <f>VLOOKUP(J30,Windows!$B$4:$D$84,3,FALSE)/1000</f>
        <v>#N/A</v>
      </c>
      <c r="M30">
        <f t="shared" si="0"/>
        <v>0</v>
      </c>
      <c r="N30">
        <f>IF(I30&gt;=2,INDEX(Windows!$B$4:$B$84,MATCH(E30,Windows!$A$4:$A$84,0)+1),0)</f>
        <v>0</v>
      </c>
      <c r="O30" t="e">
        <f>VLOOKUP(N30,Windows!$B$4:$D$84,2,FALSE)/1000</f>
        <v>#N/A</v>
      </c>
      <c r="P30" t="e">
        <f>VLOOKUP(N30,Windows!$B$4:$D$84,3,FALSE)/1000</f>
        <v>#N/A</v>
      </c>
      <c r="Q30">
        <f t="shared" si="1"/>
        <v>0</v>
      </c>
      <c r="R30">
        <f>IF(I30&gt;=3,INDEX(Windows!$B$4:$B$84,MATCH(E30,Windows!$A$4:$A$84,0)+2),0)</f>
        <v>0</v>
      </c>
      <c r="S30" t="e">
        <f>VLOOKUP(R30,Windows!$B$4:$D$84,2,FALSE)/1000</f>
        <v>#N/A</v>
      </c>
      <c r="T30" t="e">
        <f>VLOOKUP(R30,Windows!$B$4:$D$84,3,FALSE)/1000</f>
        <v>#N/A</v>
      </c>
      <c r="U30">
        <f t="shared" si="2"/>
        <v>0</v>
      </c>
      <c r="V30">
        <f>IF(I30&gt;=4,INDEX(Windows!$B$4:$B$84,MATCH(E30,Windows!$A$4:$A$84,0)+3),0)</f>
        <v>0</v>
      </c>
      <c r="W30" t="e">
        <f>VLOOKUP(V30,Windows!$B$4:$D$84,2,FALSE)/1000</f>
        <v>#N/A</v>
      </c>
      <c r="X30" t="e">
        <f>VLOOKUP(V30,Windows!$B$4:$D$84,3,FALSE)/1000</f>
        <v>#N/A</v>
      </c>
      <c r="Y30">
        <f t="shared" si="3"/>
        <v>0</v>
      </c>
      <c r="Z30" t="str">
        <f t="shared" si="4"/>
        <v>N/A</v>
      </c>
      <c r="AA30">
        <f t="shared" si="5"/>
        <v>0</v>
      </c>
      <c r="AC30" t="s">
        <v>8</v>
      </c>
      <c r="AE30">
        <f t="shared" si="6"/>
        <v>0</v>
      </c>
      <c r="AF30">
        <f>AE30*Konstanten!$B$4</f>
        <v>0</v>
      </c>
      <c r="AG30">
        <f t="shared" si="10"/>
        <v>0</v>
      </c>
      <c r="AJ30" s="19">
        <f>2*(34.38+39.37)</f>
        <v>147.5</v>
      </c>
      <c r="AK30" s="19">
        <f t="shared" si="7"/>
        <v>7.375</v>
      </c>
      <c r="AL30" s="19">
        <f>AK30*Konstanten!$B$3</f>
        <v>18.4375</v>
      </c>
      <c r="AN30">
        <f t="shared" si="8"/>
        <v>0</v>
      </c>
      <c r="AO30">
        <f t="shared" si="9"/>
        <v>0</v>
      </c>
    </row>
    <row r="31" spans="1:54" x14ac:dyDescent="0.25">
      <c r="A31">
        <v>30</v>
      </c>
      <c r="B31">
        <v>6</v>
      </c>
      <c r="C31" t="s">
        <v>234</v>
      </c>
      <c r="E31" s="15" t="s">
        <v>235</v>
      </c>
      <c r="G31" s="21">
        <v>19.7</v>
      </c>
      <c r="H31">
        <f>Konstanten!$B$3</f>
        <v>2.5</v>
      </c>
      <c r="I31">
        <f>COUNTIF(Windows!$A$4:$A$84,E31)</f>
        <v>0</v>
      </c>
      <c r="J31" t="e">
        <f>VLOOKUP(E31,Windows!$A$4:$D$84,2,FALSE)</f>
        <v>#N/A</v>
      </c>
      <c r="K31" t="e">
        <f>VLOOKUP(J31,Windows!$B$4:$D$84,2,FALSE)/1000</f>
        <v>#N/A</v>
      </c>
      <c r="L31" t="e">
        <f>VLOOKUP(J31,Windows!$B$4:$D$84,3,FALSE)/1000</f>
        <v>#N/A</v>
      </c>
      <c r="M31">
        <f t="shared" si="0"/>
        <v>0</v>
      </c>
      <c r="N31">
        <f>IF(I31&gt;=2,INDEX(Windows!$B$4:$B$84,MATCH(E31,Windows!$A$4:$A$84,0)+1),0)</f>
        <v>0</v>
      </c>
      <c r="O31" t="e">
        <f>VLOOKUP(N31,Windows!$B$4:$D$84,2,FALSE)/1000</f>
        <v>#N/A</v>
      </c>
      <c r="P31" t="e">
        <f>VLOOKUP(N31,Windows!$B$4:$D$84,3,FALSE)/1000</f>
        <v>#N/A</v>
      </c>
      <c r="Q31">
        <f t="shared" si="1"/>
        <v>0</v>
      </c>
      <c r="R31">
        <f>IF(I31&gt;=3,INDEX(Windows!$B$4:$B$84,MATCH(E31,Windows!$A$4:$A$84,0)+2),0)</f>
        <v>0</v>
      </c>
      <c r="S31" t="e">
        <f>VLOOKUP(R31,Windows!$B$4:$D$84,2,FALSE)/1000</f>
        <v>#N/A</v>
      </c>
      <c r="T31" t="e">
        <f>VLOOKUP(R31,Windows!$B$4:$D$84,3,FALSE)/1000</f>
        <v>#N/A</v>
      </c>
      <c r="U31">
        <f t="shared" si="2"/>
        <v>0</v>
      </c>
      <c r="V31">
        <f>IF(I31&gt;=4,INDEX(Windows!$B$4:$B$84,MATCH(E31,Windows!$A$4:$A$84,0)+3),0)</f>
        <v>0</v>
      </c>
      <c r="W31" t="e">
        <f>VLOOKUP(V31,Windows!$B$4:$D$84,2,FALSE)/1000</f>
        <v>#N/A</v>
      </c>
      <c r="X31" t="e">
        <f>VLOOKUP(V31,Windows!$B$4:$D$84,3,FALSE)/1000</f>
        <v>#N/A</v>
      </c>
      <c r="Y31">
        <f t="shared" si="3"/>
        <v>0</v>
      </c>
      <c r="Z31" t="str">
        <f t="shared" si="4"/>
        <v>N/A</v>
      </c>
      <c r="AA31">
        <f t="shared" si="5"/>
        <v>0</v>
      </c>
      <c r="AC31" t="s">
        <v>8</v>
      </c>
      <c r="AE31">
        <f t="shared" si="6"/>
        <v>0</v>
      </c>
      <c r="AF31">
        <f>AE31*Konstanten!$B$4</f>
        <v>0</v>
      </c>
      <c r="AG31">
        <f t="shared" si="10"/>
        <v>0</v>
      </c>
      <c r="AJ31" s="19">
        <f>2*(80.01+98.38)</f>
        <v>356.78</v>
      </c>
      <c r="AK31" s="19">
        <f t="shared" si="7"/>
        <v>17.838999999999999</v>
      </c>
      <c r="AL31" s="19">
        <f>AK31*Konstanten!$B$3</f>
        <v>44.597499999999997</v>
      </c>
      <c r="AN31">
        <f t="shared" si="8"/>
        <v>0</v>
      </c>
      <c r="AO31">
        <f t="shared" si="9"/>
        <v>0</v>
      </c>
    </row>
    <row r="32" spans="1:54" x14ac:dyDescent="0.25">
      <c r="A32">
        <v>31</v>
      </c>
      <c r="B32">
        <v>6</v>
      </c>
      <c r="C32" t="s">
        <v>234</v>
      </c>
      <c r="E32" s="15" t="s">
        <v>236</v>
      </c>
      <c r="F32" s="15" t="s">
        <v>235</v>
      </c>
      <c r="G32" s="21">
        <v>4.7</v>
      </c>
      <c r="H32">
        <f>Konstanten!$B$3</f>
        <v>2.5</v>
      </c>
      <c r="I32">
        <f>COUNTIF(Windows!$A$4:$A$84,E32)</f>
        <v>0</v>
      </c>
      <c r="J32" t="e">
        <f>VLOOKUP(E32,Windows!$A$4:$D$84,2,FALSE)</f>
        <v>#N/A</v>
      </c>
      <c r="K32" t="e">
        <f>VLOOKUP(J32,Windows!$B$4:$D$84,2,FALSE)/1000</f>
        <v>#N/A</v>
      </c>
      <c r="L32" t="e">
        <f>VLOOKUP(J32,Windows!$B$4:$D$84,3,FALSE)/1000</f>
        <v>#N/A</v>
      </c>
      <c r="M32">
        <f t="shared" si="0"/>
        <v>0</v>
      </c>
      <c r="N32">
        <f>IF(I32&gt;=2,INDEX(Windows!$B$4:$B$84,MATCH(E32,Windows!$A$4:$A$84,0)+1),0)</f>
        <v>0</v>
      </c>
      <c r="O32" t="e">
        <f>VLOOKUP(N32,Windows!$B$4:$D$84,2,FALSE)/1000</f>
        <v>#N/A</v>
      </c>
      <c r="P32" t="e">
        <f>VLOOKUP(N32,Windows!$B$4:$D$84,3,FALSE)/1000</f>
        <v>#N/A</v>
      </c>
      <c r="Q32">
        <f t="shared" si="1"/>
        <v>0</v>
      </c>
      <c r="R32">
        <f>IF(I32&gt;=3,INDEX(Windows!$B$4:$B$84,MATCH(E32,Windows!$A$4:$A$84,0)+2),0)</f>
        <v>0</v>
      </c>
      <c r="S32" t="e">
        <f>VLOOKUP(R32,Windows!$B$4:$D$84,2,FALSE)/1000</f>
        <v>#N/A</v>
      </c>
      <c r="T32" t="e">
        <f>VLOOKUP(R32,Windows!$B$4:$D$84,3,FALSE)/1000</f>
        <v>#N/A</v>
      </c>
      <c r="U32">
        <f t="shared" si="2"/>
        <v>0</v>
      </c>
      <c r="V32">
        <f>IF(I32&gt;=4,INDEX(Windows!$B$4:$B$84,MATCH(E32,Windows!$A$4:$A$84,0)+3),0)</f>
        <v>0</v>
      </c>
      <c r="W32" t="e">
        <f>VLOOKUP(V32,Windows!$B$4:$D$84,2,FALSE)/1000</f>
        <v>#N/A</v>
      </c>
      <c r="X32" t="e">
        <f>VLOOKUP(V32,Windows!$B$4:$D$84,3,FALSE)/1000</f>
        <v>#N/A</v>
      </c>
      <c r="Y32">
        <f t="shared" si="3"/>
        <v>0</v>
      </c>
      <c r="Z32" t="str">
        <f t="shared" si="4"/>
        <v>N/A</v>
      </c>
      <c r="AA32">
        <f t="shared" si="5"/>
        <v>0</v>
      </c>
      <c r="AC32" t="s">
        <v>8</v>
      </c>
      <c r="AE32">
        <f t="shared" si="6"/>
        <v>0</v>
      </c>
      <c r="AF32">
        <f>AE32*Konstanten!$B$4</f>
        <v>0</v>
      </c>
      <c r="AG32">
        <f t="shared" si="10"/>
        <v>0</v>
      </c>
      <c r="AJ32" s="19">
        <f>2*(30.06+56.73)</f>
        <v>173.57999999999998</v>
      </c>
      <c r="AK32" s="19">
        <f t="shared" si="7"/>
        <v>8.6790000000000003</v>
      </c>
      <c r="AL32" s="19">
        <f>AK32*Konstanten!$B$3</f>
        <v>21.697500000000002</v>
      </c>
      <c r="AN32">
        <f t="shared" si="8"/>
        <v>0</v>
      </c>
      <c r="AO32">
        <f t="shared" si="9"/>
        <v>0</v>
      </c>
    </row>
    <row r="33" spans="1:44" x14ac:dyDescent="0.25">
      <c r="A33">
        <v>32</v>
      </c>
      <c r="B33">
        <v>6</v>
      </c>
      <c r="C33" t="s">
        <v>21</v>
      </c>
      <c r="E33" s="15" t="s">
        <v>237</v>
      </c>
      <c r="G33" s="21">
        <f>40.7+1.2</f>
        <v>41.900000000000006</v>
      </c>
      <c r="H33">
        <f>Konstanten!$B$3</f>
        <v>2.5</v>
      </c>
      <c r="I33">
        <f>COUNTIF(Windows!$A$4:$A$84,E33)</f>
        <v>0</v>
      </c>
      <c r="J33" t="e">
        <f>VLOOKUP(E33,Windows!$A$4:$D$84,2,FALSE)</f>
        <v>#N/A</v>
      </c>
      <c r="K33" t="e">
        <f>VLOOKUP(J33,Windows!$B$4:$D$84,2,FALSE)/1000</f>
        <v>#N/A</v>
      </c>
      <c r="L33" t="e">
        <f>VLOOKUP(J33,Windows!$B$4:$D$84,3,FALSE)/1000</f>
        <v>#N/A</v>
      </c>
      <c r="M33">
        <f t="shared" si="0"/>
        <v>0</v>
      </c>
      <c r="N33">
        <f>IF(I33&gt;=2,INDEX(Windows!$B$4:$B$84,MATCH(E33,Windows!$A$4:$A$84,0)+1),0)</f>
        <v>0</v>
      </c>
      <c r="O33" t="e">
        <f>VLOOKUP(N33,Windows!$B$4:$D$84,2,FALSE)/1000</f>
        <v>#N/A</v>
      </c>
      <c r="P33" t="e">
        <f>VLOOKUP(N33,Windows!$B$4:$D$84,3,FALSE)/1000</f>
        <v>#N/A</v>
      </c>
      <c r="Q33">
        <f t="shared" si="1"/>
        <v>0</v>
      </c>
      <c r="R33">
        <f>IF(I33&gt;=3,INDEX(Windows!$B$4:$B$84,MATCH(E33,Windows!$A$4:$A$84,0)+2),0)</f>
        <v>0</v>
      </c>
      <c r="S33" t="e">
        <f>VLOOKUP(R33,Windows!$B$4:$D$84,2,FALSE)/1000</f>
        <v>#N/A</v>
      </c>
      <c r="T33" t="e">
        <f>VLOOKUP(R33,Windows!$B$4:$D$84,3,FALSE)/1000</f>
        <v>#N/A</v>
      </c>
      <c r="U33">
        <f t="shared" si="2"/>
        <v>0</v>
      </c>
      <c r="V33">
        <f>IF(I33&gt;=4,INDEX(Windows!$B$4:$B$84,MATCH(E33,Windows!$A$4:$A$84,0)+3),0)</f>
        <v>0</v>
      </c>
      <c r="W33" t="e">
        <f>VLOOKUP(V33,Windows!$B$4:$D$84,2,FALSE)/1000</f>
        <v>#N/A</v>
      </c>
      <c r="X33" t="e">
        <f>VLOOKUP(V33,Windows!$B$4:$D$84,3,FALSE)/1000</f>
        <v>#N/A</v>
      </c>
      <c r="Y33">
        <f t="shared" si="3"/>
        <v>0</v>
      </c>
      <c r="Z33" t="str">
        <f t="shared" si="4"/>
        <v>N/A</v>
      </c>
      <c r="AA33">
        <f t="shared" si="5"/>
        <v>0</v>
      </c>
      <c r="AC33" t="s">
        <v>8</v>
      </c>
      <c r="AE33">
        <f t="shared" si="6"/>
        <v>0</v>
      </c>
      <c r="AF33">
        <f>AE33*Konstanten!$B$4</f>
        <v>0</v>
      </c>
      <c r="AG33">
        <f t="shared" si="10"/>
        <v>0</v>
      </c>
      <c r="AJ33" s="19">
        <f>2*(338.92+46.97+14.22)</f>
        <v>800.22</v>
      </c>
      <c r="AK33" s="19">
        <f t="shared" si="7"/>
        <v>40.011000000000003</v>
      </c>
      <c r="AL33" s="19">
        <f>AK33*Konstanten!$B$3</f>
        <v>100.0275</v>
      </c>
      <c r="AN33">
        <f t="shared" si="8"/>
        <v>0</v>
      </c>
      <c r="AO33">
        <f t="shared" si="9"/>
        <v>0</v>
      </c>
    </row>
    <row r="34" spans="1:44" x14ac:dyDescent="0.25">
      <c r="A34">
        <v>33</v>
      </c>
      <c r="B34">
        <v>6</v>
      </c>
      <c r="C34" t="s">
        <v>21</v>
      </c>
      <c r="E34" s="15" t="s">
        <v>238</v>
      </c>
      <c r="G34" s="21">
        <v>26</v>
      </c>
      <c r="H34">
        <f>Konstanten!$B$3</f>
        <v>2.5</v>
      </c>
      <c r="I34">
        <f>COUNTIF(Windows!$A$4:$A$84,E34)</f>
        <v>0</v>
      </c>
      <c r="J34" t="e">
        <f>VLOOKUP(E34,Windows!$A$4:$D$84,2,FALSE)</f>
        <v>#N/A</v>
      </c>
      <c r="K34" t="e">
        <f>VLOOKUP(J34,Windows!$B$4:$D$84,2,FALSE)/1000</f>
        <v>#N/A</v>
      </c>
      <c r="L34" t="e">
        <f>VLOOKUP(J34,Windows!$B$4:$D$84,3,FALSE)/1000</f>
        <v>#N/A</v>
      </c>
      <c r="M34">
        <f t="shared" si="0"/>
        <v>0</v>
      </c>
      <c r="N34">
        <f>IF(I34&gt;=2,INDEX(Windows!$B$4:$B$84,MATCH(E34,Windows!$A$4:$A$84,0)+1),0)</f>
        <v>0</v>
      </c>
      <c r="O34" t="e">
        <f>VLOOKUP(N34,Windows!$B$4:$D$84,2,FALSE)/1000</f>
        <v>#N/A</v>
      </c>
      <c r="P34" t="e">
        <f>VLOOKUP(N34,Windows!$B$4:$D$84,3,FALSE)/1000</f>
        <v>#N/A</v>
      </c>
      <c r="Q34">
        <f t="shared" si="1"/>
        <v>0</v>
      </c>
      <c r="R34">
        <f>IF(I34&gt;=3,INDEX(Windows!$B$4:$B$84,MATCH(E34,Windows!$A$4:$A$84,0)+2),0)</f>
        <v>0</v>
      </c>
      <c r="S34" t="e">
        <f>VLOOKUP(R34,Windows!$B$4:$D$84,2,FALSE)/1000</f>
        <v>#N/A</v>
      </c>
      <c r="T34" t="e">
        <f>VLOOKUP(R34,Windows!$B$4:$D$84,3,FALSE)/1000</f>
        <v>#N/A</v>
      </c>
      <c r="U34">
        <f t="shared" si="2"/>
        <v>0</v>
      </c>
      <c r="V34">
        <f>IF(I34&gt;=4,INDEX(Windows!$B$4:$B$84,MATCH(E34,Windows!$A$4:$A$84,0)+3),0)</f>
        <v>0</v>
      </c>
      <c r="W34" t="e">
        <f>VLOOKUP(V34,Windows!$B$4:$D$84,2,FALSE)/1000</f>
        <v>#N/A</v>
      </c>
      <c r="X34" t="e">
        <f>VLOOKUP(V34,Windows!$B$4:$D$84,3,FALSE)/1000</f>
        <v>#N/A</v>
      </c>
      <c r="Y34">
        <f t="shared" si="3"/>
        <v>0</v>
      </c>
      <c r="Z34" t="str">
        <f t="shared" si="4"/>
        <v>N/A</v>
      </c>
      <c r="AA34">
        <f t="shared" si="5"/>
        <v>0</v>
      </c>
      <c r="AC34" t="s">
        <v>8</v>
      </c>
      <c r="AE34">
        <f t="shared" si="6"/>
        <v>0</v>
      </c>
      <c r="AF34">
        <f>AE34*Konstanten!$B$4</f>
        <v>0</v>
      </c>
      <c r="AG34">
        <f t="shared" si="10"/>
        <v>0</v>
      </c>
      <c r="AJ34" s="19">
        <f>2*(201.17+61.98)+4.07+10+6.77</f>
        <v>547.14</v>
      </c>
      <c r="AK34" s="19">
        <f t="shared" si="7"/>
        <v>27.356999999999999</v>
      </c>
      <c r="AL34" s="19">
        <f>AK34*Konstanten!$B$3</f>
        <v>68.392499999999998</v>
      </c>
      <c r="AN34">
        <f t="shared" si="8"/>
        <v>0</v>
      </c>
      <c r="AO34">
        <f t="shared" si="9"/>
        <v>0</v>
      </c>
    </row>
    <row r="35" spans="1:44" x14ac:dyDescent="0.25">
      <c r="A35">
        <v>34</v>
      </c>
      <c r="B35">
        <v>6</v>
      </c>
      <c r="C35" t="s">
        <v>21</v>
      </c>
      <c r="E35" s="15" t="s">
        <v>239</v>
      </c>
      <c r="G35" s="21">
        <v>32.299999999999997</v>
      </c>
      <c r="H35">
        <f>Konstanten!$B$3</f>
        <v>2.5</v>
      </c>
      <c r="I35">
        <f>COUNTIF(Windows!$A$4:$A$84,E35)</f>
        <v>0</v>
      </c>
      <c r="J35" t="e">
        <f>VLOOKUP(E35,Windows!$A$4:$D$84,2,FALSE)</f>
        <v>#N/A</v>
      </c>
      <c r="K35" t="e">
        <f>VLOOKUP(J35,Windows!$B$4:$D$84,2,FALSE)/1000</f>
        <v>#N/A</v>
      </c>
      <c r="L35" t="e">
        <f>VLOOKUP(J35,Windows!$B$4:$D$84,3,FALSE)/1000</f>
        <v>#N/A</v>
      </c>
      <c r="M35">
        <f t="shared" si="0"/>
        <v>0</v>
      </c>
      <c r="N35">
        <f>IF(I35&gt;=2,INDEX(Windows!$B$4:$B$84,MATCH(J35,Windows!$B$4:$B$84,0)+1),0)</f>
        <v>0</v>
      </c>
      <c r="O35" t="e">
        <f>VLOOKUP(N35,Windows!$B$4:$D$84,2,FALSE)/1000</f>
        <v>#N/A</v>
      </c>
      <c r="P35" t="e">
        <f>VLOOKUP(N35,Windows!$B$4:$D$84,3,FALSE)/1000</f>
        <v>#N/A</v>
      </c>
      <c r="Q35">
        <f t="shared" si="1"/>
        <v>0</v>
      </c>
      <c r="R35">
        <f>IF(I35&gt;=3,INDEX(Windows!$B$4:$B$84,MATCH(J35,Windows!$B$4:$B$84,0)+2),0)</f>
        <v>0</v>
      </c>
      <c r="S35" t="e">
        <f>VLOOKUP(R35,Windows!$B$4:$D$84,2,FALSE)/1000</f>
        <v>#N/A</v>
      </c>
      <c r="T35" t="e">
        <f>VLOOKUP(R35,Windows!$B$4:$D$84,3,FALSE)/1000</f>
        <v>#N/A</v>
      </c>
      <c r="U35">
        <f t="shared" si="2"/>
        <v>0</v>
      </c>
      <c r="V35">
        <f>IF(I35&gt;=4,INDEX(Windows!$B$4:$B$84,MATCH(J35,Windows!$B$4:$B$84,0)+3),0)</f>
        <v>0</v>
      </c>
      <c r="W35" t="e">
        <f>VLOOKUP(V35,Windows!$B$4:$D$84,2,FALSE)/1000</f>
        <v>#N/A</v>
      </c>
      <c r="X35" t="e">
        <f>VLOOKUP(V35,Windows!$B$4:$D$84,3,FALSE)/1000</f>
        <v>#N/A</v>
      </c>
      <c r="Y35">
        <f t="shared" si="3"/>
        <v>0</v>
      </c>
      <c r="Z35" t="str">
        <f>IF(I35&gt;0,AC35,"N/A")</f>
        <v>N/A</v>
      </c>
      <c r="AA35">
        <f t="shared" si="5"/>
        <v>0</v>
      </c>
      <c r="AC35" t="s">
        <v>8</v>
      </c>
      <c r="AE35">
        <f>AD35*50/1000</f>
        <v>0</v>
      </c>
      <c r="AF35">
        <f>AE35*Konstanten!$B$4</f>
        <v>0</v>
      </c>
      <c r="AG35">
        <f>IF(AF35-AA35&lt;=0, 0, AF35-AA35)</f>
        <v>0</v>
      </c>
      <c r="AJ35" s="19">
        <f>91.65+61.56+137.42+48.01+19.98+33.44+75.52</f>
        <v>467.58</v>
      </c>
      <c r="AK35" s="19">
        <f>50/1000*AJ35</f>
        <v>23.379000000000001</v>
      </c>
      <c r="AL35" s="19">
        <f>AK35*Konstanten!$B$3</f>
        <v>58.447500000000005</v>
      </c>
      <c r="AN35">
        <f t="shared" si="8"/>
        <v>0</v>
      </c>
      <c r="AO35">
        <f t="shared" si="9"/>
        <v>0</v>
      </c>
    </row>
    <row r="36" spans="1:44" x14ac:dyDescent="0.25">
      <c r="A36">
        <v>35</v>
      </c>
      <c r="B36">
        <v>6</v>
      </c>
      <c r="C36" t="s">
        <v>18</v>
      </c>
      <c r="E36" s="15" t="s">
        <v>240</v>
      </c>
      <c r="G36" s="21">
        <v>9.6999999999999993</v>
      </c>
      <c r="H36">
        <f>Konstanten!$B$3</f>
        <v>2.5</v>
      </c>
      <c r="I36">
        <f>COUNTIF(Windows!$A$4:$A$84,E36)</f>
        <v>0</v>
      </c>
      <c r="J36" t="e">
        <f>VLOOKUP(E36,Windows!$A$4:$D$84,2,FALSE)</f>
        <v>#N/A</v>
      </c>
      <c r="K36" t="e">
        <f>VLOOKUP(J36,Windows!$B$4:$D$84,2,FALSE)/1000</f>
        <v>#N/A</v>
      </c>
      <c r="L36" t="e">
        <f>VLOOKUP(J36,Windows!$B$4:$D$84,3,FALSE)/1000</f>
        <v>#N/A</v>
      </c>
      <c r="M36">
        <f t="shared" si="0"/>
        <v>0</v>
      </c>
      <c r="N36">
        <f>IF(I36&gt;=2,INDEX(Windows!$B$4:$B$84,MATCH(J36,Windows!$B$4:$B$84,0)+1),0)</f>
        <v>0</v>
      </c>
      <c r="O36" t="e">
        <f>VLOOKUP(N36,Windows!$B$4:$D$84,2,FALSE)/1000</f>
        <v>#N/A</v>
      </c>
      <c r="P36" t="e">
        <f>VLOOKUP(N36,Windows!$B$4:$D$84,3,FALSE)/1000</f>
        <v>#N/A</v>
      </c>
      <c r="Q36">
        <f t="shared" si="1"/>
        <v>0</v>
      </c>
      <c r="R36">
        <f>IF(I36&gt;=3,INDEX(Windows!$B$4:$B$84,MATCH(J36,Windows!$B$4:$B$84,0)+2),0)</f>
        <v>0</v>
      </c>
      <c r="S36" t="e">
        <f>VLOOKUP(R36,Windows!$B$4:$D$84,2,FALSE)/1000</f>
        <v>#N/A</v>
      </c>
      <c r="T36" t="e">
        <f>VLOOKUP(R36,Windows!$B$4:$D$84,3,FALSE)/1000</f>
        <v>#N/A</v>
      </c>
      <c r="U36">
        <f t="shared" si="2"/>
        <v>0</v>
      </c>
      <c r="V36">
        <f>IF(I36&gt;=4,INDEX(Windows!$B$4:$B$84,MATCH(J36,Windows!$B$4:$B$84,0)+3),0)</f>
        <v>0</v>
      </c>
      <c r="W36" t="e">
        <f>VLOOKUP(V36,Windows!$B$4:$D$84,2,FALSE)/1000</f>
        <v>#N/A</v>
      </c>
      <c r="X36" t="e">
        <f>VLOOKUP(V36,Windows!$B$4:$D$84,3,FALSE)/1000</f>
        <v>#N/A</v>
      </c>
      <c r="Y36">
        <f t="shared" si="3"/>
        <v>0</v>
      </c>
      <c r="Z36" t="str">
        <f t="shared" ref="Z36:Z44" si="15">IF(I36&gt;0,AC36,"N/A")</f>
        <v>N/A</v>
      </c>
      <c r="AA36">
        <f t="shared" si="5"/>
        <v>0</v>
      </c>
      <c r="AC36" t="s">
        <v>8</v>
      </c>
      <c r="AE36">
        <f t="shared" ref="AE36:AE44" si="16">AD36*50/1000</f>
        <v>0</v>
      </c>
      <c r="AF36">
        <f>AE36*Konstanten!$B$4</f>
        <v>0</v>
      </c>
      <c r="AG36">
        <f>IF(AF36-AA36&lt;=0, 0, AF36-AA36)</f>
        <v>0</v>
      </c>
      <c r="AJ36" s="19">
        <f>113.59+53.14+79.35+40.05</f>
        <v>286.13</v>
      </c>
      <c r="AK36" s="19">
        <f t="shared" ref="AK36:AK44" si="17">50/1000*AJ36</f>
        <v>14.3065</v>
      </c>
      <c r="AL36" s="19">
        <f>AK36*Konstanten!$B$3</f>
        <v>35.766249999999999</v>
      </c>
      <c r="AN36">
        <f t="shared" si="8"/>
        <v>0</v>
      </c>
      <c r="AO36">
        <f t="shared" si="9"/>
        <v>0</v>
      </c>
    </row>
    <row r="37" spans="1:44" x14ac:dyDescent="0.25">
      <c r="A37">
        <v>36</v>
      </c>
      <c r="B37">
        <v>6</v>
      </c>
      <c r="C37" t="s">
        <v>241</v>
      </c>
      <c r="E37" s="15" t="s">
        <v>242</v>
      </c>
      <c r="G37" s="21">
        <v>12.6</v>
      </c>
      <c r="H37">
        <f>Konstanten!$B$3</f>
        <v>2.5</v>
      </c>
      <c r="I37">
        <f>COUNTIF(Windows!$A$4:$A$84,E37)</f>
        <v>0</v>
      </c>
      <c r="J37" t="e">
        <f>VLOOKUP(E37,Windows!$A$4:$D$84,2,FALSE)</f>
        <v>#N/A</v>
      </c>
      <c r="K37" t="e">
        <f>VLOOKUP(J37,Windows!$B$4:$D$84,2,FALSE)/1000</f>
        <v>#N/A</v>
      </c>
      <c r="L37" t="e">
        <f>VLOOKUP(J37,Windows!$B$4:$D$84,3,FALSE)/1000</f>
        <v>#N/A</v>
      </c>
      <c r="M37">
        <f t="shared" si="0"/>
        <v>0</v>
      </c>
      <c r="N37">
        <f>IF(I37&gt;=2,INDEX(Windows!$B$4:$B$84,MATCH(E37,Windows!$A$4:$A$84,0)+1),0)</f>
        <v>0</v>
      </c>
      <c r="O37" t="e">
        <f>VLOOKUP(N37,Windows!$B$4:$D$84,2,FALSE)/1000</f>
        <v>#N/A</v>
      </c>
      <c r="P37" t="e">
        <f>VLOOKUP(N37,Windows!$B$4:$D$84,3,FALSE)/1000</f>
        <v>#N/A</v>
      </c>
      <c r="Q37">
        <f t="shared" si="1"/>
        <v>0</v>
      </c>
      <c r="R37">
        <f>IF(I37&gt;=3,INDEX(Windows!$B$4:$B$84,MATCH(E37,Windows!$A$4:$A$84,0)+2),0)</f>
        <v>0</v>
      </c>
      <c r="S37" t="e">
        <f>VLOOKUP(R37,Windows!$B$4:$D$84,2,FALSE)/1000</f>
        <v>#N/A</v>
      </c>
      <c r="T37" t="e">
        <f>VLOOKUP(R37,Windows!$B$4:$D$84,3,FALSE)/1000</f>
        <v>#N/A</v>
      </c>
      <c r="U37">
        <f t="shared" si="2"/>
        <v>0</v>
      </c>
      <c r="V37">
        <f>IF(I37&gt;=4,INDEX(Windows!$B$4:$B$84,MATCH(E37,Windows!$A$4:$A$84,0)+3),0)</f>
        <v>0</v>
      </c>
      <c r="W37" t="e">
        <f>VLOOKUP(V37,Windows!$B$4:$D$84,2,FALSE)/1000</f>
        <v>#N/A</v>
      </c>
      <c r="X37" t="e">
        <f>VLOOKUP(V37,Windows!$B$4:$D$84,3,FALSE)/1000</f>
        <v>#N/A</v>
      </c>
      <c r="Y37">
        <f t="shared" si="3"/>
        <v>0</v>
      </c>
      <c r="Z37" t="str">
        <f t="shared" si="15"/>
        <v>N/A</v>
      </c>
      <c r="AA37">
        <f t="shared" si="5"/>
        <v>0</v>
      </c>
      <c r="AC37" t="s">
        <v>8</v>
      </c>
      <c r="AE37">
        <f t="shared" si="16"/>
        <v>0</v>
      </c>
      <c r="AF37">
        <f>AE37*Konstanten!$B$4</f>
        <v>0</v>
      </c>
      <c r="AG37">
        <f t="shared" ref="AG37:AG44" si="18">IF(AF37-AA37&lt;=0, 0, AF37-AA37)</f>
        <v>0</v>
      </c>
      <c r="AJ37" s="19">
        <f>2*92.07+51.14+19.05+22.98+47.41</f>
        <v>324.72000000000003</v>
      </c>
      <c r="AK37" s="19">
        <f t="shared" si="17"/>
        <v>16.236000000000001</v>
      </c>
      <c r="AL37" s="19">
        <f>AK37*Konstanten!$B$3</f>
        <v>40.590000000000003</v>
      </c>
      <c r="AN37">
        <f t="shared" si="8"/>
        <v>0</v>
      </c>
      <c r="AO37">
        <f t="shared" si="9"/>
        <v>0</v>
      </c>
      <c r="AR37"/>
    </row>
    <row r="38" spans="1:44" x14ac:dyDescent="0.25">
      <c r="A38">
        <v>37</v>
      </c>
      <c r="B38">
        <v>6</v>
      </c>
      <c r="C38" s="12" t="s">
        <v>34</v>
      </c>
      <c r="D38" s="12"/>
      <c r="E38" s="15" t="s">
        <v>243</v>
      </c>
      <c r="F38" s="12"/>
      <c r="G38" s="21">
        <v>10.8</v>
      </c>
      <c r="H38">
        <f>Konstanten!$B$3</f>
        <v>2.5</v>
      </c>
      <c r="I38">
        <f>COUNTIF(Windows!$A$4:$A$84,E38)</f>
        <v>0</v>
      </c>
      <c r="J38" t="e">
        <f>VLOOKUP(E38,Windows!$A$4:$D$84,2,FALSE)</f>
        <v>#N/A</v>
      </c>
      <c r="K38" t="e">
        <f>VLOOKUP(J38,Windows!$B$4:$D$84,2,FALSE)/1000</f>
        <v>#N/A</v>
      </c>
      <c r="L38" t="e">
        <f>VLOOKUP(J38,Windows!$B$4:$D$84,3,FALSE)/1000</f>
        <v>#N/A</v>
      </c>
      <c r="M38">
        <f t="shared" si="0"/>
        <v>0</v>
      </c>
      <c r="N38">
        <f>IF(I38&gt;=2,INDEX(Windows!$B$4:$B$84,MATCH(E38,Windows!$A$4:$A$84,0)+1),0)</f>
        <v>0</v>
      </c>
      <c r="O38" t="e">
        <f>VLOOKUP(N38,Windows!$B$4:$D$84,2,FALSE)/1000</f>
        <v>#N/A</v>
      </c>
      <c r="P38" t="e">
        <f>VLOOKUP(N38,Windows!$B$4:$D$84,3,FALSE)/1000</f>
        <v>#N/A</v>
      </c>
      <c r="Q38">
        <f t="shared" si="1"/>
        <v>0</v>
      </c>
      <c r="R38">
        <f>IF(I38&gt;=3,INDEX(Windows!$B$4:$B$84,MATCH(E38,Windows!$A$4:$A$84,0)+2),0)</f>
        <v>0</v>
      </c>
      <c r="S38" t="e">
        <f>VLOOKUP(R38,Windows!$B$4:$D$84,2,FALSE)/1000</f>
        <v>#N/A</v>
      </c>
      <c r="T38" t="e">
        <f>VLOOKUP(R38,Windows!$B$4:$D$84,3,FALSE)/1000</f>
        <v>#N/A</v>
      </c>
      <c r="U38">
        <f t="shared" si="2"/>
        <v>0</v>
      </c>
      <c r="V38">
        <f>IF(I38&gt;=4,INDEX(Windows!$B$4:$B$84,MATCH(E38,Windows!$A$4:$A$84,0)+3),0)</f>
        <v>0</v>
      </c>
      <c r="W38" t="e">
        <f>VLOOKUP(V38,Windows!$B$4:$D$84,2,FALSE)/1000</f>
        <v>#N/A</v>
      </c>
      <c r="X38" t="e">
        <f>VLOOKUP(V38,Windows!$B$4:$D$84,3,FALSE)/1000</f>
        <v>#N/A</v>
      </c>
      <c r="Y38">
        <f t="shared" si="3"/>
        <v>0</v>
      </c>
      <c r="Z38" t="str">
        <f t="shared" si="15"/>
        <v>N/A</v>
      </c>
      <c r="AA38">
        <f t="shared" si="5"/>
        <v>0</v>
      </c>
      <c r="AC38" t="s">
        <v>8</v>
      </c>
      <c r="AE38">
        <f t="shared" si="16"/>
        <v>0</v>
      </c>
      <c r="AF38">
        <f>AE38*Konstanten!$B$4</f>
        <v>0</v>
      </c>
      <c r="AG38">
        <f t="shared" si="18"/>
        <v>0</v>
      </c>
      <c r="AJ38" s="19">
        <f>2*(83.06+52.41)</f>
        <v>270.94</v>
      </c>
      <c r="AK38" s="19">
        <f t="shared" si="17"/>
        <v>13.547000000000001</v>
      </c>
      <c r="AL38" s="19">
        <f>AK38*Konstanten!$B$3</f>
        <v>33.8675</v>
      </c>
      <c r="AN38">
        <f t="shared" si="8"/>
        <v>0</v>
      </c>
      <c r="AO38">
        <f t="shared" si="9"/>
        <v>0</v>
      </c>
    </row>
    <row r="39" spans="1:44" x14ac:dyDescent="0.25">
      <c r="A39">
        <v>38</v>
      </c>
      <c r="B39">
        <v>6</v>
      </c>
      <c r="C39" t="s">
        <v>92</v>
      </c>
      <c r="E39" s="15" t="s">
        <v>244</v>
      </c>
      <c r="G39" s="21">
        <v>10.6</v>
      </c>
      <c r="H39">
        <f>Konstanten!$B$3</f>
        <v>2.5</v>
      </c>
      <c r="I39">
        <f>COUNTIF(Windows!$A$4:$A$84,E39)</f>
        <v>0</v>
      </c>
      <c r="J39" t="e">
        <f>VLOOKUP(E39,Windows!$A$4:$D$84,2,FALSE)</f>
        <v>#N/A</v>
      </c>
      <c r="K39" t="e">
        <f>VLOOKUP(J39,Windows!$B$4:$D$84,2,FALSE)/1000</f>
        <v>#N/A</v>
      </c>
      <c r="L39" t="e">
        <f>VLOOKUP(J39,Windows!$B$4:$D$84,3,FALSE)/1000</f>
        <v>#N/A</v>
      </c>
      <c r="M39">
        <f t="shared" si="0"/>
        <v>0</v>
      </c>
      <c r="N39">
        <f>IF(I39&gt;=2,INDEX(Windows!$B$4:$B$84,MATCH(E39,Windows!$A$4:$A$84,0)+1),0)</f>
        <v>0</v>
      </c>
      <c r="O39" t="e">
        <f>VLOOKUP(N39,Windows!$B$4:$D$84,2,FALSE)/1000</f>
        <v>#N/A</v>
      </c>
      <c r="P39" t="e">
        <f>VLOOKUP(N39,Windows!$B$4:$D$84,3,FALSE)/1000</f>
        <v>#N/A</v>
      </c>
      <c r="Q39">
        <f t="shared" si="1"/>
        <v>0</v>
      </c>
      <c r="R39">
        <f>IF(I39&gt;=3,INDEX(Windows!$B$4:$B$84,MATCH(E39,Windows!$A$4:$A$84,0)+2),0)</f>
        <v>0</v>
      </c>
      <c r="S39" t="e">
        <f>VLOOKUP(R39,Windows!$B$4:$D$84,2,FALSE)/1000</f>
        <v>#N/A</v>
      </c>
      <c r="T39" t="e">
        <f>VLOOKUP(R39,Windows!$B$4:$D$84,3,FALSE)/1000</f>
        <v>#N/A</v>
      </c>
      <c r="U39">
        <f t="shared" si="2"/>
        <v>0</v>
      </c>
      <c r="V39">
        <f>IF(I39&gt;=4,INDEX(Windows!$B$4:$B$84,MATCH(E39,Windows!$A$4:$A$84,0)+3),0)</f>
        <v>0</v>
      </c>
      <c r="W39" t="e">
        <f>VLOOKUP(V39,Windows!$B$4:$D$84,2,FALSE)/1000</f>
        <v>#N/A</v>
      </c>
      <c r="X39" t="e">
        <f>VLOOKUP(V39,Windows!$B$4:$D$84,3,FALSE)/1000</f>
        <v>#N/A</v>
      </c>
      <c r="Y39">
        <f t="shared" si="3"/>
        <v>0</v>
      </c>
      <c r="Z39" t="str">
        <f t="shared" si="15"/>
        <v>N/A</v>
      </c>
      <c r="AA39">
        <f t="shared" si="5"/>
        <v>0</v>
      </c>
      <c r="AC39" t="s">
        <v>8</v>
      </c>
      <c r="AE39">
        <f t="shared" si="16"/>
        <v>0</v>
      </c>
      <c r="AF39">
        <f>AE39*Konstanten!$B$4</f>
        <v>0</v>
      </c>
      <c r="AG39">
        <f t="shared" si="18"/>
        <v>0</v>
      </c>
      <c r="AJ39" s="19">
        <f>2*(99.65+88.14)</f>
        <v>375.58000000000004</v>
      </c>
      <c r="AK39" s="19">
        <f t="shared" si="17"/>
        <v>18.779000000000003</v>
      </c>
      <c r="AL39" s="19">
        <f>AK39*Konstanten!$B$3</f>
        <v>46.947500000000005</v>
      </c>
      <c r="AN39">
        <f t="shared" si="8"/>
        <v>0</v>
      </c>
      <c r="AO39">
        <f t="shared" si="9"/>
        <v>0</v>
      </c>
    </row>
    <row r="40" spans="1:44" x14ac:dyDescent="0.25">
      <c r="A40" s="12">
        <v>39</v>
      </c>
      <c r="B40">
        <v>6</v>
      </c>
      <c r="C40" t="s">
        <v>92</v>
      </c>
      <c r="E40" s="15" t="s">
        <v>245</v>
      </c>
      <c r="G40" s="21">
        <v>10.6</v>
      </c>
      <c r="H40">
        <f>Konstanten!$B$3</f>
        <v>2.5</v>
      </c>
      <c r="I40">
        <f>COUNTIF(Windows!$A$4:$A$84,E40)</f>
        <v>0</v>
      </c>
      <c r="J40" t="e">
        <f>VLOOKUP(E40,Windows!$A$4:$D$84,2,FALSE)</f>
        <v>#N/A</v>
      </c>
      <c r="K40" t="e">
        <f>VLOOKUP(J40,Windows!$B$4:$D$84,2,FALSE)/1000</f>
        <v>#N/A</v>
      </c>
      <c r="L40" t="e">
        <f>VLOOKUP(J40,Windows!$B$4:$D$84,3,FALSE)/1000</f>
        <v>#N/A</v>
      </c>
      <c r="M40">
        <f t="shared" si="0"/>
        <v>0</v>
      </c>
      <c r="N40">
        <f>IF(I40&gt;=2,INDEX(Windows!$B$4:$B$84,MATCH(E40,Windows!$A$4:$A$84,0)+1),0)</f>
        <v>0</v>
      </c>
      <c r="O40" t="e">
        <f>VLOOKUP(N40,Windows!$B$4:$D$84,2,FALSE)/1000</f>
        <v>#N/A</v>
      </c>
      <c r="P40" t="e">
        <f>VLOOKUP(N40,Windows!$B$4:$D$84,3,FALSE)/1000</f>
        <v>#N/A</v>
      </c>
      <c r="Q40">
        <f t="shared" si="1"/>
        <v>0</v>
      </c>
      <c r="R40">
        <f>IF(I40&gt;=3,INDEX(Windows!$B$4:$B$84,MATCH(E40,Windows!$A$4:$A$84,0)+2),0)</f>
        <v>0</v>
      </c>
      <c r="S40" t="e">
        <f>VLOOKUP(R40,Windows!$B$4:$D$84,2,FALSE)/1000</f>
        <v>#N/A</v>
      </c>
      <c r="T40" t="e">
        <f>VLOOKUP(R40,Windows!$B$4:$D$84,3,FALSE)/1000</f>
        <v>#N/A</v>
      </c>
      <c r="U40">
        <f t="shared" si="2"/>
        <v>0</v>
      </c>
      <c r="V40">
        <f>IF(I40&gt;=4,INDEX(Windows!$B$4:$B$84,MATCH(E40,Windows!$A$4:$A$84,0)+3),0)</f>
        <v>0</v>
      </c>
      <c r="W40" t="e">
        <f>VLOOKUP(V40,Windows!$B$4:$D$84,2,FALSE)/1000</f>
        <v>#N/A</v>
      </c>
      <c r="X40" t="e">
        <f>VLOOKUP(V40,Windows!$B$4:$D$84,3,FALSE)/1000</f>
        <v>#N/A</v>
      </c>
      <c r="Y40">
        <f t="shared" si="3"/>
        <v>0</v>
      </c>
      <c r="Z40" t="str">
        <f t="shared" si="15"/>
        <v>N/A</v>
      </c>
      <c r="AA40">
        <f t="shared" si="5"/>
        <v>0</v>
      </c>
      <c r="AC40" t="s">
        <v>8</v>
      </c>
      <c r="AE40">
        <f t="shared" si="16"/>
        <v>0</v>
      </c>
      <c r="AF40">
        <f>AE40*Konstanten!$B$4</f>
        <v>0</v>
      </c>
      <c r="AG40">
        <f t="shared" si="18"/>
        <v>0</v>
      </c>
      <c r="AJ40" s="19">
        <f>2*(99.65+88.14)</f>
        <v>375.58000000000004</v>
      </c>
      <c r="AK40" s="19">
        <f t="shared" si="17"/>
        <v>18.779000000000003</v>
      </c>
      <c r="AL40" s="19">
        <f>AK40*Konstanten!$B$3</f>
        <v>46.947500000000005</v>
      </c>
      <c r="AN40">
        <f t="shared" si="8"/>
        <v>0</v>
      </c>
      <c r="AO40">
        <f t="shared" si="9"/>
        <v>0</v>
      </c>
    </row>
    <row r="41" spans="1:44" x14ac:dyDescent="0.25">
      <c r="A41">
        <v>40</v>
      </c>
      <c r="B41">
        <v>6</v>
      </c>
      <c r="C41" s="15" t="s">
        <v>24</v>
      </c>
      <c r="E41" s="15" t="s">
        <v>246</v>
      </c>
      <c r="G41" s="21">
        <v>15</v>
      </c>
      <c r="H41">
        <f>Konstanten!$B$3</f>
        <v>2.5</v>
      </c>
      <c r="I41">
        <f>COUNTIF(Windows!$A$4:$A$84,E41)</f>
        <v>0</v>
      </c>
      <c r="J41" t="e">
        <f>VLOOKUP(E41,Windows!$A$4:$D$84,2,FALSE)</f>
        <v>#N/A</v>
      </c>
      <c r="K41" t="e">
        <f>VLOOKUP(J41,Windows!$B$4:$D$84,2,FALSE)/1000</f>
        <v>#N/A</v>
      </c>
      <c r="L41" t="e">
        <f>VLOOKUP(J41,Windows!$B$4:$D$84,3,FALSE)/1000</f>
        <v>#N/A</v>
      </c>
      <c r="M41">
        <f t="shared" si="0"/>
        <v>0</v>
      </c>
      <c r="N41">
        <f>IF(I41&gt;=2,INDEX(Windows!$B$4:$B$84,MATCH(E41,Windows!$A$4:$A$84,0)+1),0)</f>
        <v>0</v>
      </c>
      <c r="O41" t="e">
        <f>VLOOKUP(N41,Windows!$B$4:$D$84,2,FALSE)/1000</f>
        <v>#N/A</v>
      </c>
      <c r="P41" t="e">
        <f>VLOOKUP(N41,Windows!$B$4:$D$84,3,FALSE)/1000</f>
        <v>#N/A</v>
      </c>
      <c r="Q41">
        <f t="shared" si="1"/>
        <v>0</v>
      </c>
      <c r="R41">
        <f>IF(I41&gt;=3,INDEX(Windows!$B$4:$B$84,MATCH(E41,Windows!$A$4:$A$84,0)+2),0)</f>
        <v>0</v>
      </c>
      <c r="S41" t="e">
        <f>VLOOKUP(R41,Windows!$B$4:$D$84,2,FALSE)/1000</f>
        <v>#N/A</v>
      </c>
      <c r="T41" t="e">
        <f>VLOOKUP(R41,Windows!$B$4:$D$84,3,FALSE)/1000</f>
        <v>#N/A</v>
      </c>
      <c r="U41">
        <f t="shared" si="2"/>
        <v>0</v>
      </c>
      <c r="V41">
        <f>IF(I41&gt;=4,INDEX(Windows!$B$4:$B$84,MATCH(E41,Windows!$A$4:$A$84,0)+3),0)</f>
        <v>0</v>
      </c>
      <c r="W41" t="e">
        <f>VLOOKUP(V41,Windows!$B$4:$D$84,2,FALSE)/1000</f>
        <v>#N/A</v>
      </c>
      <c r="X41" t="e">
        <f>VLOOKUP(V41,Windows!$B$4:$D$84,3,FALSE)/1000</f>
        <v>#N/A</v>
      </c>
      <c r="Y41">
        <f t="shared" si="3"/>
        <v>0</v>
      </c>
      <c r="Z41" t="str">
        <f t="shared" si="15"/>
        <v>N/A</v>
      </c>
      <c r="AA41">
        <f t="shared" si="5"/>
        <v>0</v>
      </c>
      <c r="AC41" t="s">
        <v>8</v>
      </c>
      <c r="AE41">
        <f t="shared" si="16"/>
        <v>0</v>
      </c>
      <c r="AF41">
        <f>AE41*Konstanten!$B$4</f>
        <v>0</v>
      </c>
      <c r="AG41">
        <f t="shared" si="18"/>
        <v>0</v>
      </c>
      <c r="AJ41" s="19">
        <f>2*(88.22+75.35)</f>
        <v>327.14</v>
      </c>
      <c r="AK41" s="19">
        <f t="shared" si="17"/>
        <v>16.356999999999999</v>
      </c>
      <c r="AL41" s="19">
        <f>AK41*Konstanten!$B$3</f>
        <v>40.892499999999998</v>
      </c>
      <c r="AN41">
        <f t="shared" si="8"/>
        <v>0</v>
      </c>
      <c r="AO41">
        <f t="shared" si="9"/>
        <v>0</v>
      </c>
    </row>
    <row r="42" spans="1:44" x14ac:dyDescent="0.25">
      <c r="A42">
        <v>41</v>
      </c>
      <c r="B42">
        <v>6</v>
      </c>
      <c r="C42" s="15" t="s">
        <v>24</v>
      </c>
      <c r="E42" s="15" t="s">
        <v>247</v>
      </c>
      <c r="G42" s="21">
        <v>17.2</v>
      </c>
      <c r="H42">
        <f>Konstanten!$B$3</f>
        <v>2.5</v>
      </c>
      <c r="I42">
        <f>COUNTIF(Windows!$A$4:$A$84,E42)</f>
        <v>0</v>
      </c>
      <c r="J42" t="e">
        <f>VLOOKUP(E42,Windows!$A$4:$D$84,2,FALSE)</f>
        <v>#N/A</v>
      </c>
      <c r="K42" t="e">
        <f>VLOOKUP(J42,Windows!$B$4:$D$84,2,FALSE)/1000</f>
        <v>#N/A</v>
      </c>
      <c r="L42" t="e">
        <f>VLOOKUP(J42,Windows!$B$4:$D$84,3,FALSE)/1000</f>
        <v>#N/A</v>
      </c>
      <c r="M42">
        <f t="shared" si="0"/>
        <v>0</v>
      </c>
      <c r="N42">
        <f>IF(I42&gt;=2,INDEX(Windows!$B$4:$B$84,MATCH(E42,Windows!$A$4:$A$84,0)+1),0)</f>
        <v>0</v>
      </c>
      <c r="O42" t="e">
        <f>VLOOKUP(N42,Windows!$B$4:$D$84,2,FALSE)/1000</f>
        <v>#N/A</v>
      </c>
      <c r="P42" t="e">
        <f>VLOOKUP(N42,Windows!$B$4:$D$84,3,FALSE)/1000</f>
        <v>#N/A</v>
      </c>
      <c r="Q42">
        <f t="shared" si="1"/>
        <v>0</v>
      </c>
      <c r="R42">
        <f>IF(I42&gt;=3,INDEX(Windows!$B$4:$B$84,MATCH(E42,Windows!$A$4:$A$84,0)+2),0)</f>
        <v>0</v>
      </c>
      <c r="S42" t="e">
        <f>VLOOKUP(R42,Windows!$B$4:$D$84,2,FALSE)/1000</f>
        <v>#N/A</v>
      </c>
      <c r="T42" t="e">
        <f>VLOOKUP(R42,Windows!$B$4:$D$84,3,FALSE)/1000</f>
        <v>#N/A</v>
      </c>
      <c r="U42">
        <f t="shared" si="2"/>
        <v>0</v>
      </c>
      <c r="V42">
        <f>IF(I42&gt;=4,INDEX(Windows!$B$4:$B$84,MATCH(E42,Windows!$A$4:$A$84,0)+3),0)</f>
        <v>0</v>
      </c>
      <c r="W42" t="e">
        <f>VLOOKUP(V42,Windows!$B$4:$D$84,2,FALSE)/1000</f>
        <v>#N/A</v>
      </c>
      <c r="X42" t="e">
        <f>VLOOKUP(V42,Windows!$B$4:$D$84,3,FALSE)/1000</f>
        <v>#N/A</v>
      </c>
      <c r="Y42">
        <f t="shared" si="3"/>
        <v>0</v>
      </c>
      <c r="Z42" t="str">
        <f t="shared" si="15"/>
        <v>N/A</v>
      </c>
      <c r="AA42">
        <f t="shared" si="5"/>
        <v>0</v>
      </c>
      <c r="AC42" t="s">
        <v>8</v>
      </c>
      <c r="AE42">
        <f t="shared" si="16"/>
        <v>0</v>
      </c>
      <c r="AF42">
        <f>AE42*Konstanten!$B$4</f>
        <v>0</v>
      </c>
      <c r="AG42">
        <f t="shared" si="18"/>
        <v>0</v>
      </c>
      <c r="AJ42" s="19">
        <f>2*(88.14+84.58)</f>
        <v>345.44</v>
      </c>
      <c r="AK42" s="19">
        <f t="shared" si="17"/>
        <v>17.272000000000002</v>
      </c>
      <c r="AL42" s="19">
        <f>AK42*Konstanten!$B$3</f>
        <v>43.180000000000007</v>
      </c>
      <c r="AN42">
        <f t="shared" si="8"/>
        <v>0</v>
      </c>
      <c r="AO42">
        <f t="shared" si="9"/>
        <v>0</v>
      </c>
    </row>
    <row r="43" spans="1:44" x14ac:dyDescent="0.25">
      <c r="A43">
        <v>42</v>
      </c>
      <c r="B43">
        <v>6</v>
      </c>
      <c r="C43" s="15" t="s">
        <v>248</v>
      </c>
      <c r="E43" s="15" t="s">
        <v>249</v>
      </c>
      <c r="G43" s="21">
        <v>22.9</v>
      </c>
      <c r="H43">
        <f>Konstanten!$B$3</f>
        <v>2.5</v>
      </c>
      <c r="I43">
        <f>COUNTIF(Windows!$A$4:$A$84,E43)</f>
        <v>0</v>
      </c>
      <c r="J43" t="e">
        <f>VLOOKUP(E43,Windows!$A$4:$D$84,2,FALSE)</f>
        <v>#N/A</v>
      </c>
      <c r="K43" t="e">
        <f>VLOOKUP(J43,Windows!$B$4:$D$84,2,FALSE)/1000</f>
        <v>#N/A</v>
      </c>
      <c r="L43" t="e">
        <f>VLOOKUP(J43,Windows!$B$4:$D$84,3,FALSE)/1000</f>
        <v>#N/A</v>
      </c>
      <c r="M43">
        <f t="shared" si="0"/>
        <v>0</v>
      </c>
      <c r="N43">
        <f>IF(I43&gt;=2,INDEX(Windows!$B$4:$B$84,MATCH(E43,Windows!$A$4:$A$84,0)+1),0)</f>
        <v>0</v>
      </c>
      <c r="O43" t="e">
        <f>VLOOKUP(N43,Windows!$B$4:$D$84,2,FALSE)/1000</f>
        <v>#N/A</v>
      </c>
      <c r="P43" t="e">
        <f>VLOOKUP(N43,Windows!$B$4:$D$84,3,FALSE)/1000</f>
        <v>#N/A</v>
      </c>
      <c r="Q43">
        <f t="shared" si="1"/>
        <v>0</v>
      </c>
      <c r="R43">
        <f>IF(I43&gt;=3,INDEX(Windows!$B$4:$B$84,MATCH(E43,Windows!$A$4:$A$84,0)+2),0)</f>
        <v>0</v>
      </c>
      <c r="S43" t="e">
        <f>VLOOKUP(R43,Windows!$B$4:$D$84,2,FALSE)/1000</f>
        <v>#N/A</v>
      </c>
      <c r="T43" t="e">
        <f>VLOOKUP(R43,Windows!$B$4:$D$84,3,FALSE)/1000</f>
        <v>#N/A</v>
      </c>
      <c r="U43">
        <f t="shared" si="2"/>
        <v>0</v>
      </c>
      <c r="V43">
        <f>IF(I43&gt;=4,INDEX(Windows!$B$4:$B$84,MATCH(E43,Windows!$A$4:$A$84,0)+3),0)</f>
        <v>0</v>
      </c>
      <c r="W43" t="e">
        <f>VLOOKUP(V43,Windows!$B$4:$D$84,2,FALSE)/1000</f>
        <v>#N/A</v>
      </c>
      <c r="X43" t="e">
        <f>VLOOKUP(V43,Windows!$B$4:$D$84,3,FALSE)/1000</f>
        <v>#N/A</v>
      </c>
      <c r="Y43">
        <f t="shared" si="3"/>
        <v>0</v>
      </c>
      <c r="Z43" t="str">
        <f t="shared" si="15"/>
        <v>N/A</v>
      </c>
      <c r="AA43">
        <f t="shared" si="5"/>
        <v>0</v>
      </c>
      <c r="AC43" t="s">
        <v>8</v>
      </c>
      <c r="AE43">
        <f t="shared" si="16"/>
        <v>0</v>
      </c>
      <c r="AF43">
        <f>AE43*Konstanten!$B$4</f>
        <v>0</v>
      </c>
      <c r="AG43">
        <f t="shared" si="18"/>
        <v>0</v>
      </c>
      <c r="AJ43" s="19">
        <f>2*(108.63+66.72)</f>
        <v>350.7</v>
      </c>
      <c r="AK43" s="19">
        <f t="shared" si="17"/>
        <v>17.535</v>
      </c>
      <c r="AL43" s="19">
        <f>AK43*Konstanten!$B$3</f>
        <v>43.837499999999999</v>
      </c>
      <c r="AN43">
        <f t="shared" si="8"/>
        <v>0</v>
      </c>
      <c r="AO43">
        <f t="shared" si="9"/>
        <v>0</v>
      </c>
    </row>
    <row r="44" spans="1:44" x14ac:dyDescent="0.25">
      <c r="A44" s="12">
        <v>43</v>
      </c>
      <c r="B44">
        <v>6</v>
      </c>
      <c r="C44" s="15" t="s">
        <v>18</v>
      </c>
      <c r="E44" s="15" t="s">
        <v>250</v>
      </c>
      <c r="G44" s="21">
        <v>10.5</v>
      </c>
      <c r="H44">
        <f>Konstanten!$B$3</f>
        <v>2.5</v>
      </c>
      <c r="I44">
        <f>COUNTIF(Windows!$A$4:$A$84,E44)</f>
        <v>0</v>
      </c>
      <c r="J44" t="e">
        <f>VLOOKUP(E44,Windows!$A$4:$D$84,2,FALSE)</f>
        <v>#N/A</v>
      </c>
      <c r="K44" t="e">
        <f>VLOOKUP(J44,Windows!$B$4:$D$84,2,FALSE)/1000</f>
        <v>#N/A</v>
      </c>
      <c r="L44" t="e">
        <f>VLOOKUP(J44,Windows!$B$4:$D$84,3,FALSE)/1000</f>
        <v>#N/A</v>
      </c>
      <c r="M44">
        <f t="shared" si="0"/>
        <v>0</v>
      </c>
      <c r="N44">
        <f>IF(I44&gt;=2,INDEX(Windows!$B$4:$B$84,MATCH(E44,Windows!$A$4:$A$84,0)+1),0)</f>
        <v>0</v>
      </c>
      <c r="O44" t="e">
        <f>VLOOKUP(N44,Windows!$B$4:$D$84,2,FALSE)/1000</f>
        <v>#N/A</v>
      </c>
      <c r="P44" t="e">
        <f>VLOOKUP(N44,Windows!$B$4:$D$84,3,FALSE)/1000</f>
        <v>#N/A</v>
      </c>
      <c r="Q44">
        <f t="shared" si="1"/>
        <v>0</v>
      </c>
      <c r="R44">
        <f>IF(I44&gt;=3,INDEX(Windows!$B$4:$B$84,MATCH(E44,Windows!$A$4:$A$84,0)+2),0)</f>
        <v>0</v>
      </c>
      <c r="S44" t="e">
        <f>VLOOKUP(R44,Windows!$B$4:$D$84,2,FALSE)/1000</f>
        <v>#N/A</v>
      </c>
      <c r="T44" t="e">
        <f>VLOOKUP(R44,Windows!$B$4:$D$84,3,FALSE)/1000</f>
        <v>#N/A</v>
      </c>
      <c r="U44">
        <f t="shared" si="2"/>
        <v>0</v>
      </c>
      <c r="V44">
        <f>IF(I44&gt;=4,INDEX(Windows!$B$4:$B$84,MATCH(E44,Windows!$A$4:$A$84,0)+3),0)</f>
        <v>0</v>
      </c>
      <c r="W44" t="e">
        <f>VLOOKUP(V44,Windows!$B$4:$D$84,2,FALSE)/1000</f>
        <v>#N/A</v>
      </c>
      <c r="X44" t="e">
        <f>VLOOKUP(V44,Windows!$B$4:$D$84,3,FALSE)/1000</f>
        <v>#N/A</v>
      </c>
      <c r="Y44">
        <f t="shared" si="3"/>
        <v>0</v>
      </c>
      <c r="Z44" t="str">
        <f t="shared" si="15"/>
        <v>N/A</v>
      </c>
      <c r="AA44">
        <f t="shared" si="5"/>
        <v>0</v>
      </c>
      <c r="AC44" t="s">
        <v>8</v>
      </c>
      <c r="AE44">
        <f t="shared" si="16"/>
        <v>0</v>
      </c>
      <c r="AF44">
        <f>AE44*Konstanten!$B$4</f>
        <v>0</v>
      </c>
      <c r="AG44">
        <f t="shared" si="18"/>
        <v>0</v>
      </c>
      <c r="AJ44" s="19">
        <f>2*(47.33+89.92)</f>
        <v>274.5</v>
      </c>
      <c r="AK44" s="19">
        <f t="shared" si="17"/>
        <v>13.725000000000001</v>
      </c>
      <c r="AL44" s="19">
        <f>AK44*Konstanten!$B$3</f>
        <v>34.3125</v>
      </c>
      <c r="AN44">
        <f t="shared" si="8"/>
        <v>0</v>
      </c>
      <c r="AO44">
        <f t="shared" si="9"/>
        <v>0</v>
      </c>
    </row>
    <row r="45" spans="1:44" x14ac:dyDescent="0.25">
      <c r="A45" s="12">
        <v>44</v>
      </c>
      <c r="B45">
        <v>6</v>
      </c>
      <c r="C45" s="15" t="s">
        <v>18</v>
      </c>
      <c r="E45" s="15" t="s">
        <v>251</v>
      </c>
      <c r="G45" s="21">
        <v>2.9</v>
      </c>
      <c r="H45">
        <f>Konstanten!$B$3</f>
        <v>2.5</v>
      </c>
      <c r="I45">
        <f>COUNTIF(Windows!$A$4:$A$84,E45)</f>
        <v>0</v>
      </c>
      <c r="J45" t="e">
        <f>VLOOKUP(E45,Windows!$A$4:$D$84,2,FALSE)</f>
        <v>#N/A</v>
      </c>
      <c r="K45" t="e">
        <f>VLOOKUP(J45,Windows!$B$4:$D$84,2,FALSE)/1000</f>
        <v>#N/A</v>
      </c>
      <c r="L45" t="e">
        <f>VLOOKUP(J45,Windows!$B$4:$D$84,3,FALSE)/1000</f>
        <v>#N/A</v>
      </c>
      <c r="M45">
        <f t="shared" ref="M45" si="19">IF(ISNA(L45*K45),0,K45*L45)</f>
        <v>0</v>
      </c>
      <c r="N45">
        <f>IF(I45&gt;=2,INDEX(Windows!$B$4:$B$84,MATCH(E45,Windows!$A$4:$A$84,0)+1),0)</f>
        <v>0</v>
      </c>
      <c r="O45" t="e">
        <f>VLOOKUP(N45,Windows!$B$4:$D$84,2,FALSE)/1000</f>
        <v>#N/A</v>
      </c>
      <c r="P45" t="e">
        <f>VLOOKUP(N45,Windows!$B$4:$D$84,3,FALSE)/1000</f>
        <v>#N/A</v>
      </c>
      <c r="Q45">
        <f t="shared" ref="Q45" si="20">IF(ISNA(P45*O45),0,O45*P45)</f>
        <v>0</v>
      </c>
      <c r="R45">
        <f>IF(I45&gt;=3,INDEX(Windows!$B$4:$B$84,MATCH(E45,Windows!$A$4:$A$84,0)+2),0)</f>
        <v>0</v>
      </c>
      <c r="S45" t="e">
        <f>VLOOKUP(R45,Windows!$B$4:$D$84,2,FALSE)/1000</f>
        <v>#N/A</v>
      </c>
      <c r="T45" t="e">
        <f>VLOOKUP(R45,Windows!$B$4:$D$84,3,FALSE)/1000</f>
        <v>#N/A</v>
      </c>
      <c r="U45">
        <f t="shared" ref="U45" si="21">IF(ISNA(T45*S45),0,S45*T45)</f>
        <v>0</v>
      </c>
      <c r="V45">
        <f>IF(I45&gt;=4,INDEX(Windows!$B$4:$B$84,MATCH(E45,Windows!$A$4:$A$84,0)+3),0)</f>
        <v>0</v>
      </c>
      <c r="W45" t="e">
        <f>VLOOKUP(V45,Windows!$B$4:$D$84,2,FALSE)/1000</f>
        <v>#N/A</v>
      </c>
      <c r="X45" t="e">
        <f>VLOOKUP(V45,Windows!$B$4:$D$84,3,FALSE)/1000</f>
        <v>#N/A</v>
      </c>
      <c r="Y45">
        <f t="shared" ref="Y45" si="22">IF(ISNA(X45*W45),0,W45*X45)</f>
        <v>0</v>
      </c>
      <c r="Z45" t="str">
        <f t="shared" ref="Z45" si="23">IF(I45&gt;0,AC45,"N/A")</f>
        <v>N/A</v>
      </c>
      <c r="AA45">
        <f t="shared" ref="AA45" si="24">SUM(M45,Q45,U45,Y45)</f>
        <v>0</v>
      </c>
      <c r="AC45" t="s">
        <v>8</v>
      </c>
      <c r="AE45">
        <f t="shared" ref="AE45" si="25">AD45*50/1000</f>
        <v>0</v>
      </c>
      <c r="AF45">
        <f>AE45*Konstanten!$B$4</f>
        <v>0</v>
      </c>
      <c r="AG45">
        <f t="shared" ref="AG45" si="26">IF(AF45-AA45&lt;=0, 0, AF45-AA45)</f>
        <v>0</v>
      </c>
      <c r="AJ45" s="19">
        <f>2*(40.98+28.36)</f>
        <v>138.68</v>
      </c>
      <c r="AK45" s="19">
        <f t="shared" ref="AK45" si="27">50/1000*AJ45</f>
        <v>6.9340000000000011</v>
      </c>
      <c r="AL45" s="19">
        <f>AK45*Konstanten!$B$3</f>
        <v>17.335000000000001</v>
      </c>
      <c r="AN45">
        <f t="shared" ref="AN45" si="28">IF(B45=9,1,0)</f>
        <v>0</v>
      </c>
      <c r="AO45">
        <f t="shared" ref="AO45" si="29">IF(B45=1,1,0)</f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="85" zoomScaleNormal="85" workbookViewId="0"/>
  </sheetViews>
  <sheetFormatPr baseColWidth="10" defaultRowHeight="15" x14ac:dyDescent="0.25"/>
  <sheetData>
    <row r="1" spans="1:20" x14ac:dyDescent="0.25">
      <c r="A1" s="13" t="s">
        <v>126</v>
      </c>
    </row>
    <row r="5" spans="1:20" ht="26.25" x14ac:dyDescent="0.4">
      <c r="B5" s="10" t="s">
        <v>29</v>
      </c>
      <c r="J5" s="10" t="s">
        <v>94</v>
      </c>
      <c r="P5" s="10" t="s">
        <v>95</v>
      </c>
      <c r="T5" s="10" t="s">
        <v>96</v>
      </c>
    </row>
    <row r="36" spans="2:15" ht="26.25" x14ac:dyDescent="0.4">
      <c r="B36" s="11" t="s">
        <v>97</v>
      </c>
      <c r="I36" s="10" t="s">
        <v>98</v>
      </c>
      <c r="O36" s="10" t="s">
        <v>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51"/>
  <sheetViews>
    <sheetView zoomScale="85" zoomScaleNormal="85" workbookViewId="0">
      <pane xSplit="5" ySplit="1" topLeftCell="U2" activePane="bottomRight" state="frozen"/>
      <selection pane="topRight" activeCell="F1" sqref="F1"/>
      <selection pane="bottomLeft" activeCell="A2" sqref="A2"/>
      <selection pane="bottomRight" activeCell="AF2" sqref="AF2"/>
    </sheetView>
  </sheetViews>
  <sheetFormatPr baseColWidth="10" defaultRowHeight="15" x14ac:dyDescent="0.25"/>
  <cols>
    <col min="1" max="1" width="6.28515625" bestFit="1" customWidth="1"/>
    <col min="2" max="2" width="6" bestFit="1" customWidth="1"/>
    <col min="3" max="3" width="15.140625" bestFit="1" customWidth="1"/>
    <col min="4" max="4" width="9.28515625" bestFit="1" customWidth="1"/>
    <col min="5" max="5" width="15.7109375" bestFit="1" customWidth="1"/>
    <col min="6" max="6" width="20.140625" bestFit="1" customWidth="1"/>
    <col min="7" max="7" width="13.140625" bestFit="1" customWidth="1"/>
    <col min="8" max="8" width="23.7109375" bestFit="1" customWidth="1"/>
    <col min="9" max="25" width="9.28515625" customWidth="1"/>
    <col min="26" max="26" width="23.140625" bestFit="1" customWidth="1"/>
    <col min="27" max="27" width="18" bestFit="1" customWidth="1"/>
    <col min="28" max="28" width="22.140625" bestFit="1" customWidth="1"/>
    <col min="29" max="29" width="25" bestFit="1" customWidth="1"/>
    <col min="30" max="30" width="33.42578125" bestFit="1" customWidth="1"/>
    <col min="31" max="32" width="9.28515625" customWidth="1"/>
    <col min="33" max="33" width="19.85546875" bestFit="1" customWidth="1"/>
    <col min="34" max="34" width="24" bestFit="1" customWidth="1"/>
    <col min="35" max="35" width="9.28515625" customWidth="1"/>
    <col min="36" max="36" width="32.7109375" bestFit="1" customWidth="1"/>
    <col min="37" max="37" width="9.28515625" customWidth="1"/>
    <col min="38" max="38" width="19.28515625" bestFit="1" customWidth="1"/>
    <col min="39" max="39" width="23.42578125" bestFit="1" customWidth="1"/>
    <col min="40" max="40" width="14.85546875" bestFit="1" customWidth="1"/>
    <col min="41" max="41" width="10.42578125" bestFit="1" customWidth="1"/>
    <col min="42" max="42" width="18.7109375" bestFit="1" customWidth="1"/>
    <col min="43" max="43" width="20.140625" bestFit="1" customWidth="1"/>
    <col min="44" max="44" width="29.7109375" style="12" customWidth="1"/>
  </cols>
  <sheetData>
    <row r="1" spans="1:58" s="1" customFormat="1" ht="16.5" thickBot="1" x14ac:dyDescent="0.3">
      <c r="A1" s="1" t="s">
        <v>35</v>
      </c>
      <c r="B1" s="1" t="s">
        <v>0</v>
      </c>
      <c r="C1" s="17" t="s">
        <v>38</v>
      </c>
      <c r="D1" s="1" t="s">
        <v>15</v>
      </c>
      <c r="E1" s="17" t="s">
        <v>37</v>
      </c>
      <c r="F1" s="17" t="s">
        <v>39</v>
      </c>
      <c r="G1" s="17" t="s">
        <v>36</v>
      </c>
      <c r="H1" s="8" t="s">
        <v>43</v>
      </c>
      <c r="I1" s="1" t="s">
        <v>17</v>
      </c>
      <c r="J1" s="1" t="s">
        <v>54</v>
      </c>
      <c r="K1" s="1" t="s">
        <v>58</v>
      </c>
      <c r="L1" s="1" t="s">
        <v>58</v>
      </c>
      <c r="M1" s="1" t="s">
        <v>57</v>
      </c>
      <c r="N1" s="1" t="s">
        <v>55</v>
      </c>
      <c r="O1" s="1" t="s">
        <v>59</v>
      </c>
      <c r="P1" s="1" t="s">
        <v>59</v>
      </c>
      <c r="Q1" s="1" t="s">
        <v>56</v>
      </c>
      <c r="R1" s="1" t="s">
        <v>74</v>
      </c>
      <c r="S1" s="1" t="s">
        <v>76</v>
      </c>
      <c r="T1" s="1" t="s">
        <v>76</v>
      </c>
      <c r="U1" s="1" t="s">
        <v>77</v>
      </c>
      <c r="V1" s="1" t="s">
        <v>193</v>
      </c>
      <c r="W1" s="1" t="s">
        <v>194</v>
      </c>
      <c r="X1" s="1" t="s">
        <v>194</v>
      </c>
      <c r="Y1" s="1" t="s">
        <v>195</v>
      </c>
      <c r="Z1" s="8" t="s">
        <v>48</v>
      </c>
      <c r="AA1" s="8" t="s">
        <v>40</v>
      </c>
      <c r="AB1" s="8" t="s">
        <v>44</v>
      </c>
      <c r="AC1" s="17" t="s">
        <v>49</v>
      </c>
      <c r="AD1" s="17" t="s">
        <v>196</v>
      </c>
      <c r="AE1" s="1" t="s">
        <v>197</v>
      </c>
      <c r="AF1" s="1" t="s">
        <v>93</v>
      </c>
      <c r="AG1" s="8" t="s">
        <v>41</v>
      </c>
      <c r="AH1" s="17" t="s">
        <v>42</v>
      </c>
      <c r="AI1" s="1" t="s">
        <v>53</v>
      </c>
      <c r="AJ1" s="17" t="s">
        <v>20</v>
      </c>
      <c r="AK1" s="1" t="s">
        <v>19</v>
      </c>
      <c r="AL1" s="8" t="s">
        <v>47</v>
      </c>
      <c r="AM1" s="8" t="s">
        <v>50</v>
      </c>
      <c r="AN1" s="8" t="s">
        <v>46</v>
      </c>
      <c r="AO1" s="8" t="s">
        <v>45</v>
      </c>
      <c r="AP1" s="8" t="s">
        <v>51</v>
      </c>
      <c r="AQ1" s="8" t="s">
        <v>52</v>
      </c>
      <c r="AR1" s="18"/>
      <c r="AS1" s="1" t="s">
        <v>1</v>
      </c>
      <c r="AT1" s="1" t="s">
        <v>2</v>
      </c>
      <c r="AU1" s="1" t="s">
        <v>11</v>
      </c>
      <c r="AV1" s="1" t="s">
        <v>3</v>
      </c>
      <c r="AW1" s="1" t="s">
        <v>4</v>
      </c>
      <c r="AX1" s="1" t="s">
        <v>7</v>
      </c>
      <c r="AY1" s="1" t="s">
        <v>5</v>
      </c>
      <c r="AZ1" s="1" t="s">
        <v>6</v>
      </c>
      <c r="BB1" s="3" t="s">
        <v>9</v>
      </c>
      <c r="BC1" s="1" t="s">
        <v>10</v>
      </c>
      <c r="BD1" s="1" t="s">
        <v>12</v>
      </c>
      <c r="BE1" s="1" t="s">
        <v>13</v>
      </c>
      <c r="BF1" s="1" t="s">
        <v>14</v>
      </c>
    </row>
    <row r="2" spans="1:58" ht="15.75" thickTop="1" x14ac:dyDescent="0.25">
      <c r="A2">
        <v>1</v>
      </c>
      <c r="B2">
        <v>6</v>
      </c>
      <c r="C2" t="s">
        <v>21</v>
      </c>
      <c r="E2" t="s">
        <v>252</v>
      </c>
      <c r="G2" s="19">
        <v>75.400000000000006</v>
      </c>
      <c r="H2">
        <f>Konstanten!$B$3</f>
        <v>2.5</v>
      </c>
      <c r="I2">
        <f>COUNTIF(Windows!$A$4:$A$84,E2)</f>
        <v>0</v>
      </c>
      <c r="J2" t="e">
        <f>VLOOKUP(E2,Windows!$A$4:$D$84,2,FALSE)</f>
        <v>#N/A</v>
      </c>
      <c r="K2" t="e">
        <f>VLOOKUP(J2,Windows!$B$4:$D$84,2,FALSE)/1000</f>
        <v>#N/A</v>
      </c>
      <c r="L2" t="e">
        <f>VLOOKUP(J2,Windows!$B$4:$D$84,3,FALSE)/1000</f>
        <v>#N/A</v>
      </c>
      <c r="M2">
        <f t="shared" ref="M2" si="0">IF(ISNA(L2*K2),0,K2*L2)</f>
        <v>0</v>
      </c>
      <c r="N2">
        <f>IF(I2&gt;=2,INDEX(Windows!$B$4:$B$84,MATCH(J2,Windows!$B$4:$B$84,0)+1),0)</f>
        <v>0</v>
      </c>
      <c r="O2" t="e">
        <f>VLOOKUP(N2,Windows!$B$4:$D$84,2,FALSE)/1000</f>
        <v>#N/A</v>
      </c>
      <c r="P2" t="e">
        <f>VLOOKUP(N2,Windows!$B$4:$D$84,3,FALSE)/1000</f>
        <v>#N/A</v>
      </c>
      <c r="Q2">
        <f t="shared" ref="Q2" si="1">IF(ISNA(P2*O2),0,O2*P2)</f>
        <v>0</v>
      </c>
      <c r="R2">
        <f>IF(I2&gt;=3,INDEX(Windows!$B$4:$B$84,MATCH(J2,Windows!$B$4:$B$84,0)+2),0)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" si="2">IF(ISNA(T2*S2),0,S2*T2)</f>
        <v>0</v>
      </c>
      <c r="V2">
        <f>IF(I2&gt;=4,INDEX(Windows!$B$4:$B$84,MATCH(J2,Windows!$B$4:$B$84,0)+3),0)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" si="3">IF(ISNA(X2*W2),0,W2*X2)</f>
        <v>0</v>
      </c>
      <c r="Z2" t="str">
        <f>IF(I2&gt;0,AC2,"N/A")</f>
        <v>N/A</v>
      </c>
      <c r="AA2">
        <f>SUM(M2,Q2,U2,Y2)</f>
        <v>0</v>
      </c>
      <c r="AC2" t="s">
        <v>8</v>
      </c>
      <c r="AE2">
        <f>AD2*50/1000</f>
        <v>0</v>
      </c>
      <c r="AF2">
        <f>AE2*Konstanten!$B$4</f>
        <v>0</v>
      </c>
      <c r="AG2">
        <f>IF(AF2-AA2&lt;=0, 0, AF2-AA2)</f>
        <v>0</v>
      </c>
      <c r="AJ2" s="19">
        <f>83.88+40.72+19.03+89.9+20.03+12.06+13.04+2*498.29+47.98+6.96</f>
        <v>1330.18</v>
      </c>
      <c r="AK2" s="19">
        <f>50/1000*AJ2</f>
        <v>66.509</v>
      </c>
      <c r="AL2" s="19">
        <f>AK2*Konstanten!$B$3</f>
        <v>166.27250000000001</v>
      </c>
      <c r="AN2">
        <f>IF(B2=9,1,0)</f>
        <v>0</v>
      </c>
      <c r="AO2">
        <f>IF(B2=1,1,0)</f>
        <v>0</v>
      </c>
      <c r="AS2" s="12"/>
      <c r="BB2" s="4"/>
    </row>
    <row r="3" spans="1:58" x14ac:dyDescent="0.25">
      <c r="A3">
        <v>2</v>
      </c>
      <c r="B3">
        <v>6</v>
      </c>
      <c r="C3" t="s">
        <v>21</v>
      </c>
      <c r="E3" t="s">
        <v>253</v>
      </c>
      <c r="G3" s="19">
        <v>69.900000000000006</v>
      </c>
      <c r="H3">
        <f>Konstanten!$B$3</f>
        <v>2.5</v>
      </c>
      <c r="I3">
        <f>COUNTIF(Windows!$A$4:$A$84,E3)</f>
        <v>0</v>
      </c>
      <c r="J3" t="e">
        <f>VLOOKUP(E3,Windows!$A$4:$D$84,2,FALSE)</f>
        <v>#N/A</v>
      </c>
      <c r="K3" t="e">
        <f>VLOOKUP(J3,Windows!$B$4:$D$84,2,FALSE)/1000</f>
        <v>#N/A</v>
      </c>
      <c r="L3" t="e">
        <f>VLOOKUP(J3,Windows!$B$4:$D$84,3,FALSE)/1000</f>
        <v>#N/A</v>
      </c>
      <c r="M3">
        <f t="shared" ref="M3:M44" si="4">IF(ISNA(L3*K3),0,K3*L3)</f>
        <v>0</v>
      </c>
      <c r="N3">
        <f>IF(I3&gt;=2,INDEX(Windows!$B$4:$B$84,MATCH(J3,Windows!$B$4:$B$84,0)+1),0)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ref="Q3:Q44" si="5">IF(ISNA(P3*O3),0,O3*P3)</f>
        <v>0</v>
      </c>
      <c r="R3">
        <f>IF(I3&gt;=3,INDEX(Windows!$B$4:$B$84,MATCH(J3,Windows!$B$4:$B$84,0)+2),0)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ref="U3:U44" si="6">IF(ISNA(T3*S3),0,S3*T3)</f>
        <v>0</v>
      </c>
      <c r="V3">
        <f>IF(I3&gt;=4,INDEX(Windows!$B$4:$B$84,MATCH(J3,Windows!$B$4:$B$84,0)+3),0)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ref="Y3:Y44" si="7">IF(ISNA(X3*W3),0,W3*X3)</f>
        <v>0</v>
      </c>
      <c r="Z3" t="str">
        <f t="shared" ref="Z3:Z34" si="8">IF(I3&gt;0,AC3,"N/A")</f>
        <v>N/A</v>
      </c>
      <c r="AA3">
        <f t="shared" ref="AA3:AA44" si="9">SUM(M3,Q3,U3,Y3)</f>
        <v>0</v>
      </c>
      <c r="AC3" t="s">
        <v>8</v>
      </c>
      <c r="AE3">
        <f t="shared" ref="AE3:AE34" si="10">AD3*50/1000</f>
        <v>0</v>
      </c>
      <c r="AF3">
        <f>AE3*Konstanten!$B$4</f>
        <v>0</v>
      </c>
      <c r="AG3">
        <f>IF(AF3-AA3&lt;=0, 0, AF3-AA3)</f>
        <v>0</v>
      </c>
      <c r="AJ3" s="19">
        <f>2*(577.43+48.01)</f>
        <v>1250.8799999999999</v>
      </c>
      <c r="AK3" s="19">
        <f t="shared" ref="AK3:AK34" si="11">50/1000*AJ3</f>
        <v>62.543999999999997</v>
      </c>
      <c r="AL3" s="19">
        <f>AK3*Konstanten!$B$3</f>
        <v>156.35999999999999</v>
      </c>
      <c r="AN3">
        <f t="shared" ref="AN3:AN44" si="12">IF(B3=9,1,0)</f>
        <v>0</v>
      </c>
      <c r="AO3">
        <f t="shared" ref="AO3:AO44" si="13">IF(B3=1,1,0)</f>
        <v>0</v>
      </c>
      <c r="AS3" s="12"/>
      <c r="BB3" s="4"/>
    </row>
    <row r="4" spans="1:58" x14ac:dyDescent="0.25">
      <c r="A4">
        <v>3</v>
      </c>
      <c r="B4">
        <v>6</v>
      </c>
      <c r="C4" t="s">
        <v>21</v>
      </c>
      <c r="E4" t="s">
        <v>254</v>
      </c>
      <c r="G4" s="19">
        <v>32.299999999999997</v>
      </c>
      <c r="H4">
        <f>Konstanten!$B$3</f>
        <v>2.5</v>
      </c>
      <c r="I4">
        <f>COUNTIF(Windows!$A$4:$A$84,E4)</f>
        <v>0</v>
      </c>
      <c r="J4" t="e">
        <f>VLOOKUP(E4,Windows!$A$4:$D$84,2,FALSE)</f>
        <v>#N/A</v>
      </c>
      <c r="K4" t="e">
        <f>VLOOKUP(J4,Windows!$B$4:$D$84,2,FALSE)/1000</f>
        <v>#N/A</v>
      </c>
      <c r="L4" t="e">
        <f>VLOOKUP(J4,Windows!$B$4:$D$84,3,FALSE)/1000</f>
        <v>#N/A</v>
      </c>
      <c r="M4">
        <f t="shared" si="4"/>
        <v>0</v>
      </c>
      <c r="N4">
        <f>IF(I4&gt;=2,INDEX(Windows!$B$4:$B$84,MATCH(J4,Windows!$B$4:$B$84,0)+1),0)</f>
        <v>0</v>
      </c>
      <c r="O4" t="e">
        <f>VLOOKUP(N4,Windows!$B$4:$D$84,2,FALSE)/1000</f>
        <v>#N/A</v>
      </c>
      <c r="P4" t="e">
        <f>VLOOKUP(N4,Windows!$B$4:$D$84,3,FALSE)/1000</f>
        <v>#N/A</v>
      </c>
      <c r="Q4">
        <f t="shared" si="5"/>
        <v>0</v>
      </c>
      <c r="R4">
        <f>IF(I4&gt;=3,INDEX(Windows!$B$4:$B$84,MATCH(J4,Windows!$B$4:$B$84,0)+2),0)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si="6"/>
        <v>0</v>
      </c>
      <c r="V4">
        <f>IF(I4&gt;=4,INDEX(Windows!$B$4:$B$84,MATCH(J4,Windows!$B$4:$B$84,0)+3),0)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si="7"/>
        <v>0</v>
      </c>
      <c r="Z4" t="str">
        <f t="shared" si="8"/>
        <v>N/A</v>
      </c>
      <c r="AA4">
        <f t="shared" si="9"/>
        <v>0</v>
      </c>
      <c r="AC4" t="s">
        <v>8</v>
      </c>
      <c r="AE4">
        <f t="shared" si="10"/>
        <v>0</v>
      </c>
      <c r="AF4">
        <f>AE4*Konstanten!$B$4</f>
        <v>0</v>
      </c>
      <c r="AG4">
        <f t="shared" ref="AG4:AG34" si="14">IF(AF4-AA4&lt;=0, 0, AF4-AA4)</f>
        <v>0</v>
      </c>
      <c r="AJ4" s="19">
        <f>109.58+25.78+49.83+101.26+108.46+62.88</f>
        <v>457.78999999999996</v>
      </c>
      <c r="AK4" s="19">
        <f t="shared" si="11"/>
        <v>22.889499999999998</v>
      </c>
      <c r="AL4" s="19">
        <f>AK4*Konstanten!$B$3</f>
        <v>57.223749999999995</v>
      </c>
      <c r="AN4">
        <f t="shared" si="12"/>
        <v>0</v>
      </c>
      <c r="AO4">
        <f t="shared" si="13"/>
        <v>0</v>
      </c>
      <c r="AS4" s="12"/>
      <c r="BB4" s="4"/>
    </row>
    <row r="5" spans="1:58" x14ac:dyDescent="0.25">
      <c r="A5">
        <v>4</v>
      </c>
      <c r="B5">
        <v>6</v>
      </c>
      <c r="C5" t="s">
        <v>34</v>
      </c>
      <c r="E5" t="s">
        <v>255</v>
      </c>
      <c r="G5" s="19">
        <v>14.8</v>
      </c>
      <c r="H5">
        <f>Konstanten!$B$3</f>
        <v>2.5</v>
      </c>
      <c r="I5">
        <f>COUNTIF(Windows!$A$4:$A$84,E5)</f>
        <v>0</v>
      </c>
      <c r="J5" t="e">
        <f>VLOOKUP(E5,Windows!$A$4:$D$84,2,FALSE)</f>
        <v>#N/A</v>
      </c>
      <c r="K5" t="e">
        <f>VLOOKUP(J5,Windows!$B$4:$D$84,2,FALSE)/1000</f>
        <v>#N/A</v>
      </c>
      <c r="L5" t="e">
        <f>VLOOKUP(J5,Windows!$B$4:$D$84,3,FALSE)/1000</f>
        <v>#N/A</v>
      </c>
      <c r="M5">
        <f t="shared" si="4"/>
        <v>0</v>
      </c>
      <c r="N5">
        <f>IF(I5&gt;=2,INDEX(Windows!$B$4:$B$84,MATCH(J5,Windows!$B$4:$B$84,0)+1),0)</f>
        <v>0</v>
      </c>
      <c r="O5" t="e">
        <f>VLOOKUP(N5,Windows!$B$4:$D$84,2,FALSE)/1000</f>
        <v>#N/A</v>
      </c>
      <c r="P5" t="e">
        <f>VLOOKUP(N5,Windows!$B$4:$D$84,3,FALSE)/1000</f>
        <v>#N/A</v>
      </c>
      <c r="Q5">
        <f t="shared" si="5"/>
        <v>0</v>
      </c>
      <c r="R5">
        <f>IF(I5&gt;=3,INDEX(Windows!$B$4:$B$84,MATCH(J5,Windows!$B$4:$B$84,0)+2),0)</f>
        <v>0</v>
      </c>
      <c r="S5" t="e">
        <f>VLOOKUP(R5,Windows!$B$4:$D$84,2,FALSE)/1000</f>
        <v>#N/A</v>
      </c>
      <c r="T5" t="e">
        <f>VLOOKUP(R5,Windows!$B$4:$D$84,3,FALSE)/1000</f>
        <v>#N/A</v>
      </c>
      <c r="U5">
        <f t="shared" si="6"/>
        <v>0</v>
      </c>
      <c r="V5">
        <f>IF(I5&gt;=4,INDEX(Windows!$B$4:$B$84,MATCH(J5,Windows!$B$4:$B$84,0)+3),0)</f>
        <v>0</v>
      </c>
      <c r="W5" t="e">
        <f>VLOOKUP(V5,Windows!$B$4:$D$84,2,FALSE)/1000</f>
        <v>#N/A</v>
      </c>
      <c r="X5" t="e">
        <f>VLOOKUP(V5,Windows!$B$4:$D$84,3,FALSE)/1000</f>
        <v>#N/A</v>
      </c>
      <c r="Y5">
        <f t="shared" si="7"/>
        <v>0</v>
      </c>
      <c r="Z5" t="str">
        <f t="shared" si="8"/>
        <v>N/A</v>
      </c>
      <c r="AA5">
        <f t="shared" si="9"/>
        <v>0</v>
      </c>
      <c r="AC5" t="s">
        <v>8</v>
      </c>
      <c r="AE5">
        <f t="shared" si="10"/>
        <v>0</v>
      </c>
      <c r="AF5">
        <f>AE5*Konstanten!$B$4</f>
        <v>0</v>
      </c>
      <c r="AG5">
        <f t="shared" si="14"/>
        <v>0</v>
      </c>
      <c r="AJ5" s="19">
        <f>30.95+40.72+33.36+78.66+31.73+104.43</f>
        <v>319.85000000000002</v>
      </c>
      <c r="AK5" s="19">
        <f t="shared" si="11"/>
        <v>15.992500000000001</v>
      </c>
      <c r="AL5" s="19">
        <f>AK5*Konstanten!$B$3</f>
        <v>39.981250000000003</v>
      </c>
      <c r="AN5">
        <f t="shared" si="12"/>
        <v>0</v>
      </c>
      <c r="AO5">
        <f t="shared" si="13"/>
        <v>0</v>
      </c>
      <c r="AS5" s="12"/>
      <c r="BB5" s="4"/>
    </row>
    <row r="6" spans="1:58" x14ac:dyDescent="0.25">
      <c r="A6">
        <v>5</v>
      </c>
      <c r="B6">
        <v>6</v>
      </c>
      <c r="C6" t="s">
        <v>34</v>
      </c>
      <c r="E6" t="s">
        <v>256</v>
      </c>
      <c r="G6" s="19">
        <v>14.3</v>
      </c>
      <c r="H6">
        <f>Konstanten!$B$3</f>
        <v>2.5</v>
      </c>
      <c r="I6">
        <f>COUNTIF(Windows!$A$4:$A$84,E6)</f>
        <v>0</v>
      </c>
      <c r="J6" t="e">
        <f>VLOOKUP(E6,Windows!$A$4:$D$84,2,FALSE)</f>
        <v>#N/A</v>
      </c>
      <c r="K6" t="e">
        <f>VLOOKUP(J6,Windows!$B$4:$D$84,2,FALSE)/1000</f>
        <v>#N/A</v>
      </c>
      <c r="L6" t="e">
        <f>VLOOKUP(J6,Windows!$B$4:$D$84,3,FALSE)/1000</f>
        <v>#N/A</v>
      </c>
      <c r="M6">
        <f t="shared" si="4"/>
        <v>0</v>
      </c>
      <c r="N6">
        <f>IF(I6&gt;=2,INDEX(Windows!$B$4:$B$84,MATCH(J6,Windows!$B$4:$B$84,0)+1),0)</f>
        <v>0</v>
      </c>
      <c r="O6" t="e">
        <f>VLOOKUP(N6,Windows!$B$4:$D$84,2,FALSE)/1000</f>
        <v>#N/A</v>
      </c>
      <c r="P6" t="e">
        <f>VLOOKUP(N6,Windows!$B$4:$D$84,3,FALSE)/1000</f>
        <v>#N/A</v>
      </c>
      <c r="Q6">
        <f t="shared" si="5"/>
        <v>0</v>
      </c>
      <c r="R6">
        <f>IF(I6&gt;=3,INDEX(Windows!$B$4:$B$84,MATCH(J6,Windows!$B$4:$B$84,0)+2),0)</f>
        <v>0</v>
      </c>
      <c r="S6" t="e">
        <f>VLOOKUP(R6,Windows!$B$4:$D$84,2,FALSE)/1000</f>
        <v>#N/A</v>
      </c>
      <c r="T6" t="e">
        <f>VLOOKUP(R6,Windows!$B$4:$D$84,3,FALSE)/1000</f>
        <v>#N/A</v>
      </c>
      <c r="U6">
        <f t="shared" si="6"/>
        <v>0</v>
      </c>
      <c r="V6">
        <f>IF(I6&gt;=4,INDEX(Windows!$B$4:$B$84,MATCH(J6,Windows!$B$4:$B$84,0)+3),0)</f>
        <v>0</v>
      </c>
      <c r="W6" t="e">
        <f>VLOOKUP(V6,Windows!$B$4:$D$84,2,FALSE)/1000</f>
        <v>#N/A</v>
      </c>
      <c r="X6" t="e">
        <f>VLOOKUP(V6,Windows!$B$4:$D$84,3,FALSE)/1000</f>
        <v>#N/A</v>
      </c>
      <c r="Y6">
        <f t="shared" si="7"/>
        <v>0</v>
      </c>
      <c r="Z6" t="str">
        <f t="shared" si="8"/>
        <v>N/A</v>
      </c>
      <c r="AA6">
        <f t="shared" si="9"/>
        <v>0</v>
      </c>
      <c r="AC6" t="s">
        <v>8</v>
      </c>
      <c r="AE6">
        <f t="shared" si="10"/>
        <v>0</v>
      </c>
      <c r="AF6">
        <f>AE6*Konstanten!$B$4</f>
        <v>0</v>
      </c>
      <c r="AG6">
        <f t="shared" si="14"/>
        <v>0</v>
      </c>
      <c r="AJ6" s="19">
        <f>2*(104.37+57.3)</f>
        <v>323.34000000000003</v>
      </c>
      <c r="AK6" s="19">
        <f t="shared" si="11"/>
        <v>16.167000000000002</v>
      </c>
      <c r="AL6" s="19">
        <f>AK6*Konstanten!$B$3</f>
        <v>40.417500000000004</v>
      </c>
      <c r="AN6">
        <f t="shared" si="12"/>
        <v>0</v>
      </c>
      <c r="AO6">
        <f t="shared" si="13"/>
        <v>0</v>
      </c>
      <c r="AS6" s="12"/>
      <c r="BB6" s="4"/>
    </row>
    <row r="7" spans="1:58" x14ac:dyDescent="0.25">
      <c r="A7">
        <v>6</v>
      </c>
      <c r="B7">
        <v>6</v>
      </c>
      <c r="C7" t="s">
        <v>34</v>
      </c>
      <c r="E7" t="s">
        <v>257</v>
      </c>
      <c r="G7" s="19">
        <v>14.5</v>
      </c>
      <c r="H7">
        <f>Konstanten!$B$3</f>
        <v>2.5</v>
      </c>
      <c r="I7">
        <f>COUNTIF(Windows!$A$4:$A$84,E7)</f>
        <v>0</v>
      </c>
      <c r="J7" t="e">
        <f>VLOOKUP(E7,Windows!$A$4:$D$84,2,FALSE)</f>
        <v>#N/A</v>
      </c>
      <c r="K7" t="e">
        <f>VLOOKUP(J7,Windows!$B$4:$D$84,2,FALSE)/1000</f>
        <v>#N/A</v>
      </c>
      <c r="L7" t="e">
        <f>VLOOKUP(J7,Windows!$B$4:$D$84,3,FALSE)/1000</f>
        <v>#N/A</v>
      </c>
      <c r="M7">
        <f t="shared" si="4"/>
        <v>0</v>
      </c>
      <c r="N7">
        <f>IF(I7&gt;=2,INDEX(Windows!$B$4:$B$84,MATCH(J7,Windows!$B$4:$B$84,0)+1),0)</f>
        <v>0</v>
      </c>
      <c r="O7" t="e">
        <f>VLOOKUP(N7,Windows!$B$4:$D$84,2,FALSE)/1000</f>
        <v>#N/A</v>
      </c>
      <c r="P7" t="e">
        <f>VLOOKUP(N7,Windows!$B$4:$D$84,3,FALSE)/1000</f>
        <v>#N/A</v>
      </c>
      <c r="Q7">
        <f t="shared" si="5"/>
        <v>0</v>
      </c>
      <c r="R7">
        <f>IF(I7&gt;=3,INDEX(Windows!$B$4:$B$84,MATCH(J7,Windows!$B$4:$B$84,0)+2),0)</f>
        <v>0</v>
      </c>
      <c r="S7" t="e">
        <f>VLOOKUP(R7,Windows!$B$4:$D$84,2,FALSE)/1000</f>
        <v>#N/A</v>
      </c>
      <c r="T7" t="e">
        <f>VLOOKUP(R7,Windows!$B$4:$D$84,3,FALSE)/1000</f>
        <v>#N/A</v>
      </c>
      <c r="U7">
        <f t="shared" si="6"/>
        <v>0</v>
      </c>
      <c r="V7">
        <f>IF(I7&gt;=4,INDEX(Windows!$B$4:$B$84,MATCH(J7,Windows!$B$4:$B$84,0)+3),0)</f>
        <v>0</v>
      </c>
      <c r="W7" t="e">
        <f>VLOOKUP(V7,Windows!$B$4:$D$84,2,FALSE)/1000</f>
        <v>#N/A</v>
      </c>
      <c r="X7" t="e">
        <f>VLOOKUP(V7,Windows!$B$4:$D$84,3,FALSE)/1000</f>
        <v>#N/A</v>
      </c>
      <c r="Y7">
        <f t="shared" si="7"/>
        <v>0</v>
      </c>
      <c r="Z7" t="str">
        <f t="shared" si="8"/>
        <v>N/A</v>
      </c>
      <c r="AA7">
        <f t="shared" si="9"/>
        <v>0</v>
      </c>
      <c r="AC7" t="s">
        <v>8</v>
      </c>
      <c r="AE7">
        <f t="shared" si="10"/>
        <v>0</v>
      </c>
      <c r="AF7">
        <f>AE7*Konstanten!$B$4</f>
        <v>0</v>
      </c>
      <c r="AG7">
        <f t="shared" si="14"/>
        <v>0</v>
      </c>
      <c r="AJ7" s="19">
        <f>2*(104.37+57.04)</f>
        <v>322.82</v>
      </c>
      <c r="AK7" s="19">
        <f t="shared" si="11"/>
        <v>16.141000000000002</v>
      </c>
      <c r="AL7" s="19">
        <f>AK7*Konstanten!$B$3</f>
        <v>40.352500000000006</v>
      </c>
      <c r="AN7">
        <f t="shared" si="12"/>
        <v>0</v>
      </c>
      <c r="AO7">
        <f t="shared" si="13"/>
        <v>0</v>
      </c>
      <c r="AS7" s="12"/>
      <c r="BB7" s="4"/>
    </row>
    <row r="8" spans="1:58" x14ac:dyDescent="0.25">
      <c r="A8">
        <v>7</v>
      </c>
      <c r="B8">
        <v>6</v>
      </c>
      <c r="C8" t="s">
        <v>34</v>
      </c>
      <c r="E8" t="s">
        <v>258</v>
      </c>
      <c r="G8" s="19">
        <v>14.5</v>
      </c>
      <c r="H8">
        <f>Konstanten!$B$3</f>
        <v>2.5</v>
      </c>
      <c r="I8">
        <f>COUNTIF(Windows!$A$4:$A$84,E8)</f>
        <v>0</v>
      </c>
      <c r="J8" t="e">
        <f>VLOOKUP(E8,Windows!$A$4:$D$84,2,FALSE)</f>
        <v>#N/A</v>
      </c>
      <c r="K8" t="e">
        <f>VLOOKUP(J8,Windows!$B$4:$D$84,2,FALSE)/1000</f>
        <v>#N/A</v>
      </c>
      <c r="L8" t="e">
        <f>VLOOKUP(J8,Windows!$B$4:$D$84,3,FALSE)/1000</f>
        <v>#N/A</v>
      </c>
      <c r="M8">
        <f t="shared" si="4"/>
        <v>0</v>
      </c>
      <c r="N8">
        <f>IF(I8&gt;=2,INDEX(Windows!$B$4:$B$84,MATCH(J8,Windows!$B$4:$B$84,0)+1),0)</f>
        <v>0</v>
      </c>
      <c r="O8" t="e">
        <f>VLOOKUP(N8,Windows!$B$4:$D$84,2,FALSE)/1000</f>
        <v>#N/A</v>
      </c>
      <c r="P8" t="e">
        <f>VLOOKUP(N8,Windows!$B$4:$D$84,3,FALSE)/1000</f>
        <v>#N/A</v>
      </c>
      <c r="Q8">
        <f t="shared" si="5"/>
        <v>0</v>
      </c>
      <c r="R8">
        <f>IF(I8&gt;=3,INDEX(Windows!$B$4:$B$84,MATCH(J8,Windows!$B$4:$B$84,0)+2),0)</f>
        <v>0</v>
      </c>
      <c r="S8" t="e">
        <f>VLOOKUP(R8,Windows!$B$4:$D$84,2,FALSE)/1000</f>
        <v>#N/A</v>
      </c>
      <c r="T8" t="e">
        <f>VLOOKUP(R8,Windows!$B$4:$D$84,3,FALSE)/1000</f>
        <v>#N/A</v>
      </c>
      <c r="U8">
        <f t="shared" si="6"/>
        <v>0</v>
      </c>
      <c r="V8">
        <f>IF(I8&gt;=4,INDEX(Windows!$B$4:$B$84,MATCH(J8,Windows!$B$4:$B$84,0)+3),0)</f>
        <v>0</v>
      </c>
      <c r="W8" t="e">
        <f>VLOOKUP(V8,Windows!$B$4:$D$84,2,FALSE)/1000</f>
        <v>#N/A</v>
      </c>
      <c r="X8" t="e">
        <f>VLOOKUP(V8,Windows!$B$4:$D$84,3,FALSE)/1000</f>
        <v>#N/A</v>
      </c>
      <c r="Y8">
        <f t="shared" si="7"/>
        <v>0</v>
      </c>
      <c r="Z8" t="str">
        <f t="shared" si="8"/>
        <v>N/A</v>
      </c>
      <c r="AA8">
        <f t="shared" si="9"/>
        <v>0</v>
      </c>
      <c r="AC8" t="s">
        <v>8</v>
      </c>
      <c r="AE8">
        <f t="shared" si="10"/>
        <v>0</v>
      </c>
      <c r="AF8">
        <f>AE8*Konstanten!$B$4</f>
        <v>0</v>
      </c>
      <c r="AG8">
        <f t="shared" si="14"/>
        <v>0</v>
      </c>
      <c r="AJ8" s="19">
        <f>2*(104.37+57.04)</f>
        <v>322.82</v>
      </c>
      <c r="AK8" s="19">
        <f t="shared" si="11"/>
        <v>16.141000000000002</v>
      </c>
      <c r="AL8" s="19">
        <f>AK8*Konstanten!$B$3</f>
        <v>40.352500000000006</v>
      </c>
      <c r="AN8">
        <f t="shared" si="12"/>
        <v>0</v>
      </c>
      <c r="AO8">
        <f t="shared" si="13"/>
        <v>0</v>
      </c>
      <c r="AS8" s="12"/>
      <c r="BB8" s="4"/>
    </row>
    <row r="9" spans="1:58" s="12" customFormat="1" x14ac:dyDescent="0.25">
      <c r="A9" s="12">
        <v>8</v>
      </c>
      <c r="B9">
        <v>6</v>
      </c>
      <c r="C9" s="12" t="s">
        <v>34</v>
      </c>
      <c r="E9" s="12" t="s">
        <v>259</v>
      </c>
      <c r="G9" s="20">
        <v>13.9</v>
      </c>
      <c r="H9">
        <f>Konstanten!$B$3</f>
        <v>2.5</v>
      </c>
      <c r="I9">
        <f>COUNTIF(Windows!$A$4:$A$84,E9)</f>
        <v>0</v>
      </c>
      <c r="J9" t="e">
        <f>VLOOKUP(E9,Windows!$A$4:$D$84,2,FALSE)</f>
        <v>#N/A</v>
      </c>
      <c r="K9" t="e">
        <f>VLOOKUP(J9,Windows!$B$4:$D$84,2,FALSE)/1000</f>
        <v>#N/A</v>
      </c>
      <c r="L9" t="e">
        <f>VLOOKUP(J9,Windows!$B$4:$D$84,3,FALSE)/1000</f>
        <v>#N/A</v>
      </c>
      <c r="M9">
        <f t="shared" si="4"/>
        <v>0</v>
      </c>
      <c r="N9">
        <f>IF(I9&gt;=2,INDEX(Windows!$B$4:$B$84,MATCH(J9,Windows!$B$4:$B$84,0)+1),0)</f>
        <v>0</v>
      </c>
      <c r="O9" t="e">
        <f>VLOOKUP(N9,Windows!$B$4:$D$84,2,FALSE)/1000</f>
        <v>#N/A</v>
      </c>
      <c r="P9" t="e">
        <f>VLOOKUP(N9,Windows!$B$4:$D$84,3,FALSE)/1000</f>
        <v>#N/A</v>
      </c>
      <c r="Q9">
        <f t="shared" si="5"/>
        <v>0</v>
      </c>
      <c r="R9">
        <f>IF(I9&gt;=3,INDEX(Windows!$B$4:$B$84,MATCH(J9,Windows!$B$4:$B$84,0)+2),0)</f>
        <v>0</v>
      </c>
      <c r="S9" t="e">
        <f>VLOOKUP(R9,Windows!$B$4:$D$84,2,FALSE)/1000</f>
        <v>#N/A</v>
      </c>
      <c r="T9" t="e">
        <f>VLOOKUP(R9,Windows!$B$4:$D$84,3,FALSE)/1000</f>
        <v>#N/A</v>
      </c>
      <c r="U9">
        <f t="shared" si="6"/>
        <v>0</v>
      </c>
      <c r="V9">
        <f>IF(I9&gt;=4,INDEX(Windows!$B$4:$B$84,MATCH(J9,Windows!$B$4:$B$84,0)+3),0)</f>
        <v>0</v>
      </c>
      <c r="W9" t="e">
        <f>VLOOKUP(V9,Windows!$B$4:$D$84,2,FALSE)/1000</f>
        <v>#N/A</v>
      </c>
      <c r="X9" t="e">
        <f>VLOOKUP(V9,Windows!$B$4:$D$84,3,FALSE)/1000</f>
        <v>#N/A</v>
      </c>
      <c r="Y9">
        <f t="shared" si="7"/>
        <v>0</v>
      </c>
      <c r="Z9" t="str">
        <f t="shared" si="8"/>
        <v>N/A</v>
      </c>
      <c r="AA9">
        <f t="shared" si="9"/>
        <v>0</v>
      </c>
      <c r="AC9" s="12" t="s">
        <v>8</v>
      </c>
      <c r="AE9">
        <f t="shared" si="10"/>
        <v>0</v>
      </c>
      <c r="AF9">
        <f>AE9*Konstanten!$B$4</f>
        <v>0</v>
      </c>
      <c r="AG9">
        <f t="shared" si="14"/>
        <v>0</v>
      </c>
      <c r="AH9"/>
      <c r="AJ9" s="19">
        <f>2*(104.37+54.58)</f>
        <v>317.89999999999998</v>
      </c>
      <c r="AK9" s="19">
        <f t="shared" si="11"/>
        <v>15.895</v>
      </c>
      <c r="AL9" s="19">
        <f>AK9*Konstanten!$B$3</f>
        <v>39.737499999999997</v>
      </c>
      <c r="AN9">
        <f t="shared" si="12"/>
        <v>0</v>
      </c>
      <c r="AO9">
        <f t="shared" si="13"/>
        <v>0</v>
      </c>
      <c r="BB9" s="4"/>
    </row>
    <row r="10" spans="1:58" x14ac:dyDescent="0.25">
      <c r="A10">
        <v>9</v>
      </c>
      <c r="B10">
        <v>6</v>
      </c>
      <c r="C10" s="15" t="s">
        <v>34</v>
      </c>
      <c r="E10" s="15" t="s">
        <v>260</v>
      </c>
      <c r="G10" s="21">
        <v>15</v>
      </c>
      <c r="H10">
        <f>Konstanten!$B$3</f>
        <v>2.5</v>
      </c>
      <c r="I10">
        <f>COUNTIF(Windows!$A$4:$A$84,E10)</f>
        <v>0</v>
      </c>
      <c r="J10" t="e">
        <f>VLOOKUP(E10,Windows!$A$4:$D$84,2,FALSE)</f>
        <v>#N/A</v>
      </c>
      <c r="K10" t="e">
        <f>VLOOKUP(J10,Windows!$B$4:$D$84,2,FALSE)/1000</f>
        <v>#N/A</v>
      </c>
      <c r="L10" t="e">
        <f>VLOOKUP(J10,Windows!$B$4:$D$84,3,FALSE)/1000</f>
        <v>#N/A</v>
      </c>
      <c r="M10">
        <f t="shared" si="4"/>
        <v>0</v>
      </c>
      <c r="N10">
        <f>IF(I10&gt;=2,INDEX(Windows!$B$4:$B$84,MATCH(J10,Windows!$B$4:$B$84,0)+1),0)</f>
        <v>0</v>
      </c>
      <c r="O10" t="e">
        <f>VLOOKUP(N10,Windows!$B$4:$D$84,2,FALSE)/1000</f>
        <v>#N/A</v>
      </c>
      <c r="P10" t="e">
        <f>VLOOKUP(N10,Windows!$B$4:$D$84,3,FALSE)/1000</f>
        <v>#N/A</v>
      </c>
      <c r="Q10">
        <f t="shared" si="5"/>
        <v>0</v>
      </c>
      <c r="R10">
        <f>IF(I10&gt;=3,INDEX(Windows!$B$4:$B$84,MATCH(J10,Windows!$B$4:$B$84,0)+2),0)</f>
        <v>0</v>
      </c>
      <c r="S10" t="e">
        <f>VLOOKUP(R10,Windows!$B$4:$D$84,2,FALSE)/1000</f>
        <v>#N/A</v>
      </c>
      <c r="T10" t="e">
        <f>VLOOKUP(R10,Windows!$B$4:$D$84,3,FALSE)/1000</f>
        <v>#N/A</v>
      </c>
      <c r="U10">
        <f t="shared" si="6"/>
        <v>0</v>
      </c>
      <c r="V10">
        <f>IF(I10&gt;=4,INDEX(Windows!$B$4:$B$84,MATCH(J10,Windows!$B$4:$B$84,0)+3),0)</f>
        <v>0</v>
      </c>
      <c r="W10" t="e">
        <f>VLOOKUP(V10,Windows!$B$4:$D$84,2,FALSE)/1000</f>
        <v>#N/A</v>
      </c>
      <c r="X10" t="e">
        <f>VLOOKUP(V10,Windows!$B$4:$D$84,3,FALSE)/1000</f>
        <v>#N/A</v>
      </c>
      <c r="Y10">
        <f t="shared" si="7"/>
        <v>0</v>
      </c>
      <c r="Z10" t="str">
        <f t="shared" si="8"/>
        <v>N/A</v>
      </c>
      <c r="AA10">
        <f t="shared" si="9"/>
        <v>0</v>
      </c>
      <c r="AC10" s="15" t="s">
        <v>8</v>
      </c>
      <c r="AE10">
        <f t="shared" si="10"/>
        <v>0</v>
      </c>
      <c r="AF10">
        <f>AE10*Konstanten!$B$4</f>
        <v>0</v>
      </c>
      <c r="AG10">
        <f t="shared" si="14"/>
        <v>0</v>
      </c>
      <c r="AJ10" s="19">
        <f>2*(104.37+59.51)</f>
        <v>327.76</v>
      </c>
      <c r="AK10" s="19">
        <f t="shared" si="11"/>
        <v>16.388000000000002</v>
      </c>
      <c r="AL10" s="19">
        <f>AK10*Konstanten!$B$3</f>
        <v>40.970000000000006</v>
      </c>
      <c r="AN10">
        <f t="shared" si="12"/>
        <v>0</v>
      </c>
      <c r="AO10">
        <f t="shared" si="13"/>
        <v>0</v>
      </c>
      <c r="AS10" s="12"/>
      <c r="BB10" s="4"/>
    </row>
    <row r="11" spans="1:58" x14ac:dyDescent="0.25">
      <c r="A11">
        <v>10</v>
      </c>
      <c r="B11">
        <v>6</v>
      </c>
      <c r="C11" t="s">
        <v>92</v>
      </c>
      <c r="E11" s="15" t="s">
        <v>261</v>
      </c>
      <c r="G11" s="21">
        <v>9.1999999999999993</v>
      </c>
      <c r="H11">
        <f>Konstanten!$B$3</f>
        <v>2.5</v>
      </c>
      <c r="I11">
        <f>COUNTIF(Windows!$A$4:$A$84,E11)</f>
        <v>0</v>
      </c>
      <c r="J11" t="e">
        <f>VLOOKUP(E11,Windows!$A$4:$D$84,2,FALSE)</f>
        <v>#N/A</v>
      </c>
      <c r="K11" t="e">
        <f>VLOOKUP(J11,Windows!$B$4:$D$84,2,FALSE)/1000</f>
        <v>#N/A</v>
      </c>
      <c r="L11" t="e">
        <f>VLOOKUP(J11,Windows!$B$4:$D$84,3,FALSE)/1000</f>
        <v>#N/A</v>
      </c>
      <c r="M11">
        <f t="shared" si="4"/>
        <v>0</v>
      </c>
      <c r="N11">
        <f>IF(I11&gt;=2,INDEX(Windows!$B$4:$B$84,MATCH(J11,Windows!$B$4:$B$84,0)+1),0)</f>
        <v>0</v>
      </c>
      <c r="O11" t="e">
        <f>VLOOKUP(N11,Windows!$B$4:$D$84,2,FALSE)/1000</f>
        <v>#N/A</v>
      </c>
      <c r="P11" t="e">
        <f>VLOOKUP(N11,Windows!$B$4:$D$84,3,FALSE)/1000</f>
        <v>#N/A</v>
      </c>
      <c r="Q11">
        <f t="shared" si="5"/>
        <v>0</v>
      </c>
      <c r="R11">
        <f>IF(I11&gt;=3,INDEX(Windows!$B$4:$B$84,MATCH(J11,Windows!$B$4:$B$84,0)+2),0)</f>
        <v>0</v>
      </c>
      <c r="S11" t="e">
        <f>VLOOKUP(R11,Windows!$B$4:$D$84,2,FALSE)/1000</f>
        <v>#N/A</v>
      </c>
      <c r="T11" t="e">
        <f>VLOOKUP(R11,Windows!$B$4:$D$84,3,FALSE)/1000</f>
        <v>#N/A</v>
      </c>
      <c r="U11">
        <f t="shared" si="6"/>
        <v>0</v>
      </c>
      <c r="V11">
        <f>IF(I11&gt;=4,INDEX(Windows!$B$4:$B$84,MATCH(J11,Windows!$B$4:$B$84,0)+3),0)</f>
        <v>0</v>
      </c>
      <c r="W11" t="e">
        <f>VLOOKUP(V11,Windows!$B$4:$D$84,2,FALSE)/1000</f>
        <v>#N/A</v>
      </c>
      <c r="X11" t="e">
        <f>VLOOKUP(V11,Windows!$B$4:$D$84,3,FALSE)/1000</f>
        <v>#N/A</v>
      </c>
      <c r="Y11">
        <f t="shared" si="7"/>
        <v>0</v>
      </c>
      <c r="Z11" t="str">
        <f t="shared" si="8"/>
        <v>N/A</v>
      </c>
      <c r="AA11">
        <f t="shared" si="9"/>
        <v>0</v>
      </c>
      <c r="AC11" s="15" t="s">
        <v>8</v>
      </c>
      <c r="AE11">
        <f t="shared" si="10"/>
        <v>0</v>
      </c>
      <c r="AF11">
        <f>AE11*Konstanten!$B$4</f>
        <v>0</v>
      </c>
      <c r="AG11">
        <f t="shared" si="14"/>
        <v>0</v>
      </c>
      <c r="AJ11" s="19">
        <f>2*(76.78+48.7)</f>
        <v>250.96</v>
      </c>
      <c r="AK11" s="19">
        <f t="shared" si="11"/>
        <v>12.548000000000002</v>
      </c>
      <c r="AL11" s="19">
        <f>AK11*Konstanten!$B$3</f>
        <v>31.370000000000005</v>
      </c>
      <c r="AN11">
        <f t="shared" si="12"/>
        <v>0</v>
      </c>
      <c r="AO11">
        <f t="shared" si="13"/>
        <v>0</v>
      </c>
      <c r="AS11" s="12"/>
      <c r="BB11" s="4"/>
    </row>
    <row r="12" spans="1:58" x14ac:dyDescent="0.25">
      <c r="A12">
        <v>11</v>
      </c>
      <c r="B12">
        <v>6</v>
      </c>
      <c r="C12" t="s">
        <v>92</v>
      </c>
      <c r="E12" s="15" t="s">
        <v>264</v>
      </c>
      <c r="G12" s="21">
        <v>9.3000000000000007</v>
      </c>
      <c r="H12">
        <f>Konstanten!$B$3</f>
        <v>2.5</v>
      </c>
      <c r="I12">
        <f>COUNTIF(Windows!$A$4:$A$84,E12)</f>
        <v>0</v>
      </c>
      <c r="J12" t="e">
        <f>VLOOKUP(E12,Windows!$A$4:$D$84,2,FALSE)</f>
        <v>#N/A</v>
      </c>
      <c r="K12" t="e">
        <f>VLOOKUP(J12,Windows!$B$4:$D$84,2,FALSE)/1000</f>
        <v>#N/A</v>
      </c>
      <c r="L12" t="e">
        <f>VLOOKUP(J12,Windows!$B$4:$D$84,3,FALSE)/1000</f>
        <v>#N/A</v>
      </c>
      <c r="M12">
        <f t="shared" si="4"/>
        <v>0</v>
      </c>
      <c r="N12">
        <f>IF(I12&gt;=2,INDEX(Windows!$B$4:$B$84,MATCH(J12,Windows!$B$4:$B$84,0)+1),0)</f>
        <v>0</v>
      </c>
      <c r="O12" t="e">
        <f>VLOOKUP(N12,Windows!$B$4:$D$84,2,FALSE)/1000</f>
        <v>#N/A</v>
      </c>
      <c r="P12" t="e">
        <f>VLOOKUP(N12,Windows!$B$4:$D$84,3,FALSE)/1000</f>
        <v>#N/A</v>
      </c>
      <c r="Q12">
        <f t="shared" si="5"/>
        <v>0</v>
      </c>
      <c r="R12">
        <f>IF(I12&gt;=3,INDEX(Windows!$B$4:$B$84,MATCH(J12,Windows!$B$4:$B$84,0)+2),0)</f>
        <v>0</v>
      </c>
      <c r="S12" t="e">
        <f>VLOOKUP(R12,Windows!$B$4:$D$84,2,FALSE)/1000</f>
        <v>#N/A</v>
      </c>
      <c r="T12" t="e">
        <f>VLOOKUP(R12,Windows!$B$4:$D$84,3,FALSE)/1000</f>
        <v>#N/A</v>
      </c>
      <c r="U12">
        <f t="shared" si="6"/>
        <v>0</v>
      </c>
      <c r="V12">
        <f>IF(I12&gt;=4,INDEX(Windows!$B$4:$B$84,MATCH(J12,Windows!$B$4:$B$84,0)+3),0)</f>
        <v>0</v>
      </c>
      <c r="W12" t="e">
        <f>VLOOKUP(V12,Windows!$B$4:$D$84,2,FALSE)/1000</f>
        <v>#N/A</v>
      </c>
      <c r="X12" t="e">
        <f>VLOOKUP(V12,Windows!$B$4:$D$84,3,FALSE)/1000</f>
        <v>#N/A</v>
      </c>
      <c r="Y12">
        <f t="shared" si="7"/>
        <v>0</v>
      </c>
      <c r="Z12" t="str">
        <f t="shared" si="8"/>
        <v>N/A</v>
      </c>
      <c r="AA12">
        <f t="shared" si="9"/>
        <v>0</v>
      </c>
      <c r="AC12" s="15" t="s">
        <v>8</v>
      </c>
      <c r="AE12">
        <f t="shared" si="10"/>
        <v>0</v>
      </c>
      <c r="AF12">
        <f>AE12*Konstanten!$B$4</f>
        <v>0</v>
      </c>
      <c r="AG12">
        <f t="shared" si="14"/>
        <v>0</v>
      </c>
      <c r="AJ12" s="19">
        <f>2*(76.78+48.47)</f>
        <v>250.5</v>
      </c>
      <c r="AK12" s="19">
        <f t="shared" si="11"/>
        <v>12.525</v>
      </c>
      <c r="AL12" s="19">
        <f>AK12*Konstanten!$B$3</f>
        <v>31.3125</v>
      </c>
      <c r="AN12">
        <f t="shared" si="12"/>
        <v>0</v>
      </c>
      <c r="AO12">
        <f t="shared" si="13"/>
        <v>0</v>
      </c>
      <c r="AS12" s="12"/>
      <c r="BB12" s="4"/>
    </row>
    <row r="13" spans="1:58" x14ac:dyDescent="0.25">
      <c r="A13">
        <v>12</v>
      </c>
      <c r="B13">
        <v>6</v>
      </c>
      <c r="C13" t="s">
        <v>34</v>
      </c>
      <c r="E13" s="15" t="s">
        <v>265</v>
      </c>
      <c r="G13" s="21">
        <v>18.7</v>
      </c>
      <c r="H13">
        <f>Konstanten!$B$3</f>
        <v>2.5</v>
      </c>
      <c r="I13">
        <f>COUNTIF(Windows!$A$4:$A$84,E13)</f>
        <v>0</v>
      </c>
      <c r="J13" t="e">
        <f>VLOOKUP(E13,Windows!$A$4:$D$84,2,FALSE)</f>
        <v>#N/A</v>
      </c>
      <c r="K13" t="e">
        <f>VLOOKUP(J13,Windows!$B$4:$D$84,2,FALSE)/1000</f>
        <v>#N/A</v>
      </c>
      <c r="L13" t="e">
        <f>VLOOKUP(J13,Windows!$B$4:$D$84,3,FALSE)/1000</f>
        <v>#N/A</v>
      </c>
      <c r="M13">
        <f t="shared" si="4"/>
        <v>0</v>
      </c>
      <c r="N13">
        <f>IF(I13&gt;=2,INDEX(Windows!$B$4:$B$84,MATCH(J13,Windows!$B$4:$B$84,0)+1),0)</f>
        <v>0</v>
      </c>
      <c r="O13" t="e">
        <f>VLOOKUP(N13,Windows!$B$4:$D$84,2,FALSE)/1000</f>
        <v>#N/A</v>
      </c>
      <c r="P13" t="e">
        <f>VLOOKUP(N13,Windows!$B$4:$D$84,3,FALSE)/1000</f>
        <v>#N/A</v>
      </c>
      <c r="Q13">
        <f t="shared" si="5"/>
        <v>0</v>
      </c>
      <c r="R13">
        <f>IF(I13&gt;=3,INDEX(Windows!$B$4:$B$84,MATCH(J13,Windows!$B$4:$B$84,0)+2),0)</f>
        <v>0</v>
      </c>
      <c r="S13" t="e">
        <f>VLOOKUP(R13,Windows!$B$4:$D$84,2,FALSE)/1000</f>
        <v>#N/A</v>
      </c>
      <c r="T13" t="e">
        <f>VLOOKUP(R13,Windows!$B$4:$D$84,3,FALSE)/1000</f>
        <v>#N/A</v>
      </c>
      <c r="U13">
        <f t="shared" si="6"/>
        <v>0</v>
      </c>
      <c r="V13">
        <f>IF(I13&gt;=4,INDEX(Windows!$B$4:$B$84,MATCH(J13,Windows!$B$4:$B$84,0)+3),0)</f>
        <v>0</v>
      </c>
      <c r="W13" t="e">
        <f>VLOOKUP(V13,Windows!$B$4:$D$84,2,FALSE)/1000</f>
        <v>#N/A</v>
      </c>
      <c r="X13" t="e">
        <f>VLOOKUP(V13,Windows!$B$4:$D$84,3,FALSE)/1000</f>
        <v>#N/A</v>
      </c>
      <c r="Y13">
        <f t="shared" si="7"/>
        <v>0</v>
      </c>
      <c r="Z13" t="str">
        <f t="shared" si="8"/>
        <v>N/A</v>
      </c>
      <c r="AA13">
        <f t="shared" si="9"/>
        <v>0</v>
      </c>
      <c r="AC13" s="15" t="s">
        <v>8</v>
      </c>
      <c r="AE13">
        <f t="shared" si="10"/>
        <v>0</v>
      </c>
      <c r="AF13">
        <f>AE13*Konstanten!$B$4</f>
        <v>0</v>
      </c>
      <c r="AG13">
        <f t="shared" si="14"/>
        <v>0</v>
      </c>
      <c r="AJ13" s="19">
        <f>89.11+76.84+33.41+24.49+71.01+44.83+21.01</f>
        <v>360.7</v>
      </c>
      <c r="AK13" s="19">
        <f t="shared" si="11"/>
        <v>18.035</v>
      </c>
      <c r="AL13" s="19">
        <f>AK13*Konstanten!$B$3</f>
        <v>45.087499999999999</v>
      </c>
      <c r="AN13">
        <f t="shared" si="12"/>
        <v>0</v>
      </c>
      <c r="AO13">
        <f t="shared" si="13"/>
        <v>0</v>
      </c>
      <c r="AS13" s="12"/>
      <c r="BB13" s="4"/>
    </row>
    <row r="14" spans="1:58" x14ac:dyDescent="0.25">
      <c r="A14">
        <v>13</v>
      </c>
      <c r="B14">
        <v>6</v>
      </c>
      <c r="C14" t="s">
        <v>234</v>
      </c>
      <c r="E14" s="15" t="s">
        <v>170</v>
      </c>
      <c r="G14" s="21">
        <v>26.1</v>
      </c>
      <c r="H14">
        <f>Konstanten!$B$3</f>
        <v>2.5</v>
      </c>
      <c r="I14">
        <f>COUNTIF(Windows!$A$4:$A$84,E14)</f>
        <v>3</v>
      </c>
      <c r="J14" t="str">
        <f>VLOOKUP(E14,Windows!$A$4:$D$84,2,FALSE)</f>
        <v>IUA10,5-o</v>
      </c>
      <c r="K14">
        <f>VLOOKUP(J14,Windows!$B$4:$D$84,2,FALSE)/1000</f>
        <v>1.05</v>
      </c>
      <c r="L14">
        <f>VLOOKUP(J14,Windows!$B$4:$D$84,3,FALSE)/1000</f>
        <v>1.67</v>
      </c>
      <c r="M14">
        <f t="shared" si="4"/>
        <v>1.7535000000000001</v>
      </c>
      <c r="N14" t="str">
        <f>IF(I14&gt;=2,INDEX(Windows!$B$4:$B$84,MATCH(J14,Windows!$B$4:$B$84,0)+1),0)</f>
        <v>IUA13,5-v</v>
      </c>
      <c r="O14">
        <f>VLOOKUP(N14,Windows!$B$4:$D$84,2,FALSE)/1000</f>
        <v>1.345</v>
      </c>
      <c r="P14">
        <f>VLOOKUP(N14,Windows!$B$4:$D$84,3,FALSE)/1000</f>
        <v>1.67</v>
      </c>
      <c r="Q14">
        <f t="shared" si="5"/>
        <v>2.2461499999999996</v>
      </c>
      <c r="R14" t="str">
        <f>IF(I14&gt;=3,INDEX(Windows!$B$4:$B$84,MATCH(J14,Windows!$B$4:$B$84,0)+2),0)</f>
        <v>IUA14,5-o</v>
      </c>
      <c r="S14">
        <f>VLOOKUP(R14,Windows!$B$4:$D$84,2,FALSE)/1000</f>
        <v>1.44</v>
      </c>
      <c r="T14">
        <f>VLOOKUP(R14,Windows!$B$4:$D$84,3,FALSE)/1000</f>
        <v>1.67</v>
      </c>
      <c r="U14">
        <f t="shared" si="6"/>
        <v>2.4047999999999998</v>
      </c>
      <c r="V14">
        <f>IF(I14&gt;=4,INDEX(Windows!$B$4:$B$84,MATCH(J14,Windows!$B$4:$B$84,0)+3),0)</f>
        <v>0</v>
      </c>
      <c r="W14" t="e">
        <f>VLOOKUP(V14,Windows!$B$4:$D$84,2,FALSE)/1000</f>
        <v>#N/A</v>
      </c>
      <c r="X14" t="e">
        <f>VLOOKUP(V14,Windows!$B$4:$D$84,3,FALSE)/1000</f>
        <v>#N/A</v>
      </c>
      <c r="Y14">
        <f t="shared" si="7"/>
        <v>0</v>
      </c>
      <c r="Z14">
        <f t="shared" si="8"/>
        <v>42</v>
      </c>
      <c r="AA14">
        <f t="shared" si="9"/>
        <v>6.4044499999999998</v>
      </c>
      <c r="AC14">
        <v>42</v>
      </c>
      <c r="AD14" s="19">
        <v>87.46</v>
      </c>
      <c r="AE14">
        <f t="shared" si="10"/>
        <v>4.3730000000000002</v>
      </c>
      <c r="AF14">
        <f>AE14*Konstanten!$B$4</f>
        <v>18.585250000000002</v>
      </c>
      <c r="AG14">
        <f t="shared" si="14"/>
        <v>12.180800000000001</v>
      </c>
      <c r="AH14" t="s">
        <v>83</v>
      </c>
      <c r="AJ14" s="19">
        <f>87.46+2*143</f>
        <v>373.46</v>
      </c>
      <c r="AK14" s="19">
        <f t="shared" si="11"/>
        <v>18.672999999999998</v>
      </c>
      <c r="AL14" s="19">
        <f>AK14*Konstanten!$B$3</f>
        <v>46.682499999999997</v>
      </c>
      <c r="AN14">
        <f t="shared" si="12"/>
        <v>0</v>
      </c>
      <c r="AO14">
        <f t="shared" si="13"/>
        <v>0</v>
      </c>
      <c r="AS14" s="12"/>
      <c r="BB14" s="4"/>
    </row>
    <row r="15" spans="1:58" x14ac:dyDescent="0.25">
      <c r="A15">
        <v>14</v>
      </c>
      <c r="B15">
        <v>6</v>
      </c>
      <c r="C15" t="s">
        <v>234</v>
      </c>
      <c r="E15" s="15" t="s">
        <v>266</v>
      </c>
      <c r="F15" s="15" t="s">
        <v>170</v>
      </c>
      <c r="G15" s="21">
        <v>4.2</v>
      </c>
      <c r="H15">
        <f>Konstanten!$B$3</f>
        <v>2.5</v>
      </c>
      <c r="I15">
        <f>COUNTIF(Windows!$A$4:$A$84,E15)</f>
        <v>0</v>
      </c>
      <c r="J15" t="e">
        <f>VLOOKUP(E15,Windows!$A$4:$D$84,2,FALSE)</f>
        <v>#N/A</v>
      </c>
      <c r="K15" t="e">
        <f>VLOOKUP(J15,Windows!$B$4:$D$84,2,FALSE)/1000</f>
        <v>#N/A</v>
      </c>
      <c r="L15" t="e">
        <f>VLOOKUP(J15,Windows!$B$4:$D$84,3,FALSE)/1000</f>
        <v>#N/A</v>
      </c>
      <c r="M15">
        <f t="shared" si="4"/>
        <v>0</v>
      </c>
      <c r="N15">
        <f>IF(I15&gt;=2,INDEX(Windows!$B$4:$B$84,MATCH(J15,Windows!$B$4:$B$84,0)+1),0)</f>
        <v>0</v>
      </c>
      <c r="O15" t="e">
        <f>VLOOKUP(N15,Windows!$B$4:$D$84,2,FALSE)/1000</f>
        <v>#N/A</v>
      </c>
      <c r="P15" t="e">
        <f>VLOOKUP(N15,Windows!$B$4:$D$84,3,FALSE)/1000</f>
        <v>#N/A</v>
      </c>
      <c r="Q15">
        <f t="shared" si="5"/>
        <v>0</v>
      </c>
      <c r="R15">
        <f>IF(I15&gt;=3,INDEX(Windows!$B$4:$B$84,MATCH(J15,Windows!$B$4:$B$84,0)+2),0)</f>
        <v>0</v>
      </c>
      <c r="S15" t="e">
        <f>VLOOKUP(R15,Windows!$B$4:$D$84,2,FALSE)/1000</f>
        <v>#N/A</v>
      </c>
      <c r="T15" t="e">
        <f>VLOOKUP(R15,Windows!$B$4:$D$84,3,FALSE)/1000</f>
        <v>#N/A</v>
      </c>
      <c r="U15">
        <f t="shared" si="6"/>
        <v>0</v>
      </c>
      <c r="V15">
        <f>IF(I15&gt;=4,INDEX(Windows!$B$4:$B$84,MATCH(J15,Windows!$B$4:$B$84,0)+3),0)</f>
        <v>0</v>
      </c>
      <c r="W15" t="e">
        <f>VLOOKUP(V15,Windows!$B$4:$D$84,2,FALSE)/1000</f>
        <v>#N/A</v>
      </c>
      <c r="X15" t="e">
        <f>VLOOKUP(V15,Windows!$B$4:$D$84,3,FALSE)/1000</f>
        <v>#N/A</v>
      </c>
      <c r="Y15">
        <f t="shared" si="7"/>
        <v>0</v>
      </c>
      <c r="Z15" t="str">
        <f t="shared" si="8"/>
        <v>N/A</v>
      </c>
      <c r="AA15">
        <f t="shared" si="9"/>
        <v>0</v>
      </c>
      <c r="AC15" t="s">
        <v>8</v>
      </c>
      <c r="AE15">
        <f t="shared" si="10"/>
        <v>0</v>
      </c>
      <c r="AF15">
        <f>AE15*Konstanten!$B$4</f>
        <v>0</v>
      </c>
      <c r="AG15">
        <f t="shared" si="14"/>
        <v>0</v>
      </c>
      <c r="AJ15" s="19">
        <f>2*(37+46.39)</f>
        <v>166.78</v>
      </c>
      <c r="AK15" s="19">
        <f t="shared" si="11"/>
        <v>8.3390000000000004</v>
      </c>
      <c r="AL15" s="19">
        <f>AK15*Konstanten!$B$3</f>
        <v>20.8475</v>
      </c>
      <c r="AN15">
        <f t="shared" si="12"/>
        <v>0</v>
      </c>
      <c r="AO15">
        <f t="shared" si="13"/>
        <v>0</v>
      </c>
      <c r="AS15" s="12"/>
      <c r="BB15" s="4"/>
    </row>
    <row r="16" spans="1:58" x14ac:dyDescent="0.25">
      <c r="A16">
        <v>15</v>
      </c>
      <c r="B16">
        <v>6</v>
      </c>
      <c r="C16" t="s">
        <v>176</v>
      </c>
      <c r="E16" s="15" t="s">
        <v>149</v>
      </c>
      <c r="G16" s="21">
        <v>30.7</v>
      </c>
      <c r="H16">
        <f>Konstanten!$B$3</f>
        <v>2.5</v>
      </c>
      <c r="I16">
        <f>COUNTIF(Windows!$A$4:$A$84,E16)</f>
        <v>2</v>
      </c>
      <c r="J16" t="str">
        <f>VLOOKUP(E16,Windows!$A$4:$D$84,2,FALSE)</f>
        <v>IU10,5-v+OTL3-v</v>
      </c>
      <c r="K16">
        <f>VLOOKUP(J16,Windows!$B$4:$D$84,2,FALSE)/1000</f>
        <v>1.325</v>
      </c>
      <c r="L16">
        <f>VLOOKUP(J16,Windows!$B$4:$D$84,3,FALSE)/1000</f>
        <v>1.67</v>
      </c>
      <c r="M16">
        <f t="shared" si="4"/>
        <v>2.2127499999999998</v>
      </c>
      <c r="N16" t="str">
        <f>IF(I16&gt;=2,INDEX(Windows!$B$4:$B$84,MATCH(J16,Windows!$B$4:$B$84,0)+1),0)</f>
        <v>IU21-o</v>
      </c>
      <c r="O16">
        <f>VLOOKUP(N16,Windows!$B$4:$D$84,2,FALSE)/1000</f>
        <v>2.12</v>
      </c>
      <c r="P16">
        <f>VLOOKUP(N16,Windows!$B$4:$D$84,3,FALSE)/1000</f>
        <v>1.67</v>
      </c>
      <c r="Q16">
        <f t="shared" si="5"/>
        <v>3.5404</v>
      </c>
      <c r="R16">
        <f>IF(I16&gt;=3,INDEX(Windows!$B$4:$B$84,MATCH(J16,Windows!$B$4:$B$84,0)+2),0)</f>
        <v>0</v>
      </c>
      <c r="S16" t="e">
        <f>VLOOKUP(R16,Windows!$B$4:$D$84,2,FALSE)/1000</f>
        <v>#N/A</v>
      </c>
      <c r="T16" t="e">
        <f>VLOOKUP(R16,Windows!$B$4:$D$84,3,FALSE)/1000</f>
        <v>#N/A</v>
      </c>
      <c r="U16">
        <f t="shared" si="6"/>
        <v>0</v>
      </c>
      <c r="V16">
        <f>IF(I16&gt;=4,INDEX(Windows!$B$4:$B$84,MATCH(J16,Windows!$B$4:$B$84,0)+3),0)</f>
        <v>0</v>
      </c>
      <c r="W16" t="e">
        <f>VLOOKUP(V16,Windows!$B$4:$D$84,2,FALSE)/1000</f>
        <v>#N/A</v>
      </c>
      <c r="X16" t="e">
        <f>VLOOKUP(V16,Windows!$B$4:$D$84,3,FALSE)/1000</f>
        <v>#N/A</v>
      </c>
      <c r="Y16">
        <f t="shared" si="7"/>
        <v>0</v>
      </c>
      <c r="Z16">
        <f t="shared" si="8"/>
        <v>42</v>
      </c>
      <c r="AA16">
        <f t="shared" si="9"/>
        <v>5.7531499999999998</v>
      </c>
      <c r="AC16">
        <v>42</v>
      </c>
      <c r="AD16">
        <v>89.83</v>
      </c>
      <c r="AE16">
        <f t="shared" si="10"/>
        <v>4.4915000000000003</v>
      </c>
      <c r="AF16">
        <f>AE16*Konstanten!$B$4</f>
        <v>19.088875000000002</v>
      </c>
      <c r="AG16">
        <f t="shared" si="14"/>
        <v>13.335725000000002</v>
      </c>
      <c r="AH16" t="s">
        <v>83</v>
      </c>
      <c r="AJ16" s="19">
        <f>2*143.03+89.83</f>
        <v>375.89</v>
      </c>
      <c r="AK16" s="19">
        <f t="shared" si="11"/>
        <v>18.794499999999999</v>
      </c>
      <c r="AL16" s="19">
        <f>AK16*Konstanten!$B$3</f>
        <v>46.986249999999998</v>
      </c>
      <c r="AN16">
        <f t="shared" si="12"/>
        <v>0</v>
      </c>
      <c r="AO16">
        <f t="shared" si="13"/>
        <v>0</v>
      </c>
      <c r="AS16" s="12"/>
      <c r="BB16" s="4"/>
    </row>
    <row r="17" spans="1:54" x14ac:dyDescent="0.25">
      <c r="A17">
        <v>16</v>
      </c>
      <c r="B17">
        <v>6</v>
      </c>
      <c r="C17" t="s">
        <v>23</v>
      </c>
      <c r="E17" s="15" t="s">
        <v>268</v>
      </c>
      <c r="F17" s="15" t="s">
        <v>149</v>
      </c>
      <c r="G17" s="21">
        <v>5.5</v>
      </c>
      <c r="H17">
        <f>Konstanten!$B$3</f>
        <v>2.5</v>
      </c>
      <c r="I17">
        <f>COUNTIF(Windows!$A$4:$A$84,E17)</f>
        <v>0</v>
      </c>
      <c r="J17" t="e">
        <f>VLOOKUP(E17,Windows!$A$4:$D$84,2,FALSE)</f>
        <v>#N/A</v>
      </c>
      <c r="K17" t="e">
        <f>VLOOKUP(J17,Windows!$B$4:$D$84,2,FALSE)/1000</f>
        <v>#N/A</v>
      </c>
      <c r="L17" t="e">
        <f>VLOOKUP(J17,Windows!$B$4:$D$84,3,FALSE)/1000</f>
        <v>#N/A</v>
      </c>
      <c r="M17">
        <f t="shared" si="4"/>
        <v>0</v>
      </c>
      <c r="N17">
        <f>IF(I17&gt;=2,INDEX(Windows!$B$4:$B$84,MATCH(J17,Windows!$B$4:$B$84,0)+1),0)</f>
        <v>0</v>
      </c>
      <c r="O17" t="e">
        <f>VLOOKUP(N17,Windows!$B$4:$D$84,2,FALSE)/1000</f>
        <v>#N/A</v>
      </c>
      <c r="P17" t="e">
        <f>VLOOKUP(N17,Windows!$B$4:$D$84,3,FALSE)/1000</f>
        <v>#N/A</v>
      </c>
      <c r="Q17">
        <f t="shared" si="5"/>
        <v>0</v>
      </c>
      <c r="R17">
        <f>IF(I17&gt;=3,INDEX(Windows!$B$4:$B$84,MATCH(J17,Windows!$B$4:$B$84,0)+2),0)</f>
        <v>0</v>
      </c>
      <c r="S17" t="e">
        <f>VLOOKUP(R17,Windows!$B$4:$D$84,2,FALSE)/1000</f>
        <v>#N/A</v>
      </c>
      <c r="T17" t="e">
        <f>VLOOKUP(R17,Windows!$B$4:$D$84,3,FALSE)/1000</f>
        <v>#N/A</v>
      </c>
      <c r="U17">
        <f t="shared" si="6"/>
        <v>0</v>
      </c>
      <c r="V17">
        <f>IF(I17&gt;=4,INDEX(Windows!$B$4:$B$84,MATCH(J17,Windows!$B$4:$B$84,0)+3),0)</f>
        <v>0</v>
      </c>
      <c r="W17" t="e">
        <f>VLOOKUP(V17,Windows!$B$4:$D$84,2,FALSE)/1000</f>
        <v>#N/A</v>
      </c>
      <c r="X17" t="e">
        <f>VLOOKUP(V17,Windows!$B$4:$D$84,3,FALSE)/1000</f>
        <v>#N/A</v>
      </c>
      <c r="Y17">
        <f t="shared" si="7"/>
        <v>0</v>
      </c>
      <c r="Z17" t="str">
        <f t="shared" si="8"/>
        <v>N/A</v>
      </c>
      <c r="AA17">
        <f t="shared" si="9"/>
        <v>0</v>
      </c>
      <c r="AC17">
        <v>42</v>
      </c>
      <c r="AD17">
        <v>42.5</v>
      </c>
      <c r="AE17">
        <f t="shared" si="10"/>
        <v>2.125</v>
      </c>
      <c r="AF17">
        <f>AE17*Konstanten!$B$4</f>
        <v>9.03125</v>
      </c>
      <c r="AG17">
        <f t="shared" si="14"/>
        <v>9.03125</v>
      </c>
      <c r="AH17" t="s">
        <v>83</v>
      </c>
      <c r="AJ17" s="19">
        <f>2*53.42+42.5</f>
        <v>149.34</v>
      </c>
      <c r="AK17" s="19">
        <f t="shared" si="11"/>
        <v>7.4670000000000005</v>
      </c>
      <c r="AL17" s="19">
        <f>AK17*Konstanten!$B$3</f>
        <v>18.6675</v>
      </c>
      <c r="AN17">
        <f t="shared" si="12"/>
        <v>0</v>
      </c>
      <c r="AO17">
        <f t="shared" si="13"/>
        <v>0</v>
      </c>
      <c r="AS17" s="12"/>
      <c r="BB17" s="4"/>
    </row>
    <row r="18" spans="1:54" x14ac:dyDescent="0.25">
      <c r="A18">
        <v>17</v>
      </c>
      <c r="B18">
        <v>6</v>
      </c>
      <c r="C18" t="s">
        <v>221</v>
      </c>
      <c r="E18" s="15" t="s">
        <v>267</v>
      </c>
      <c r="F18" s="15"/>
      <c r="G18" s="21">
        <v>10.5</v>
      </c>
      <c r="H18">
        <f>Konstanten!$B$3</f>
        <v>2.5</v>
      </c>
      <c r="I18">
        <f>COUNTIF(Windows!$A$4:$A$84,E18)</f>
        <v>0</v>
      </c>
      <c r="J18" t="e">
        <f>VLOOKUP(E18,Windows!$A$4:$D$84,2,FALSE)</f>
        <v>#N/A</v>
      </c>
      <c r="K18" t="e">
        <f>VLOOKUP(J18,Windows!$B$4:$D$84,2,FALSE)/1000</f>
        <v>#N/A</v>
      </c>
      <c r="L18" t="e">
        <f>VLOOKUP(J18,Windows!$B$4:$D$84,3,FALSE)/1000</f>
        <v>#N/A</v>
      </c>
      <c r="M18">
        <f t="shared" si="4"/>
        <v>0</v>
      </c>
      <c r="N18">
        <f>IF(I18&gt;=2,INDEX(Windows!$B$4:$B$84,MATCH(J18,Windows!$B$4:$B$84,0)+1),0)</f>
        <v>0</v>
      </c>
      <c r="O18" t="e">
        <f>VLOOKUP(N18,Windows!$B$4:$D$84,2,FALSE)/1000</f>
        <v>#N/A</v>
      </c>
      <c r="P18" t="e">
        <f>VLOOKUP(N18,Windows!$B$4:$D$84,3,FALSE)/1000</f>
        <v>#N/A</v>
      </c>
      <c r="Q18">
        <f t="shared" si="5"/>
        <v>0</v>
      </c>
      <c r="R18">
        <f>IF(I18&gt;=3,INDEX(Windows!$B$4:$B$84,MATCH(J18,Windows!$B$4:$B$84,0)+2),0)</f>
        <v>0</v>
      </c>
      <c r="S18" t="e">
        <f>VLOOKUP(R18,Windows!$B$4:$D$84,2,FALSE)/1000</f>
        <v>#N/A</v>
      </c>
      <c r="T18" t="e">
        <f>VLOOKUP(R18,Windows!$B$4:$D$84,3,FALSE)/1000</f>
        <v>#N/A</v>
      </c>
      <c r="U18">
        <f t="shared" si="6"/>
        <v>0</v>
      </c>
      <c r="V18">
        <f>IF(I18&gt;=4,INDEX(Windows!$B$4:$B$84,MATCH(J18,Windows!$B$4:$B$84,0)+3),0)</f>
        <v>0</v>
      </c>
      <c r="W18" t="e">
        <f>VLOOKUP(V18,Windows!$B$4:$D$84,2,FALSE)/1000</f>
        <v>#N/A</v>
      </c>
      <c r="X18" t="e">
        <f>VLOOKUP(V18,Windows!$B$4:$D$84,3,FALSE)/1000</f>
        <v>#N/A</v>
      </c>
      <c r="Y18">
        <f t="shared" si="7"/>
        <v>0</v>
      </c>
      <c r="Z18" t="str">
        <f t="shared" si="8"/>
        <v>N/A</v>
      </c>
      <c r="AA18">
        <f t="shared" si="9"/>
        <v>0</v>
      </c>
      <c r="AC18" t="s">
        <v>8</v>
      </c>
      <c r="AE18">
        <f t="shared" si="10"/>
        <v>0</v>
      </c>
      <c r="AF18">
        <f>AE18*Konstanten!$B$4</f>
        <v>0</v>
      </c>
      <c r="AG18">
        <f t="shared" si="14"/>
        <v>0</v>
      </c>
      <c r="AJ18" s="19">
        <f>2*(50.46+87.38)</f>
        <v>275.68</v>
      </c>
      <c r="AK18" s="19">
        <f t="shared" si="11"/>
        <v>13.784000000000001</v>
      </c>
      <c r="AL18" s="19">
        <f>AK18*Konstanten!$B$3</f>
        <v>34.46</v>
      </c>
      <c r="AN18">
        <f t="shared" si="12"/>
        <v>0</v>
      </c>
      <c r="AO18">
        <f t="shared" si="13"/>
        <v>0</v>
      </c>
      <c r="AS18" s="12"/>
      <c r="BB18" s="4"/>
    </row>
    <row r="19" spans="1:54" x14ac:dyDescent="0.25">
      <c r="A19">
        <v>18</v>
      </c>
      <c r="B19">
        <v>6</v>
      </c>
      <c r="C19" t="s">
        <v>221</v>
      </c>
      <c r="E19" s="15" t="s">
        <v>269</v>
      </c>
      <c r="G19" s="21">
        <v>6.6</v>
      </c>
      <c r="H19">
        <f>Konstanten!$B$3</f>
        <v>2.5</v>
      </c>
      <c r="I19">
        <f>COUNTIF(Windows!$A$4:$A$84,E19)</f>
        <v>0</v>
      </c>
      <c r="J19" t="e">
        <f>VLOOKUP(E19,Windows!$A$4:$D$84,2,FALSE)</f>
        <v>#N/A</v>
      </c>
      <c r="K19" t="e">
        <f>VLOOKUP(J19,Windows!$B$4:$D$84,2,FALSE)/1000</f>
        <v>#N/A</v>
      </c>
      <c r="L19" t="e">
        <f>VLOOKUP(J19,Windows!$B$4:$D$84,3,FALSE)/1000</f>
        <v>#N/A</v>
      </c>
      <c r="M19">
        <f t="shared" si="4"/>
        <v>0</v>
      </c>
      <c r="N19">
        <f>IF(I19&gt;=2,INDEX(Windows!$B$4:$B$84,MATCH(J19,Windows!$B$4:$B$84,0)+1),0)</f>
        <v>0</v>
      </c>
      <c r="O19" t="e">
        <f>VLOOKUP(N19,Windows!$B$4:$D$84,2,FALSE)/1000</f>
        <v>#N/A</v>
      </c>
      <c r="P19" t="e">
        <f>VLOOKUP(N19,Windows!$B$4:$D$84,3,FALSE)/1000</f>
        <v>#N/A</v>
      </c>
      <c r="Q19">
        <f t="shared" si="5"/>
        <v>0</v>
      </c>
      <c r="R19">
        <f>IF(I19&gt;=3,INDEX(Windows!$B$4:$B$84,MATCH(J19,Windows!$B$4:$B$84,0)+2),0)</f>
        <v>0</v>
      </c>
      <c r="S19" t="e">
        <f>VLOOKUP(R19,Windows!$B$4:$D$84,2,FALSE)/1000</f>
        <v>#N/A</v>
      </c>
      <c r="T19" t="e">
        <f>VLOOKUP(R19,Windows!$B$4:$D$84,3,FALSE)/1000</f>
        <v>#N/A</v>
      </c>
      <c r="U19">
        <f t="shared" si="6"/>
        <v>0</v>
      </c>
      <c r="V19">
        <f>IF(I19&gt;=4,INDEX(Windows!$B$4:$B$84,MATCH(J19,Windows!$B$4:$B$84,0)+3),0)</f>
        <v>0</v>
      </c>
      <c r="W19" t="e">
        <f>VLOOKUP(V19,Windows!$B$4:$D$84,2,FALSE)/1000</f>
        <v>#N/A</v>
      </c>
      <c r="X19" t="e">
        <f>VLOOKUP(V19,Windows!$B$4:$D$84,3,FALSE)/1000</f>
        <v>#N/A</v>
      </c>
      <c r="Y19">
        <f t="shared" si="7"/>
        <v>0</v>
      </c>
      <c r="Z19" t="str">
        <f t="shared" si="8"/>
        <v>N/A</v>
      </c>
      <c r="AA19">
        <f t="shared" si="9"/>
        <v>0</v>
      </c>
      <c r="AC19" t="s">
        <v>8</v>
      </c>
      <c r="AE19">
        <f t="shared" si="10"/>
        <v>0</v>
      </c>
      <c r="AF19">
        <f>AE19*Konstanten!$B$4</f>
        <v>0</v>
      </c>
      <c r="AG19">
        <f t="shared" si="14"/>
        <v>0</v>
      </c>
      <c r="AJ19" s="19">
        <f>2*(59.35+44.19)</f>
        <v>207.07999999999998</v>
      </c>
      <c r="AK19" s="19">
        <f t="shared" si="11"/>
        <v>10.353999999999999</v>
      </c>
      <c r="AL19" s="19">
        <f>AK19*Konstanten!$B$3</f>
        <v>25.884999999999998</v>
      </c>
      <c r="AN19">
        <f t="shared" si="12"/>
        <v>0</v>
      </c>
      <c r="AO19">
        <f t="shared" si="13"/>
        <v>0</v>
      </c>
      <c r="AS19" s="12"/>
      <c r="BB19" s="4"/>
    </row>
    <row r="20" spans="1:54" x14ac:dyDescent="0.25">
      <c r="A20">
        <v>19</v>
      </c>
      <c r="B20">
        <v>6</v>
      </c>
      <c r="C20" t="s">
        <v>176</v>
      </c>
      <c r="E20" s="15" t="s">
        <v>141</v>
      </c>
      <c r="F20" s="15"/>
      <c r="G20" s="21">
        <v>31</v>
      </c>
      <c r="H20">
        <f>Konstanten!$B$3</f>
        <v>2.5</v>
      </c>
      <c r="I20">
        <f>COUNTIF(Windows!$A$4:$A$84,E20)</f>
        <v>2</v>
      </c>
      <c r="J20" t="str">
        <f>VLOOKUP(E20,Windows!$A$4:$D$84,2,FALSE)</f>
        <v>IU10,5-o+VTL3-o</v>
      </c>
      <c r="K20">
        <f>VLOOKUP(J20,Windows!$B$4:$D$84,2,FALSE)/1000</f>
        <v>1.325</v>
      </c>
      <c r="L20">
        <f>VLOOKUP(J20,Windows!$B$4:$D$84,3,FALSE)/1000</f>
        <v>1.67</v>
      </c>
      <c r="M20">
        <f t="shared" si="4"/>
        <v>2.2127499999999998</v>
      </c>
      <c r="N20" t="str">
        <f>IF(I20&gt;=2,INDEX(Windows!$B$4:$B$84,MATCH(J20,Windows!$B$4:$B$84,0)+1),0)</f>
        <v>IU21-v</v>
      </c>
      <c r="O20">
        <f>VLOOKUP(N20,Windows!$B$4:$D$84,2,FALSE)/1000</f>
        <v>2.12</v>
      </c>
      <c r="P20">
        <f>VLOOKUP(N20,Windows!$B$4:$D$84,3,FALSE)/1000</f>
        <v>1.67</v>
      </c>
      <c r="Q20">
        <f t="shared" si="5"/>
        <v>3.5404</v>
      </c>
      <c r="R20">
        <f>IF(I20&gt;=3,INDEX(Windows!$B$4:$B$84,MATCH(J20,Windows!$B$4:$B$84,0)+2),0)</f>
        <v>0</v>
      </c>
      <c r="S20" t="e">
        <f>VLOOKUP(R20,Windows!$B$4:$D$84,2,FALSE)/1000</f>
        <v>#N/A</v>
      </c>
      <c r="T20" t="e">
        <f>VLOOKUP(R20,Windows!$B$4:$D$84,3,FALSE)/1000</f>
        <v>#N/A</v>
      </c>
      <c r="U20">
        <f t="shared" si="6"/>
        <v>0</v>
      </c>
      <c r="V20">
        <f>IF(I20&gt;=4,INDEX(Windows!$B$4:$B$84,MATCH(J20,Windows!$B$4:$B$84,0)+3),0)</f>
        <v>0</v>
      </c>
      <c r="W20" t="e">
        <f>VLOOKUP(V20,Windows!$B$4:$D$84,2,FALSE)/1000</f>
        <v>#N/A</v>
      </c>
      <c r="X20" t="e">
        <f>VLOOKUP(V20,Windows!$B$4:$D$84,3,FALSE)/1000</f>
        <v>#N/A</v>
      </c>
      <c r="Y20">
        <f t="shared" si="7"/>
        <v>0</v>
      </c>
      <c r="Z20">
        <f t="shared" si="8"/>
        <v>42</v>
      </c>
      <c r="AA20">
        <f t="shared" si="9"/>
        <v>5.7531499999999998</v>
      </c>
      <c r="AC20">
        <v>42</v>
      </c>
      <c r="AD20">
        <v>87.46</v>
      </c>
      <c r="AE20">
        <f t="shared" si="10"/>
        <v>4.3730000000000002</v>
      </c>
      <c r="AF20">
        <f>AE20*Konstanten!$B$4</f>
        <v>18.585250000000002</v>
      </c>
      <c r="AG20">
        <f t="shared" si="14"/>
        <v>12.832100000000002</v>
      </c>
      <c r="AH20" t="s">
        <v>83</v>
      </c>
      <c r="AJ20" s="19">
        <f>2*143+87.46</f>
        <v>373.46</v>
      </c>
      <c r="AK20" s="19">
        <f t="shared" si="11"/>
        <v>18.672999999999998</v>
      </c>
      <c r="AL20" s="19">
        <f>AK20*Konstanten!$B$3</f>
        <v>46.682499999999997</v>
      </c>
      <c r="AN20">
        <f t="shared" si="12"/>
        <v>0</v>
      </c>
      <c r="AO20">
        <f t="shared" si="13"/>
        <v>0</v>
      </c>
      <c r="AS20" s="12"/>
      <c r="BB20" s="4"/>
    </row>
    <row r="21" spans="1:54" x14ac:dyDescent="0.25">
      <c r="A21" s="12">
        <v>20</v>
      </c>
      <c r="B21">
        <v>6</v>
      </c>
      <c r="C21" t="s">
        <v>23</v>
      </c>
      <c r="E21" s="15" t="s">
        <v>262</v>
      </c>
      <c r="F21" t="s">
        <v>141</v>
      </c>
      <c r="G21" s="21">
        <v>5.5</v>
      </c>
      <c r="H21">
        <f>Konstanten!$B$3</f>
        <v>2.5</v>
      </c>
      <c r="I21">
        <f>COUNTIF(Windows!$A$4:$A$84,E21)</f>
        <v>0</v>
      </c>
      <c r="J21" t="e">
        <f>VLOOKUP(E21,Windows!$A$4:$D$84,2,FALSE)</f>
        <v>#N/A</v>
      </c>
      <c r="K21" t="e">
        <f>VLOOKUP(J21,Windows!$B$4:$D$84,2,FALSE)/1000</f>
        <v>#N/A</v>
      </c>
      <c r="L21" t="e">
        <f>VLOOKUP(J21,Windows!$B$4:$D$84,3,FALSE)/1000</f>
        <v>#N/A</v>
      </c>
      <c r="M21">
        <f t="shared" si="4"/>
        <v>0</v>
      </c>
      <c r="N21">
        <f>IF(I21&gt;=2,INDEX(Windows!$B$4:$B$84,MATCH(J21,Windows!$B$4:$B$84,0)+1),0)</f>
        <v>0</v>
      </c>
      <c r="O21" t="e">
        <f>VLOOKUP(N21,Windows!$B$4:$D$84,2,FALSE)/1000</f>
        <v>#N/A</v>
      </c>
      <c r="P21" t="e">
        <f>VLOOKUP(N21,Windows!$B$4:$D$84,3,FALSE)/1000</f>
        <v>#N/A</v>
      </c>
      <c r="Q21">
        <f t="shared" si="5"/>
        <v>0</v>
      </c>
      <c r="R21">
        <f>IF(I21&gt;=3,INDEX(Windows!$B$4:$B$84,MATCH(J21,Windows!$B$4:$B$84,0)+2),0)</f>
        <v>0</v>
      </c>
      <c r="S21" t="e">
        <f>VLOOKUP(R21,Windows!$B$4:$D$84,2,FALSE)/1000</f>
        <v>#N/A</v>
      </c>
      <c r="T21" t="e">
        <f>VLOOKUP(R21,Windows!$B$4:$D$84,3,FALSE)/1000</f>
        <v>#N/A</v>
      </c>
      <c r="U21">
        <f t="shared" si="6"/>
        <v>0</v>
      </c>
      <c r="V21">
        <f>IF(I21&gt;=4,INDEX(Windows!$B$4:$B$84,MATCH(J21,Windows!$B$4:$B$84,0)+3),0)</f>
        <v>0</v>
      </c>
      <c r="W21" t="e">
        <f>VLOOKUP(V21,Windows!$B$4:$D$84,2,FALSE)/1000</f>
        <v>#N/A</v>
      </c>
      <c r="X21" t="e">
        <f>VLOOKUP(V21,Windows!$B$4:$D$84,3,FALSE)/1000</f>
        <v>#N/A</v>
      </c>
      <c r="Y21">
        <f t="shared" si="7"/>
        <v>0</v>
      </c>
      <c r="Z21" t="str">
        <f t="shared" si="8"/>
        <v>N/A</v>
      </c>
      <c r="AA21">
        <f t="shared" si="9"/>
        <v>0</v>
      </c>
      <c r="AC21" t="s">
        <v>8</v>
      </c>
      <c r="AE21">
        <f t="shared" si="10"/>
        <v>0</v>
      </c>
      <c r="AF21">
        <f>AE21*Konstanten!$B$4</f>
        <v>0</v>
      </c>
      <c r="AG21">
        <f t="shared" si="14"/>
        <v>0</v>
      </c>
      <c r="AJ21" s="19">
        <f>2*(44.2+51.39)</f>
        <v>191.18</v>
      </c>
      <c r="AK21" s="19">
        <f t="shared" si="11"/>
        <v>9.5590000000000011</v>
      </c>
      <c r="AL21" s="19">
        <f>AK21*Konstanten!$B$3</f>
        <v>23.897500000000001</v>
      </c>
      <c r="AN21">
        <f t="shared" si="12"/>
        <v>0</v>
      </c>
      <c r="AO21">
        <f t="shared" si="13"/>
        <v>0</v>
      </c>
      <c r="AS21" s="12"/>
      <c r="BB21" s="4"/>
    </row>
    <row r="22" spans="1:54" x14ac:dyDescent="0.25">
      <c r="A22">
        <v>21</v>
      </c>
      <c r="B22">
        <v>6</v>
      </c>
      <c r="C22" t="s">
        <v>176</v>
      </c>
      <c r="E22" s="15" t="s">
        <v>150</v>
      </c>
      <c r="G22" s="21">
        <v>24.4</v>
      </c>
      <c r="H22">
        <f>Konstanten!$B$3</f>
        <v>2.5</v>
      </c>
      <c r="I22">
        <f>COUNTIF(Windows!$A$4:$A$84,E22)</f>
        <v>2</v>
      </c>
      <c r="J22" t="str">
        <f>VLOOKUP(E22,Windows!$A$4:$D$84,2,FALSE)</f>
        <v>IU10,5-v+OTL3-v</v>
      </c>
      <c r="K22">
        <f>VLOOKUP(J22,Windows!$B$4:$D$84,2,FALSE)/1000</f>
        <v>1.325</v>
      </c>
      <c r="L22">
        <f>VLOOKUP(J22,Windows!$B$4:$D$84,3,FALSE)/1000</f>
        <v>1.67</v>
      </c>
      <c r="M22">
        <f t="shared" si="4"/>
        <v>2.2127499999999998</v>
      </c>
      <c r="N22" t="str">
        <f>IF(I22&gt;=2,INDEX(Windows!$B$4:$B$84,MATCH(J22,Windows!$B$4:$B$84,0)+1),0)</f>
        <v>IU21-o</v>
      </c>
      <c r="O22">
        <f>VLOOKUP(N22,Windows!$B$4:$D$84,2,FALSE)/1000</f>
        <v>2.12</v>
      </c>
      <c r="P22">
        <f>VLOOKUP(N22,Windows!$B$4:$D$84,3,FALSE)/1000</f>
        <v>1.67</v>
      </c>
      <c r="Q22">
        <f t="shared" si="5"/>
        <v>3.5404</v>
      </c>
      <c r="R22">
        <f>IF(I22&gt;=3,INDEX(Windows!$B$4:$B$84,MATCH(J22,Windows!$B$4:$B$84,0)+2),0)</f>
        <v>0</v>
      </c>
      <c r="S22" t="e">
        <f>VLOOKUP(R22,Windows!$B$4:$D$84,2,FALSE)/1000</f>
        <v>#N/A</v>
      </c>
      <c r="T22" t="e">
        <f>VLOOKUP(R22,Windows!$B$4:$D$84,3,FALSE)/1000</f>
        <v>#N/A</v>
      </c>
      <c r="U22">
        <f t="shared" si="6"/>
        <v>0</v>
      </c>
      <c r="V22">
        <f>IF(I22&gt;=4,INDEX(Windows!$B$4:$B$84,MATCH(J22,Windows!$B$4:$B$84,0)+3),0)</f>
        <v>0</v>
      </c>
      <c r="W22" t="e">
        <f>VLOOKUP(V22,Windows!$B$4:$D$84,2,FALSE)/1000</f>
        <v>#N/A</v>
      </c>
      <c r="X22" t="e">
        <f>VLOOKUP(V22,Windows!$B$4:$D$84,3,FALSE)/1000</f>
        <v>#N/A</v>
      </c>
      <c r="Y22">
        <f t="shared" si="7"/>
        <v>0</v>
      </c>
      <c r="Z22">
        <f t="shared" si="8"/>
        <v>42</v>
      </c>
      <c r="AA22">
        <f t="shared" si="9"/>
        <v>5.7531499999999998</v>
      </c>
      <c r="AC22">
        <v>42</v>
      </c>
      <c r="AD22">
        <v>87.46</v>
      </c>
      <c r="AE22">
        <f t="shared" si="10"/>
        <v>4.3730000000000002</v>
      </c>
      <c r="AF22">
        <f>AE22*Konstanten!$B$4</f>
        <v>18.585250000000002</v>
      </c>
      <c r="AG22">
        <f t="shared" si="14"/>
        <v>12.832100000000002</v>
      </c>
      <c r="AH22" t="s">
        <v>83</v>
      </c>
      <c r="AJ22" s="19">
        <f>143+40.39+46.91+23.69+23.37+82.3</f>
        <v>359.65999999999997</v>
      </c>
      <c r="AK22" s="19">
        <f t="shared" si="11"/>
        <v>17.983000000000001</v>
      </c>
      <c r="AL22" s="19">
        <f>AK22*Konstanten!$B$3</f>
        <v>44.957500000000003</v>
      </c>
      <c r="AN22">
        <f t="shared" si="12"/>
        <v>0</v>
      </c>
      <c r="AO22">
        <f t="shared" si="13"/>
        <v>0</v>
      </c>
      <c r="AS22" s="12"/>
      <c r="BB22" s="4"/>
    </row>
    <row r="23" spans="1:54" x14ac:dyDescent="0.25">
      <c r="A23">
        <v>22</v>
      </c>
      <c r="B23">
        <v>6</v>
      </c>
      <c r="C23" t="s">
        <v>23</v>
      </c>
      <c r="E23" s="15" t="s">
        <v>270</v>
      </c>
      <c r="F23" s="15" t="s">
        <v>150</v>
      </c>
      <c r="G23" s="21">
        <v>6</v>
      </c>
      <c r="H23">
        <f>Konstanten!$B$3</f>
        <v>2.5</v>
      </c>
      <c r="I23">
        <f>COUNTIF(Windows!$A$4:$A$84,E23)</f>
        <v>0</v>
      </c>
      <c r="J23" t="e">
        <f>VLOOKUP(E23,Windows!$A$4:$D$84,2,FALSE)</f>
        <v>#N/A</v>
      </c>
      <c r="K23" t="e">
        <f>VLOOKUP(J23,Windows!$B$4:$D$84,2,FALSE)/1000</f>
        <v>#N/A</v>
      </c>
      <c r="L23" t="e">
        <f>VLOOKUP(J23,Windows!$B$4:$D$84,3,FALSE)/1000</f>
        <v>#N/A</v>
      </c>
      <c r="M23">
        <f t="shared" si="4"/>
        <v>0</v>
      </c>
      <c r="N23">
        <f>IF(I23&gt;=2,INDEX(Windows!$B$4:$B$84,MATCH(J23,Windows!$B$4:$B$84,0)+1),0)</f>
        <v>0</v>
      </c>
      <c r="O23" t="e">
        <f>VLOOKUP(N23,Windows!$B$4:$D$84,2,FALSE)/1000</f>
        <v>#N/A</v>
      </c>
      <c r="P23" t="e">
        <f>VLOOKUP(N23,Windows!$B$4:$D$84,3,FALSE)/1000</f>
        <v>#N/A</v>
      </c>
      <c r="Q23">
        <f t="shared" si="5"/>
        <v>0</v>
      </c>
      <c r="R23">
        <f>IF(I23&gt;=3,INDEX(Windows!$B$4:$B$84,MATCH(J23,Windows!$B$4:$B$84,0)+2),0)</f>
        <v>0</v>
      </c>
      <c r="S23" t="e">
        <f>VLOOKUP(R23,Windows!$B$4:$D$84,2,FALSE)/1000</f>
        <v>#N/A</v>
      </c>
      <c r="T23" t="e">
        <f>VLOOKUP(R23,Windows!$B$4:$D$84,3,FALSE)/1000</f>
        <v>#N/A</v>
      </c>
      <c r="U23">
        <f t="shared" si="6"/>
        <v>0</v>
      </c>
      <c r="V23">
        <f>IF(I23&gt;=4,INDEX(Windows!$B$4:$B$84,MATCH(J23,Windows!$B$4:$B$84,0)+3),0)</f>
        <v>0</v>
      </c>
      <c r="W23" t="e">
        <f>VLOOKUP(V23,Windows!$B$4:$D$84,2,FALSE)/1000</f>
        <v>#N/A</v>
      </c>
      <c r="X23" t="e">
        <f>VLOOKUP(V23,Windows!$B$4:$D$84,3,FALSE)/1000</f>
        <v>#N/A</v>
      </c>
      <c r="Y23">
        <f t="shared" si="7"/>
        <v>0</v>
      </c>
      <c r="Z23" t="str">
        <f t="shared" si="8"/>
        <v>N/A</v>
      </c>
      <c r="AA23">
        <f t="shared" si="9"/>
        <v>0</v>
      </c>
      <c r="AC23" t="s">
        <v>8</v>
      </c>
      <c r="AE23">
        <f t="shared" si="10"/>
        <v>0</v>
      </c>
      <c r="AF23">
        <f>AE23*Konstanten!$B$4</f>
        <v>0</v>
      </c>
      <c r="AG23">
        <f t="shared" si="14"/>
        <v>0</v>
      </c>
      <c r="AJ23" s="19">
        <f>58.5+23.37+23.69+46.91+44.03</f>
        <v>196.5</v>
      </c>
      <c r="AK23" s="19">
        <f t="shared" si="11"/>
        <v>9.8250000000000011</v>
      </c>
      <c r="AL23" s="19">
        <f>AK23*Konstanten!$B$3</f>
        <v>24.562500000000004</v>
      </c>
      <c r="AN23">
        <f t="shared" si="12"/>
        <v>0</v>
      </c>
      <c r="AO23">
        <f t="shared" si="13"/>
        <v>0</v>
      </c>
      <c r="AS23" s="12"/>
      <c r="BB23" s="4"/>
    </row>
    <row r="24" spans="1:54" x14ac:dyDescent="0.25">
      <c r="A24">
        <v>23</v>
      </c>
      <c r="B24">
        <v>6</v>
      </c>
      <c r="C24" t="s">
        <v>176</v>
      </c>
      <c r="E24" s="15" t="s">
        <v>142</v>
      </c>
      <c r="G24" s="21">
        <v>26.7</v>
      </c>
      <c r="H24">
        <f>Konstanten!$B$3</f>
        <v>2.5</v>
      </c>
      <c r="I24">
        <f>COUNTIF(Windows!$A$4:$A$84,E24)</f>
        <v>2</v>
      </c>
      <c r="J24" t="str">
        <f>VLOOKUP(E24,Windows!$A$4:$D$84,2,FALSE)</f>
        <v>IU10,5-o+VTL3-o</v>
      </c>
      <c r="K24">
        <f>VLOOKUP(J24,Windows!$B$4:$D$84,2,FALSE)/1000</f>
        <v>1.325</v>
      </c>
      <c r="L24">
        <f>VLOOKUP(J24,Windows!$B$4:$D$84,3,FALSE)/1000</f>
        <v>1.67</v>
      </c>
      <c r="M24">
        <f t="shared" si="4"/>
        <v>2.2127499999999998</v>
      </c>
      <c r="N24" t="str">
        <f>IF(I24&gt;=2,INDEX(Windows!$B$4:$B$84,MATCH(J24,Windows!$B$4:$B$84,0)+1),0)</f>
        <v>IU21-v</v>
      </c>
      <c r="O24">
        <f>VLOOKUP(N24,Windows!$B$4:$D$84,2,FALSE)/1000</f>
        <v>2.12</v>
      </c>
      <c r="P24">
        <f>VLOOKUP(N24,Windows!$B$4:$D$84,3,FALSE)/1000</f>
        <v>1.67</v>
      </c>
      <c r="Q24">
        <f t="shared" si="5"/>
        <v>3.5404</v>
      </c>
      <c r="R24">
        <f>IF(I24&gt;=3,INDEX(Windows!$B$4:$B$84,MATCH(J24,Windows!$B$4:$B$84,0)+2),0)</f>
        <v>0</v>
      </c>
      <c r="S24" t="e">
        <f>VLOOKUP(R24,Windows!$B$4:$D$84,2,FALSE)/1000</f>
        <v>#N/A</v>
      </c>
      <c r="T24" t="e">
        <f>VLOOKUP(R24,Windows!$B$4:$D$84,3,FALSE)/1000</f>
        <v>#N/A</v>
      </c>
      <c r="U24">
        <f t="shared" si="6"/>
        <v>0</v>
      </c>
      <c r="V24">
        <f>IF(I24&gt;=4,INDEX(Windows!$B$4:$B$84,MATCH(J24,Windows!$B$4:$B$84,0)+3),0)</f>
        <v>0</v>
      </c>
      <c r="W24" t="e">
        <f>VLOOKUP(V24,Windows!$B$4:$D$84,2,FALSE)/1000</f>
        <v>#N/A</v>
      </c>
      <c r="X24" t="e">
        <f>VLOOKUP(V24,Windows!$B$4:$D$84,3,FALSE)/1000</f>
        <v>#N/A</v>
      </c>
      <c r="Y24">
        <f t="shared" si="7"/>
        <v>0</v>
      </c>
      <c r="Z24">
        <f t="shared" si="8"/>
        <v>42</v>
      </c>
      <c r="AA24">
        <f t="shared" si="9"/>
        <v>5.7531499999999998</v>
      </c>
      <c r="AC24">
        <v>42</v>
      </c>
      <c r="AD24">
        <v>94.49</v>
      </c>
      <c r="AE24">
        <f t="shared" si="10"/>
        <v>4.7244999999999999</v>
      </c>
      <c r="AF24">
        <f>AE24*Konstanten!$B$4</f>
        <v>20.079125000000001</v>
      </c>
      <c r="AG24">
        <f t="shared" si="14"/>
        <v>14.325975000000001</v>
      </c>
      <c r="AH24" t="s">
        <v>83</v>
      </c>
      <c r="AJ24" s="19">
        <f>23.12+25.41+49.78+47.92+143</f>
        <v>289.23</v>
      </c>
      <c r="AK24" s="19">
        <f t="shared" si="11"/>
        <v>14.461500000000001</v>
      </c>
      <c r="AL24" s="19">
        <f>AK24*Konstanten!$B$3</f>
        <v>36.153750000000002</v>
      </c>
      <c r="AN24">
        <f t="shared" si="12"/>
        <v>0</v>
      </c>
      <c r="AO24">
        <f t="shared" si="13"/>
        <v>0</v>
      </c>
      <c r="AS24" s="12"/>
      <c r="BB24" s="4"/>
    </row>
    <row r="25" spans="1:54" x14ac:dyDescent="0.25">
      <c r="A25">
        <v>24</v>
      </c>
      <c r="B25">
        <v>6</v>
      </c>
      <c r="E25" s="15" t="s">
        <v>142</v>
      </c>
      <c r="G25" s="21"/>
      <c r="H25">
        <f>Konstanten!$B$3</f>
        <v>2.5</v>
      </c>
      <c r="I25">
        <v>0</v>
      </c>
      <c r="K25" t="e">
        <f>VLOOKUP(J25,Windows!$B$4:$D$84,2,FALSE)/1000</f>
        <v>#N/A</v>
      </c>
      <c r="L25" t="e">
        <f>VLOOKUP(J25,Windows!$B$4:$D$84,3,FALSE)/1000</f>
        <v>#N/A</v>
      </c>
      <c r="M25">
        <f t="shared" si="4"/>
        <v>0</v>
      </c>
      <c r="N25">
        <f>IF(I25&gt;=2,INDEX(Windows!$B$4:$B$84,MATCH(J25,Windows!$B$4:$B$84,0)+1),0)</f>
        <v>0</v>
      </c>
      <c r="O25" t="e">
        <f>VLOOKUP(N25,Windows!$B$4:$D$84,2,FALSE)/1000</f>
        <v>#N/A</v>
      </c>
      <c r="P25" t="e">
        <f>VLOOKUP(N25,Windows!$B$4:$D$84,3,FALSE)/1000</f>
        <v>#N/A</v>
      </c>
      <c r="Q25">
        <f t="shared" si="5"/>
        <v>0</v>
      </c>
      <c r="R25">
        <f>IF(I25&gt;=3,INDEX(Windows!$B$4:$B$84,MATCH(J25,Windows!$B$4:$B$84,0)+2),0)</f>
        <v>0</v>
      </c>
      <c r="S25" t="e">
        <f>VLOOKUP(R25,Windows!$B$4:$D$84,2,FALSE)/1000</f>
        <v>#N/A</v>
      </c>
      <c r="T25" t="e">
        <f>VLOOKUP(R25,Windows!$B$4:$D$84,3,FALSE)/1000</f>
        <v>#N/A</v>
      </c>
      <c r="U25">
        <f t="shared" si="6"/>
        <v>0</v>
      </c>
      <c r="V25">
        <f>IF(I25&gt;=4,INDEX(Windows!$B$4:$B$84,MATCH(J25,Windows!$B$4:$B$84,0)+3),0)</f>
        <v>0</v>
      </c>
      <c r="W25" t="e">
        <f>VLOOKUP(V25,Windows!$B$4:$D$84,2,FALSE)/1000</f>
        <v>#N/A</v>
      </c>
      <c r="X25" t="e">
        <f>VLOOKUP(V25,Windows!$B$4:$D$84,3,FALSE)/1000</f>
        <v>#N/A</v>
      </c>
      <c r="Y25">
        <f t="shared" si="7"/>
        <v>0</v>
      </c>
      <c r="Z25" t="str">
        <f t="shared" si="8"/>
        <v>N/A</v>
      </c>
      <c r="AA25">
        <f t="shared" si="9"/>
        <v>0</v>
      </c>
      <c r="AC25">
        <v>132</v>
      </c>
      <c r="AD25">
        <v>82.3</v>
      </c>
      <c r="AE25">
        <f t="shared" si="10"/>
        <v>4.1150000000000002</v>
      </c>
      <c r="AF25">
        <f>AE25*Konstanten!$B$4</f>
        <v>17.48875</v>
      </c>
      <c r="AG25">
        <f t="shared" si="14"/>
        <v>17.48875</v>
      </c>
      <c r="AH25" t="s">
        <v>83</v>
      </c>
      <c r="AJ25" s="19"/>
      <c r="AK25" s="19">
        <f t="shared" si="11"/>
        <v>0</v>
      </c>
      <c r="AL25" s="19">
        <f>AK25*Konstanten!$B$3</f>
        <v>0</v>
      </c>
      <c r="AN25">
        <f t="shared" si="12"/>
        <v>0</v>
      </c>
      <c r="AO25">
        <f t="shared" si="13"/>
        <v>0</v>
      </c>
    </row>
    <row r="26" spans="1:54" x14ac:dyDescent="0.25">
      <c r="A26">
        <v>25</v>
      </c>
      <c r="B26">
        <v>6</v>
      </c>
      <c r="C26" t="s">
        <v>23</v>
      </c>
      <c r="E26" s="15" t="s">
        <v>271</v>
      </c>
      <c r="F26" s="15" t="s">
        <v>142</v>
      </c>
      <c r="G26" s="21">
        <v>6</v>
      </c>
      <c r="H26">
        <f>Konstanten!$B$3</f>
        <v>2.5</v>
      </c>
      <c r="I26">
        <f>COUNTIF(Windows!$A$4:$A$84,E26)</f>
        <v>0</v>
      </c>
      <c r="J26" t="e">
        <f>VLOOKUP(E26,Windows!$A$4:$D$84,2,FALSE)</f>
        <v>#N/A</v>
      </c>
      <c r="K26" t="e">
        <f>VLOOKUP(J26,Windows!$B$4:$D$84,2,FALSE)/1000</f>
        <v>#N/A</v>
      </c>
      <c r="L26" t="e">
        <f>VLOOKUP(J26,Windows!$B$4:$D$84,3,FALSE)/1000</f>
        <v>#N/A</v>
      </c>
      <c r="M26">
        <f t="shared" si="4"/>
        <v>0</v>
      </c>
      <c r="N26">
        <f>IF(I26&gt;=2,INDEX(Windows!$B$4:$B$84,MATCH(J26,Windows!$B$4:$B$84,0)+1),0)</f>
        <v>0</v>
      </c>
      <c r="O26" t="e">
        <f>VLOOKUP(N26,Windows!$B$4:$D$84,2,FALSE)/1000</f>
        <v>#N/A</v>
      </c>
      <c r="P26" t="e">
        <f>VLOOKUP(N26,Windows!$B$4:$D$84,3,FALSE)/1000</f>
        <v>#N/A</v>
      </c>
      <c r="Q26">
        <f t="shared" si="5"/>
        <v>0</v>
      </c>
      <c r="R26">
        <f>IF(I26&gt;=3,INDEX(Windows!$B$4:$B$84,MATCH(J26,Windows!$B$4:$B$84,0)+2),0)</f>
        <v>0</v>
      </c>
      <c r="S26" t="e">
        <f>VLOOKUP(R26,Windows!$B$4:$D$84,2,FALSE)/1000</f>
        <v>#N/A</v>
      </c>
      <c r="T26" t="e">
        <f>VLOOKUP(R26,Windows!$B$4:$D$84,3,FALSE)/1000</f>
        <v>#N/A</v>
      </c>
      <c r="U26">
        <f t="shared" si="6"/>
        <v>0</v>
      </c>
      <c r="V26">
        <f>IF(I26&gt;=4,INDEX(Windows!$B$4:$B$84,MATCH(J26,Windows!$B$4:$B$84,0)+3),0)</f>
        <v>0</v>
      </c>
      <c r="W26" t="e">
        <f>VLOOKUP(V26,Windows!$B$4:$D$84,2,FALSE)/1000</f>
        <v>#N/A</v>
      </c>
      <c r="X26" t="e">
        <f>VLOOKUP(V26,Windows!$B$4:$D$84,3,FALSE)/1000</f>
        <v>#N/A</v>
      </c>
      <c r="Y26">
        <f t="shared" si="7"/>
        <v>0</v>
      </c>
      <c r="Z26" t="str">
        <f t="shared" si="8"/>
        <v>N/A</v>
      </c>
      <c r="AA26">
        <f t="shared" si="9"/>
        <v>0</v>
      </c>
      <c r="AC26" t="s">
        <v>8</v>
      </c>
      <c r="AE26">
        <f t="shared" si="10"/>
        <v>0</v>
      </c>
      <c r="AF26">
        <f>AE26*Konstanten!$B$4</f>
        <v>0</v>
      </c>
      <c r="AG26">
        <f t="shared" si="14"/>
        <v>0</v>
      </c>
      <c r="AJ26" s="19">
        <f>58.5+44.03+49.78+25.41+23.12</f>
        <v>200.84</v>
      </c>
      <c r="AK26" s="19">
        <f t="shared" si="11"/>
        <v>10.042000000000002</v>
      </c>
      <c r="AL26" s="19">
        <f>AK26*Konstanten!$B$3</f>
        <v>25.105000000000004</v>
      </c>
      <c r="AN26">
        <f t="shared" si="12"/>
        <v>0</v>
      </c>
      <c r="AO26">
        <f t="shared" si="13"/>
        <v>0</v>
      </c>
    </row>
    <row r="27" spans="1:54" x14ac:dyDescent="0.25">
      <c r="A27">
        <v>26</v>
      </c>
      <c r="B27">
        <v>6</v>
      </c>
      <c r="C27" t="s">
        <v>176</v>
      </c>
      <c r="E27" s="15" t="s">
        <v>153</v>
      </c>
      <c r="G27" s="21">
        <v>33.6</v>
      </c>
      <c r="H27">
        <f>Konstanten!$B$3</f>
        <v>2.5</v>
      </c>
      <c r="I27">
        <v>2</v>
      </c>
      <c r="J27" t="str">
        <f>VLOOKUP(E27,Windows!$A$4:$D$84,2,FALSE)</f>
        <v>IU11-o+VTL3-o</v>
      </c>
      <c r="K27">
        <f>VLOOKUP(J27,Windows!$B$4:$D$84,2,FALSE)/1000</f>
        <v>1.35</v>
      </c>
      <c r="L27">
        <f>VLOOKUP(J27,Windows!$B$4:$D$84,3,FALSE)/1000</f>
        <v>1.67</v>
      </c>
      <c r="M27">
        <f t="shared" ref="M27:M28" si="15">IF(ISNA(L27*K27),0,K27*L27)</f>
        <v>2.2545000000000002</v>
      </c>
      <c r="N27" t="str">
        <f>IF(I27&gt;=2,INDEX(Windows!$B$4:$B$84,MATCH(J27,Windows!$B$4:$B$84,0)+1),0)</f>
        <v>IU21-o</v>
      </c>
      <c r="O27">
        <f>VLOOKUP(N27,Windows!$B$4:$D$84,2,FALSE)/1000</f>
        <v>2.12</v>
      </c>
      <c r="P27">
        <f>VLOOKUP(N27,Windows!$B$4:$D$84,3,FALSE)/1000</f>
        <v>1.67</v>
      </c>
      <c r="Q27">
        <f t="shared" ref="Q27:Q28" si="16">IF(ISNA(P27*O27),0,O27*P27)</f>
        <v>3.5404</v>
      </c>
      <c r="S27" t="e">
        <f>VLOOKUP(R27,Windows!$B$4:$D$84,2,FALSE)/1000</f>
        <v>#N/A</v>
      </c>
      <c r="T27" t="e">
        <f>VLOOKUP(R27,Windows!$B$4:$D$84,3,FALSE)/1000</f>
        <v>#N/A</v>
      </c>
      <c r="U27">
        <f t="shared" ref="U27:U28" si="17">IF(ISNA(T27*S27),0,S27*T27)</f>
        <v>0</v>
      </c>
      <c r="W27" t="e">
        <f>VLOOKUP(V27,Windows!$B$4:$D$84,2,FALSE)/1000</f>
        <v>#N/A</v>
      </c>
      <c r="X27" t="e">
        <f>VLOOKUP(V27,Windows!$B$4:$D$84,3,FALSE)/1000</f>
        <v>#N/A</v>
      </c>
      <c r="Y27">
        <f t="shared" ref="Y27:Y28" si="18">IF(ISNA(X27*W27),0,W27*X27)</f>
        <v>0</v>
      </c>
      <c r="Z27">
        <f t="shared" si="8"/>
        <v>132</v>
      </c>
      <c r="AA27">
        <f t="shared" si="9"/>
        <v>5.7949000000000002</v>
      </c>
      <c r="AC27">
        <v>132</v>
      </c>
      <c r="AD27">
        <v>175.01</v>
      </c>
      <c r="AE27">
        <f t="shared" si="10"/>
        <v>8.7505000000000006</v>
      </c>
      <c r="AF27">
        <f>AE27*Konstanten!$B$4</f>
        <v>37.189624999999999</v>
      </c>
      <c r="AG27">
        <f t="shared" si="14"/>
        <v>31.394725000000001</v>
      </c>
      <c r="AH27" t="s">
        <v>83</v>
      </c>
      <c r="AJ27" s="19">
        <f>114.26+24.56+22.26+49.23+49.5</f>
        <v>259.80999999999995</v>
      </c>
      <c r="AK27" s="19">
        <f t="shared" si="11"/>
        <v>12.990499999999997</v>
      </c>
      <c r="AL27" s="19">
        <f>AK27*Konstanten!$B$3</f>
        <v>32.476249999999993</v>
      </c>
      <c r="AN27">
        <f t="shared" si="12"/>
        <v>0</v>
      </c>
      <c r="AO27">
        <f t="shared" si="13"/>
        <v>0</v>
      </c>
    </row>
    <row r="28" spans="1:54" x14ac:dyDescent="0.25">
      <c r="A28">
        <v>27</v>
      </c>
      <c r="B28">
        <v>6</v>
      </c>
      <c r="E28" s="15" t="s">
        <v>153</v>
      </c>
      <c r="G28" s="21"/>
      <c r="H28">
        <f>Konstanten!$B$3</f>
        <v>2.5</v>
      </c>
      <c r="I28">
        <v>2</v>
      </c>
      <c r="J28" t="s">
        <v>105</v>
      </c>
      <c r="K28">
        <f>VLOOKUP(J28,Windows!$B$4:$D$84,2,FALSE)/1000</f>
        <v>1.35</v>
      </c>
      <c r="L28">
        <f>VLOOKUP(J28,Windows!$B$4:$D$84,3,FALSE)/1000</f>
        <v>1.67</v>
      </c>
      <c r="M28">
        <f t="shared" si="15"/>
        <v>2.2545000000000002</v>
      </c>
      <c r="N28" t="s">
        <v>67</v>
      </c>
      <c r="O28">
        <f>VLOOKUP(N28,Windows!$B$4:$D$84,2,FALSE)/1000</f>
        <v>2.12</v>
      </c>
      <c r="P28">
        <f>VLOOKUP(N28,Windows!$B$4:$D$84,3,FALSE)/1000</f>
        <v>1.67</v>
      </c>
      <c r="Q28">
        <f t="shared" si="16"/>
        <v>3.5404</v>
      </c>
      <c r="S28" t="e">
        <f>VLOOKUP(R28,Windows!$B$4:$D$84,2,FALSE)/1000</f>
        <v>#N/A</v>
      </c>
      <c r="T28" t="e">
        <f>VLOOKUP(R28,Windows!$B$4:$D$84,3,FALSE)/1000</f>
        <v>#N/A</v>
      </c>
      <c r="U28">
        <f t="shared" si="17"/>
        <v>0</v>
      </c>
      <c r="W28" t="e">
        <f>VLOOKUP(V28,Windows!$B$4:$D$84,2,FALSE)/1000</f>
        <v>#N/A</v>
      </c>
      <c r="X28" t="e">
        <f>VLOOKUP(V28,Windows!$B$4:$D$84,3,FALSE)/1000</f>
        <v>#N/A</v>
      </c>
      <c r="Y28">
        <f t="shared" si="18"/>
        <v>0</v>
      </c>
      <c r="Z28">
        <f t="shared" si="8"/>
        <v>222</v>
      </c>
      <c r="AA28">
        <f t="shared" si="9"/>
        <v>5.7949000000000002</v>
      </c>
      <c r="AC28">
        <v>222</v>
      </c>
      <c r="AD28">
        <v>92.96</v>
      </c>
      <c r="AE28">
        <f t="shared" si="10"/>
        <v>4.6479999999999997</v>
      </c>
      <c r="AF28">
        <f>AE28*Konstanten!$B$4</f>
        <v>19.753999999999998</v>
      </c>
      <c r="AG28">
        <f t="shared" si="14"/>
        <v>13.959099999999998</v>
      </c>
      <c r="AH28" t="s">
        <v>83</v>
      </c>
      <c r="AJ28" s="19"/>
      <c r="AK28" s="19">
        <f t="shared" si="11"/>
        <v>0</v>
      </c>
      <c r="AL28" s="19">
        <f>AK28*Konstanten!$B$3</f>
        <v>0</v>
      </c>
      <c r="AN28">
        <f t="shared" si="12"/>
        <v>0</v>
      </c>
      <c r="AO28">
        <f t="shared" si="13"/>
        <v>0</v>
      </c>
    </row>
    <row r="29" spans="1:54" x14ac:dyDescent="0.25">
      <c r="A29">
        <v>28</v>
      </c>
      <c r="B29">
        <v>6</v>
      </c>
      <c r="C29" t="s">
        <v>23</v>
      </c>
      <c r="E29" s="15" t="s">
        <v>272</v>
      </c>
      <c r="F29" s="15" t="s">
        <v>153</v>
      </c>
      <c r="G29" s="21">
        <v>6</v>
      </c>
      <c r="H29">
        <f>Konstanten!$B$3</f>
        <v>2.5</v>
      </c>
      <c r="I29">
        <f>COUNTIF(Windows!$A$4:$A$84,E29)</f>
        <v>0</v>
      </c>
      <c r="J29" t="e">
        <f>VLOOKUP(E29,Windows!$A$4:$D$84,2,FALSE)</f>
        <v>#N/A</v>
      </c>
      <c r="K29" t="e">
        <f>VLOOKUP(J29,Windows!$B$4:$D$84,2,FALSE)/1000</f>
        <v>#N/A</v>
      </c>
      <c r="L29" t="e">
        <f>VLOOKUP(J29,Windows!$B$4:$D$84,3,FALSE)/1000</f>
        <v>#N/A</v>
      </c>
      <c r="M29">
        <f t="shared" si="4"/>
        <v>0</v>
      </c>
      <c r="N29">
        <f>IF(I29&gt;=2,INDEX(Windows!$B$4:$B$84,MATCH(J29,Windows!$B$4:$B$84,0)+1),0)</f>
        <v>0</v>
      </c>
      <c r="O29" t="e">
        <f>VLOOKUP(N29,Windows!$B$4:$D$84,2,FALSE)/1000</f>
        <v>#N/A</v>
      </c>
      <c r="P29" t="e">
        <f>VLOOKUP(N29,Windows!$B$4:$D$84,3,FALSE)/1000</f>
        <v>#N/A</v>
      </c>
      <c r="Q29">
        <f t="shared" si="5"/>
        <v>0</v>
      </c>
      <c r="R29">
        <f>IF(I29&gt;=3,INDEX(Windows!$B$4:$B$84,MATCH(J29,Windows!$B$4:$B$84,0)+2),0)</f>
        <v>0</v>
      </c>
      <c r="S29" t="e">
        <f>VLOOKUP(R29,Windows!$B$4:$D$84,2,FALSE)/1000</f>
        <v>#N/A</v>
      </c>
      <c r="T29" t="e">
        <f>VLOOKUP(R29,Windows!$B$4:$D$84,3,FALSE)/1000</f>
        <v>#N/A</v>
      </c>
      <c r="U29">
        <f t="shared" si="6"/>
        <v>0</v>
      </c>
      <c r="V29">
        <f>IF(I29&gt;=4,INDEX(Windows!$B$4:$B$84,MATCH(J29,Windows!$B$4:$B$84,0)+3),0)</f>
        <v>0</v>
      </c>
      <c r="W29" t="e">
        <f>VLOOKUP(V29,Windows!$B$4:$D$84,2,FALSE)/1000</f>
        <v>#N/A</v>
      </c>
      <c r="X29" t="e">
        <f>VLOOKUP(V29,Windows!$B$4:$D$84,3,FALSE)/1000</f>
        <v>#N/A</v>
      </c>
      <c r="Y29">
        <f t="shared" si="7"/>
        <v>0</v>
      </c>
      <c r="Z29" t="str">
        <f t="shared" si="8"/>
        <v>N/A</v>
      </c>
      <c r="AA29">
        <f t="shared" si="9"/>
        <v>0</v>
      </c>
      <c r="AC29" t="s">
        <v>8</v>
      </c>
      <c r="AE29">
        <f t="shared" si="10"/>
        <v>0</v>
      </c>
      <c r="AF29">
        <f>AE29*Konstanten!$B$4</f>
        <v>0</v>
      </c>
      <c r="AG29">
        <f t="shared" si="14"/>
        <v>0</v>
      </c>
      <c r="AJ29" s="19">
        <f>58.42+43.64+49.23+22.26+24.56</f>
        <v>198.10999999999999</v>
      </c>
      <c r="AK29" s="19">
        <f t="shared" si="11"/>
        <v>9.9055</v>
      </c>
      <c r="AL29" s="19">
        <f>AK29*Konstanten!$B$3</f>
        <v>24.763750000000002</v>
      </c>
      <c r="AN29">
        <f t="shared" si="12"/>
        <v>0</v>
      </c>
      <c r="AO29">
        <f t="shared" si="13"/>
        <v>0</v>
      </c>
    </row>
    <row r="30" spans="1:54" x14ac:dyDescent="0.25">
      <c r="A30">
        <v>29</v>
      </c>
      <c r="B30">
        <v>6</v>
      </c>
      <c r="C30" t="s">
        <v>176</v>
      </c>
      <c r="E30" s="15" t="s">
        <v>158</v>
      </c>
      <c r="G30" s="21">
        <v>32</v>
      </c>
      <c r="H30">
        <f>Konstanten!$B$3</f>
        <v>2.5</v>
      </c>
      <c r="I30">
        <f>COUNTIF(Windows!$A$4:$A$84,E30)</f>
        <v>2</v>
      </c>
      <c r="J30" t="str">
        <f>VLOOKUP(E30,Windows!$A$4:$D$84,2,FALSE)</f>
        <v>IU11-v+OTL3-v</v>
      </c>
      <c r="K30">
        <f>VLOOKUP(J30,Windows!$B$4:$D$84,2,FALSE)/1000</f>
        <v>1.35</v>
      </c>
      <c r="L30">
        <f>VLOOKUP(J30,Windows!$B$4:$D$84,3,FALSE)/1000</f>
        <v>1.67</v>
      </c>
      <c r="M30">
        <f t="shared" si="4"/>
        <v>2.2545000000000002</v>
      </c>
      <c r="N30" t="str">
        <f>IF(I30&gt;=2,INDEX(Windows!$B$4:$B$84,MATCH(J30,Windows!$B$4:$B$84,0)+1),0)</f>
        <v>IU21-o</v>
      </c>
      <c r="O30">
        <f>VLOOKUP(N30,Windows!$B$4:$D$84,2,FALSE)/1000</f>
        <v>2.12</v>
      </c>
      <c r="P30">
        <f>VLOOKUP(N30,Windows!$B$4:$D$84,3,FALSE)/1000</f>
        <v>1.67</v>
      </c>
      <c r="Q30">
        <f t="shared" si="5"/>
        <v>3.5404</v>
      </c>
      <c r="R30">
        <f>IF(I30&gt;=3,INDEX(Windows!$B$4:$B$84,MATCH(J30,Windows!$B$4:$B$84,0)+2),0)</f>
        <v>0</v>
      </c>
      <c r="S30" t="e">
        <f>VLOOKUP(R30,Windows!$B$4:$D$84,2,FALSE)/1000</f>
        <v>#N/A</v>
      </c>
      <c r="T30" t="e">
        <f>VLOOKUP(R30,Windows!$B$4:$D$84,3,FALSE)/1000</f>
        <v>#N/A</v>
      </c>
      <c r="U30">
        <f t="shared" si="6"/>
        <v>0</v>
      </c>
      <c r="V30">
        <f>IF(I30&gt;=4,INDEX(Windows!$B$4:$B$84,MATCH(J30,Windows!$B$4:$B$84,0)+3),0)</f>
        <v>0</v>
      </c>
      <c r="W30" t="e">
        <f>VLOOKUP(V30,Windows!$B$4:$D$84,2,FALSE)/1000</f>
        <v>#N/A</v>
      </c>
      <c r="X30" t="e">
        <f>VLOOKUP(V30,Windows!$B$4:$D$84,3,FALSE)/1000</f>
        <v>#N/A</v>
      </c>
      <c r="Y30">
        <f t="shared" si="7"/>
        <v>0</v>
      </c>
      <c r="Z30">
        <f t="shared" si="8"/>
        <v>222</v>
      </c>
      <c r="AA30">
        <f t="shared" si="9"/>
        <v>5.7949000000000002</v>
      </c>
      <c r="AC30">
        <v>222</v>
      </c>
      <c r="AD30">
        <v>88.45</v>
      </c>
      <c r="AE30">
        <f t="shared" si="10"/>
        <v>4.4225000000000003</v>
      </c>
      <c r="AF30">
        <f>AE30*Konstanten!$B$4</f>
        <v>18.795625000000001</v>
      </c>
      <c r="AG30">
        <f t="shared" si="14"/>
        <v>13.000725000000001</v>
      </c>
      <c r="AH30" t="s">
        <v>83</v>
      </c>
      <c r="AJ30" s="19">
        <f>114.26+24.56+22.26+49.23+174.71+42.87</f>
        <v>427.89</v>
      </c>
      <c r="AK30" s="19">
        <f t="shared" si="11"/>
        <v>21.394500000000001</v>
      </c>
      <c r="AL30" s="19">
        <f>AK30*Konstanten!$B$3</f>
        <v>53.486249999999998</v>
      </c>
      <c r="AN30">
        <f t="shared" si="12"/>
        <v>0</v>
      </c>
      <c r="AO30">
        <f t="shared" si="13"/>
        <v>0</v>
      </c>
    </row>
    <row r="31" spans="1:54" x14ac:dyDescent="0.25">
      <c r="A31">
        <v>30</v>
      </c>
      <c r="B31">
        <v>6</v>
      </c>
      <c r="C31" t="s">
        <v>23</v>
      </c>
      <c r="E31" s="15" t="s">
        <v>273</v>
      </c>
      <c r="F31" s="15" t="s">
        <v>158</v>
      </c>
      <c r="G31" s="21">
        <v>6</v>
      </c>
      <c r="H31">
        <f>Konstanten!$B$3</f>
        <v>2.5</v>
      </c>
      <c r="I31">
        <f>COUNTIF(Windows!$A$4:$A$84,E31)</f>
        <v>0</v>
      </c>
      <c r="J31" t="e">
        <f>VLOOKUP(E31,Windows!$A$4:$D$84,2,FALSE)</f>
        <v>#N/A</v>
      </c>
      <c r="K31" t="e">
        <f>VLOOKUP(J31,Windows!$B$4:$D$84,2,FALSE)/1000</f>
        <v>#N/A</v>
      </c>
      <c r="L31" t="e">
        <f>VLOOKUP(J31,Windows!$B$4:$D$84,3,FALSE)/1000</f>
        <v>#N/A</v>
      </c>
      <c r="M31">
        <f t="shared" si="4"/>
        <v>0</v>
      </c>
      <c r="N31">
        <f>IF(I31&gt;=2,INDEX(Windows!$B$4:$B$84,MATCH(J31,Windows!$B$4:$B$84,0)+1),0)</f>
        <v>0</v>
      </c>
      <c r="O31" t="e">
        <f>VLOOKUP(N31,Windows!$B$4:$D$84,2,FALSE)/1000</f>
        <v>#N/A</v>
      </c>
      <c r="P31" t="e">
        <f>VLOOKUP(N31,Windows!$B$4:$D$84,3,FALSE)/1000</f>
        <v>#N/A</v>
      </c>
      <c r="Q31">
        <f t="shared" si="5"/>
        <v>0</v>
      </c>
      <c r="R31">
        <f>IF(I31&gt;=3,INDEX(Windows!$B$4:$B$84,MATCH(J31,Windows!$B$4:$B$84,0)+2),0)</f>
        <v>0</v>
      </c>
      <c r="S31" t="e">
        <f>VLOOKUP(R31,Windows!$B$4:$D$84,2,FALSE)/1000</f>
        <v>#N/A</v>
      </c>
      <c r="T31" t="e">
        <f>VLOOKUP(R31,Windows!$B$4:$D$84,3,FALSE)/1000</f>
        <v>#N/A</v>
      </c>
      <c r="U31">
        <f t="shared" si="6"/>
        <v>0</v>
      </c>
      <c r="V31">
        <f>IF(I31&gt;=4,INDEX(Windows!$B$4:$B$84,MATCH(J31,Windows!$B$4:$B$84,0)+3),0)</f>
        <v>0</v>
      </c>
      <c r="W31" t="e">
        <f>VLOOKUP(V31,Windows!$B$4:$D$84,2,FALSE)/1000</f>
        <v>#N/A</v>
      </c>
      <c r="X31" t="e">
        <f>VLOOKUP(V31,Windows!$B$4:$D$84,3,FALSE)/1000</f>
        <v>#N/A</v>
      </c>
      <c r="Y31">
        <f t="shared" si="7"/>
        <v>0</v>
      </c>
      <c r="Z31" t="str">
        <f t="shared" si="8"/>
        <v>N/A</v>
      </c>
      <c r="AA31">
        <f t="shared" si="9"/>
        <v>0</v>
      </c>
      <c r="AC31" t="s">
        <v>8</v>
      </c>
      <c r="AE31">
        <f t="shared" si="10"/>
        <v>0</v>
      </c>
      <c r="AF31">
        <f>AE31*Konstanten!$B$4</f>
        <v>0</v>
      </c>
      <c r="AG31">
        <f t="shared" si="14"/>
        <v>0</v>
      </c>
      <c r="AJ31" s="19">
        <f>58.42+43.64+49.23+22.26+24.56</f>
        <v>198.10999999999999</v>
      </c>
      <c r="AK31" s="19">
        <f t="shared" si="11"/>
        <v>9.9055</v>
      </c>
      <c r="AL31" s="19">
        <f>AK31*Konstanten!$B$3</f>
        <v>24.763750000000002</v>
      </c>
      <c r="AN31">
        <f t="shared" si="12"/>
        <v>0</v>
      </c>
      <c r="AO31">
        <f t="shared" si="13"/>
        <v>0</v>
      </c>
    </row>
    <row r="32" spans="1:54" x14ac:dyDescent="0.25">
      <c r="A32">
        <v>31</v>
      </c>
      <c r="B32">
        <v>6</v>
      </c>
      <c r="C32" t="s">
        <v>176</v>
      </c>
      <c r="E32" s="15" t="s">
        <v>154</v>
      </c>
      <c r="F32" s="15"/>
      <c r="G32" s="21">
        <v>32.700000000000003</v>
      </c>
      <c r="H32">
        <f>Konstanten!$B$3</f>
        <v>2.5</v>
      </c>
      <c r="I32">
        <f>COUNTIF(Windows!$A$4:$A$84,E32)</f>
        <v>2</v>
      </c>
      <c r="J32" t="str">
        <f>VLOOKUP(E32,Windows!$A$4:$D$84,2,FALSE)</f>
        <v>IU11-o+VTL3-o</v>
      </c>
      <c r="K32">
        <f>VLOOKUP(J32,Windows!$B$4:$D$84,2,FALSE)/1000</f>
        <v>1.35</v>
      </c>
      <c r="L32">
        <f>VLOOKUP(J32,Windows!$B$4:$D$84,3,FALSE)/1000</f>
        <v>1.67</v>
      </c>
      <c r="M32">
        <f t="shared" si="4"/>
        <v>2.2545000000000002</v>
      </c>
      <c r="N32" t="str">
        <f>IF(I32&gt;=2,INDEX(Windows!$B$4:$B$84,MATCH(J32,Windows!$B$4:$B$84,0)+1),0)</f>
        <v>IU21-o</v>
      </c>
      <c r="O32">
        <f>VLOOKUP(N32,Windows!$B$4:$D$84,2,FALSE)/1000</f>
        <v>2.12</v>
      </c>
      <c r="P32">
        <f>VLOOKUP(N32,Windows!$B$4:$D$84,3,FALSE)/1000</f>
        <v>1.67</v>
      </c>
      <c r="Q32">
        <f t="shared" si="5"/>
        <v>3.5404</v>
      </c>
      <c r="R32">
        <f>IF(I32&gt;=3,INDEX(Windows!$B$4:$B$84,MATCH(J32,Windows!$B$4:$B$84,0)+2),0)</f>
        <v>0</v>
      </c>
      <c r="S32" t="e">
        <f>VLOOKUP(R32,Windows!$B$4:$D$84,2,FALSE)/1000</f>
        <v>#N/A</v>
      </c>
      <c r="T32" t="e">
        <f>VLOOKUP(R32,Windows!$B$4:$D$84,3,FALSE)/1000</f>
        <v>#N/A</v>
      </c>
      <c r="U32">
        <f t="shared" si="6"/>
        <v>0</v>
      </c>
      <c r="V32">
        <f>IF(I32&gt;=4,INDEX(Windows!$B$4:$B$84,MATCH(J32,Windows!$B$4:$B$84,0)+3),0)</f>
        <v>0</v>
      </c>
      <c r="W32" t="e">
        <f>VLOOKUP(V32,Windows!$B$4:$D$84,2,FALSE)/1000</f>
        <v>#N/A</v>
      </c>
      <c r="X32" t="e">
        <f>VLOOKUP(V32,Windows!$B$4:$D$84,3,FALSE)/1000</f>
        <v>#N/A</v>
      </c>
      <c r="Y32">
        <f t="shared" si="7"/>
        <v>0</v>
      </c>
      <c r="Z32">
        <f t="shared" si="8"/>
        <v>222</v>
      </c>
      <c r="AA32">
        <f t="shared" si="9"/>
        <v>5.7949000000000002</v>
      </c>
      <c r="AC32">
        <v>222</v>
      </c>
      <c r="AD32">
        <v>90.48</v>
      </c>
      <c r="AE32">
        <f t="shared" si="10"/>
        <v>4.524</v>
      </c>
      <c r="AF32">
        <f>AE32*Konstanten!$B$4</f>
        <v>19.227</v>
      </c>
      <c r="AG32">
        <f t="shared" si="14"/>
        <v>13.4321</v>
      </c>
      <c r="AH32" t="s">
        <v>83</v>
      </c>
      <c r="AJ32" s="19">
        <f>174.71+44.1+114.26+24.56+22.26+49.23</f>
        <v>429.12</v>
      </c>
      <c r="AK32" s="19">
        <f t="shared" si="11"/>
        <v>21.456000000000003</v>
      </c>
      <c r="AL32" s="19">
        <f>AK32*Konstanten!$B$3</f>
        <v>53.640000000000008</v>
      </c>
      <c r="AN32">
        <f t="shared" si="12"/>
        <v>0</v>
      </c>
      <c r="AO32">
        <f t="shared" si="13"/>
        <v>0</v>
      </c>
    </row>
    <row r="33" spans="1:44" x14ac:dyDescent="0.25">
      <c r="A33">
        <v>32</v>
      </c>
      <c r="B33">
        <v>6</v>
      </c>
      <c r="C33" t="s">
        <v>23</v>
      </c>
      <c r="E33" s="15" t="s">
        <v>263</v>
      </c>
      <c r="F33" t="s">
        <v>154</v>
      </c>
      <c r="G33" s="21">
        <v>5.9</v>
      </c>
      <c r="H33">
        <f>Konstanten!$B$3</f>
        <v>2.5</v>
      </c>
      <c r="I33">
        <f>COUNTIF(Windows!$A$4:$A$84,E33)</f>
        <v>0</v>
      </c>
      <c r="J33" t="e">
        <f>VLOOKUP(E33,Windows!$A$4:$D$84,2,FALSE)</f>
        <v>#N/A</v>
      </c>
      <c r="K33" t="e">
        <f>VLOOKUP(J33,Windows!$B$4:$D$84,2,FALSE)/1000</f>
        <v>#N/A</v>
      </c>
      <c r="L33" t="e">
        <f>VLOOKUP(J33,Windows!$B$4:$D$84,3,FALSE)/1000</f>
        <v>#N/A</v>
      </c>
      <c r="M33">
        <f t="shared" si="4"/>
        <v>0</v>
      </c>
      <c r="N33">
        <f>IF(I33&gt;=2,INDEX(Windows!$B$4:$B$84,MATCH(J33,Windows!$B$4:$B$84,0)+1),0)</f>
        <v>0</v>
      </c>
      <c r="O33" t="e">
        <f>VLOOKUP(N33,Windows!$B$4:$D$84,2,FALSE)/1000</f>
        <v>#N/A</v>
      </c>
      <c r="P33" t="e">
        <f>VLOOKUP(N33,Windows!$B$4:$D$84,3,FALSE)/1000</f>
        <v>#N/A</v>
      </c>
      <c r="Q33">
        <f t="shared" si="5"/>
        <v>0</v>
      </c>
      <c r="R33">
        <f>IF(I33&gt;=3,INDEX(Windows!$B$4:$B$84,MATCH(J33,Windows!$B$4:$B$84,0)+2),0)</f>
        <v>0</v>
      </c>
      <c r="S33" t="e">
        <f>VLOOKUP(R33,Windows!$B$4:$D$84,2,FALSE)/1000</f>
        <v>#N/A</v>
      </c>
      <c r="T33" t="e">
        <f>VLOOKUP(R33,Windows!$B$4:$D$84,3,FALSE)/1000</f>
        <v>#N/A</v>
      </c>
      <c r="U33">
        <f t="shared" si="6"/>
        <v>0</v>
      </c>
      <c r="V33">
        <f>IF(I33&gt;=4,INDEX(Windows!$B$4:$B$84,MATCH(J33,Windows!$B$4:$B$84,0)+3),0)</f>
        <v>0</v>
      </c>
      <c r="W33" t="e">
        <f>VLOOKUP(V33,Windows!$B$4:$D$84,2,FALSE)/1000</f>
        <v>#N/A</v>
      </c>
      <c r="X33" t="e">
        <f>VLOOKUP(V33,Windows!$B$4:$D$84,3,FALSE)/1000</f>
        <v>#N/A</v>
      </c>
      <c r="Y33">
        <f t="shared" si="7"/>
        <v>0</v>
      </c>
      <c r="Z33" t="str">
        <f t="shared" si="8"/>
        <v>N/A</v>
      </c>
      <c r="AA33">
        <f t="shared" si="9"/>
        <v>0</v>
      </c>
      <c r="AC33" t="s">
        <v>8</v>
      </c>
      <c r="AE33">
        <f t="shared" si="10"/>
        <v>0</v>
      </c>
      <c r="AF33">
        <f>AE33*Konstanten!$B$4</f>
        <v>0</v>
      </c>
      <c r="AG33">
        <f t="shared" si="14"/>
        <v>0</v>
      </c>
      <c r="AJ33" s="19">
        <f>58.42+43.64+49.23+22.26+24.56</f>
        <v>198.10999999999999</v>
      </c>
      <c r="AK33" s="19">
        <f t="shared" si="11"/>
        <v>9.9055</v>
      </c>
      <c r="AL33" s="19">
        <f>AK33*Konstanten!$B$3</f>
        <v>24.763750000000002</v>
      </c>
      <c r="AN33">
        <f t="shared" si="12"/>
        <v>0</v>
      </c>
      <c r="AO33">
        <f t="shared" si="13"/>
        <v>0</v>
      </c>
    </row>
    <row r="34" spans="1:44" x14ac:dyDescent="0.25">
      <c r="A34">
        <v>33</v>
      </c>
      <c r="B34">
        <v>6</v>
      </c>
      <c r="C34" t="s">
        <v>18</v>
      </c>
      <c r="E34" s="15" t="s">
        <v>274</v>
      </c>
      <c r="G34" s="21">
        <v>2.2000000000000002</v>
      </c>
      <c r="H34">
        <f>Konstanten!$B$3</f>
        <v>2.5</v>
      </c>
      <c r="I34">
        <f>COUNTIF(Windows!$A$4:$A$84,E34)</f>
        <v>0</v>
      </c>
      <c r="J34" t="e">
        <f>VLOOKUP(E34,Windows!$A$4:$D$84,2,FALSE)</f>
        <v>#N/A</v>
      </c>
      <c r="K34" t="e">
        <f>VLOOKUP(J34,Windows!$B$4:$D$84,2,FALSE)/1000</f>
        <v>#N/A</v>
      </c>
      <c r="L34" t="e">
        <f>VLOOKUP(J34,Windows!$B$4:$D$84,3,FALSE)/1000</f>
        <v>#N/A</v>
      </c>
      <c r="M34">
        <f t="shared" si="4"/>
        <v>0</v>
      </c>
      <c r="N34">
        <f>IF(I34&gt;=2,INDEX(Windows!$B$4:$B$84,MATCH(J34,Windows!$B$4:$B$84,0)+1),0)</f>
        <v>0</v>
      </c>
      <c r="O34" t="e">
        <f>VLOOKUP(N34,Windows!$B$4:$D$84,2,FALSE)/1000</f>
        <v>#N/A</v>
      </c>
      <c r="P34" t="e">
        <f>VLOOKUP(N34,Windows!$B$4:$D$84,3,FALSE)/1000</f>
        <v>#N/A</v>
      </c>
      <c r="Q34">
        <f t="shared" si="5"/>
        <v>0</v>
      </c>
      <c r="R34">
        <f>IF(I34&gt;=3,INDEX(Windows!$B$4:$B$84,MATCH(J34,Windows!$B$4:$B$84,0)+2),0)</f>
        <v>0</v>
      </c>
      <c r="S34" t="e">
        <f>VLOOKUP(R34,Windows!$B$4:$D$84,2,FALSE)/1000</f>
        <v>#N/A</v>
      </c>
      <c r="T34" t="e">
        <f>VLOOKUP(R34,Windows!$B$4:$D$84,3,FALSE)/1000</f>
        <v>#N/A</v>
      </c>
      <c r="U34">
        <f t="shared" si="6"/>
        <v>0</v>
      </c>
      <c r="V34">
        <f>IF(I34&gt;=4,INDEX(Windows!$B$4:$B$84,MATCH(J34,Windows!$B$4:$B$84,0)+3),0)</f>
        <v>0</v>
      </c>
      <c r="W34" t="e">
        <f>VLOOKUP(V34,Windows!$B$4:$D$84,2,FALSE)/1000</f>
        <v>#N/A</v>
      </c>
      <c r="X34" t="e">
        <f>VLOOKUP(V34,Windows!$B$4:$D$84,3,FALSE)/1000</f>
        <v>#N/A</v>
      </c>
      <c r="Y34">
        <f t="shared" si="7"/>
        <v>0</v>
      </c>
      <c r="Z34" t="str">
        <f t="shared" si="8"/>
        <v>N/A</v>
      </c>
      <c r="AA34">
        <f t="shared" si="9"/>
        <v>0</v>
      </c>
      <c r="AC34" t="s">
        <v>8</v>
      </c>
      <c r="AE34">
        <f t="shared" si="10"/>
        <v>0</v>
      </c>
      <c r="AF34">
        <f>AE34*Konstanten!$B$4</f>
        <v>0</v>
      </c>
      <c r="AG34">
        <f t="shared" si="14"/>
        <v>0</v>
      </c>
      <c r="AJ34" s="19">
        <f>2*(19.98+46.31)</f>
        <v>132.58000000000001</v>
      </c>
      <c r="AK34" s="19">
        <f t="shared" si="11"/>
        <v>6.6290000000000013</v>
      </c>
      <c r="AL34" s="19">
        <f>AK34*Konstanten!$B$3</f>
        <v>16.572500000000005</v>
      </c>
      <c r="AN34">
        <f t="shared" si="12"/>
        <v>0</v>
      </c>
      <c r="AO34">
        <f t="shared" si="13"/>
        <v>0</v>
      </c>
    </row>
    <row r="35" spans="1:44" x14ac:dyDescent="0.25">
      <c r="A35">
        <v>34</v>
      </c>
      <c r="B35">
        <v>6</v>
      </c>
      <c r="C35" t="s">
        <v>24</v>
      </c>
      <c r="E35" s="15" t="s">
        <v>275</v>
      </c>
      <c r="G35" s="21">
        <v>7.5</v>
      </c>
      <c r="H35">
        <f>Konstanten!$B$3</f>
        <v>2.5</v>
      </c>
      <c r="I35">
        <f>COUNTIF(Windows!$A$4:$A$84,E35)</f>
        <v>0</v>
      </c>
      <c r="J35" t="e">
        <f>VLOOKUP(E35,Windows!$A$4:$D$84,2,FALSE)</f>
        <v>#N/A</v>
      </c>
      <c r="K35" t="e">
        <f>VLOOKUP(J35,Windows!$B$4:$D$84,2,FALSE)/1000</f>
        <v>#N/A</v>
      </c>
      <c r="L35" t="e">
        <f>VLOOKUP(J35,Windows!$B$4:$D$84,3,FALSE)/1000</f>
        <v>#N/A</v>
      </c>
      <c r="M35">
        <f t="shared" si="4"/>
        <v>0</v>
      </c>
      <c r="N35">
        <f>IF(I35&gt;=2,INDEX(Windows!$B$4:$B$84,MATCH(J35,Windows!$B$4:$B$84,0)+1),0)</f>
        <v>0</v>
      </c>
      <c r="O35" t="e">
        <f>VLOOKUP(N35,Windows!$B$4:$D$84,2,FALSE)/1000</f>
        <v>#N/A</v>
      </c>
      <c r="P35" t="e">
        <f>VLOOKUP(N35,Windows!$B$4:$D$84,3,FALSE)/1000</f>
        <v>#N/A</v>
      </c>
      <c r="Q35">
        <f t="shared" si="5"/>
        <v>0</v>
      </c>
      <c r="R35">
        <f>IF(I35&gt;=3,INDEX(Windows!$B$4:$B$84,MATCH(J35,Windows!$B$4:$B$84,0)+2),0)</f>
        <v>0</v>
      </c>
      <c r="S35" t="e">
        <f>VLOOKUP(R35,Windows!$B$4:$D$84,2,FALSE)/1000</f>
        <v>#N/A</v>
      </c>
      <c r="T35" t="e">
        <f>VLOOKUP(R35,Windows!$B$4:$D$84,3,FALSE)/1000</f>
        <v>#N/A</v>
      </c>
      <c r="U35">
        <f t="shared" si="6"/>
        <v>0</v>
      </c>
      <c r="V35">
        <f>IF(I35&gt;=4,INDEX(Windows!$B$4:$B$84,MATCH(J35,Windows!$B$4:$B$84,0)+3),0)</f>
        <v>0</v>
      </c>
      <c r="W35" t="e">
        <f>VLOOKUP(V35,Windows!$B$4:$D$84,2,FALSE)/1000</f>
        <v>#N/A</v>
      </c>
      <c r="X35" t="e">
        <f>VLOOKUP(V35,Windows!$B$4:$D$84,3,FALSE)/1000</f>
        <v>#N/A</v>
      </c>
      <c r="Y35">
        <f t="shared" si="7"/>
        <v>0</v>
      </c>
      <c r="Z35" t="str">
        <f>IF(I35&gt;0,AC35,"N/A")</f>
        <v>N/A</v>
      </c>
      <c r="AA35">
        <f t="shared" si="9"/>
        <v>0</v>
      </c>
      <c r="AC35" t="s">
        <v>8</v>
      </c>
      <c r="AE35">
        <f>AD35*50/1000</f>
        <v>0</v>
      </c>
      <c r="AF35">
        <f>AE35*Konstanten!$B$4</f>
        <v>0</v>
      </c>
      <c r="AG35">
        <f>IF(AF35-AA35&lt;=0, 0, AF35-AA35)</f>
        <v>0</v>
      </c>
      <c r="AJ35" s="19">
        <f>2*(60.54+46.31)</f>
        <v>213.7</v>
      </c>
      <c r="AK35" s="19">
        <f>50/1000*AJ35</f>
        <v>10.685</v>
      </c>
      <c r="AL35" s="19">
        <f>AK35*Konstanten!$B$3</f>
        <v>26.712500000000002</v>
      </c>
      <c r="AN35">
        <f t="shared" si="12"/>
        <v>0</v>
      </c>
      <c r="AO35">
        <f t="shared" si="13"/>
        <v>0</v>
      </c>
    </row>
    <row r="36" spans="1:44" x14ac:dyDescent="0.25">
      <c r="A36">
        <v>35</v>
      </c>
      <c r="B36">
        <v>6</v>
      </c>
      <c r="C36" t="s">
        <v>18</v>
      </c>
      <c r="E36" s="15" t="s">
        <v>169</v>
      </c>
      <c r="G36" s="21">
        <v>17.600000000000001</v>
      </c>
      <c r="H36">
        <f>Konstanten!$B$3</f>
        <v>2.5</v>
      </c>
      <c r="I36">
        <f>COUNTIF(Windows!$A$4:$A$84,E36)</f>
        <v>1</v>
      </c>
      <c r="J36" t="str">
        <f>VLOOKUP(E36,Windows!$A$4:$D$84,2,FALSE)</f>
        <v>IU21-v</v>
      </c>
      <c r="K36">
        <f>VLOOKUP(J36,Windows!$B$4:$D$84,2,FALSE)/1000</f>
        <v>2.12</v>
      </c>
      <c r="L36">
        <f>VLOOKUP(J36,Windows!$B$4:$D$84,3,FALSE)/1000</f>
        <v>1.67</v>
      </c>
      <c r="M36">
        <f t="shared" si="4"/>
        <v>3.5404</v>
      </c>
      <c r="N36">
        <f>IF(I36&gt;=2,INDEX(Windows!$B$4:$B$84,MATCH(J36,Windows!$B$4:$B$84,0)+1),0)</f>
        <v>0</v>
      </c>
      <c r="O36" t="e">
        <f>VLOOKUP(N36,Windows!$B$4:$D$84,2,FALSE)/1000</f>
        <v>#N/A</v>
      </c>
      <c r="P36" t="e">
        <f>VLOOKUP(N36,Windows!$B$4:$D$84,3,FALSE)/1000</f>
        <v>#N/A</v>
      </c>
      <c r="Q36">
        <f t="shared" si="5"/>
        <v>0</v>
      </c>
      <c r="R36">
        <f>IF(I36&gt;=3,INDEX(Windows!$B$4:$B$84,MATCH(J36,Windows!$B$4:$B$84,0)+2),0)</f>
        <v>0</v>
      </c>
      <c r="S36" t="e">
        <f>VLOOKUP(R36,Windows!$B$4:$D$84,2,FALSE)/1000</f>
        <v>#N/A</v>
      </c>
      <c r="T36" t="e">
        <f>VLOOKUP(R36,Windows!$B$4:$D$84,3,FALSE)/1000</f>
        <v>#N/A</v>
      </c>
      <c r="U36">
        <f t="shared" si="6"/>
        <v>0</v>
      </c>
      <c r="V36">
        <f>IF(I36&gt;=4,INDEX(Windows!$B$4:$B$84,MATCH(J36,Windows!$B$4:$B$84,0)+3),0)</f>
        <v>0</v>
      </c>
      <c r="W36" t="e">
        <f>VLOOKUP(V36,Windows!$B$4:$D$84,2,FALSE)/1000</f>
        <v>#N/A</v>
      </c>
      <c r="X36" t="e">
        <f>VLOOKUP(V36,Windows!$B$4:$D$84,3,FALSE)/1000</f>
        <v>#N/A</v>
      </c>
      <c r="Y36">
        <f t="shared" si="7"/>
        <v>0</v>
      </c>
      <c r="Z36">
        <f t="shared" ref="Z36:Z44" si="19">IF(I36&gt;0,AC36,"N/A")</f>
        <v>180</v>
      </c>
      <c r="AA36">
        <f t="shared" si="9"/>
        <v>3.5404</v>
      </c>
      <c r="AC36">
        <v>180</v>
      </c>
      <c r="AD36">
        <v>50.93</v>
      </c>
      <c r="AE36">
        <f t="shared" ref="AE36:AE44" si="20">AD36*50/1000</f>
        <v>2.5465</v>
      </c>
      <c r="AF36">
        <f>AE36*Konstanten!$B$4</f>
        <v>10.822625</v>
      </c>
      <c r="AG36">
        <f>IF(AF36-AA36&lt;=0, 0, AF36-AA36)</f>
        <v>7.2822250000000004</v>
      </c>
      <c r="AH36" t="s">
        <v>83</v>
      </c>
      <c r="AJ36" s="19">
        <f>80.08+81.55+46.31+12.45+64.87</f>
        <v>285.26</v>
      </c>
      <c r="AK36" s="19">
        <f t="shared" ref="AK36:AK44" si="21">50/1000*AJ36</f>
        <v>14.263</v>
      </c>
      <c r="AL36" s="19">
        <f>AK36*Konstanten!$B$3</f>
        <v>35.657499999999999</v>
      </c>
      <c r="AN36">
        <f t="shared" si="12"/>
        <v>0</v>
      </c>
      <c r="AO36">
        <f t="shared" si="13"/>
        <v>0</v>
      </c>
    </row>
    <row r="37" spans="1:44" x14ac:dyDescent="0.25">
      <c r="A37">
        <v>36</v>
      </c>
      <c r="B37">
        <v>6</v>
      </c>
      <c r="C37" t="s">
        <v>32</v>
      </c>
      <c r="E37" s="15" t="s">
        <v>276</v>
      </c>
      <c r="F37" t="s">
        <v>159</v>
      </c>
      <c r="G37" s="21">
        <v>4.7</v>
      </c>
      <c r="H37">
        <f>Konstanten!$B$3</f>
        <v>2.5</v>
      </c>
      <c r="I37">
        <f>COUNTIF(Windows!$A$4:$A$84,E37)</f>
        <v>0</v>
      </c>
      <c r="J37" t="e">
        <f>VLOOKUP(E37,Windows!$A$4:$D$84,2,FALSE)</f>
        <v>#N/A</v>
      </c>
      <c r="K37" t="e">
        <f>VLOOKUP(J37,Windows!$B$4:$D$84,2,FALSE)/1000</f>
        <v>#N/A</v>
      </c>
      <c r="L37" t="e">
        <f>VLOOKUP(J37,Windows!$B$4:$D$84,3,FALSE)/1000</f>
        <v>#N/A</v>
      </c>
      <c r="M37">
        <f t="shared" si="4"/>
        <v>0</v>
      </c>
      <c r="N37">
        <f>IF(I37&gt;=2,INDEX(Windows!$B$4:$B$84,MATCH(J37,Windows!$B$4:$B$84,0)+1),0)</f>
        <v>0</v>
      </c>
      <c r="O37" t="e">
        <f>VLOOKUP(N37,Windows!$B$4:$D$84,2,FALSE)/1000</f>
        <v>#N/A</v>
      </c>
      <c r="P37" t="e">
        <f>VLOOKUP(N37,Windows!$B$4:$D$84,3,FALSE)/1000</f>
        <v>#N/A</v>
      </c>
      <c r="Q37">
        <f t="shared" si="5"/>
        <v>0</v>
      </c>
      <c r="R37">
        <f>IF(I37&gt;=3,INDEX(Windows!$B$4:$B$84,MATCH(J37,Windows!$B$4:$B$84,0)+2),0)</f>
        <v>0</v>
      </c>
      <c r="S37" t="e">
        <f>VLOOKUP(R37,Windows!$B$4:$D$84,2,FALSE)/1000</f>
        <v>#N/A</v>
      </c>
      <c r="T37" t="e">
        <f>VLOOKUP(R37,Windows!$B$4:$D$84,3,FALSE)/1000</f>
        <v>#N/A</v>
      </c>
      <c r="U37">
        <f t="shared" si="6"/>
        <v>0</v>
      </c>
      <c r="V37">
        <f>IF(I37&gt;=4,INDEX(Windows!$B$4:$B$84,MATCH(J37,Windows!$B$4:$B$84,0)+3),0)</f>
        <v>0</v>
      </c>
      <c r="W37" t="e">
        <f>VLOOKUP(V37,Windows!$B$4:$D$84,2,FALSE)/1000</f>
        <v>#N/A</v>
      </c>
      <c r="X37" t="e">
        <f>VLOOKUP(V37,Windows!$B$4:$D$84,3,FALSE)/1000</f>
        <v>#N/A</v>
      </c>
      <c r="Y37">
        <f t="shared" si="7"/>
        <v>0</v>
      </c>
      <c r="Z37" t="str">
        <f t="shared" si="19"/>
        <v>N/A</v>
      </c>
      <c r="AA37">
        <f t="shared" si="9"/>
        <v>0</v>
      </c>
      <c r="AC37" t="s">
        <v>8</v>
      </c>
      <c r="AE37">
        <f t="shared" si="20"/>
        <v>0</v>
      </c>
      <c r="AF37">
        <f>AE37*Konstanten!$B$4</f>
        <v>0</v>
      </c>
      <c r="AG37">
        <f t="shared" ref="AG37:AG44" si="22">IF(AF37-AA37&lt;=0, 0, AF37-AA37)</f>
        <v>0</v>
      </c>
      <c r="AJ37" s="19">
        <f>2*(40.55+46.49)</f>
        <v>174.07999999999998</v>
      </c>
      <c r="AK37" s="19">
        <f t="shared" si="21"/>
        <v>8.7039999999999988</v>
      </c>
      <c r="AL37" s="19">
        <f>AK37*Konstanten!$B$3</f>
        <v>21.759999999999998</v>
      </c>
      <c r="AN37">
        <f t="shared" si="12"/>
        <v>0</v>
      </c>
      <c r="AO37">
        <f t="shared" si="13"/>
        <v>0</v>
      </c>
      <c r="AR37"/>
    </row>
    <row r="38" spans="1:44" x14ac:dyDescent="0.25">
      <c r="A38">
        <v>37</v>
      </c>
      <c r="B38">
        <v>6</v>
      </c>
      <c r="C38" s="12" t="s">
        <v>33</v>
      </c>
      <c r="D38" s="12"/>
      <c r="E38" s="15" t="s">
        <v>159</v>
      </c>
      <c r="F38" s="12"/>
      <c r="G38" s="21">
        <v>19.899999999999999</v>
      </c>
      <c r="H38">
        <f>Konstanten!$B$3</f>
        <v>2.5</v>
      </c>
      <c r="I38">
        <f>COUNTIF(Windows!$A$4:$A$84,E38)</f>
        <v>2</v>
      </c>
      <c r="J38" t="str">
        <f>VLOOKUP(E38,Windows!$A$4:$D$84,2,FALSE)</f>
        <v>IU11-v+OTL3-v</v>
      </c>
      <c r="K38">
        <f>VLOOKUP(J38,Windows!$B$4:$D$84,2,FALSE)/1000</f>
        <v>1.35</v>
      </c>
      <c r="L38">
        <f>VLOOKUP(J38,Windows!$B$4:$D$84,3,FALSE)/1000</f>
        <v>1.67</v>
      </c>
      <c r="M38">
        <f t="shared" si="4"/>
        <v>2.2545000000000002</v>
      </c>
      <c r="N38" t="str">
        <f>IF(I38&gt;=2,INDEX(Windows!$B$4:$B$84,MATCH(J38,Windows!$B$4:$B$84,0)+1),0)</f>
        <v>IU21-o</v>
      </c>
      <c r="O38">
        <f>VLOOKUP(N38,Windows!$B$4:$D$84,2,FALSE)/1000</f>
        <v>2.12</v>
      </c>
      <c r="P38">
        <f>VLOOKUP(N38,Windows!$B$4:$D$84,3,FALSE)/1000</f>
        <v>1.67</v>
      </c>
      <c r="Q38">
        <f t="shared" si="5"/>
        <v>3.5404</v>
      </c>
      <c r="R38">
        <f>IF(I38&gt;=3,INDEX(Windows!$B$4:$B$84,MATCH(J38,Windows!$B$4:$B$84,0)+2),0)</f>
        <v>0</v>
      </c>
      <c r="S38" t="e">
        <f>VLOOKUP(R38,Windows!$B$4:$D$84,2,FALSE)/1000</f>
        <v>#N/A</v>
      </c>
      <c r="T38" t="e">
        <f>VLOOKUP(R38,Windows!$B$4:$D$84,3,FALSE)/1000</f>
        <v>#N/A</v>
      </c>
      <c r="U38">
        <f t="shared" si="6"/>
        <v>0</v>
      </c>
      <c r="V38">
        <f>IF(I38&gt;=4,INDEX(Windows!$B$4:$B$84,MATCH(J38,Windows!$B$4:$B$84,0)+3),0)</f>
        <v>0</v>
      </c>
      <c r="W38" t="e">
        <f>VLOOKUP(V38,Windows!$B$4:$D$84,2,FALSE)/1000</f>
        <v>#N/A</v>
      </c>
      <c r="X38" t="e">
        <f>VLOOKUP(V38,Windows!$B$4:$D$84,3,FALSE)/1000</f>
        <v>#N/A</v>
      </c>
      <c r="Y38">
        <f t="shared" si="7"/>
        <v>0</v>
      </c>
      <c r="Z38">
        <f t="shared" si="19"/>
        <v>180</v>
      </c>
      <c r="AA38">
        <f t="shared" si="9"/>
        <v>5.7949000000000002</v>
      </c>
      <c r="AC38">
        <v>180</v>
      </c>
      <c r="AD38">
        <v>84.45</v>
      </c>
      <c r="AE38">
        <f t="shared" si="20"/>
        <v>4.2225000000000001</v>
      </c>
      <c r="AF38">
        <f>AE38*Konstanten!$B$4</f>
        <v>17.945625</v>
      </c>
      <c r="AG38">
        <f t="shared" si="22"/>
        <v>12.150725</v>
      </c>
      <c r="AH38" t="s">
        <v>83</v>
      </c>
      <c r="AJ38" s="19">
        <f>82.29+26.63+22.97+43.14+93.57</f>
        <v>268.59999999999997</v>
      </c>
      <c r="AK38" s="19">
        <f t="shared" si="21"/>
        <v>13.43</v>
      </c>
      <c r="AL38" s="19">
        <f>AK38*Konstanten!$B$3</f>
        <v>33.575000000000003</v>
      </c>
      <c r="AN38">
        <f t="shared" si="12"/>
        <v>0</v>
      </c>
      <c r="AO38">
        <f t="shared" si="13"/>
        <v>0</v>
      </c>
    </row>
    <row r="39" spans="1:44" x14ac:dyDescent="0.25">
      <c r="A39">
        <v>38</v>
      </c>
      <c r="B39">
        <v>6</v>
      </c>
      <c r="C39" s="15" t="s">
        <v>23</v>
      </c>
      <c r="E39" s="15" t="s">
        <v>277</v>
      </c>
      <c r="F39" t="s">
        <v>159</v>
      </c>
      <c r="G39" s="21">
        <v>6.3</v>
      </c>
      <c r="H39">
        <f>Konstanten!$B$3</f>
        <v>2.5</v>
      </c>
      <c r="I39">
        <f>COUNTIF(Windows!$A$4:$A$84,E39)</f>
        <v>0</v>
      </c>
      <c r="J39" t="e">
        <f>VLOOKUP(E39,Windows!$A$4:$D$84,2,FALSE)</f>
        <v>#N/A</v>
      </c>
      <c r="K39" t="e">
        <f>VLOOKUP(J39,Windows!$B$4:$D$84,2,FALSE)/1000</f>
        <v>#N/A</v>
      </c>
      <c r="L39" t="e">
        <f>VLOOKUP(J39,Windows!$B$4:$D$84,3,FALSE)/1000</f>
        <v>#N/A</v>
      </c>
      <c r="M39">
        <f t="shared" si="4"/>
        <v>0</v>
      </c>
      <c r="N39">
        <f>IF(I39&gt;=2,INDEX(Windows!$B$4:$B$84,MATCH(J39,Windows!$B$4:$B$84,0)+1),0)</f>
        <v>0</v>
      </c>
      <c r="O39" t="e">
        <f>VLOOKUP(N39,Windows!$B$4:$D$84,2,FALSE)/1000</f>
        <v>#N/A</v>
      </c>
      <c r="P39" t="e">
        <f>VLOOKUP(N39,Windows!$B$4:$D$84,3,FALSE)/1000</f>
        <v>#N/A</v>
      </c>
      <c r="Q39">
        <f t="shared" si="5"/>
        <v>0</v>
      </c>
      <c r="R39">
        <f>IF(I39&gt;=3,INDEX(Windows!$B$4:$B$84,MATCH(J39,Windows!$B$4:$B$84,0)+2),0)</f>
        <v>0</v>
      </c>
      <c r="S39" t="e">
        <f>VLOOKUP(R39,Windows!$B$4:$D$84,2,FALSE)/1000</f>
        <v>#N/A</v>
      </c>
      <c r="T39" t="e">
        <f>VLOOKUP(R39,Windows!$B$4:$D$84,3,FALSE)/1000</f>
        <v>#N/A</v>
      </c>
      <c r="U39">
        <f t="shared" si="6"/>
        <v>0</v>
      </c>
      <c r="V39">
        <f>IF(I39&gt;=4,INDEX(Windows!$B$4:$B$84,MATCH(J39,Windows!$B$4:$B$84,0)+3),0)</f>
        <v>0</v>
      </c>
      <c r="W39" t="e">
        <f>VLOOKUP(V39,Windows!$B$4:$D$84,2,FALSE)/1000</f>
        <v>#N/A</v>
      </c>
      <c r="X39" t="e">
        <f>VLOOKUP(V39,Windows!$B$4:$D$84,3,FALSE)/1000</f>
        <v>#N/A</v>
      </c>
      <c r="Y39">
        <f t="shared" si="7"/>
        <v>0</v>
      </c>
      <c r="Z39" t="str">
        <f t="shared" si="19"/>
        <v>N/A</v>
      </c>
      <c r="AA39">
        <f t="shared" si="9"/>
        <v>0</v>
      </c>
      <c r="AC39" t="s">
        <v>8</v>
      </c>
      <c r="AE39">
        <f t="shared" si="20"/>
        <v>0</v>
      </c>
      <c r="AF39">
        <f>AE39*Konstanten!$B$4</f>
        <v>0</v>
      </c>
      <c r="AG39">
        <f t="shared" si="22"/>
        <v>0</v>
      </c>
      <c r="AJ39" s="19">
        <f>58.49+26.63+22.97+46.49+46.67</f>
        <v>201.25</v>
      </c>
      <c r="AK39" s="19">
        <f t="shared" si="21"/>
        <v>10.0625</v>
      </c>
      <c r="AL39" s="19">
        <f>AK39*Konstanten!$B$3</f>
        <v>25.15625</v>
      </c>
      <c r="AN39">
        <f t="shared" si="12"/>
        <v>0</v>
      </c>
      <c r="AO39">
        <f t="shared" si="13"/>
        <v>0</v>
      </c>
    </row>
    <row r="40" spans="1:44" x14ac:dyDescent="0.25">
      <c r="A40" s="12">
        <v>39</v>
      </c>
      <c r="B40">
        <v>6</v>
      </c>
      <c r="C40" s="15" t="s">
        <v>32</v>
      </c>
      <c r="E40" s="15" t="s">
        <v>278</v>
      </c>
      <c r="F40" t="s">
        <v>155</v>
      </c>
      <c r="G40" s="21">
        <v>4.7</v>
      </c>
      <c r="H40">
        <f>Konstanten!$B$3</f>
        <v>2.5</v>
      </c>
      <c r="I40">
        <f>COUNTIF(Windows!$A$4:$A$84,E40)</f>
        <v>0</v>
      </c>
      <c r="J40" t="e">
        <f>VLOOKUP(E40,Windows!$A$4:$D$84,2,FALSE)</f>
        <v>#N/A</v>
      </c>
      <c r="K40" t="e">
        <f>VLOOKUP(J40,Windows!$B$4:$D$84,2,FALSE)/1000</f>
        <v>#N/A</v>
      </c>
      <c r="L40" t="e">
        <f>VLOOKUP(J40,Windows!$B$4:$D$84,3,FALSE)/1000</f>
        <v>#N/A</v>
      </c>
      <c r="M40">
        <f t="shared" si="4"/>
        <v>0</v>
      </c>
      <c r="N40">
        <f>IF(I40&gt;=2,INDEX(Windows!$B$4:$B$84,MATCH(J40,Windows!$B$4:$B$84,0)+1),0)</f>
        <v>0</v>
      </c>
      <c r="O40" t="e">
        <f>VLOOKUP(N40,Windows!$B$4:$D$84,2,FALSE)/1000</f>
        <v>#N/A</v>
      </c>
      <c r="P40" t="e">
        <f>VLOOKUP(N40,Windows!$B$4:$D$84,3,FALSE)/1000</f>
        <v>#N/A</v>
      </c>
      <c r="Q40">
        <f t="shared" si="5"/>
        <v>0</v>
      </c>
      <c r="R40">
        <f>IF(I40&gt;=3,INDEX(Windows!$B$4:$B$84,MATCH(J40,Windows!$B$4:$B$84,0)+2),0)</f>
        <v>0</v>
      </c>
      <c r="S40" t="e">
        <f>VLOOKUP(R40,Windows!$B$4:$D$84,2,FALSE)/1000</f>
        <v>#N/A</v>
      </c>
      <c r="T40" t="e">
        <f>VLOOKUP(R40,Windows!$B$4:$D$84,3,FALSE)/1000</f>
        <v>#N/A</v>
      </c>
      <c r="U40">
        <f t="shared" si="6"/>
        <v>0</v>
      </c>
      <c r="V40">
        <f>IF(I40&gt;=4,INDEX(Windows!$B$4:$B$84,MATCH(J40,Windows!$B$4:$B$84,0)+3),0)</f>
        <v>0</v>
      </c>
      <c r="W40" t="e">
        <f>VLOOKUP(V40,Windows!$B$4:$D$84,2,FALSE)/1000</f>
        <v>#N/A</v>
      </c>
      <c r="X40" t="e">
        <f>VLOOKUP(V40,Windows!$B$4:$D$84,3,FALSE)/1000</f>
        <v>#N/A</v>
      </c>
      <c r="Y40">
        <f t="shared" si="7"/>
        <v>0</v>
      </c>
      <c r="Z40" t="str">
        <f t="shared" si="19"/>
        <v>N/A</v>
      </c>
      <c r="AA40">
        <f t="shared" si="9"/>
        <v>0</v>
      </c>
      <c r="AC40" t="s">
        <v>8</v>
      </c>
      <c r="AE40">
        <f t="shared" si="20"/>
        <v>0</v>
      </c>
      <c r="AF40">
        <f>AE40*Konstanten!$B$4</f>
        <v>0</v>
      </c>
      <c r="AG40">
        <f t="shared" si="22"/>
        <v>0</v>
      </c>
      <c r="AJ40" s="19">
        <f>2*(40.54+46.49)</f>
        <v>174.06</v>
      </c>
      <c r="AK40" s="19">
        <f t="shared" si="21"/>
        <v>8.7030000000000012</v>
      </c>
      <c r="AL40" s="19">
        <f>AK40*Konstanten!$B$3</f>
        <v>21.757500000000004</v>
      </c>
      <c r="AN40">
        <f t="shared" si="12"/>
        <v>0</v>
      </c>
      <c r="AO40">
        <f t="shared" si="13"/>
        <v>0</v>
      </c>
    </row>
    <row r="41" spans="1:44" x14ac:dyDescent="0.25">
      <c r="A41">
        <v>40</v>
      </c>
      <c r="B41">
        <v>6</v>
      </c>
      <c r="C41" s="15" t="s">
        <v>33</v>
      </c>
      <c r="E41" s="15" t="s">
        <v>155</v>
      </c>
      <c r="G41" s="21">
        <v>19.3</v>
      </c>
      <c r="H41">
        <f>Konstanten!$B$3</f>
        <v>2.5</v>
      </c>
      <c r="I41">
        <f>COUNTIF(Windows!$A$4:$A$84,E41)</f>
        <v>2</v>
      </c>
      <c r="J41" t="str">
        <f>VLOOKUP(E41,Windows!$A$4:$D$84,2,FALSE)</f>
        <v>IU11-o+VTL3-o</v>
      </c>
      <c r="K41">
        <f>VLOOKUP(J41,Windows!$B$4:$D$84,2,FALSE)/1000</f>
        <v>1.35</v>
      </c>
      <c r="L41">
        <f>VLOOKUP(J41,Windows!$B$4:$D$84,3,FALSE)/1000</f>
        <v>1.67</v>
      </c>
      <c r="M41">
        <f t="shared" si="4"/>
        <v>2.2545000000000002</v>
      </c>
      <c r="N41" t="str">
        <f>IF(I41&gt;=2,INDEX(Windows!$B$4:$B$84,MATCH(J41,Windows!$B$4:$B$84,0)+1),0)</f>
        <v>IU21-o</v>
      </c>
      <c r="O41">
        <f>VLOOKUP(N41,Windows!$B$4:$D$84,2,FALSE)/1000</f>
        <v>2.12</v>
      </c>
      <c r="P41">
        <f>VLOOKUP(N41,Windows!$B$4:$D$84,3,FALSE)/1000</f>
        <v>1.67</v>
      </c>
      <c r="Q41">
        <f t="shared" si="5"/>
        <v>3.5404</v>
      </c>
      <c r="R41">
        <f>IF(I41&gt;=3,INDEX(Windows!$B$4:$B$84,MATCH(J41,Windows!$B$4:$B$84,0)+2),0)</f>
        <v>0</v>
      </c>
      <c r="S41" t="e">
        <f>VLOOKUP(R41,Windows!$B$4:$D$84,2,FALSE)/1000</f>
        <v>#N/A</v>
      </c>
      <c r="T41" t="e">
        <f>VLOOKUP(R41,Windows!$B$4:$D$84,3,FALSE)/1000</f>
        <v>#N/A</v>
      </c>
      <c r="U41">
        <f t="shared" si="6"/>
        <v>0</v>
      </c>
      <c r="V41">
        <f>IF(I41&gt;=4,INDEX(Windows!$B$4:$B$84,MATCH(J41,Windows!$B$4:$B$84,0)+3),0)</f>
        <v>0</v>
      </c>
      <c r="W41" t="e">
        <f>VLOOKUP(V41,Windows!$B$4:$D$84,2,FALSE)/1000</f>
        <v>#N/A</v>
      </c>
      <c r="X41" t="e">
        <f>VLOOKUP(V41,Windows!$B$4:$D$84,3,FALSE)/1000</f>
        <v>#N/A</v>
      </c>
      <c r="Y41">
        <f t="shared" si="7"/>
        <v>0</v>
      </c>
      <c r="Z41">
        <f t="shared" si="19"/>
        <v>180</v>
      </c>
      <c r="AA41">
        <f t="shared" si="9"/>
        <v>5.7949000000000002</v>
      </c>
      <c r="AC41">
        <v>180</v>
      </c>
      <c r="AD41">
        <v>86.98</v>
      </c>
      <c r="AE41">
        <f t="shared" si="20"/>
        <v>4.3490000000000002</v>
      </c>
      <c r="AF41">
        <f>AE41*Konstanten!$B$4</f>
        <v>18.483250000000002</v>
      </c>
      <c r="AG41">
        <f t="shared" si="22"/>
        <v>12.688350000000002</v>
      </c>
      <c r="AH41" t="s">
        <v>83</v>
      </c>
      <c r="AJ41" s="19">
        <f>82.29+23.75+23+43.19+93.57</f>
        <v>265.8</v>
      </c>
      <c r="AK41" s="19">
        <f t="shared" si="21"/>
        <v>13.290000000000001</v>
      </c>
      <c r="AL41" s="19">
        <f>AK41*Konstanten!$B$3</f>
        <v>33.225000000000001</v>
      </c>
      <c r="AN41">
        <f t="shared" si="12"/>
        <v>0</v>
      </c>
      <c r="AO41">
        <f t="shared" si="13"/>
        <v>0</v>
      </c>
    </row>
    <row r="42" spans="1:44" x14ac:dyDescent="0.25">
      <c r="A42">
        <v>41</v>
      </c>
      <c r="B42">
        <v>6</v>
      </c>
      <c r="C42" s="15" t="s">
        <v>23</v>
      </c>
      <c r="E42" s="15" t="s">
        <v>279</v>
      </c>
      <c r="F42" t="s">
        <v>155</v>
      </c>
      <c r="G42" s="21">
        <v>6</v>
      </c>
      <c r="H42">
        <f>Konstanten!$B$3</f>
        <v>2.5</v>
      </c>
      <c r="I42">
        <f>COUNTIF(Windows!$A$4:$A$84,E42)</f>
        <v>0</v>
      </c>
      <c r="J42" t="e">
        <f>VLOOKUP(E42,Windows!$A$4:$D$84,2,FALSE)</f>
        <v>#N/A</v>
      </c>
      <c r="K42" t="e">
        <f>VLOOKUP(J42,Windows!$B$4:$D$84,2,FALSE)/1000</f>
        <v>#N/A</v>
      </c>
      <c r="L42" t="e">
        <f>VLOOKUP(J42,Windows!$B$4:$D$84,3,FALSE)/1000</f>
        <v>#N/A</v>
      </c>
      <c r="M42">
        <f t="shared" si="4"/>
        <v>0</v>
      </c>
      <c r="N42">
        <f>IF(I42&gt;=2,INDEX(Windows!$B$4:$B$84,MATCH(J42,Windows!$B$4:$B$84,0)+1),0)</f>
        <v>0</v>
      </c>
      <c r="O42" t="e">
        <f>VLOOKUP(N42,Windows!$B$4:$D$84,2,FALSE)/1000</f>
        <v>#N/A</v>
      </c>
      <c r="P42" t="e">
        <f>VLOOKUP(N42,Windows!$B$4:$D$84,3,FALSE)/1000</f>
        <v>#N/A</v>
      </c>
      <c r="Q42">
        <f t="shared" si="5"/>
        <v>0</v>
      </c>
      <c r="R42">
        <f>IF(I42&gt;=3,INDEX(Windows!$B$4:$B$84,MATCH(J42,Windows!$B$4:$B$84,0)+2),0)</f>
        <v>0</v>
      </c>
      <c r="S42" t="e">
        <f>VLOOKUP(R42,Windows!$B$4:$D$84,2,FALSE)/1000</f>
        <v>#N/A</v>
      </c>
      <c r="T42" t="e">
        <f>VLOOKUP(R42,Windows!$B$4:$D$84,3,FALSE)/1000</f>
        <v>#N/A</v>
      </c>
      <c r="U42">
        <f t="shared" si="6"/>
        <v>0</v>
      </c>
      <c r="V42">
        <f>IF(I42&gt;=4,INDEX(Windows!$B$4:$B$84,MATCH(J42,Windows!$B$4:$B$84,0)+3),0)</f>
        <v>0</v>
      </c>
      <c r="W42" t="e">
        <f>VLOOKUP(V42,Windows!$B$4:$D$84,2,FALSE)/1000</f>
        <v>#N/A</v>
      </c>
      <c r="X42" t="e">
        <f>VLOOKUP(V42,Windows!$B$4:$D$84,3,FALSE)/1000</f>
        <v>#N/A</v>
      </c>
      <c r="Y42">
        <f t="shared" si="7"/>
        <v>0</v>
      </c>
      <c r="Z42" t="str">
        <f t="shared" si="19"/>
        <v>N/A</v>
      </c>
      <c r="AA42">
        <f t="shared" si="9"/>
        <v>0</v>
      </c>
      <c r="AC42" t="s">
        <v>8</v>
      </c>
      <c r="AE42">
        <f t="shared" si="20"/>
        <v>0</v>
      </c>
      <c r="AF42">
        <f>AE42*Konstanten!$B$4</f>
        <v>0</v>
      </c>
      <c r="AG42">
        <f t="shared" si="22"/>
        <v>0</v>
      </c>
      <c r="AJ42" s="19">
        <f>43.41+46.91+23+23.75+58.43</f>
        <v>195.5</v>
      </c>
      <c r="AK42" s="19">
        <f t="shared" si="21"/>
        <v>9.7750000000000004</v>
      </c>
      <c r="AL42" s="19">
        <f>AK42*Konstanten!$B$3</f>
        <v>24.4375</v>
      </c>
      <c r="AN42">
        <f t="shared" si="12"/>
        <v>0</v>
      </c>
      <c r="AO42">
        <f t="shared" si="13"/>
        <v>0</v>
      </c>
    </row>
    <row r="43" spans="1:44" x14ac:dyDescent="0.25">
      <c r="A43">
        <v>42</v>
      </c>
      <c r="B43">
        <v>6</v>
      </c>
      <c r="C43" s="15" t="s">
        <v>32</v>
      </c>
      <c r="E43" s="15" t="s">
        <v>280</v>
      </c>
      <c r="F43" s="15" t="s">
        <v>160</v>
      </c>
      <c r="G43" s="21">
        <v>4.7</v>
      </c>
      <c r="H43">
        <f>Konstanten!$B$3</f>
        <v>2.5</v>
      </c>
      <c r="I43">
        <f>COUNTIF(Windows!$A$4:$A$84,E43)</f>
        <v>0</v>
      </c>
      <c r="J43" t="e">
        <f>VLOOKUP(E43,Windows!$A$4:$D$84,2,FALSE)</f>
        <v>#N/A</v>
      </c>
      <c r="K43" t="e">
        <f>VLOOKUP(J43,Windows!$B$4:$D$84,2,FALSE)/1000</f>
        <v>#N/A</v>
      </c>
      <c r="L43" t="e">
        <f>VLOOKUP(J43,Windows!$B$4:$D$84,3,FALSE)/1000</f>
        <v>#N/A</v>
      </c>
      <c r="M43">
        <f t="shared" si="4"/>
        <v>0</v>
      </c>
      <c r="N43">
        <f>IF(I43&gt;=2,INDEX(Windows!$B$4:$B$84,MATCH(J43,Windows!$B$4:$B$84,0)+1),0)</f>
        <v>0</v>
      </c>
      <c r="O43" t="e">
        <f>VLOOKUP(N43,Windows!$B$4:$D$84,2,FALSE)/1000</f>
        <v>#N/A</v>
      </c>
      <c r="P43" t="e">
        <f>VLOOKUP(N43,Windows!$B$4:$D$84,3,FALSE)/1000</f>
        <v>#N/A</v>
      </c>
      <c r="Q43">
        <f t="shared" si="5"/>
        <v>0</v>
      </c>
      <c r="R43">
        <f>IF(I43&gt;=3,INDEX(Windows!$B$4:$B$84,MATCH(J43,Windows!$B$4:$B$84,0)+2),0)</f>
        <v>0</v>
      </c>
      <c r="S43" t="e">
        <f>VLOOKUP(R43,Windows!$B$4:$D$84,2,FALSE)/1000</f>
        <v>#N/A</v>
      </c>
      <c r="T43" t="e">
        <f>VLOOKUP(R43,Windows!$B$4:$D$84,3,FALSE)/1000</f>
        <v>#N/A</v>
      </c>
      <c r="U43">
        <f t="shared" si="6"/>
        <v>0</v>
      </c>
      <c r="V43">
        <f>IF(I43&gt;=4,INDEX(Windows!$B$4:$B$84,MATCH(J43,Windows!$B$4:$B$84,0)+3),0)</f>
        <v>0</v>
      </c>
      <c r="W43" t="e">
        <f>VLOOKUP(V43,Windows!$B$4:$D$84,2,FALSE)/1000</f>
        <v>#N/A</v>
      </c>
      <c r="X43" t="e">
        <f>VLOOKUP(V43,Windows!$B$4:$D$84,3,FALSE)/1000</f>
        <v>#N/A</v>
      </c>
      <c r="Y43">
        <f t="shared" si="7"/>
        <v>0</v>
      </c>
      <c r="Z43" t="str">
        <f t="shared" si="19"/>
        <v>N/A</v>
      </c>
      <c r="AA43">
        <f t="shared" si="9"/>
        <v>0</v>
      </c>
      <c r="AC43" t="s">
        <v>8</v>
      </c>
      <c r="AE43">
        <f t="shared" si="20"/>
        <v>0</v>
      </c>
      <c r="AF43">
        <f>AE43*Konstanten!$B$4</f>
        <v>0</v>
      </c>
      <c r="AG43">
        <f t="shared" si="22"/>
        <v>0</v>
      </c>
      <c r="AJ43" s="19">
        <f>2*(46.61+46.55)</f>
        <v>186.32</v>
      </c>
      <c r="AK43" s="19">
        <f t="shared" si="21"/>
        <v>9.3160000000000007</v>
      </c>
      <c r="AL43" s="19">
        <f>AK43*Konstanten!$B$3</f>
        <v>23.290000000000003</v>
      </c>
      <c r="AN43">
        <f t="shared" si="12"/>
        <v>0</v>
      </c>
      <c r="AO43">
        <f t="shared" si="13"/>
        <v>0</v>
      </c>
    </row>
    <row r="44" spans="1:44" x14ac:dyDescent="0.25">
      <c r="A44" s="12">
        <v>43</v>
      </c>
      <c r="B44">
        <v>6</v>
      </c>
      <c r="C44" s="15" t="s">
        <v>33</v>
      </c>
      <c r="E44" s="15" t="s">
        <v>160</v>
      </c>
      <c r="G44" s="21">
        <v>19.3</v>
      </c>
      <c r="H44">
        <f>Konstanten!$B$3</f>
        <v>2.5</v>
      </c>
      <c r="I44">
        <f>COUNTIF(Windows!$A$4:$A$84,E44)</f>
        <v>2</v>
      </c>
      <c r="J44" t="str">
        <f>VLOOKUP(E44,Windows!$A$4:$D$84,2,FALSE)</f>
        <v>IU11-v+OTL3-v</v>
      </c>
      <c r="K44">
        <f>VLOOKUP(J44,Windows!$B$4:$D$84,2,FALSE)/1000</f>
        <v>1.35</v>
      </c>
      <c r="L44">
        <f>VLOOKUP(J44,Windows!$B$4:$D$84,3,FALSE)/1000</f>
        <v>1.67</v>
      </c>
      <c r="M44">
        <f t="shared" si="4"/>
        <v>2.2545000000000002</v>
      </c>
      <c r="N44" t="str">
        <f>IF(I44&gt;=2,INDEX(Windows!$B$4:$B$84,MATCH(J44,Windows!$B$4:$B$84,0)+1),0)</f>
        <v>IU21-o</v>
      </c>
      <c r="O44">
        <f>VLOOKUP(N44,Windows!$B$4:$D$84,2,FALSE)/1000</f>
        <v>2.12</v>
      </c>
      <c r="P44">
        <f>VLOOKUP(N44,Windows!$B$4:$D$84,3,FALSE)/1000</f>
        <v>1.67</v>
      </c>
      <c r="Q44">
        <f t="shared" si="5"/>
        <v>3.5404</v>
      </c>
      <c r="R44">
        <f>IF(I44&gt;=3,INDEX(Windows!$B$4:$B$84,MATCH(J44,Windows!$B$4:$B$84,0)+2),0)</f>
        <v>0</v>
      </c>
      <c r="S44" t="e">
        <f>VLOOKUP(R44,Windows!$B$4:$D$84,2,FALSE)/1000</f>
        <v>#N/A</v>
      </c>
      <c r="T44" t="e">
        <f>VLOOKUP(R44,Windows!$B$4:$D$84,3,FALSE)/1000</f>
        <v>#N/A</v>
      </c>
      <c r="U44">
        <f t="shared" si="6"/>
        <v>0</v>
      </c>
      <c r="V44">
        <f>IF(I44&gt;=4,INDEX(Windows!$B$4:$B$84,MATCH(J44,Windows!$B$4:$B$84,0)+3),0)</f>
        <v>0</v>
      </c>
      <c r="W44" t="e">
        <f>VLOOKUP(V44,Windows!$B$4:$D$84,2,FALSE)/1000</f>
        <v>#N/A</v>
      </c>
      <c r="X44" t="e">
        <f>VLOOKUP(V44,Windows!$B$4:$D$84,3,FALSE)/1000</f>
        <v>#N/A</v>
      </c>
      <c r="Y44">
        <f t="shared" si="7"/>
        <v>0</v>
      </c>
      <c r="Z44">
        <f t="shared" si="19"/>
        <v>180</v>
      </c>
      <c r="AA44">
        <f t="shared" si="9"/>
        <v>5.7949000000000002</v>
      </c>
      <c r="AC44">
        <v>180</v>
      </c>
      <c r="AD44">
        <v>86.98</v>
      </c>
      <c r="AE44">
        <f t="shared" si="20"/>
        <v>4.3490000000000002</v>
      </c>
      <c r="AF44">
        <f>AE44*Konstanten!$B$4</f>
        <v>18.483250000000002</v>
      </c>
      <c r="AG44">
        <f t="shared" si="22"/>
        <v>12.688350000000002</v>
      </c>
      <c r="AH44" t="s">
        <v>83</v>
      </c>
      <c r="AJ44" s="19">
        <f>82.29+23.75+23+43.19+93.57</f>
        <v>265.8</v>
      </c>
      <c r="AK44" s="19">
        <f t="shared" si="21"/>
        <v>13.290000000000001</v>
      </c>
      <c r="AL44" s="19">
        <f>AK44*Konstanten!$B$3</f>
        <v>33.225000000000001</v>
      </c>
      <c r="AN44">
        <f t="shared" si="12"/>
        <v>0</v>
      </c>
      <c r="AO44">
        <f t="shared" si="13"/>
        <v>0</v>
      </c>
    </row>
    <row r="45" spans="1:44" x14ac:dyDescent="0.25">
      <c r="A45" s="12">
        <v>44</v>
      </c>
      <c r="B45">
        <v>6</v>
      </c>
      <c r="C45" s="15" t="s">
        <v>23</v>
      </c>
      <c r="E45" s="15" t="s">
        <v>281</v>
      </c>
      <c r="F45" s="15" t="s">
        <v>160</v>
      </c>
      <c r="G45" s="21">
        <v>6</v>
      </c>
      <c r="H45">
        <f>Konstanten!$B$3</f>
        <v>2.5</v>
      </c>
      <c r="I45">
        <f>COUNTIF(Windows!$A$4:$A$84,E45)</f>
        <v>0</v>
      </c>
      <c r="J45" t="e">
        <f>VLOOKUP(E45,Windows!$A$4:$D$84,2,FALSE)</f>
        <v>#N/A</v>
      </c>
      <c r="K45" t="e">
        <f>VLOOKUP(J45,Windows!$B$4:$D$84,2,FALSE)/1000</f>
        <v>#N/A</v>
      </c>
      <c r="L45" t="e">
        <f>VLOOKUP(J45,Windows!$B$4:$D$84,3,FALSE)/1000</f>
        <v>#N/A</v>
      </c>
      <c r="M45">
        <f t="shared" ref="M45:M48" si="23">IF(ISNA(L45*K45),0,K45*L45)</f>
        <v>0</v>
      </c>
      <c r="N45">
        <f>IF(I45&gt;=2,INDEX(Windows!$B$4:$B$84,MATCH(J45,Windows!$B$4:$B$84,0)+1),0)</f>
        <v>0</v>
      </c>
      <c r="O45" t="e">
        <f>VLOOKUP(N45,Windows!$B$4:$D$84,2,FALSE)/1000</f>
        <v>#N/A</v>
      </c>
      <c r="P45" t="e">
        <f>VLOOKUP(N45,Windows!$B$4:$D$84,3,FALSE)/1000</f>
        <v>#N/A</v>
      </c>
      <c r="Q45">
        <f t="shared" ref="Q45:Q48" si="24">IF(ISNA(P45*O45),0,O45*P45)</f>
        <v>0</v>
      </c>
      <c r="R45">
        <f>IF(I45&gt;=3,INDEX(Windows!$B$4:$B$84,MATCH(J45,Windows!$B$4:$B$84,0)+2),0)</f>
        <v>0</v>
      </c>
      <c r="S45" t="e">
        <f>VLOOKUP(R45,Windows!$B$4:$D$84,2,FALSE)/1000</f>
        <v>#N/A</v>
      </c>
      <c r="T45" t="e">
        <f>VLOOKUP(R45,Windows!$B$4:$D$84,3,FALSE)/1000</f>
        <v>#N/A</v>
      </c>
      <c r="U45">
        <f t="shared" ref="U45:U48" si="25">IF(ISNA(T45*S45),0,S45*T45)</f>
        <v>0</v>
      </c>
      <c r="V45">
        <f>IF(I45&gt;=4,INDEX(Windows!$B$4:$B$84,MATCH(J45,Windows!$B$4:$B$84,0)+3),0)</f>
        <v>0</v>
      </c>
      <c r="W45" t="e">
        <f>VLOOKUP(V45,Windows!$B$4:$D$84,2,FALSE)/1000</f>
        <v>#N/A</v>
      </c>
      <c r="X45" t="e">
        <f>VLOOKUP(V45,Windows!$B$4:$D$84,3,FALSE)/1000</f>
        <v>#N/A</v>
      </c>
      <c r="Y45">
        <f t="shared" ref="Y45:Y48" si="26">IF(ISNA(X45*W45),0,W45*X45)</f>
        <v>0</v>
      </c>
      <c r="Z45" t="str">
        <f t="shared" ref="Z45:Z48" si="27">IF(I45&gt;0,AC45,"N/A")</f>
        <v>N/A</v>
      </c>
      <c r="AA45">
        <f t="shared" ref="AA45:AA48" si="28">SUM(M45,Q45,U45,Y45)</f>
        <v>0</v>
      </c>
      <c r="AC45" t="s">
        <v>8</v>
      </c>
      <c r="AE45">
        <f t="shared" ref="AE45:AE48" si="29">AD45*50/1000</f>
        <v>0</v>
      </c>
      <c r="AF45">
        <f>AE45*Konstanten!$B$4</f>
        <v>0</v>
      </c>
      <c r="AG45">
        <f t="shared" ref="AG45:AG48" si="30">IF(AF45-AA45&lt;=0, 0, AF45-AA45)</f>
        <v>0</v>
      </c>
      <c r="AJ45" s="19">
        <f>43.41+46.91+23+23.75+58.43</f>
        <v>195.5</v>
      </c>
      <c r="AK45" s="19">
        <f t="shared" ref="AK45:AK48" si="31">50/1000*AJ45</f>
        <v>9.7750000000000004</v>
      </c>
      <c r="AL45" s="19">
        <f>AK45*Konstanten!$B$3</f>
        <v>24.4375</v>
      </c>
      <c r="AN45">
        <f t="shared" ref="AN45:AN48" si="32">IF(B45=9,1,0)</f>
        <v>0</v>
      </c>
      <c r="AO45">
        <f t="shared" ref="AO45:AO48" si="33">IF(B45=1,1,0)</f>
        <v>0</v>
      </c>
    </row>
    <row r="46" spans="1:44" x14ac:dyDescent="0.25">
      <c r="A46" s="12">
        <v>45</v>
      </c>
      <c r="B46">
        <v>6</v>
      </c>
      <c r="C46" s="15" t="s">
        <v>32</v>
      </c>
      <c r="E46" s="15" t="s">
        <v>282</v>
      </c>
      <c r="F46" s="15" t="s">
        <v>156</v>
      </c>
      <c r="G46" s="21">
        <v>4.7</v>
      </c>
      <c r="H46">
        <f>Konstanten!$B$3</f>
        <v>2.5</v>
      </c>
      <c r="I46">
        <f>COUNTIF(Windows!$A$4:$A$84,E46)</f>
        <v>0</v>
      </c>
      <c r="J46" t="e">
        <f>VLOOKUP(E46,Windows!$A$4:$D$84,2,FALSE)</f>
        <v>#N/A</v>
      </c>
      <c r="K46" t="e">
        <f>VLOOKUP(J46,Windows!$B$4:$D$84,2,FALSE)/1000</f>
        <v>#N/A</v>
      </c>
      <c r="L46" t="e">
        <f>VLOOKUP(J46,Windows!$B$4:$D$84,3,FALSE)/1000</f>
        <v>#N/A</v>
      </c>
      <c r="M46">
        <f t="shared" si="23"/>
        <v>0</v>
      </c>
      <c r="N46">
        <f>IF(I46&gt;=2,INDEX(Windows!$B$4:$B$84,MATCH(J46,Windows!$B$4:$B$84,0)+1),0)</f>
        <v>0</v>
      </c>
      <c r="O46" t="e">
        <f>VLOOKUP(N46,Windows!$B$4:$D$84,2,FALSE)/1000</f>
        <v>#N/A</v>
      </c>
      <c r="P46" t="e">
        <f>VLOOKUP(N46,Windows!$B$4:$D$84,3,FALSE)/1000</f>
        <v>#N/A</v>
      </c>
      <c r="Q46">
        <f t="shared" si="24"/>
        <v>0</v>
      </c>
      <c r="R46">
        <f>IF(I46&gt;=3,INDEX(Windows!$B$4:$B$84,MATCH(J46,Windows!$B$4:$B$84,0)+2),0)</f>
        <v>0</v>
      </c>
      <c r="S46" t="e">
        <f>VLOOKUP(R46,Windows!$B$4:$D$84,2,FALSE)/1000</f>
        <v>#N/A</v>
      </c>
      <c r="T46" t="e">
        <f>VLOOKUP(R46,Windows!$B$4:$D$84,3,FALSE)/1000</f>
        <v>#N/A</v>
      </c>
      <c r="U46">
        <f t="shared" si="25"/>
        <v>0</v>
      </c>
      <c r="V46">
        <f>IF(I46&gt;=4,INDEX(Windows!$B$4:$B$84,MATCH(J46,Windows!$B$4:$B$84,0)+3),0)</f>
        <v>0</v>
      </c>
      <c r="W46" t="e">
        <f>VLOOKUP(V46,Windows!$B$4:$D$84,2,FALSE)/1000</f>
        <v>#N/A</v>
      </c>
      <c r="X46" t="e">
        <f>VLOOKUP(V46,Windows!$B$4:$D$84,3,FALSE)/1000</f>
        <v>#N/A</v>
      </c>
      <c r="Y46">
        <f t="shared" si="26"/>
        <v>0</v>
      </c>
      <c r="Z46" t="str">
        <f t="shared" si="27"/>
        <v>N/A</v>
      </c>
      <c r="AA46">
        <f t="shared" si="28"/>
        <v>0</v>
      </c>
      <c r="AC46" t="s">
        <v>8</v>
      </c>
      <c r="AE46">
        <f t="shared" si="29"/>
        <v>0</v>
      </c>
      <c r="AF46">
        <f>AE46*Konstanten!$B$4</f>
        <v>0</v>
      </c>
      <c r="AG46">
        <f t="shared" si="30"/>
        <v>0</v>
      </c>
      <c r="AJ46" s="19">
        <f>2*(46.61+46.55)</f>
        <v>186.32</v>
      </c>
      <c r="AK46" s="19">
        <f t="shared" si="31"/>
        <v>9.3160000000000007</v>
      </c>
      <c r="AL46" s="19">
        <f>AK46*Konstanten!$B$3</f>
        <v>23.290000000000003</v>
      </c>
      <c r="AN46">
        <f t="shared" si="32"/>
        <v>0</v>
      </c>
      <c r="AO46">
        <f t="shared" si="33"/>
        <v>0</v>
      </c>
    </row>
    <row r="47" spans="1:44" x14ac:dyDescent="0.25">
      <c r="A47" s="12">
        <v>46</v>
      </c>
      <c r="B47">
        <v>6</v>
      </c>
      <c r="C47" s="15" t="s">
        <v>33</v>
      </c>
      <c r="E47" s="15" t="s">
        <v>156</v>
      </c>
      <c r="G47" s="21">
        <v>19.3</v>
      </c>
      <c r="H47">
        <f>Konstanten!$B$3</f>
        <v>2.5</v>
      </c>
      <c r="I47">
        <f>COUNTIF(Windows!$A$4:$A$84,E47)</f>
        <v>2</v>
      </c>
      <c r="J47" t="str">
        <f>VLOOKUP(E47,Windows!$A$4:$D$84,2,FALSE)</f>
        <v>IU11-o+VTL3-o</v>
      </c>
      <c r="K47">
        <f>VLOOKUP(J47,Windows!$B$4:$D$84,2,FALSE)/1000</f>
        <v>1.35</v>
      </c>
      <c r="L47">
        <f>VLOOKUP(J47,Windows!$B$4:$D$84,3,FALSE)/1000</f>
        <v>1.67</v>
      </c>
      <c r="M47">
        <f t="shared" si="23"/>
        <v>2.2545000000000002</v>
      </c>
      <c r="N47" t="str">
        <f>IF(I47&gt;=2,INDEX(Windows!$B$4:$B$84,MATCH(J47,Windows!$B$4:$B$84,0)+1),0)</f>
        <v>IU21-o</v>
      </c>
      <c r="O47">
        <f>VLOOKUP(N47,Windows!$B$4:$D$84,2,FALSE)/1000</f>
        <v>2.12</v>
      </c>
      <c r="P47">
        <f>VLOOKUP(N47,Windows!$B$4:$D$84,3,FALSE)/1000</f>
        <v>1.67</v>
      </c>
      <c r="Q47">
        <f t="shared" si="24"/>
        <v>3.5404</v>
      </c>
      <c r="R47">
        <f>IF(I47&gt;=3,INDEX(Windows!$B$4:$B$84,MATCH(J47,Windows!$B$4:$B$84,0)+2),0)</f>
        <v>0</v>
      </c>
      <c r="S47" t="e">
        <f>VLOOKUP(R47,Windows!$B$4:$D$84,2,FALSE)/1000</f>
        <v>#N/A</v>
      </c>
      <c r="T47" t="e">
        <f>VLOOKUP(R47,Windows!$B$4:$D$84,3,FALSE)/1000</f>
        <v>#N/A</v>
      </c>
      <c r="U47">
        <f t="shared" si="25"/>
        <v>0</v>
      </c>
      <c r="V47">
        <f>IF(I47&gt;=4,INDEX(Windows!$B$4:$B$84,MATCH(J47,Windows!$B$4:$B$84,0)+3),0)</f>
        <v>0</v>
      </c>
      <c r="W47" t="e">
        <f>VLOOKUP(V47,Windows!$B$4:$D$84,2,FALSE)/1000</f>
        <v>#N/A</v>
      </c>
      <c r="X47" t="e">
        <f>VLOOKUP(V47,Windows!$B$4:$D$84,3,FALSE)/1000</f>
        <v>#N/A</v>
      </c>
      <c r="Y47">
        <f t="shared" si="26"/>
        <v>0</v>
      </c>
      <c r="Z47">
        <f t="shared" si="27"/>
        <v>180</v>
      </c>
      <c r="AA47">
        <f t="shared" si="28"/>
        <v>5.7949000000000002</v>
      </c>
      <c r="AC47">
        <v>180</v>
      </c>
      <c r="AD47">
        <v>86.98</v>
      </c>
      <c r="AE47">
        <f t="shared" si="29"/>
        <v>4.3490000000000002</v>
      </c>
      <c r="AF47">
        <f>AE47*Konstanten!$B$4</f>
        <v>18.483250000000002</v>
      </c>
      <c r="AG47">
        <f t="shared" si="30"/>
        <v>12.688350000000002</v>
      </c>
      <c r="AH47" t="s">
        <v>83</v>
      </c>
      <c r="AJ47" s="19">
        <f>82.29+23.75+23+43.19+93.57</f>
        <v>265.8</v>
      </c>
      <c r="AK47" s="19">
        <f t="shared" si="31"/>
        <v>13.290000000000001</v>
      </c>
      <c r="AL47" s="19">
        <f>AK47*Konstanten!$B$3</f>
        <v>33.225000000000001</v>
      </c>
      <c r="AN47">
        <f t="shared" si="32"/>
        <v>0</v>
      </c>
      <c r="AO47">
        <f t="shared" si="33"/>
        <v>0</v>
      </c>
    </row>
    <row r="48" spans="1:44" x14ac:dyDescent="0.25">
      <c r="A48" s="12">
        <v>47</v>
      </c>
      <c r="B48">
        <v>6</v>
      </c>
      <c r="C48" s="15" t="s">
        <v>23</v>
      </c>
      <c r="E48" s="15" t="s">
        <v>283</v>
      </c>
      <c r="F48" t="s">
        <v>156</v>
      </c>
      <c r="G48" s="21">
        <v>6</v>
      </c>
      <c r="H48">
        <f>Konstanten!$B$3</f>
        <v>2.5</v>
      </c>
      <c r="I48">
        <f>COUNTIF(Windows!$A$4:$A$84,E48)</f>
        <v>0</v>
      </c>
      <c r="J48" t="e">
        <f>VLOOKUP(E48,Windows!$A$4:$D$84,2,FALSE)</f>
        <v>#N/A</v>
      </c>
      <c r="K48" t="e">
        <f>VLOOKUP(J48,Windows!$B$4:$D$84,2,FALSE)/1000</f>
        <v>#N/A</v>
      </c>
      <c r="L48" t="e">
        <f>VLOOKUP(J48,Windows!$B$4:$D$84,3,FALSE)/1000</f>
        <v>#N/A</v>
      </c>
      <c r="M48">
        <f t="shared" si="23"/>
        <v>0</v>
      </c>
      <c r="N48">
        <f>IF(I48&gt;=2,INDEX(Windows!$B$4:$B$84,MATCH(J48,Windows!$B$4:$B$84,0)+1),0)</f>
        <v>0</v>
      </c>
      <c r="O48" t="e">
        <f>VLOOKUP(N48,Windows!$B$4:$D$84,2,FALSE)/1000</f>
        <v>#N/A</v>
      </c>
      <c r="P48" t="e">
        <f>VLOOKUP(N48,Windows!$B$4:$D$84,3,FALSE)/1000</f>
        <v>#N/A</v>
      </c>
      <c r="Q48">
        <f t="shared" si="24"/>
        <v>0</v>
      </c>
      <c r="R48">
        <f>IF(I48&gt;=3,INDEX(Windows!$B$4:$B$84,MATCH(J48,Windows!$B$4:$B$84,0)+2),0)</f>
        <v>0</v>
      </c>
      <c r="S48" t="e">
        <f>VLOOKUP(R48,Windows!$B$4:$D$84,2,FALSE)/1000</f>
        <v>#N/A</v>
      </c>
      <c r="T48" t="e">
        <f>VLOOKUP(R48,Windows!$B$4:$D$84,3,FALSE)/1000</f>
        <v>#N/A</v>
      </c>
      <c r="U48">
        <f t="shared" si="25"/>
        <v>0</v>
      </c>
      <c r="V48">
        <f>IF(I48&gt;=4,INDEX(Windows!$B$4:$B$84,MATCH(J48,Windows!$B$4:$B$84,0)+3),0)</f>
        <v>0</v>
      </c>
      <c r="W48" t="e">
        <f>VLOOKUP(V48,Windows!$B$4:$D$84,2,FALSE)/1000</f>
        <v>#N/A</v>
      </c>
      <c r="X48" t="e">
        <f>VLOOKUP(V48,Windows!$B$4:$D$84,3,FALSE)/1000</f>
        <v>#N/A</v>
      </c>
      <c r="Y48">
        <f t="shared" si="26"/>
        <v>0</v>
      </c>
      <c r="Z48" t="str">
        <f t="shared" si="27"/>
        <v>N/A</v>
      </c>
      <c r="AA48">
        <f t="shared" si="28"/>
        <v>0</v>
      </c>
      <c r="AC48" t="s">
        <v>8</v>
      </c>
      <c r="AE48">
        <f t="shared" si="29"/>
        <v>0</v>
      </c>
      <c r="AF48">
        <f>AE48*Konstanten!$B$4</f>
        <v>0</v>
      </c>
      <c r="AG48">
        <f t="shared" si="30"/>
        <v>0</v>
      </c>
      <c r="AJ48" s="19">
        <f>43.41+46.91+23+23.75+58.43</f>
        <v>195.5</v>
      </c>
      <c r="AK48" s="19">
        <f t="shared" si="31"/>
        <v>9.7750000000000004</v>
      </c>
      <c r="AL48" s="19">
        <f>AK48*Konstanten!$B$3</f>
        <v>24.4375</v>
      </c>
      <c r="AN48">
        <f t="shared" si="32"/>
        <v>0</v>
      </c>
      <c r="AO48">
        <f t="shared" si="33"/>
        <v>0</v>
      </c>
    </row>
    <row r="49" spans="1:41" x14ac:dyDescent="0.25">
      <c r="A49" s="12">
        <v>48</v>
      </c>
      <c r="B49">
        <v>6</v>
      </c>
      <c r="C49" s="15" t="s">
        <v>176</v>
      </c>
      <c r="E49" s="15" t="s">
        <v>143</v>
      </c>
      <c r="G49" s="21">
        <v>24.4</v>
      </c>
      <c r="H49">
        <f>Konstanten!$B$3</f>
        <v>2.5</v>
      </c>
      <c r="I49">
        <f>COUNTIF(Windows!$A$4:$A$84,E49)</f>
        <v>2</v>
      </c>
      <c r="J49" t="str">
        <f>VLOOKUP(E49,Windows!$A$4:$D$84,2,FALSE)</f>
        <v>IU10,5-o+VTL3-o</v>
      </c>
      <c r="K49">
        <f>VLOOKUP(J49,Windows!$B$4:$D$84,2,FALSE)/1000</f>
        <v>1.325</v>
      </c>
      <c r="L49">
        <f>VLOOKUP(J49,Windows!$B$4:$D$84,3,FALSE)/1000</f>
        <v>1.67</v>
      </c>
      <c r="M49">
        <f t="shared" ref="M49:M51" si="34">IF(ISNA(L49*K49),0,K49*L49)</f>
        <v>2.2127499999999998</v>
      </c>
      <c r="N49" t="str">
        <f>IF(I49&gt;=2,INDEX(Windows!$B$4:$B$84,MATCH(J49,Windows!$B$4:$B$84,0)+1),0)</f>
        <v>IU21-v</v>
      </c>
      <c r="O49">
        <f>VLOOKUP(N49,Windows!$B$4:$D$84,2,FALSE)/1000</f>
        <v>2.12</v>
      </c>
      <c r="P49">
        <f>VLOOKUP(N49,Windows!$B$4:$D$84,3,FALSE)/1000</f>
        <v>1.67</v>
      </c>
      <c r="Q49">
        <f t="shared" ref="Q49:Q51" si="35">IF(ISNA(P49*O49),0,O49*P49)</f>
        <v>3.5404</v>
      </c>
      <c r="R49">
        <f>IF(I49&gt;=3,INDEX(Windows!$B$4:$B$84,MATCH(J49,Windows!$B$4:$B$84,0)+2),0)</f>
        <v>0</v>
      </c>
      <c r="S49" t="e">
        <f>VLOOKUP(R49,Windows!$B$4:$D$84,2,FALSE)/1000</f>
        <v>#N/A</v>
      </c>
      <c r="T49" t="e">
        <f>VLOOKUP(R49,Windows!$B$4:$D$84,3,FALSE)/1000</f>
        <v>#N/A</v>
      </c>
      <c r="U49">
        <f t="shared" ref="U49:U51" si="36">IF(ISNA(T49*S49),0,S49*T49)</f>
        <v>0</v>
      </c>
      <c r="V49">
        <f>IF(I49&gt;=4,INDEX(Windows!$B$4:$B$84,MATCH(J49,Windows!$B$4:$B$84,0)+3),0)</f>
        <v>0</v>
      </c>
      <c r="W49" t="e">
        <f>VLOOKUP(V49,Windows!$B$4:$D$84,2,FALSE)/1000</f>
        <v>#N/A</v>
      </c>
      <c r="X49" t="e">
        <f>VLOOKUP(V49,Windows!$B$4:$D$84,3,FALSE)/1000</f>
        <v>#N/A</v>
      </c>
      <c r="Y49">
        <f t="shared" ref="Y49:Y51" si="37">IF(ISNA(X49*W49),0,W49*X49)</f>
        <v>0</v>
      </c>
      <c r="Z49">
        <f t="shared" ref="Z49:Z51" si="38">IF(I49&gt;0,AC49,"N/A")</f>
        <v>180</v>
      </c>
      <c r="AA49">
        <f t="shared" ref="AA49:AA51" si="39">SUM(M49,Q49,U49,Y49)</f>
        <v>5.7531499999999998</v>
      </c>
      <c r="AC49">
        <v>180</v>
      </c>
      <c r="AD49">
        <v>87.03</v>
      </c>
      <c r="AE49">
        <f t="shared" ref="AE49:AE51" si="40">AD49*50/1000</f>
        <v>4.3514999999999997</v>
      </c>
      <c r="AF49">
        <f>AE49*Konstanten!$B$4</f>
        <v>18.493874999999999</v>
      </c>
      <c r="AG49">
        <f t="shared" ref="AG49:AG51" si="41">IF(AF49-AA49&lt;=0, 0, AF49-AA49)</f>
        <v>12.740724999999999</v>
      </c>
      <c r="AH49" t="s">
        <v>83</v>
      </c>
      <c r="AJ49" s="19">
        <f>142.95+82.3+23.51+22.98+49.49+41.03</f>
        <v>362.26</v>
      </c>
      <c r="AK49" s="19">
        <f t="shared" ref="AK49:AK51" si="42">50/1000*AJ49</f>
        <v>18.113</v>
      </c>
      <c r="AL49" s="19">
        <f>AK49*Konstanten!$B$3</f>
        <v>45.282499999999999</v>
      </c>
      <c r="AN49">
        <f t="shared" ref="AN49:AN51" si="43">IF(B49=9,1,0)</f>
        <v>0</v>
      </c>
      <c r="AO49">
        <f t="shared" ref="AO49:AO51" si="44">IF(B49=1,1,0)</f>
        <v>0</v>
      </c>
    </row>
    <row r="50" spans="1:41" x14ac:dyDescent="0.25">
      <c r="A50" s="12">
        <v>49</v>
      </c>
      <c r="B50">
        <v>6</v>
      </c>
      <c r="C50" s="15" t="s">
        <v>23</v>
      </c>
      <c r="E50" s="15" t="s">
        <v>284</v>
      </c>
      <c r="F50" t="s">
        <v>143</v>
      </c>
      <c r="G50" s="21">
        <v>6</v>
      </c>
      <c r="H50">
        <f>Konstanten!$B$3</f>
        <v>2.5</v>
      </c>
      <c r="I50">
        <f>COUNTIF(Windows!$A$4:$A$84,E50)</f>
        <v>0</v>
      </c>
      <c r="J50" t="e">
        <f>VLOOKUP(E50,Windows!$A$4:$D$84,2,FALSE)</f>
        <v>#N/A</v>
      </c>
      <c r="K50" t="e">
        <f>VLOOKUP(J50,Windows!$B$4:$D$84,2,FALSE)/1000</f>
        <v>#N/A</v>
      </c>
      <c r="L50" t="e">
        <f>VLOOKUP(J50,Windows!$B$4:$D$84,3,FALSE)/1000</f>
        <v>#N/A</v>
      </c>
      <c r="M50">
        <f t="shared" si="34"/>
        <v>0</v>
      </c>
      <c r="N50">
        <f>IF(I50&gt;=2,INDEX(Windows!$B$4:$B$84,MATCH(J50,Windows!$B$4:$B$84,0)+1),0)</f>
        <v>0</v>
      </c>
      <c r="O50" t="e">
        <f>VLOOKUP(N50,Windows!$B$4:$D$84,2,FALSE)/1000</f>
        <v>#N/A</v>
      </c>
      <c r="P50" t="e">
        <f>VLOOKUP(N50,Windows!$B$4:$D$84,3,FALSE)/1000</f>
        <v>#N/A</v>
      </c>
      <c r="Q50">
        <f t="shared" si="35"/>
        <v>0</v>
      </c>
      <c r="R50">
        <f>IF(I50&gt;=3,INDEX(Windows!$B$4:$B$84,MATCH(J50,Windows!$B$4:$B$84,0)+2),0)</f>
        <v>0</v>
      </c>
      <c r="S50" t="e">
        <f>VLOOKUP(R50,Windows!$B$4:$D$84,2,FALSE)/1000</f>
        <v>#N/A</v>
      </c>
      <c r="T50" t="e">
        <f>VLOOKUP(R50,Windows!$B$4:$D$84,3,FALSE)/1000</f>
        <v>#N/A</v>
      </c>
      <c r="U50">
        <f t="shared" si="36"/>
        <v>0</v>
      </c>
      <c r="V50">
        <f>IF(I50&gt;=4,INDEX(Windows!$B$4:$B$84,MATCH(J50,Windows!$B$4:$B$84,0)+3),0)</f>
        <v>0</v>
      </c>
      <c r="W50" t="e">
        <f>VLOOKUP(V50,Windows!$B$4:$D$84,2,FALSE)/1000</f>
        <v>#N/A</v>
      </c>
      <c r="X50" t="e">
        <f>VLOOKUP(V50,Windows!$B$4:$D$84,3,FALSE)/1000</f>
        <v>#N/A</v>
      </c>
      <c r="Y50">
        <f t="shared" si="37"/>
        <v>0</v>
      </c>
      <c r="Z50" t="str">
        <f t="shared" si="38"/>
        <v>N/A</v>
      </c>
      <c r="AA50">
        <f t="shared" si="39"/>
        <v>0</v>
      </c>
      <c r="AC50" t="s">
        <v>8</v>
      </c>
      <c r="AE50">
        <f t="shared" si="40"/>
        <v>0</v>
      </c>
      <c r="AF50">
        <f>AE50*Konstanten!$B$4</f>
        <v>0</v>
      </c>
      <c r="AG50">
        <f t="shared" si="41"/>
        <v>0</v>
      </c>
      <c r="AJ50" s="19">
        <f>43.41+46.91+23+23.75+58.43</f>
        <v>195.5</v>
      </c>
      <c r="AK50" s="19">
        <f t="shared" si="42"/>
        <v>9.7750000000000004</v>
      </c>
      <c r="AL50" s="19">
        <f>AK50*Konstanten!$B$3</f>
        <v>24.4375</v>
      </c>
      <c r="AN50">
        <f t="shared" si="43"/>
        <v>0</v>
      </c>
      <c r="AO50">
        <f t="shared" si="44"/>
        <v>0</v>
      </c>
    </row>
    <row r="51" spans="1:41" x14ac:dyDescent="0.25">
      <c r="A51" s="12">
        <v>50</v>
      </c>
      <c r="B51">
        <v>6</v>
      </c>
      <c r="C51" s="15" t="s">
        <v>176</v>
      </c>
      <c r="E51" s="15" t="s">
        <v>144</v>
      </c>
      <c r="G51" s="21">
        <v>27.8</v>
      </c>
      <c r="H51">
        <f>Konstanten!$B$3</f>
        <v>2.5</v>
      </c>
      <c r="I51">
        <f>COUNTIF(Windows!$A$4:$A$84,E51)</f>
        <v>2</v>
      </c>
      <c r="J51" t="str">
        <f>VLOOKUP(E51,Windows!$A$4:$D$84,2,FALSE)</f>
        <v>IU10,5-o+VTL3-o</v>
      </c>
      <c r="K51">
        <f>VLOOKUP(J51,Windows!$B$4:$D$84,2,FALSE)/1000</f>
        <v>1.325</v>
      </c>
      <c r="L51">
        <f>VLOOKUP(J51,Windows!$B$4:$D$84,3,FALSE)/1000</f>
        <v>1.67</v>
      </c>
      <c r="M51">
        <f t="shared" si="34"/>
        <v>2.2127499999999998</v>
      </c>
      <c r="N51" t="str">
        <f>IF(I51&gt;=2,INDEX(Windows!$B$4:$B$84,MATCH(J51,Windows!$B$4:$B$84,0)+1),0)</f>
        <v>IU21-v</v>
      </c>
      <c r="O51">
        <f>VLOOKUP(N51,Windows!$B$4:$D$84,2,FALSE)/1000</f>
        <v>2.12</v>
      </c>
      <c r="P51">
        <f>VLOOKUP(N51,Windows!$B$4:$D$84,3,FALSE)/1000</f>
        <v>1.67</v>
      </c>
      <c r="Q51">
        <f t="shared" si="35"/>
        <v>3.5404</v>
      </c>
      <c r="R51">
        <f>IF(I51&gt;=3,INDEX(Windows!$B$4:$B$84,MATCH(J51,Windows!$B$4:$B$84,0)+2),0)</f>
        <v>0</v>
      </c>
      <c r="S51" t="e">
        <f>VLOOKUP(R51,Windows!$B$4:$D$84,2,FALSE)/1000</f>
        <v>#N/A</v>
      </c>
      <c r="T51" t="e">
        <f>VLOOKUP(R51,Windows!$B$4:$D$84,3,FALSE)/1000</f>
        <v>#N/A</v>
      </c>
      <c r="U51">
        <f t="shared" si="36"/>
        <v>0</v>
      </c>
      <c r="V51">
        <f>IF(I51&gt;=4,INDEX(Windows!$B$4:$B$84,MATCH(J51,Windows!$B$4:$B$84,0)+3),0)</f>
        <v>0</v>
      </c>
      <c r="W51" t="e">
        <f>VLOOKUP(V51,Windows!$B$4:$D$84,2,FALSE)/1000</f>
        <v>#N/A</v>
      </c>
      <c r="X51" t="e">
        <f>VLOOKUP(V51,Windows!$B$4:$D$84,3,FALSE)/1000</f>
        <v>#N/A</v>
      </c>
      <c r="Y51">
        <f t="shared" si="37"/>
        <v>0</v>
      </c>
      <c r="Z51">
        <f t="shared" si="38"/>
        <v>180</v>
      </c>
      <c r="AA51">
        <f t="shared" si="39"/>
        <v>5.7531499999999998</v>
      </c>
      <c r="AC51">
        <v>180</v>
      </c>
      <c r="AD51">
        <v>89.93</v>
      </c>
      <c r="AE51">
        <f t="shared" si="40"/>
        <v>4.4965000000000002</v>
      </c>
      <c r="AF51">
        <f>AE51*Konstanten!$B$4</f>
        <v>19.110125</v>
      </c>
      <c r="AG51">
        <f t="shared" si="41"/>
        <v>13.356975</v>
      </c>
      <c r="AH51" t="s">
        <v>83</v>
      </c>
      <c r="AJ51" s="19">
        <f>89.93+2*122.24</f>
        <v>334.40999999999997</v>
      </c>
      <c r="AK51" s="19">
        <f t="shared" si="42"/>
        <v>16.720499999999998</v>
      </c>
      <c r="AL51" s="19">
        <f>AK51*Konstanten!$B$3</f>
        <v>41.801249999999996</v>
      </c>
      <c r="AN51">
        <f t="shared" si="43"/>
        <v>0</v>
      </c>
      <c r="AO51">
        <f t="shared" si="44"/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GeneralNotes</vt:lpstr>
      <vt:lpstr>Orientation</vt:lpstr>
      <vt:lpstr>Konstanten</vt:lpstr>
      <vt:lpstr>Windows</vt:lpstr>
      <vt:lpstr>TK01_6</vt:lpstr>
      <vt:lpstr>Zones_TK01</vt:lpstr>
      <vt:lpstr>TK02_6</vt:lpstr>
      <vt:lpstr>Zones_TK02</vt:lpstr>
      <vt:lpstr>TK03_6</vt:lpstr>
      <vt:lpstr>Zones_TK03</vt:lpstr>
      <vt:lpstr>TK31_6</vt:lpstr>
      <vt:lpstr>U-Wert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Raetz, Martin</cp:lastModifiedBy>
  <dcterms:created xsi:type="dcterms:W3CDTF">2018-12-06T14:07:49Z</dcterms:created>
  <dcterms:modified xsi:type="dcterms:W3CDTF">2020-12-08T09:23:53Z</dcterms:modified>
</cp:coreProperties>
</file>