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ales &amp; Marketing\Channel - blog\Project Steel hawk\Nummer 19\"/>
    </mc:Choice>
  </mc:AlternateContent>
  <xr:revisionPtr revIDLastSave="0" documentId="8_{AAC01919-D439-4AB3-8CB5-4FDB5565665B}" xr6:coauthVersionLast="43" xr6:coauthVersionMax="43" xr10:uidLastSave="{00000000-0000-0000-0000-000000000000}"/>
  <bookViews>
    <workbookView xWindow="28680" yWindow="-120" windowWidth="29040" windowHeight="15840" xr2:uid="{EE5A9677-59E0-4521-89AD-CCB83B1703B0}"/>
  </bookViews>
  <sheets>
    <sheet name="Nøgletalsanalyse" sheetId="1" r:id="rId1"/>
    <sheet name="Betingels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1" l="1"/>
  <c r="G68" i="1"/>
  <c r="G53" i="1"/>
  <c r="G60" i="1" s="1"/>
  <c r="G67" i="1" s="1"/>
  <c r="H53" i="1"/>
  <c r="H60" i="1" s="1"/>
  <c r="H67" i="1" s="1"/>
  <c r="I53" i="1"/>
  <c r="I60" i="1" s="1"/>
  <c r="I67" i="1" s="1"/>
  <c r="R32" i="1"/>
  <c r="M32" i="1"/>
  <c r="N31" i="1"/>
  <c r="O31" i="1"/>
  <c r="P31" i="1"/>
  <c r="Q31" i="1"/>
  <c r="R31" i="1"/>
  <c r="M31" i="1"/>
  <c r="R27" i="1"/>
  <c r="N27" i="1"/>
  <c r="O27" i="1"/>
  <c r="P27" i="1"/>
  <c r="Q27" i="1"/>
  <c r="M27" i="1"/>
  <c r="N24" i="1"/>
  <c r="O24" i="1"/>
  <c r="P24" i="1"/>
  <c r="Q24" i="1"/>
  <c r="R24" i="1"/>
  <c r="M24" i="1"/>
  <c r="R23" i="1"/>
  <c r="N23" i="1"/>
  <c r="O23" i="1"/>
  <c r="P23" i="1"/>
  <c r="Q23" i="1"/>
  <c r="M23" i="1"/>
  <c r="N14" i="1"/>
  <c r="O14" i="1"/>
  <c r="P14" i="1"/>
  <c r="Q14" i="1"/>
  <c r="R14" i="1"/>
  <c r="M14" i="1"/>
  <c r="Q20" i="1" l="1"/>
  <c r="R20" i="1"/>
  <c r="H66" i="1"/>
  <c r="P20" i="1"/>
  <c r="P18" i="1"/>
  <c r="R18" i="1"/>
  <c r="H68" i="1"/>
  <c r="C36" i="1"/>
  <c r="C43" i="1"/>
  <c r="C34" i="1"/>
  <c r="C24" i="1"/>
  <c r="C21" i="1"/>
  <c r="C18" i="1"/>
  <c r="C14" i="1"/>
  <c r="M15" i="1"/>
  <c r="N32" i="1"/>
  <c r="O32" i="1"/>
  <c r="P32" i="1"/>
  <c r="Q32" i="1"/>
  <c r="I66" i="1" l="1"/>
  <c r="I68" i="1" s="1"/>
  <c r="N15" i="1"/>
  <c r="O15" i="1"/>
  <c r="P15" i="1"/>
  <c r="Q15" i="1"/>
  <c r="R15" i="1"/>
  <c r="D34" i="1" l="1"/>
  <c r="M28" i="1" s="1"/>
  <c r="D43" i="1"/>
  <c r="E43" i="1"/>
  <c r="F43" i="1"/>
  <c r="G43" i="1"/>
  <c r="H43" i="1"/>
  <c r="I43" i="1"/>
  <c r="I34" i="1"/>
  <c r="E34" i="1"/>
  <c r="N28" i="1" s="1"/>
  <c r="F34" i="1"/>
  <c r="O28" i="1" s="1"/>
  <c r="G34" i="1"/>
  <c r="H34" i="1"/>
  <c r="E14" i="1"/>
  <c r="F14" i="1"/>
  <c r="G14" i="1"/>
  <c r="H14" i="1"/>
  <c r="I14" i="1"/>
  <c r="D14" i="1"/>
  <c r="P9" i="1" l="1"/>
  <c r="P17" i="1"/>
  <c r="O17" i="1"/>
  <c r="O9" i="1"/>
  <c r="Q9" i="1"/>
  <c r="Q17" i="1"/>
  <c r="M17" i="1"/>
  <c r="M9" i="1"/>
  <c r="R9" i="1"/>
  <c r="R17" i="1"/>
  <c r="N17" i="1"/>
  <c r="N9" i="1"/>
  <c r="I18" i="1"/>
  <c r="I21" i="1" s="1"/>
  <c r="I24" i="1" s="1"/>
  <c r="R10" i="1" s="1"/>
  <c r="H18" i="1"/>
  <c r="H21" i="1" s="1"/>
  <c r="H24" i="1" s="1"/>
  <c r="Q10" i="1" s="1"/>
  <c r="G18" i="1"/>
  <c r="G21" i="1" s="1"/>
  <c r="F18" i="1"/>
  <c r="F21" i="1" s="1"/>
  <c r="D18" i="1"/>
  <c r="D21" i="1" s="1"/>
  <c r="F36" i="1"/>
  <c r="E36" i="1"/>
  <c r="H36" i="1"/>
  <c r="Q28" i="1"/>
  <c r="R28" i="1"/>
  <c r="G36" i="1"/>
  <c r="Q11" i="1" s="1"/>
  <c r="P28" i="1"/>
  <c r="I36" i="1"/>
  <c r="R30" i="1" s="1"/>
  <c r="D36" i="1"/>
  <c r="M11" i="1" s="1"/>
  <c r="E18" i="1"/>
  <c r="E21" i="1" s="1"/>
  <c r="F24" i="1"/>
  <c r="O10" i="1" s="1"/>
  <c r="E24" i="1"/>
  <c r="N10" i="1" s="1"/>
  <c r="Q30" i="1" l="1"/>
  <c r="R13" i="1"/>
  <c r="R21" i="1"/>
  <c r="N13" i="1"/>
  <c r="M30" i="1"/>
  <c r="M13" i="1"/>
  <c r="P21" i="1"/>
  <c r="O30" i="1"/>
  <c r="P13" i="1"/>
  <c r="Q21" i="1"/>
  <c r="P30" i="1"/>
  <c r="Q13" i="1"/>
  <c r="N30" i="1"/>
  <c r="O13" i="1"/>
  <c r="N11" i="1"/>
  <c r="R11" i="1"/>
  <c r="O11" i="1"/>
  <c r="P11" i="1"/>
  <c r="G24" i="1"/>
  <c r="P10" i="1" s="1"/>
  <c r="D24" i="1"/>
  <c r="M10" i="1" s="1"/>
  <c r="R25" i="1"/>
  <c r="N25" i="1"/>
  <c r="M25" i="1"/>
  <c r="P25" i="1"/>
  <c r="Q25" i="1"/>
  <c r="O25" i="1"/>
</calcChain>
</file>

<file path=xl/sharedStrings.xml><?xml version="1.0" encoding="utf-8"?>
<sst xmlns="http://schemas.openxmlformats.org/spreadsheetml/2006/main" count="83" uniqueCount="83">
  <si>
    <t>Nettoomsætning</t>
  </si>
  <si>
    <t>Andre driftsindtægter</t>
  </si>
  <si>
    <t>Produktionsomkostninger</t>
  </si>
  <si>
    <t>Salgs- og distributionsomkostninger</t>
  </si>
  <si>
    <t>Administrationsomkostninger</t>
  </si>
  <si>
    <t>Resultat af primær drift</t>
  </si>
  <si>
    <t>Finansielle indtægter</t>
  </si>
  <si>
    <t>Finansielle omkostninger</t>
  </si>
  <si>
    <t>Resultat før ekstraordinære poster og skat</t>
  </si>
  <si>
    <t>Ekstra ordninære poster</t>
  </si>
  <si>
    <t>Resultat før skat m.v.</t>
  </si>
  <si>
    <t>Skatteomkostninger m.v.</t>
  </si>
  <si>
    <t>Resultat</t>
  </si>
  <si>
    <t>Anlægsaktiver</t>
  </si>
  <si>
    <t>Varebeholdninger</t>
  </si>
  <si>
    <t>Tilgodehavender</t>
  </si>
  <si>
    <t>Værdipapirer o.lign.</t>
  </si>
  <si>
    <t>Likvider</t>
  </si>
  <si>
    <t>Omsætningsaktiver i alt</t>
  </si>
  <si>
    <t>Aktiver i alt</t>
  </si>
  <si>
    <t>Egenkapital</t>
  </si>
  <si>
    <t>Hensættelser</t>
  </si>
  <si>
    <t>Langfristet gæld</t>
  </si>
  <si>
    <t>Kortfristet gæld</t>
  </si>
  <si>
    <t>Passiver i alt</t>
  </si>
  <si>
    <t>Overskudsgrad</t>
  </si>
  <si>
    <t>Egenkapitalforretning</t>
  </si>
  <si>
    <t>Afkastningsgrad</t>
  </si>
  <si>
    <t>Aktivernes omsætningshastighed</t>
  </si>
  <si>
    <t>Varedebitorernes omsætningshastighed</t>
  </si>
  <si>
    <t>Varebeholdnings omsætningshastighed</t>
  </si>
  <si>
    <t>Gældsdæning I</t>
  </si>
  <si>
    <t>Gældsdæning II</t>
  </si>
  <si>
    <t xml:space="preserve">Likvide midler fra daglig drift I </t>
  </si>
  <si>
    <t>Likvide midler fra daglig drift II</t>
  </si>
  <si>
    <t>Virksomhedens øjeblikkelige betalingsevne I</t>
  </si>
  <si>
    <t>Virksomhedens øjeblikkelige betalingsevne II</t>
  </si>
  <si>
    <t>Virksomhedens øjeblikkelige betalingsevne III</t>
  </si>
  <si>
    <t>Likviditetsgrad II</t>
  </si>
  <si>
    <t>Likviditetsgrad I</t>
  </si>
  <si>
    <t>Forholdet mellem egen- og fremmedkapital I</t>
  </si>
  <si>
    <t>Forholdet mellem egen- og fremmedkapital II</t>
  </si>
  <si>
    <t>Forholdet mellem egen- og fremmedkapital III</t>
  </si>
  <si>
    <t>Resultat af primær drift + Finansielle indtægter / Nettoomsætning</t>
  </si>
  <si>
    <t>Resultat / Gennemsnit af primo og ultimo egenkapital</t>
  </si>
  <si>
    <t>Resultat af primær drift + Finansielle indtægter / Gennemsnit af primo og ultimo Aktiver i alt</t>
  </si>
  <si>
    <t>Nettoomsætning / Gennemsnit af primo og ultimo af Aktiver i alt</t>
  </si>
  <si>
    <t>Nettoomsætning / Gennemsnit af primo og ultimo af Tilgodehavender</t>
  </si>
  <si>
    <t>Produktionsomkostninger / Gennemsnit af primo og ultimo af Varebeholdninger</t>
  </si>
  <si>
    <t>Nøgletalsberegninger</t>
  </si>
  <si>
    <t>Noter</t>
  </si>
  <si>
    <t>Resultat af primær drift / Finansielle omkostninger</t>
  </si>
  <si>
    <t>Værdipapirer o.lign. + Likvider / Kortfristet gæld</t>
  </si>
  <si>
    <t>Værdipapirer o.lign. + Likvider / Nettoomsætning</t>
  </si>
  <si>
    <t>Værdipapirer o.lign. + Likvider / Aktiver i alt</t>
  </si>
  <si>
    <t>Likvider + Tilgodehavender / Kortfristet gæld</t>
  </si>
  <si>
    <t>Hensættelser + Langfristet gæld + Kortfristet gæld / Egenkapital</t>
  </si>
  <si>
    <t>Egenkapital / Aktiver i alt</t>
  </si>
  <si>
    <t>Langfristet gæld / Egenkapital</t>
  </si>
  <si>
    <t>Drift</t>
  </si>
  <si>
    <t>Årets resultat</t>
  </si>
  <si>
    <t>Afkast fra associterede virksomheder</t>
  </si>
  <si>
    <t>Afskrivninger</t>
  </si>
  <si>
    <t>Skat af årets resultat</t>
  </si>
  <si>
    <t>Kursreguleringer m.v.</t>
  </si>
  <si>
    <t>Selvfinansiering fra driften</t>
  </si>
  <si>
    <t>Foskydning i tilgodehavender</t>
  </si>
  <si>
    <t>Foskydning i varebeholdninger</t>
  </si>
  <si>
    <t>Foskydning i gæld til kreditorer</t>
  </si>
  <si>
    <t>Foskydning i anden gæld m.m.</t>
  </si>
  <si>
    <t>Betalt selskabsskat</t>
  </si>
  <si>
    <t>Pengestrøm fra driften</t>
  </si>
  <si>
    <t>Pengestrøm til investeringer</t>
  </si>
  <si>
    <t>Pengestrøm fra finansiering</t>
  </si>
  <si>
    <t>Likvide beholdninger primo</t>
  </si>
  <si>
    <t>Årets nettopengestrøm</t>
  </si>
  <si>
    <t>Likvide beholdninger ultimo</t>
  </si>
  <si>
    <t>Pengestrøm fra driften / Nettoomsætningen</t>
  </si>
  <si>
    <t>Pengestrøm fra driften / Gennemsnit af primo og ultimo af Aktiver i alt</t>
  </si>
  <si>
    <t>Finansielle omkostninger / Pengestrøm fra driften</t>
  </si>
  <si>
    <t>Resultatopgørelser i kr.</t>
  </si>
  <si>
    <t>Balancer i kr.</t>
  </si>
  <si>
    <t>Pengestrømopgørelser i kr.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</si>
</sst>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_ * #,##0.0_ ;_ * \-#,##0.0_ ;_ * &quot;-&quot;??_ ;_ @_ "/>
    <numFmt numFmtId="168" formatCode="_ * #,##0.000_ ;_ * \-#,##0.0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22F4E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64" fontId="0" fillId="0" borderId="0" xfId="1" applyFont="1"/>
    <xf numFmtId="165" fontId="0" fillId="0" borderId="0" xfId="1" applyNumberFormat="1" applyFont="1"/>
    <xf numFmtId="165" fontId="4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5" fontId="0" fillId="0" borderId="0" xfId="0" applyNumberFormat="1"/>
    <xf numFmtId="0" fontId="3" fillId="0" borderId="2" xfId="0" applyFont="1" applyBorder="1"/>
    <xf numFmtId="166" fontId="0" fillId="0" borderId="0" xfId="2" applyNumberFormat="1" applyFont="1"/>
    <xf numFmtId="0" fontId="0" fillId="0" borderId="3" xfId="0" applyBorder="1"/>
    <xf numFmtId="165" fontId="0" fillId="0" borderId="3" xfId="1" applyNumberFormat="1" applyFont="1" applyBorder="1"/>
    <xf numFmtId="0" fontId="4" fillId="0" borderId="3" xfId="0" applyFont="1" applyBorder="1"/>
    <xf numFmtId="165" fontId="4" fillId="0" borderId="3" xfId="1" applyNumberFormat="1" applyFont="1" applyBorder="1"/>
    <xf numFmtId="165" fontId="3" fillId="0" borderId="2" xfId="1" applyNumberFormat="1" applyFont="1" applyBorder="1"/>
    <xf numFmtId="0" fontId="3" fillId="0" borderId="0" xfId="0" applyFont="1" applyAlignment="1">
      <alignment horizontal="center"/>
    </xf>
    <xf numFmtId="164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9" fontId="0" fillId="0" borderId="0" xfId="2" applyNumberFormat="1" applyFont="1"/>
    <xf numFmtId="165" fontId="0" fillId="0" borderId="0" xfId="2" applyNumberFormat="1" applyFont="1"/>
    <xf numFmtId="164" fontId="0" fillId="0" borderId="0" xfId="2" applyNumberFormat="1" applyFont="1"/>
    <xf numFmtId="0" fontId="3" fillId="0" borderId="0" xfId="0" applyFont="1" applyBorder="1" applyAlignment="1">
      <alignment horizontal="center"/>
    </xf>
    <xf numFmtId="167" fontId="0" fillId="0" borderId="0" xfId="1" applyNumberFormat="1" applyFont="1"/>
    <xf numFmtId="168" fontId="0" fillId="0" borderId="0" xfId="1" applyNumberFormat="1" applyFont="1"/>
    <xf numFmtId="165" fontId="0" fillId="0" borderId="0" xfId="1" applyNumberFormat="1" applyFont="1" applyFill="1" applyBorder="1"/>
    <xf numFmtId="0" fontId="4" fillId="0" borderId="2" xfId="0" applyFont="1" applyBorder="1"/>
    <xf numFmtId="165" fontId="4" fillId="0" borderId="2" xfId="1" applyNumberFormat="1" applyFont="1" applyBorder="1"/>
    <xf numFmtId="165" fontId="0" fillId="0" borderId="1" xfId="1" applyNumberFormat="1" applyFont="1" applyFill="1" applyBorder="1"/>
    <xf numFmtId="0" fontId="3" fillId="0" borderId="1" xfId="0" applyFont="1" applyBorder="1"/>
    <xf numFmtId="165" fontId="3" fillId="0" borderId="1" xfId="0" applyNumberFormat="1" applyFont="1" applyBorder="1"/>
    <xf numFmtId="0" fontId="0" fillId="0" borderId="0" xfId="0" applyBorder="1"/>
    <xf numFmtId="165" fontId="0" fillId="0" borderId="0" xfId="1" applyNumberFormat="1" applyFont="1" applyBorder="1"/>
    <xf numFmtId="0" fontId="4" fillId="3" borderId="0" xfId="0" applyFont="1" applyFill="1"/>
    <xf numFmtId="0" fontId="4" fillId="3" borderId="0" xfId="0" applyFont="1" applyFill="1" applyBorder="1" applyAlignment="1">
      <alignment horizontal="center"/>
    </xf>
    <xf numFmtId="10" fontId="5" fillId="3" borderId="0" xfId="2" applyNumberFormat="1" applyFont="1" applyFill="1"/>
    <xf numFmtId="9" fontId="5" fillId="3" borderId="0" xfId="2" applyNumberFormat="1" applyFont="1" applyFill="1"/>
    <xf numFmtId="164" fontId="5" fillId="3" borderId="0" xfId="1" applyFont="1" applyFill="1"/>
    <xf numFmtId="166" fontId="5" fillId="3" borderId="0" xfId="2" applyNumberFormat="1" applyFont="1" applyFill="1"/>
    <xf numFmtId="165" fontId="3" fillId="0" borderId="2" xfId="1" applyNumberFormat="1" applyFont="1" applyFill="1" applyBorder="1"/>
    <xf numFmtId="0" fontId="6" fillId="0" borderId="0" xfId="0" applyFont="1"/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22F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mvguiden.dk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549088</xdr:colOff>
      <xdr:row>0</xdr:row>
      <xdr:rowOff>67235</xdr:rowOff>
    </xdr:from>
    <xdr:to>
      <xdr:col>6</xdr:col>
      <xdr:colOff>89647</xdr:colOff>
      <xdr:row>5</xdr:row>
      <xdr:rowOff>57710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89F7B5-EA77-4BEF-B819-1797C89E9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088" y="67235"/>
          <a:ext cx="5715000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751D-A7A6-481C-ABBE-C1EECEC9A3D5}">
  <dimension ref="B7:V72"/>
  <sheetViews>
    <sheetView tabSelected="1" zoomScale="85" zoomScaleNormal="85" workbookViewId="0">
      <selection activeCell="H5" sqref="H5"/>
    </sheetView>
  </sheetViews>
  <sheetFormatPr defaultRowHeight="15" x14ac:dyDescent="0.25"/>
  <cols>
    <col min="2" max="2" width="37.85546875" customWidth="1"/>
    <col min="3" max="4" width="11.42578125" customWidth="1"/>
    <col min="5" max="5" width="11.5703125" customWidth="1"/>
    <col min="6" max="6" width="11.28515625" customWidth="1"/>
    <col min="7" max="9" width="11.42578125" customWidth="1"/>
    <col min="11" max="11" width="45.28515625" bestFit="1" customWidth="1"/>
    <col min="12" max="12" width="11.28515625" customWidth="1"/>
    <col min="13" max="18" width="11.42578125" customWidth="1"/>
    <col min="19" max="19" width="89" bestFit="1" customWidth="1"/>
    <col min="20" max="20" width="11.42578125" customWidth="1"/>
    <col min="21" max="21" width="12.28515625" bestFit="1" customWidth="1"/>
    <col min="22" max="22" width="11.42578125" customWidth="1"/>
  </cols>
  <sheetData>
    <row r="7" spans="2:22" x14ac:dyDescent="0.25">
      <c r="B7" s="42" t="s">
        <v>80</v>
      </c>
      <c r="C7" s="42"/>
      <c r="D7" s="42"/>
      <c r="E7" s="42"/>
      <c r="F7" s="42"/>
      <c r="G7" s="42"/>
      <c r="H7" s="42"/>
      <c r="I7" s="42"/>
      <c r="K7" s="42" t="s">
        <v>49</v>
      </c>
      <c r="L7" s="42"/>
      <c r="M7" s="42"/>
      <c r="N7" s="42"/>
      <c r="O7" s="42"/>
      <c r="P7" s="42"/>
      <c r="Q7" s="42"/>
      <c r="R7" s="42"/>
      <c r="S7" s="34" t="s">
        <v>50</v>
      </c>
      <c r="T7" s="18"/>
      <c r="U7" s="18"/>
      <c r="V7" s="18"/>
    </row>
    <row r="8" spans="2:22" x14ac:dyDescent="0.25">
      <c r="C8" s="15">
        <v>2012</v>
      </c>
      <c r="D8" s="15">
        <v>2013</v>
      </c>
      <c r="E8" s="15">
        <v>2014</v>
      </c>
      <c r="F8" s="15">
        <v>2015</v>
      </c>
      <c r="G8" s="15">
        <v>2016</v>
      </c>
      <c r="H8" s="15">
        <v>2017</v>
      </c>
      <c r="I8" s="15">
        <v>2018</v>
      </c>
      <c r="K8" s="5"/>
      <c r="L8" s="19">
        <v>2012</v>
      </c>
      <c r="M8" s="19">
        <v>2013</v>
      </c>
      <c r="N8" s="19">
        <v>2014</v>
      </c>
      <c r="O8" s="19">
        <v>2015</v>
      </c>
      <c r="P8" s="19">
        <v>2016</v>
      </c>
      <c r="Q8" s="19">
        <v>2017</v>
      </c>
      <c r="R8" s="19">
        <v>2018</v>
      </c>
      <c r="S8" s="35"/>
      <c r="T8" s="23"/>
      <c r="U8" s="23"/>
      <c r="V8" s="23"/>
    </row>
    <row r="9" spans="2:22" x14ac:dyDescent="0.25">
      <c r="B9" s="10" t="s">
        <v>0</v>
      </c>
      <c r="C9" s="11">
        <v>950543</v>
      </c>
      <c r="D9" s="11">
        <v>1054893</v>
      </c>
      <c r="E9" s="11">
        <v>1248793</v>
      </c>
      <c r="F9" s="11">
        <v>1174596</v>
      </c>
      <c r="G9" s="11">
        <v>1359743</v>
      </c>
      <c r="H9" s="11">
        <v>1545873</v>
      </c>
      <c r="I9" s="11">
        <v>2547943</v>
      </c>
      <c r="J9" s="16"/>
      <c r="K9" t="s">
        <v>25</v>
      </c>
      <c r="M9" s="17">
        <f>SUM(D16,D14)/D9</f>
        <v>0.13037341227972885</v>
      </c>
      <c r="N9" s="17">
        <f t="shared" ref="N9:Q9" si="0">SUM(E16,E14)/E9</f>
        <v>0.18193487631657129</v>
      </c>
      <c r="O9" s="17">
        <f t="shared" si="0"/>
        <v>0.20769609295451372</v>
      </c>
      <c r="P9" s="17">
        <f t="shared" si="0"/>
        <v>0.22925729347384027</v>
      </c>
      <c r="Q9" s="17">
        <f t="shared" si="0"/>
        <v>0.27394682486853705</v>
      </c>
      <c r="R9" s="17">
        <f>SUM(I16,I14)/I9</f>
        <v>0.2453924597214302</v>
      </c>
      <c r="S9" s="36" t="s">
        <v>43</v>
      </c>
      <c r="T9" s="1"/>
      <c r="U9" s="1"/>
      <c r="V9" s="1"/>
    </row>
    <row r="10" spans="2:22" x14ac:dyDescent="0.25">
      <c r="B10" t="s">
        <v>1</v>
      </c>
      <c r="C10" s="3">
        <v>1258</v>
      </c>
      <c r="D10" s="3">
        <v>1458</v>
      </c>
      <c r="E10" s="3">
        <v>1678</v>
      </c>
      <c r="F10" s="3">
        <v>1764</v>
      </c>
      <c r="G10" s="3">
        <v>1547</v>
      </c>
      <c r="H10" s="3">
        <v>1597</v>
      </c>
      <c r="I10" s="3">
        <v>1649</v>
      </c>
      <c r="K10" t="s">
        <v>26</v>
      </c>
      <c r="M10" s="17">
        <f>D24/(AVERAGE(C38:D38))</f>
        <v>4.9268473905263191E-2</v>
      </c>
      <c r="N10" s="17">
        <f t="shared" ref="N10:Q10" si="1">E24/(AVERAGE(D38:E38))</f>
        <v>6.7176601085548612E-2</v>
      </c>
      <c r="O10" s="17">
        <f>F24/(AVERAGE(E38:F38))</f>
        <v>0.15165811407644691</v>
      </c>
      <c r="P10" s="17">
        <f t="shared" si="1"/>
        <v>0.252192686025899</v>
      </c>
      <c r="Q10" s="17">
        <f t="shared" si="1"/>
        <v>0.62208827963013891</v>
      </c>
      <c r="R10" s="17">
        <f>I24/(AVERAGE(H38:I38))</f>
        <v>0.74903710271827983</v>
      </c>
      <c r="S10" s="36" t="s">
        <v>44</v>
      </c>
      <c r="T10" s="17"/>
      <c r="U10" s="17"/>
      <c r="V10" s="17"/>
    </row>
    <row r="11" spans="2:22" x14ac:dyDescent="0.25">
      <c r="B11" t="s">
        <v>2</v>
      </c>
      <c r="C11" s="3">
        <v>754910</v>
      </c>
      <c r="D11" s="3">
        <v>854893</v>
      </c>
      <c r="E11" s="3">
        <v>945789</v>
      </c>
      <c r="F11" s="3">
        <v>847159</v>
      </c>
      <c r="G11" s="3">
        <v>952148</v>
      </c>
      <c r="H11" s="3">
        <v>999456</v>
      </c>
      <c r="I11" s="3">
        <v>1505478</v>
      </c>
      <c r="K11" t="s">
        <v>27</v>
      </c>
      <c r="M11" s="17">
        <f>SUM(D14,D16)/AVERAGE(C36:D36)</f>
        <v>0.1129896158492727</v>
      </c>
      <c r="N11" s="17">
        <f t="shared" ref="N11:Q11" si="2">SUM(E14,E16)/AVERAGE(D36:E36)</f>
        <v>0.17781755384737599</v>
      </c>
      <c r="O11" s="17">
        <f t="shared" si="2"/>
        <v>0.19193697744440169</v>
      </c>
      <c r="P11" s="17">
        <f t="shared" si="2"/>
        <v>0.24393738545786336</v>
      </c>
      <c r="Q11" s="17">
        <f t="shared" si="2"/>
        <v>0.33442944269788211</v>
      </c>
      <c r="R11" s="17">
        <f>SUM(I14,I16)/AVERAGE(H36:I36)</f>
        <v>0.49449800716621367</v>
      </c>
      <c r="S11" s="36" t="s">
        <v>45</v>
      </c>
      <c r="T11" s="17"/>
      <c r="U11" s="17"/>
      <c r="V11" s="17"/>
    </row>
    <row r="12" spans="2:22" x14ac:dyDescent="0.25">
      <c r="B12" t="s">
        <v>3</v>
      </c>
      <c r="C12" s="3">
        <v>45987</v>
      </c>
      <c r="D12" s="3">
        <v>55489</v>
      </c>
      <c r="E12" s="3">
        <v>67589</v>
      </c>
      <c r="F12" s="3">
        <v>73145</v>
      </c>
      <c r="G12" s="3">
        <v>80457</v>
      </c>
      <c r="H12" s="3">
        <v>99459</v>
      </c>
      <c r="I12" s="3">
        <v>358489</v>
      </c>
      <c r="M12" s="20"/>
      <c r="N12" s="20"/>
      <c r="O12" s="20"/>
      <c r="P12" s="20"/>
      <c r="Q12" s="20"/>
      <c r="R12" s="20"/>
      <c r="S12" s="37"/>
      <c r="T12" s="20"/>
      <c r="U12" s="20"/>
      <c r="V12" s="20"/>
    </row>
    <row r="13" spans="2:22" x14ac:dyDescent="0.25">
      <c r="B13" s="5" t="s">
        <v>4</v>
      </c>
      <c r="C13" s="6">
        <v>15315</v>
      </c>
      <c r="D13" s="6">
        <v>17489</v>
      </c>
      <c r="E13" s="6">
        <v>18975</v>
      </c>
      <c r="F13" s="6">
        <v>20146</v>
      </c>
      <c r="G13" s="6">
        <v>24458</v>
      </c>
      <c r="H13" s="6">
        <v>31548</v>
      </c>
      <c r="I13" s="6">
        <v>65893</v>
      </c>
      <c r="K13" t="s">
        <v>28</v>
      </c>
      <c r="M13" s="2">
        <f>D9/AVERAGE(C36:D36)</f>
        <v>0.86666149081718036</v>
      </c>
      <c r="N13" s="2">
        <f t="shared" ref="N13:Q13" si="3">E9/AVERAGE(D36:E36)</f>
        <v>0.97736925128071073</v>
      </c>
      <c r="O13" s="2">
        <f t="shared" si="3"/>
        <v>0.92412416003625386</v>
      </c>
      <c r="P13" s="2">
        <f t="shared" si="3"/>
        <v>1.0640332604541463</v>
      </c>
      <c r="Q13" s="2">
        <f t="shared" si="3"/>
        <v>1.2207823283163428</v>
      </c>
      <c r="R13" s="2">
        <f>I9/AVERAGE(H36:I36)</f>
        <v>2.0151312217480863</v>
      </c>
      <c r="S13" s="38" t="s">
        <v>46</v>
      </c>
      <c r="T13" s="2"/>
      <c r="U13" s="2"/>
      <c r="V13" s="2"/>
    </row>
    <row r="14" spans="2:22" x14ac:dyDescent="0.25">
      <c r="B14" s="1" t="s">
        <v>5</v>
      </c>
      <c r="C14" s="4">
        <f>+C9+C10-C11-C12-C13</f>
        <v>135589</v>
      </c>
      <c r="D14" s="4">
        <f>+D9+D10-D11-D12-D13</f>
        <v>128480</v>
      </c>
      <c r="E14" s="4">
        <f t="shared" ref="E14:I14" si="4">+E9+E10-E11-E12-E13</f>
        <v>218118</v>
      </c>
      <c r="F14" s="4">
        <f t="shared" si="4"/>
        <v>235910</v>
      </c>
      <c r="G14" s="4">
        <f t="shared" si="4"/>
        <v>304227</v>
      </c>
      <c r="H14" s="4">
        <f t="shared" si="4"/>
        <v>417007</v>
      </c>
      <c r="I14" s="4">
        <f t="shared" si="4"/>
        <v>619732</v>
      </c>
      <c r="J14" s="16"/>
      <c r="K14" t="s">
        <v>29</v>
      </c>
      <c r="M14" s="2">
        <f>D9/AVERAGE(C31:D31)</f>
        <v>6.025687455016965</v>
      </c>
      <c r="N14" s="2">
        <f t="shared" ref="N14:R14" si="5">E9/AVERAGE(D31:E31)</f>
        <v>6.2258788220220262</v>
      </c>
      <c r="O14" s="2">
        <f t="shared" si="5"/>
        <v>5.6840974420022645</v>
      </c>
      <c r="P14" s="2">
        <f t="shared" si="5"/>
        <v>6.6610804257038936</v>
      </c>
      <c r="Q14" s="2">
        <f t="shared" si="5"/>
        <v>7.5258472750640797</v>
      </c>
      <c r="R14" s="2">
        <f t="shared" si="5"/>
        <v>10.974589466656617</v>
      </c>
      <c r="S14" s="38" t="s">
        <v>47</v>
      </c>
      <c r="T14" s="2"/>
      <c r="U14" s="2"/>
      <c r="V14" s="2"/>
    </row>
    <row r="15" spans="2:22" x14ac:dyDescent="0.25">
      <c r="D15" s="3"/>
      <c r="E15" s="3"/>
      <c r="F15" s="17"/>
      <c r="G15" s="3"/>
      <c r="H15" s="3"/>
      <c r="I15" s="3"/>
      <c r="K15" t="s">
        <v>30</v>
      </c>
      <c r="M15" s="2">
        <f>+D11/D30</f>
        <v>6.6348953806035018</v>
      </c>
      <c r="N15" s="2">
        <f t="shared" ref="N15:R15" si="6">+E11/E30</f>
        <v>7.5454262601120101</v>
      </c>
      <c r="O15" s="2">
        <f t="shared" si="6"/>
        <v>6.2537112907393055</v>
      </c>
      <c r="P15" s="2">
        <f t="shared" si="6"/>
        <v>6.5232147873091124</v>
      </c>
      <c r="Q15" s="2">
        <f t="shared" si="6"/>
        <v>6.4419106794114045</v>
      </c>
      <c r="R15" s="2">
        <f t="shared" si="6"/>
        <v>8.4862037282345852</v>
      </c>
      <c r="S15" s="38" t="s">
        <v>48</v>
      </c>
      <c r="T15" s="2"/>
      <c r="U15" s="2"/>
      <c r="V15" s="2"/>
    </row>
    <row r="16" spans="2:22" x14ac:dyDescent="0.25">
      <c r="B16" t="s">
        <v>6</v>
      </c>
      <c r="C16" s="3">
        <v>7545</v>
      </c>
      <c r="D16" s="3">
        <v>9050</v>
      </c>
      <c r="E16" s="3">
        <v>9081</v>
      </c>
      <c r="F16" s="3">
        <v>8049</v>
      </c>
      <c r="G16" s="3">
        <v>7504</v>
      </c>
      <c r="H16" s="3">
        <v>6480</v>
      </c>
      <c r="I16" s="3">
        <v>5514</v>
      </c>
      <c r="M16" s="20"/>
      <c r="N16" s="20"/>
      <c r="O16" s="20"/>
      <c r="P16" s="20"/>
      <c r="Q16" s="20"/>
      <c r="R16" s="20"/>
      <c r="S16" s="37"/>
      <c r="T16" s="20"/>
      <c r="U16" s="20"/>
      <c r="V16" s="17"/>
    </row>
    <row r="17" spans="2:22" x14ac:dyDescent="0.25">
      <c r="B17" s="5" t="s">
        <v>7</v>
      </c>
      <c r="C17" s="6">
        <v>65614</v>
      </c>
      <c r="D17" s="6">
        <v>75946</v>
      </c>
      <c r="E17" s="6">
        <v>124697</v>
      </c>
      <c r="F17" s="6">
        <v>102891</v>
      </c>
      <c r="G17" s="6">
        <v>110197</v>
      </c>
      <c r="H17" s="6">
        <v>72169</v>
      </c>
      <c r="I17" s="6">
        <v>145973</v>
      </c>
      <c r="K17" t="s">
        <v>31</v>
      </c>
      <c r="M17" s="2">
        <f>+D14/D17</f>
        <v>1.6917283332894426</v>
      </c>
      <c r="N17" s="2">
        <f t="shared" ref="N17:Q17" si="7">+E14/E17</f>
        <v>1.7491840220694965</v>
      </c>
      <c r="O17" s="2">
        <f t="shared" si="7"/>
        <v>2.2928147262637162</v>
      </c>
      <c r="P17" s="2">
        <f t="shared" si="7"/>
        <v>2.7607557374520177</v>
      </c>
      <c r="Q17" s="2">
        <f t="shared" si="7"/>
        <v>5.7782011667059265</v>
      </c>
      <c r="R17" s="2">
        <f>+I14/I17</f>
        <v>4.2455248573366307</v>
      </c>
      <c r="S17" s="38" t="s">
        <v>51</v>
      </c>
      <c r="T17" s="2"/>
      <c r="U17" s="3"/>
      <c r="V17" s="2"/>
    </row>
    <row r="18" spans="2:22" x14ac:dyDescent="0.25">
      <c r="B18" s="1" t="s">
        <v>8</v>
      </c>
      <c r="C18" s="4">
        <f>+C14+C16-C17</f>
        <v>77520</v>
      </c>
      <c r="D18" s="4">
        <f>+D14+D16-D17</f>
        <v>61584</v>
      </c>
      <c r="E18" s="4">
        <f t="shared" ref="E18:H18" si="8">+E14+E16-E17</f>
        <v>102502</v>
      </c>
      <c r="F18" s="4">
        <f t="shared" si="8"/>
        <v>141068</v>
      </c>
      <c r="G18" s="4">
        <f t="shared" si="8"/>
        <v>201534</v>
      </c>
      <c r="H18" s="4">
        <f t="shared" si="8"/>
        <v>351318</v>
      </c>
      <c r="I18" s="4">
        <f>+I14+I16-I17</f>
        <v>479273</v>
      </c>
      <c r="K18" t="s">
        <v>32</v>
      </c>
      <c r="M18" s="2"/>
      <c r="N18" s="2"/>
      <c r="O18" s="2"/>
      <c r="P18" s="2">
        <f>+G60/G17</f>
        <v>2.3185749158325546E-2</v>
      </c>
      <c r="Q18" s="2">
        <f t="shared" ref="Q18:R18" si="9">+H60/H17</f>
        <v>1.3845556956588008</v>
      </c>
      <c r="R18" s="2">
        <f t="shared" si="9"/>
        <v>1.6098799092982949</v>
      </c>
      <c r="S18" s="37" t="s">
        <v>79</v>
      </c>
      <c r="U18" s="2"/>
      <c r="V18" s="2"/>
    </row>
    <row r="19" spans="2:22" x14ac:dyDescent="0.25">
      <c r="D19" s="3"/>
      <c r="E19" s="3"/>
      <c r="F19" s="3"/>
      <c r="G19" s="3"/>
      <c r="H19" s="3"/>
      <c r="I19" s="3"/>
      <c r="M19" s="20"/>
      <c r="N19" s="20"/>
      <c r="O19" s="20"/>
      <c r="P19" s="20"/>
      <c r="Q19" s="20"/>
      <c r="R19" s="20"/>
      <c r="S19" s="37"/>
      <c r="T19" s="2"/>
      <c r="U19" s="2"/>
      <c r="V19" s="2"/>
    </row>
    <row r="20" spans="2:22" x14ac:dyDescent="0.25">
      <c r="B20" s="5" t="s">
        <v>9</v>
      </c>
      <c r="C20" s="6">
        <v>10245</v>
      </c>
      <c r="D20" s="6">
        <v>12574</v>
      </c>
      <c r="E20" s="6">
        <v>-3524</v>
      </c>
      <c r="F20" s="6">
        <v>-1700</v>
      </c>
      <c r="G20" s="6">
        <v>-9000</v>
      </c>
      <c r="H20" s="6">
        <v>-4587</v>
      </c>
      <c r="I20" s="6">
        <v>-9743</v>
      </c>
      <c r="K20" t="s">
        <v>33</v>
      </c>
      <c r="M20" s="20"/>
      <c r="N20" s="20"/>
      <c r="O20" s="20"/>
      <c r="P20" s="25">
        <f>+G60/G9</f>
        <v>1.8790315522859834E-3</v>
      </c>
      <c r="Q20" s="25">
        <f t="shared" ref="Q20:R20" si="10">+H60/H9</f>
        <v>6.4637910099988816E-2</v>
      </c>
      <c r="R20" s="25">
        <f t="shared" si="10"/>
        <v>9.2230870156828473E-2</v>
      </c>
      <c r="S20" s="37" t="s">
        <v>77</v>
      </c>
      <c r="U20" s="2"/>
      <c r="V20" s="20"/>
    </row>
    <row r="21" spans="2:22" x14ac:dyDescent="0.25">
      <c r="B21" s="1" t="s">
        <v>10</v>
      </c>
      <c r="C21" s="4">
        <f>+C18+C20</f>
        <v>87765</v>
      </c>
      <c r="D21" s="4">
        <f>+D18+D20</f>
        <v>74158</v>
      </c>
      <c r="E21" s="4">
        <f t="shared" ref="E21:I21" si="11">+E18+E20</f>
        <v>98978</v>
      </c>
      <c r="F21" s="4">
        <f t="shared" si="11"/>
        <v>139368</v>
      </c>
      <c r="G21" s="4">
        <f t="shared" si="11"/>
        <v>192534</v>
      </c>
      <c r="H21" s="4">
        <f t="shared" si="11"/>
        <v>346731</v>
      </c>
      <c r="I21" s="4">
        <f t="shared" si="11"/>
        <v>469530</v>
      </c>
      <c r="K21" t="s">
        <v>34</v>
      </c>
      <c r="M21" s="20"/>
      <c r="N21" s="20"/>
      <c r="O21" s="20"/>
      <c r="P21" s="25">
        <f>+G60/AVERAGE(F36:G36)</f>
        <v>1.9993520690750706E-3</v>
      </c>
      <c r="Q21" s="25">
        <f t="shared" ref="Q21" si="12">+H60/AVERAGE(G36:H36)</f>
        <v>7.8908818389366794E-2</v>
      </c>
      <c r="R21" s="25">
        <f>+I60/AVERAGE(H36:I36)</f>
        <v>0.18585730606201886</v>
      </c>
      <c r="S21" s="37" t="s">
        <v>78</v>
      </c>
      <c r="U21" s="17"/>
      <c r="V21" s="20"/>
    </row>
    <row r="22" spans="2:22" x14ac:dyDescent="0.25">
      <c r="D22" s="3"/>
      <c r="E22" s="3"/>
      <c r="F22" s="3"/>
      <c r="G22" s="3"/>
      <c r="H22" s="3"/>
      <c r="I22" s="3"/>
      <c r="M22" s="21"/>
      <c r="N22" s="20"/>
      <c r="O22" s="20"/>
      <c r="P22" s="20"/>
      <c r="Q22" s="20"/>
      <c r="R22" s="20"/>
      <c r="S22" s="37"/>
      <c r="T22" s="2"/>
      <c r="U22" s="20"/>
      <c r="V22" s="20"/>
    </row>
    <row r="23" spans="2:22" x14ac:dyDescent="0.25">
      <c r="B23" t="s">
        <v>11</v>
      </c>
      <c r="C23" s="3">
        <v>50013</v>
      </c>
      <c r="D23" s="3">
        <v>56785</v>
      </c>
      <c r="E23" s="3">
        <v>75147</v>
      </c>
      <c r="F23" s="3">
        <v>85491</v>
      </c>
      <c r="G23" s="3">
        <v>94584</v>
      </c>
      <c r="H23" s="3">
        <v>74154</v>
      </c>
      <c r="I23" s="3">
        <v>145146</v>
      </c>
      <c r="K23" t="s">
        <v>35</v>
      </c>
      <c r="M23" s="17">
        <f>SUM(D32:D33)/D41</f>
        <v>0.10407358738501971</v>
      </c>
      <c r="N23" s="17">
        <f t="shared" ref="N23:Q23" si="13">SUM(E32:E33)/E41</f>
        <v>0.20675780680769071</v>
      </c>
      <c r="O23" s="17">
        <f t="shared" si="13"/>
        <v>9.7156349807995812E-2</v>
      </c>
      <c r="P23" s="17">
        <f t="shared" si="13"/>
        <v>0.21809231093486614</v>
      </c>
      <c r="Q23" s="17">
        <f t="shared" si="13"/>
        <v>3.1633205714819305E-2</v>
      </c>
      <c r="R23" s="17">
        <f>SUM(I32:I33)/I41</f>
        <v>0.25097231764714595</v>
      </c>
      <c r="S23" s="39" t="s">
        <v>52</v>
      </c>
      <c r="T23" s="2"/>
      <c r="U23" s="9"/>
      <c r="V23" s="9"/>
    </row>
    <row r="24" spans="2:22" ht="15.75" thickBot="1" x14ac:dyDescent="0.3">
      <c r="B24" s="8" t="s">
        <v>12</v>
      </c>
      <c r="C24" s="14">
        <f>+C21-C23</f>
        <v>37752</v>
      </c>
      <c r="D24" s="14">
        <f>+D21-D23</f>
        <v>17373</v>
      </c>
      <c r="E24" s="14">
        <f t="shared" ref="E24:H24" si="14">+E21-E23</f>
        <v>23831</v>
      </c>
      <c r="F24" s="14">
        <f t="shared" si="14"/>
        <v>53877</v>
      </c>
      <c r="G24" s="14">
        <f t="shared" si="14"/>
        <v>97950</v>
      </c>
      <c r="H24" s="14">
        <f t="shared" si="14"/>
        <v>272577</v>
      </c>
      <c r="I24" s="14">
        <f>+I21-I23</f>
        <v>324384</v>
      </c>
      <c r="J24" s="16"/>
      <c r="K24" t="s">
        <v>36</v>
      </c>
      <c r="M24" s="17">
        <f>SUM(D32:D33)/D9</f>
        <v>6.4192292488432473E-2</v>
      </c>
      <c r="N24" s="17">
        <f t="shared" ref="N24:R24" si="15">SUM(E32:E33)/E9</f>
        <v>0.12081265670131079</v>
      </c>
      <c r="O24" s="17">
        <f t="shared" si="15"/>
        <v>5.5465027975576287E-2</v>
      </c>
      <c r="P24" s="17">
        <f t="shared" si="15"/>
        <v>0.11364206324283339</v>
      </c>
      <c r="Q24" s="17">
        <f t="shared" si="15"/>
        <v>1.2783068208061077E-2</v>
      </c>
      <c r="R24" s="17">
        <f t="shared" si="15"/>
        <v>7.5361968458478076E-2</v>
      </c>
      <c r="S24" s="39" t="s">
        <v>53</v>
      </c>
      <c r="T24" s="2"/>
    </row>
    <row r="25" spans="2:22" ht="15.75" thickTop="1" x14ac:dyDescent="0.25">
      <c r="K25" t="s">
        <v>37</v>
      </c>
      <c r="M25" s="17">
        <f>SUM(D32:D33)/D36</f>
        <v>5.44942726129986E-2</v>
      </c>
      <c r="N25" s="17">
        <f t="shared" ref="N25:Q25" si="16">SUM(E32:E33)/E36</f>
        <v>0.11492309133746346</v>
      </c>
      <c r="O25" s="17">
        <f t="shared" si="16"/>
        <v>5.299756036649006E-2</v>
      </c>
      <c r="P25" s="17">
        <f t="shared" si="16"/>
        <v>0.11648605965119917</v>
      </c>
      <c r="Q25" s="17">
        <f t="shared" si="16"/>
        <v>1.6384906417566781E-2</v>
      </c>
      <c r="R25" s="17">
        <f>SUM(I32:I33)/I36</f>
        <v>0.14516443623267072</v>
      </c>
      <c r="S25" s="39" t="s">
        <v>54</v>
      </c>
      <c r="T25" s="2"/>
    </row>
    <row r="26" spans="2:22" x14ac:dyDescent="0.25">
      <c r="B26" s="42" t="s">
        <v>81</v>
      </c>
      <c r="C26" s="42"/>
      <c r="D26" s="42"/>
      <c r="E26" s="42"/>
      <c r="F26" s="42"/>
      <c r="G26" s="42"/>
      <c r="H26" s="42"/>
      <c r="I26" s="42"/>
      <c r="M26" s="20"/>
      <c r="N26" s="20"/>
      <c r="O26" s="20"/>
      <c r="P26" s="20"/>
      <c r="Q26" s="20"/>
      <c r="R26" s="20"/>
      <c r="S26" s="37"/>
      <c r="T26" s="2"/>
    </row>
    <row r="27" spans="2:22" x14ac:dyDescent="0.25">
      <c r="C27" s="15">
        <v>2012</v>
      </c>
      <c r="D27" s="15">
        <v>2013</v>
      </c>
      <c r="E27" s="15">
        <v>2014</v>
      </c>
      <c r="F27" s="15">
        <v>2015</v>
      </c>
      <c r="G27" s="15">
        <v>2016</v>
      </c>
      <c r="H27" s="15">
        <v>2017</v>
      </c>
      <c r="I27" s="15">
        <v>2018</v>
      </c>
      <c r="K27" t="s">
        <v>39</v>
      </c>
      <c r="M27" s="2">
        <f>+SUM(D33+D31)/D41</f>
        <v>0.40406667127740509</v>
      </c>
      <c r="N27" s="2">
        <f t="shared" ref="N27:Q27" si="17">+SUM(E33+E31)/E41</f>
        <v>0.38516812747620804</v>
      </c>
      <c r="O27" s="2">
        <f t="shared" si="17"/>
        <v>0.40689226639491965</v>
      </c>
      <c r="P27" s="2">
        <f t="shared" si="17"/>
        <v>0.40320345957826975</v>
      </c>
      <c r="Q27" s="2">
        <f t="shared" si="17"/>
        <v>0.35664634553046165</v>
      </c>
      <c r="R27" s="2">
        <f>+SUM(I33+I31)/I41</f>
        <v>0.51057099999172217</v>
      </c>
      <c r="S27" s="38" t="s">
        <v>55</v>
      </c>
      <c r="T27" s="2"/>
    </row>
    <row r="28" spans="2:22" x14ac:dyDescent="0.25">
      <c r="B28" s="12" t="s">
        <v>13</v>
      </c>
      <c r="C28" s="13">
        <v>891413</v>
      </c>
      <c r="D28" s="13">
        <v>850496</v>
      </c>
      <c r="E28" s="13">
        <v>830979</v>
      </c>
      <c r="F28" s="13">
        <v>820973</v>
      </c>
      <c r="G28" s="13">
        <v>825489</v>
      </c>
      <c r="H28" s="13">
        <v>820891</v>
      </c>
      <c r="I28" s="13">
        <v>699254</v>
      </c>
      <c r="K28" t="s">
        <v>38</v>
      </c>
      <c r="M28" s="2">
        <f>+D34/D41</f>
        <v>0.60266961753924886</v>
      </c>
      <c r="N28" s="2">
        <f>+E34/E41</f>
        <v>0.66029291717125382</v>
      </c>
      <c r="O28" s="2">
        <f>+F34/F41</f>
        <v>0.60891048504355816</v>
      </c>
      <c r="P28" s="2">
        <f t="shared" ref="P28:R28" si="18">+G34/G41</f>
        <v>0.70718115598729181</v>
      </c>
      <c r="Q28" s="2">
        <f t="shared" si="18"/>
        <v>0.61655696810426475</v>
      </c>
      <c r="R28" s="2">
        <f t="shared" si="18"/>
        <v>0.81494051511596144</v>
      </c>
      <c r="S28" s="38"/>
      <c r="T28" s="2"/>
    </row>
    <row r="29" spans="2:22" x14ac:dyDescent="0.25">
      <c r="M29" s="17"/>
      <c r="N29" s="17"/>
      <c r="O29" s="17"/>
      <c r="P29" s="17"/>
      <c r="Q29" s="17"/>
      <c r="R29" s="17"/>
      <c r="S29" s="36"/>
      <c r="T29" s="2"/>
    </row>
    <row r="30" spans="2:22" x14ac:dyDescent="0.25">
      <c r="B30" t="s">
        <v>14</v>
      </c>
      <c r="C30" s="3">
        <v>121156</v>
      </c>
      <c r="D30" s="3">
        <v>128848</v>
      </c>
      <c r="E30" s="3">
        <v>125346</v>
      </c>
      <c r="F30" s="3">
        <v>135465</v>
      </c>
      <c r="G30" s="3">
        <v>145963</v>
      </c>
      <c r="H30" s="3">
        <v>155149</v>
      </c>
      <c r="I30" s="3">
        <v>177403</v>
      </c>
      <c r="K30" t="s">
        <v>40</v>
      </c>
      <c r="M30" s="17">
        <f>+D38/D36</f>
        <v>0.28927287856523204</v>
      </c>
      <c r="N30" s="17">
        <f t="shared" ref="N30:Q30" si="19">+E38/E36</f>
        <v>0.2666418340771684</v>
      </c>
      <c r="O30" s="17">
        <f t="shared" si="19"/>
        <v>0.29322865442701151</v>
      </c>
      <c r="P30" s="17">
        <f t="shared" si="19"/>
        <v>0.31384234986374376</v>
      </c>
      <c r="Q30" s="17">
        <f t="shared" si="19"/>
        <v>0.38141319299630444</v>
      </c>
      <c r="R30" s="17">
        <f>+I38/I36</f>
        <v>0.30703406962099</v>
      </c>
      <c r="S30" s="36" t="s">
        <v>57</v>
      </c>
    </row>
    <row r="31" spans="2:22" x14ac:dyDescent="0.25">
      <c r="B31" t="s">
        <v>15</v>
      </c>
      <c r="C31" s="3">
        <v>154566</v>
      </c>
      <c r="D31" s="3">
        <v>195566</v>
      </c>
      <c r="E31" s="3">
        <v>205596</v>
      </c>
      <c r="F31" s="3">
        <v>207696</v>
      </c>
      <c r="G31" s="3">
        <v>200569</v>
      </c>
      <c r="H31" s="3">
        <v>210248</v>
      </c>
      <c r="I31" s="3">
        <v>254087</v>
      </c>
      <c r="K31" t="s">
        <v>41</v>
      </c>
      <c r="M31" s="17">
        <f>+SUM(D39:D41)/D38</f>
        <v>2.4569435093946996</v>
      </c>
      <c r="N31" s="17">
        <f t="shared" ref="N31:R31" si="20">+SUM(E39:E41)/E38</f>
        <v>2.7503492408118957</v>
      </c>
      <c r="O31" s="17">
        <f t="shared" si="20"/>
        <v>2.4103079112580832</v>
      </c>
      <c r="P31" s="17">
        <f t="shared" si="20"/>
        <v>2.1863131296147729</v>
      </c>
      <c r="Q31" s="17">
        <f t="shared" si="20"/>
        <v>1.621828553292044</v>
      </c>
      <c r="R31" s="17">
        <f t="shared" si="20"/>
        <v>2.2569675451145312</v>
      </c>
      <c r="S31" s="36" t="s">
        <v>56</v>
      </c>
    </row>
    <row r="32" spans="2:22" x14ac:dyDescent="0.25">
      <c r="B32" t="s">
        <v>16</v>
      </c>
      <c r="C32" s="3">
        <v>12471</v>
      </c>
      <c r="D32" s="3">
        <v>374</v>
      </c>
      <c r="E32" s="3">
        <v>75411</v>
      </c>
      <c r="F32" s="3">
        <v>0</v>
      </c>
      <c r="G32" s="3">
        <v>69413</v>
      </c>
      <c r="H32" s="3">
        <v>7215</v>
      </c>
      <c r="I32" s="3">
        <v>55469</v>
      </c>
      <c r="K32" t="s">
        <v>42</v>
      </c>
      <c r="M32" s="17">
        <f>+D40/D38</f>
        <v>0.11890958053513902</v>
      </c>
      <c r="N32" s="17">
        <f t="shared" ref="N32:Q32" si="21">+E40/E38</f>
        <v>0.23500597542220758</v>
      </c>
      <c r="O32" s="17">
        <f t="shared" si="21"/>
        <v>0.14618687366085834</v>
      </c>
      <c r="P32" s="17">
        <f t="shared" si="21"/>
        <v>0.17216876518241314</v>
      </c>
      <c r="Q32" s="17">
        <f t="shared" si="21"/>
        <v>6.4698128780319539E-2</v>
      </c>
      <c r="R32" s="17">
        <f>+I40/I38</f>
        <v>0.24613529722201016</v>
      </c>
      <c r="S32" s="36" t="s">
        <v>58</v>
      </c>
      <c r="V32" s="2"/>
    </row>
    <row r="33" spans="2:22" x14ac:dyDescent="0.25">
      <c r="B33" s="5" t="s">
        <v>17</v>
      </c>
      <c r="C33" s="6">
        <v>12151</v>
      </c>
      <c r="D33" s="6">
        <v>67342</v>
      </c>
      <c r="E33" s="6">
        <v>75459</v>
      </c>
      <c r="F33" s="6">
        <v>65149</v>
      </c>
      <c r="G33" s="6">
        <v>85111</v>
      </c>
      <c r="H33" s="6">
        <v>12546</v>
      </c>
      <c r="I33" s="6">
        <v>136549</v>
      </c>
      <c r="M33" s="17"/>
      <c r="N33" s="17"/>
      <c r="O33" s="17"/>
      <c r="P33" s="17"/>
      <c r="Q33" s="17"/>
      <c r="R33" s="17"/>
      <c r="S33" s="17"/>
      <c r="V33" s="17"/>
    </row>
    <row r="34" spans="2:22" x14ac:dyDescent="0.25">
      <c r="B34" s="1" t="s">
        <v>18</v>
      </c>
      <c r="C34" s="4">
        <f>+C30+C31+C32+C33</f>
        <v>300344</v>
      </c>
      <c r="D34" s="4">
        <f>+D30+D31+D32+D33</f>
        <v>392130</v>
      </c>
      <c r="E34" s="4">
        <f t="shared" ref="E34:H34" si="22">+E30+E31+E32+E33</f>
        <v>481812</v>
      </c>
      <c r="F34" s="4">
        <f t="shared" si="22"/>
        <v>408310</v>
      </c>
      <c r="G34" s="4">
        <f t="shared" si="22"/>
        <v>501056</v>
      </c>
      <c r="H34" s="4">
        <f t="shared" si="22"/>
        <v>385158</v>
      </c>
      <c r="I34" s="4">
        <f>+I30+I31+I32+I33</f>
        <v>623508</v>
      </c>
      <c r="M34" s="17"/>
      <c r="N34" s="17"/>
      <c r="O34" s="17"/>
      <c r="P34" s="17"/>
      <c r="Q34" s="17"/>
      <c r="R34" s="17"/>
      <c r="S34" s="17"/>
      <c r="V34" s="17"/>
    </row>
    <row r="35" spans="2:22" x14ac:dyDescent="0.25">
      <c r="M35" s="17"/>
      <c r="N35" s="2"/>
      <c r="O35" s="17"/>
      <c r="P35" s="17"/>
      <c r="Q35" s="17"/>
      <c r="R35" s="17"/>
      <c r="S35" s="17"/>
      <c r="V35" s="17"/>
    </row>
    <row r="36" spans="2:22" ht="15.75" thickBot="1" x14ac:dyDescent="0.3">
      <c r="B36" s="8" t="s">
        <v>19</v>
      </c>
      <c r="C36" s="14">
        <f>+C34+C28</f>
        <v>1191757</v>
      </c>
      <c r="D36" s="14">
        <f>+D34+D28</f>
        <v>1242626</v>
      </c>
      <c r="E36" s="14">
        <f t="shared" ref="E36:I36" si="23">+E34+E28</f>
        <v>1312791</v>
      </c>
      <c r="F36" s="14">
        <f t="shared" si="23"/>
        <v>1229283</v>
      </c>
      <c r="G36" s="14">
        <f>+G34+G28</f>
        <v>1326545</v>
      </c>
      <c r="H36" s="14">
        <f t="shared" si="23"/>
        <v>1206049</v>
      </c>
      <c r="I36" s="14">
        <f t="shared" si="23"/>
        <v>1322762</v>
      </c>
      <c r="K36" s="41"/>
      <c r="M36" s="17"/>
      <c r="N36" s="2"/>
      <c r="O36" s="17"/>
      <c r="P36" s="17"/>
      <c r="Q36" s="17"/>
      <c r="R36" s="17"/>
      <c r="S36" s="17"/>
      <c r="V36" s="17"/>
    </row>
    <row r="37" spans="2:22" ht="15.75" thickTop="1" x14ac:dyDescent="0.25">
      <c r="K37" s="2"/>
      <c r="L37" s="2"/>
      <c r="M37" s="2"/>
      <c r="N37" s="2"/>
      <c r="O37" s="17"/>
      <c r="P37" s="17"/>
      <c r="Q37" s="17"/>
      <c r="R37" s="17"/>
      <c r="S37" s="17"/>
      <c r="V37" s="17"/>
    </row>
    <row r="38" spans="2:22" x14ac:dyDescent="0.25">
      <c r="B38" t="s">
        <v>20</v>
      </c>
      <c r="C38" s="3">
        <v>345780</v>
      </c>
      <c r="D38" s="3">
        <v>359458</v>
      </c>
      <c r="E38" s="3">
        <v>350045</v>
      </c>
      <c r="F38" s="3">
        <v>360461</v>
      </c>
      <c r="G38" s="3">
        <v>416326</v>
      </c>
      <c r="H38" s="3">
        <v>460003</v>
      </c>
      <c r="I38" s="3">
        <v>406133</v>
      </c>
      <c r="M38" s="17"/>
      <c r="N38" s="2"/>
      <c r="O38" s="17"/>
      <c r="P38" s="21"/>
      <c r="Q38" s="17"/>
      <c r="R38" s="17"/>
      <c r="S38" s="17"/>
      <c r="V38" s="17"/>
    </row>
    <row r="39" spans="2:22" x14ac:dyDescent="0.25">
      <c r="B39" t="s">
        <v>21</v>
      </c>
      <c r="C39" s="3">
        <v>175015</v>
      </c>
      <c r="D39" s="3">
        <v>189770</v>
      </c>
      <c r="E39" s="3">
        <v>150789</v>
      </c>
      <c r="F39" s="3">
        <v>145569</v>
      </c>
      <c r="G39" s="3">
        <v>130015</v>
      </c>
      <c r="H39" s="3">
        <v>91593</v>
      </c>
      <c r="I39" s="3">
        <v>51569</v>
      </c>
      <c r="K39" s="2"/>
      <c r="L39" s="2"/>
      <c r="M39" s="2"/>
      <c r="N39" s="2"/>
      <c r="O39" s="22"/>
      <c r="P39" s="17"/>
      <c r="Q39" s="17"/>
      <c r="R39" s="17"/>
      <c r="S39" s="17"/>
      <c r="V39" s="17"/>
    </row>
    <row r="40" spans="2:22" x14ac:dyDescent="0.25">
      <c r="B40" t="s">
        <v>22</v>
      </c>
      <c r="C40" s="3">
        <v>45469</v>
      </c>
      <c r="D40" s="3">
        <v>42743</v>
      </c>
      <c r="E40" s="3">
        <v>82262.666666666657</v>
      </c>
      <c r="F40" s="3">
        <v>52694.666666666657</v>
      </c>
      <c r="G40" s="3">
        <v>71678.333333333328</v>
      </c>
      <c r="H40" s="3">
        <v>29761.333333333328</v>
      </c>
      <c r="I40" s="3">
        <v>99963.666666666657</v>
      </c>
      <c r="K40" s="16"/>
      <c r="L40" s="16"/>
      <c r="M40" s="17"/>
      <c r="N40" s="2"/>
      <c r="P40" s="17"/>
      <c r="Q40" s="17"/>
      <c r="R40" s="17"/>
      <c r="S40" s="17"/>
      <c r="V40" s="17"/>
    </row>
    <row r="41" spans="2:22" x14ac:dyDescent="0.25">
      <c r="B41" t="s">
        <v>23</v>
      </c>
      <c r="C41" s="3">
        <v>625493</v>
      </c>
      <c r="D41" s="3">
        <v>650655</v>
      </c>
      <c r="E41" s="3">
        <v>729694.33333333337</v>
      </c>
      <c r="F41" s="3">
        <v>670558.33333333337</v>
      </c>
      <c r="G41" s="3">
        <v>708525.66666666674</v>
      </c>
      <c r="H41" s="3">
        <v>624691.66666666674</v>
      </c>
      <c r="I41" s="3">
        <v>765096.33333333337</v>
      </c>
      <c r="M41" s="17"/>
      <c r="N41" s="2"/>
      <c r="O41" s="17"/>
      <c r="P41" s="17"/>
      <c r="Q41" s="2"/>
      <c r="R41" s="17"/>
      <c r="S41" s="17"/>
      <c r="T41" s="2"/>
      <c r="U41" s="2"/>
      <c r="V41" s="17"/>
    </row>
    <row r="42" spans="2:22" x14ac:dyDescent="0.25">
      <c r="M42" s="2"/>
      <c r="N42" s="2"/>
      <c r="O42" s="17"/>
      <c r="P42" s="17"/>
      <c r="Q42" s="17"/>
      <c r="R42" s="17"/>
      <c r="S42" s="17"/>
      <c r="T42" s="24"/>
      <c r="U42" s="24"/>
      <c r="V42" s="17"/>
    </row>
    <row r="43" spans="2:22" ht="15.75" thickBot="1" x14ac:dyDescent="0.3">
      <c r="B43" s="8" t="s">
        <v>24</v>
      </c>
      <c r="C43" s="14">
        <f>C38+C39+C40+C41</f>
        <v>1191757</v>
      </c>
      <c r="D43" s="14">
        <f t="shared" ref="D43:I43" si="24">D38+D39+D40+D41</f>
        <v>1242626</v>
      </c>
      <c r="E43" s="14">
        <f t="shared" si="24"/>
        <v>1312791</v>
      </c>
      <c r="F43" s="14">
        <f t="shared" si="24"/>
        <v>1229283</v>
      </c>
      <c r="G43" s="14">
        <f t="shared" si="24"/>
        <v>1326545</v>
      </c>
      <c r="H43" s="14">
        <f t="shared" si="24"/>
        <v>1206049</v>
      </c>
      <c r="I43" s="14">
        <f t="shared" si="24"/>
        <v>1322762</v>
      </c>
      <c r="M43" s="2"/>
      <c r="N43" s="2"/>
      <c r="O43" s="2"/>
      <c r="P43" s="2"/>
      <c r="Q43" s="2"/>
      <c r="R43" s="17"/>
      <c r="S43" s="17"/>
      <c r="T43" s="17"/>
      <c r="U43" s="25"/>
      <c r="V43" s="17"/>
    </row>
    <row r="44" spans="2:22" ht="15.75" thickTop="1" x14ac:dyDescent="0.25">
      <c r="M44" s="2"/>
      <c r="N44" s="2"/>
      <c r="O44" s="17"/>
      <c r="P44" s="22"/>
      <c r="Q44" s="17"/>
      <c r="R44" s="17"/>
      <c r="S44" s="17"/>
      <c r="T44" s="2"/>
      <c r="U44" s="2"/>
      <c r="V44" s="17"/>
    </row>
    <row r="45" spans="2:22" x14ac:dyDescent="0.25">
      <c r="B45" s="42" t="s">
        <v>82</v>
      </c>
      <c r="C45" s="42"/>
      <c r="D45" s="42"/>
      <c r="E45" s="42"/>
      <c r="F45" s="42"/>
      <c r="G45" s="42"/>
      <c r="H45" s="42"/>
      <c r="I45" s="42"/>
      <c r="M45" s="2"/>
      <c r="N45" s="2"/>
      <c r="T45" s="2"/>
      <c r="U45" s="2"/>
    </row>
    <row r="46" spans="2:22" x14ac:dyDescent="0.25">
      <c r="J46" s="7"/>
      <c r="M46" s="2"/>
      <c r="N46" s="2"/>
      <c r="T46" s="24"/>
      <c r="U46" s="24"/>
    </row>
    <row r="47" spans="2:22" x14ac:dyDescent="0.25">
      <c r="B47" s="30" t="s">
        <v>59</v>
      </c>
      <c r="C47" s="31"/>
      <c r="D47" s="31"/>
      <c r="E47" s="31"/>
      <c r="F47" s="31"/>
      <c r="G47" s="19">
        <v>2016</v>
      </c>
      <c r="H47" s="19">
        <v>2017</v>
      </c>
      <c r="I47" s="19">
        <v>2018</v>
      </c>
      <c r="K47" s="7"/>
      <c r="L47" s="7"/>
      <c r="M47" s="2"/>
      <c r="N47" s="2"/>
      <c r="T47" s="24"/>
      <c r="U47" s="24"/>
    </row>
    <row r="48" spans="2:22" x14ac:dyDescent="0.25">
      <c r="B48" t="s">
        <v>60</v>
      </c>
      <c r="G48" s="3">
        <v>97950</v>
      </c>
      <c r="H48" s="3">
        <v>309885</v>
      </c>
      <c r="I48" s="3">
        <v>324384</v>
      </c>
      <c r="K48" s="7"/>
      <c r="L48" s="7"/>
      <c r="M48" s="2"/>
      <c r="N48" s="2"/>
      <c r="T48" s="17"/>
      <c r="U48" s="25"/>
    </row>
    <row r="49" spans="2:21" x14ac:dyDescent="0.25">
      <c r="B49" t="s">
        <v>61</v>
      </c>
      <c r="E49" s="7"/>
      <c r="F49" s="7"/>
      <c r="G49" s="3">
        <v>-14546</v>
      </c>
      <c r="H49" s="3">
        <v>-12154</v>
      </c>
      <c r="I49" s="3">
        <v>-11546</v>
      </c>
      <c r="M49" s="2"/>
      <c r="N49" s="2"/>
      <c r="T49" s="2"/>
      <c r="U49" s="17"/>
    </row>
    <row r="50" spans="2:21" x14ac:dyDescent="0.25">
      <c r="B50" t="s">
        <v>62</v>
      </c>
      <c r="G50" s="3">
        <v>31467</v>
      </c>
      <c r="H50" s="3">
        <v>39458</v>
      </c>
      <c r="I50" s="3">
        <v>42546</v>
      </c>
      <c r="T50" s="2"/>
      <c r="U50" s="25"/>
    </row>
    <row r="51" spans="2:21" x14ac:dyDescent="0.25">
      <c r="B51" t="s">
        <v>63</v>
      </c>
      <c r="E51" s="7"/>
      <c r="F51" s="7"/>
      <c r="G51" s="3">
        <v>90456</v>
      </c>
      <c r="H51" s="3">
        <v>71549</v>
      </c>
      <c r="I51" s="3">
        <v>139154</v>
      </c>
      <c r="T51" s="2"/>
      <c r="U51" s="17"/>
    </row>
    <row r="52" spans="2:21" x14ac:dyDescent="0.25">
      <c r="B52" s="32" t="s">
        <v>64</v>
      </c>
      <c r="C52" s="32"/>
      <c r="D52" s="32"/>
      <c r="E52" s="32"/>
      <c r="F52" s="32"/>
      <c r="G52" s="33">
        <v>1546</v>
      </c>
      <c r="H52" s="33">
        <v>-4987</v>
      </c>
      <c r="I52" s="33">
        <v>9459</v>
      </c>
    </row>
    <row r="53" spans="2:21" x14ac:dyDescent="0.25">
      <c r="B53" s="12" t="s">
        <v>65</v>
      </c>
      <c r="C53" s="13"/>
      <c r="D53" s="13"/>
      <c r="E53" s="13"/>
      <c r="F53" s="13"/>
      <c r="G53" s="13">
        <f>SUM(G48:G52)</f>
        <v>206873</v>
      </c>
      <c r="H53" s="13">
        <f t="shared" ref="H53:I53" si="25">SUM(H48:H52)</f>
        <v>403751</v>
      </c>
      <c r="I53" s="13">
        <f t="shared" si="25"/>
        <v>503997</v>
      </c>
    </row>
    <row r="55" spans="2:21" x14ac:dyDescent="0.25">
      <c r="B55" t="s">
        <v>66</v>
      </c>
      <c r="G55" s="26">
        <v>5497</v>
      </c>
      <c r="H55" s="26">
        <v>-4564</v>
      </c>
      <c r="I55" s="26">
        <v>-66786</v>
      </c>
    </row>
    <row r="56" spans="2:21" x14ac:dyDescent="0.25">
      <c r="B56" t="s">
        <v>67</v>
      </c>
      <c r="G56" s="26">
        <v>-59465</v>
      </c>
      <c r="H56" s="26">
        <v>-54594</v>
      </c>
      <c r="I56" s="26">
        <v>-45649</v>
      </c>
    </row>
    <row r="57" spans="2:21" x14ac:dyDescent="0.25">
      <c r="B57" t="s">
        <v>68</v>
      </c>
      <c r="G57" s="26">
        <v>-45469</v>
      </c>
      <c r="H57" s="26">
        <v>-74046</v>
      </c>
      <c r="I57" s="26">
        <v>-15644</v>
      </c>
    </row>
    <row r="58" spans="2:21" x14ac:dyDescent="0.25">
      <c r="B58" t="s">
        <v>69</v>
      </c>
      <c r="G58" s="26">
        <v>-89713</v>
      </c>
      <c r="H58" s="26">
        <v>-125469</v>
      </c>
      <c r="I58" s="26">
        <v>-90463</v>
      </c>
    </row>
    <row r="59" spans="2:21" x14ac:dyDescent="0.25">
      <c r="B59" s="5" t="s">
        <v>70</v>
      </c>
      <c r="C59" s="5"/>
      <c r="D59" s="5"/>
      <c r="E59" s="5"/>
      <c r="F59" s="5"/>
      <c r="G59" s="6">
        <v>-15168</v>
      </c>
      <c r="H59" s="6">
        <v>-45156</v>
      </c>
      <c r="I59" s="6">
        <v>-50456</v>
      </c>
    </row>
    <row r="60" spans="2:21" ht="15.75" thickBot="1" x14ac:dyDescent="0.3">
      <c r="B60" s="27" t="s">
        <v>71</v>
      </c>
      <c r="C60" s="28"/>
      <c r="D60" s="28"/>
      <c r="E60" s="28"/>
      <c r="F60" s="28"/>
      <c r="G60" s="28">
        <f>+G53+SUM(G55:G59)</f>
        <v>2555</v>
      </c>
      <c r="H60" s="28">
        <f t="shared" ref="H60:I60" si="26">+H53+SUM(H55:H59)</f>
        <v>99922</v>
      </c>
      <c r="I60" s="28">
        <f t="shared" si="26"/>
        <v>234999</v>
      </c>
    </row>
    <row r="61" spans="2:21" ht="15.75" thickTop="1" x14ac:dyDescent="0.25">
      <c r="G61" s="26"/>
      <c r="H61" s="26"/>
      <c r="I61" s="26"/>
      <c r="K61" s="7"/>
    </row>
    <row r="62" spans="2:21" x14ac:dyDescent="0.25">
      <c r="B62" s="5" t="s">
        <v>72</v>
      </c>
      <c r="C62" s="5"/>
      <c r="D62" s="5"/>
      <c r="E62" s="5"/>
      <c r="F62" s="5"/>
      <c r="G62" s="29">
        <v>73574</v>
      </c>
      <c r="H62" s="29">
        <v>102842</v>
      </c>
      <c r="I62" s="29">
        <v>169668</v>
      </c>
      <c r="K62" s="7"/>
    </row>
    <row r="63" spans="2:21" x14ac:dyDescent="0.25">
      <c r="G63" s="26"/>
      <c r="H63" s="26"/>
      <c r="I63" s="26"/>
      <c r="K63" s="7"/>
    </row>
    <row r="64" spans="2:21" x14ac:dyDescent="0.25">
      <c r="B64" s="5" t="s">
        <v>73</v>
      </c>
      <c r="C64" s="5"/>
      <c r="D64" s="5"/>
      <c r="E64" s="5"/>
      <c r="F64" s="5"/>
      <c r="G64" s="29">
        <v>-1546</v>
      </c>
      <c r="H64" s="29">
        <v>45843</v>
      </c>
      <c r="I64" s="29">
        <v>15749</v>
      </c>
      <c r="J64" s="26"/>
      <c r="K64" s="7"/>
    </row>
    <row r="65" spans="2:10" x14ac:dyDescent="0.25">
      <c r="G65" s="26"/>
      <c r="H65" s="26"/>
      <c r="I65" s="26"/>
      <c r="J65" s="26"/>
    </row>
    <row r="66" spans="2:10" x14ac:dyDescent="0.25">
      <c r="B66" t="s">
        <v>74</v>
      </c>
      <c r="G66" s="26">
        <v>85111</v>
      </c>
      <c r="H66" s="26">
        <f>+G68</f>
        <v>12546</v>
      </c>
      <c r="I66" s="26">
        <f>+H68</f>
        <v>55469</v>
      </c>
      <c r="J66" s="26"/>
    </row>
    <row r="67" spans="2:10" x14ac:dyDescent="0.25">
      <c r="B67" s="5" t="s">
        <v>75</v>
      </c>
      <c r="C67" s="5"/>
      <c r="D67" s="5"/>
      <c r="E67" s="5"/>
      <c r="F67" s="5"/>
      <c r="G67" s="29">
        <f>+G60-G62+G64</f>
        <v>-72565</v>
      </c>
      <c r="H67" s="29">
        <f>+H60-H62+H64</f>
        <v>42923</v>
      </c>
      <c r="I67" s="29">
        <f>+I60-I62+I64</f>
        <v>81080</v>
      </c>
      <c r="J67" s="26"/>
    </row>
    <row r="68" spans="2:10" ht="15.75" thickBot="1" x14ac:dyDescent="0.3">
      <c r="B68" s="8" t="s">
        <v>76</v>
      </c>
      <c r="C68" s="8"/>
      <c r="D68" s="8"/>
      <c r="E68" s="8"/>
      <c r="F68" s="8"/>
      <c r="G68" s="40">
        <f>+G66+G67</f>
        <v>12546</v>
      </c>
      <c r="H68" s="40">
        <f>+H66+H67</f>
        <v>55469</v>
      </c>
      <c r="I68" s="40">
        <f>+I66+I67</f>
        <v>136549</v>
      </c>
      <c r="J68" s="26"/>
    </row>
    <row r="69" spans="2:10" ht="15.75" thickTop="1" x14ac:dyDescent="0.25">
      <c r="G69" s="26"/>
      <c r="H69" s="26"/>
      <c r="I69" s="26"/>
      <c r="J69" s="26"/>
    </row>
    <row r="70" spans="2:10" x14ac:dyDescent="0.25">
      <c r="G70" s="26"/>
      <c r="H70" s="26"/>
      <c r="I70" s="26"/>
    </row>
    <row r="71" spans="2:10" x14ac:dyDescent="0.25">
      <c r="G71" s="26"/>
      <c r="H71" s="26"/>
      <c r="I71" s="26"/>
    </row>
    <row r="72" spans="2:10" x14ac:dyDescent="0.25">
      <c r="H72" s="7"/>
      <c r="I72" s="7"/>
    </row>
  </sheetData>
  <mergeCells count="4">
    <mergeCell ref="B45:I45"/>
    <mergeCell ref="B7:I7"/>
    <mergeCell ref="B26:I26"/>
    <mergeCell ref="K7:R7"/>
  </mergeCells>
  <pageMargins left="0.7" right="0.7" top="0.75" bottom="0.75" header="0.3" footer="0.3"/>
  <pageSetup paperSize="9" orientation="portrait" r:id="rId1"/>
  <ignoredErrors>
    <ignoredError sqref="M25:R25 M10:R10 M14:R14 M23:R23 M24:R24 G53:I53" formulaRange="1"/>
    <ignoredError sqref="M31:R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F9F-A319-4E53-9383-D459FC71711F}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Nøgletalsanalyse</vt:lpstr>
      <vt:lpstr>Betingelser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Frederiksen</dc:creator>
  <cp:lastModifiedBy>Thomas Sedkowski</cp:lastModifiedBy>
  <dcterms:created xsi:type="dcterms:W3CDTF">2019-04-01T10:05:15Z</dcterms:created>
  <dcterms:modified xsi:type="dcterms:W3CDTF">2019-05-10T08:29:14Z</dcterms:modified>
</cp:coreProperties>
</file>