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mc:AlternateContent xmlns:mc="http://schemas.openxmlformats.org/markup-compatibility/2006">
    <mc:Choice Requires="x15">
      <x15ac:absPath xmlns:x15ac="http://schemas.microsoft.com/office/spreadsheetml/2010/11/ac" url="C:\Projects\my-news\"/>
    </mc:Choice>
  </mc:AlternateContent>
  <xr:revisionPtr revIDLastSave="0" documentId="13_ncr:1_{D60DE41F-699C-484D-8B15-646382E1890F}" xr6:coauthVersionLast="47" xr6:coauthVersionMax="47" xr10:uidLastSave="{00000000-0000-0000-0000-000000000000}"/>
  <bookViews>
    <workbookView xWindow="-120" yWindow="-120" windowWidth="29040" windowHeight="15990" tabRatio="986" firstSheet="7" activeTab="17" xr2:uid="{00000000-000D-0000-FFFF-FFFF00000000}"/>
  </bookViews>
  <sheets>
    <sheet name="Portada" sheetId="1" r:id="rId1"/>
    <sheet name="Indice" sheetId="2" r:id="rId2"/>
    <sheet name="1️⃣ Hipótesis" sheetId="3" r:id="rId3"/>
    <sheet name="2️⃣ Proy. ventas" sheetId="20" r:id="rId4"/>
    <sheet name="Anexo capacidad operativa" sheetId="34" r:id="rId5"/>
    <sheet name="3️⃣ Mod. ingresos" sheetId="26" r:id="rId6"/>
    <sheet name="4️⃣ Costos fijos" sheetId="22" r:id="rId7"/>
    <sheet name="5️⃣ Costos variables" sheetId="27" r:id="rId8"/>
    <sheet name="6️⃣ Costos RRHH" sheetId="25" r:id="rId9"/>
    <sheet name="7️⃣ Mod. egresos" sheetId="24" r:id="rId10"/>
    <sheet name="8️⃣ Mod. inversión" sheetId="23" r:id="rId11"/>
    <sheet name="9️⃣ Amortizaciones" sheetId="19" r:id="rId12"/>
    <sheet name="🔟 Presupuesto financiero" sheetId="21" r:id="rId13"/>
    <sheet name="1️⃣ Matriz riesgo" sheetId="18" r:id="rId14"/>
    <sheet name="2️⃣ Escenario 1" sheetId="29" r:id="rId15"/>
    <sheet name="3️⃣ Escenario 2" sheetId="37" r:id="rId16"/>
    <sheet name="4️⃣ Escenario 3" sheetId="38" r:id="rId17"/>
    <sheet name="5️⃣ Plan de contingencia" sheetId="30" r:id="rId18"/>
    <sheet name="Hoja auxiliar" sheetId="33"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47" i="27" l="1"/>
  <c r="Y47" i="27"/>
  <c r="W47" i="27"/>
  <c r="U47" i="27"/>
  <c r="S47" i="27"/>
  <c r="Q47" i="27"/>
  <c r="O47" i="27"/>
  <c r="M47" i="27"/>
  <c r="K47" i="27"/>
  <c r="I47" i="27"/>
  <c r="G47" i="27"/>
  <c r="E47" i="27"/>
  <c r="H46" i="34"/>
  <c r="C104" i="20"/>
  <c r="C103" i="20"/>
  <c r="C102" i="20"/>
  <c r="C101" i="20"/>
  <c r="C100" i="20"/>
  <c r="C99" i="20"/>
  <c r="C98" i="20"/>
  <c r="C97" i="20"/>
  <c r="C64" i="20"/>
  <c r="C63" i="20"/>
  <c r="C62" i="20"/>
  <c r="C61" i="20"/>
  <c r="C60" i="20"/>
  <c r="C59" i="20"/>
  <c r="C58" i="20"/>
  <c r="C57" i="20"/>
  <c r="C19" i="20"/>
  <c r="C20" i="20"/>
  <c r="C21" i="20"/>
  <c r="C22" i="20"/>
  <c r="C24" i="20"/>
  <c r="C25" i="20"/>
  <c r="C26" i="20"/>
  <c r="C23" i="20"/>
  <c r="F24" i="37"/>
  <c r="H23" i="38"/>
  <c r="G23" i="38"/>
  <c r="H24" i="37"/>
  <c r="G24" i="37"/>
  <c r="H23" i="37"/>
  <c r="G23" i="37"/>
  <c r="H32" i="37"/>
  <c r="G32" i="37"/>
  <c r="F28" i="37"/>
  <c r="F26" i="37"/>
  <c r="F23" i="37"/>
  <c r="H20" i="37"/>
  <c r="G20" i="37"/>
  <c r="F20" i="37"/>
  <c r="F32" i="37" s="1"/>
  <c r="H16" i="37"/>
  <c r="G16" i="37"/>
  <c r="F16" i="37"/>
  <c r="H12" i="37"/>
  <c r="H26" i="37" s="1"/>
  <c r="G12" i="37"/>
  <c r="G26" i="37" s="1"/>
  <c r="F12" i="37"/>
  <c r="H10" i="37"/>
  <c r="G10" i="37"/>
  <c r="F10" i="37"/>
  <c r="H9" i="37"/>
  <c r="G9" i="37"/>
  <c r="F9" i="37"/>
  <c r="H8" i="37"/>
  <c r="G8" i="37"/>
  <c r="F8" i="37"/>
  <c r="H23" i="29"/>
  <c r="H32" i="38"/>
  <c r="G32" i="38"/>
  <c r="H20" i="38"/>
  <c r="G20" i="38"/>
  <c r="F20" i="38"/>
  <c r="F32" i="38" s="1"/>
  <c r="H16" i="38"/>
  <c r="G16" i="38"/>
  <c r="F16" i="38"/>
  <c r="H12" i="38"/>
  <c r="H26" i="38" s="1"/>
  <c r="G12" i="38"/>
  <c r="G26" i="38" s="1"/>
  <c r="F12" i="38"/>
  <c r="F26" i="38" s="1"/>
  <c r="H10" i="38"/>
  <c r="H24" i="38" s="1"/>
  <c r="G10" i="38"/>
  <c r="G24" i="38" s="1"/>
  <c r="F10" i="38"/>
  <c r="F24" i="38" s="1"/>
  <c r="H9" i="38"/>
  <c r="G9" i="38"/>
  <c r="F9" i="38"/>
  <c r="F23" i="38" s="1"/>
  <c r="H8" i="38"/>
  <c r="G8" i="38"/>
  <c r="F8" i="38"/>
  <c r="G23" i="29"/>
  <c r="G28" i="37" l="1"/>
  <c r="H28" i="37"/>
  <c r="F28" i="38"/>
  <c r="G28" i="38"/>
  <c r="H28" i="38"/>
  <c r="Z56" i="25" l="1"/>
  <c r="X56" i="25"/>
  <c r="V56" i="25"/>
  <c r="T56" i="25"/>
  <c r="R56" i="25"/>
  <c r="P56" i="25"/>
  <c r="N56" i="25"/>
  <c r="L56" i="25"/>
  <c r="J56" i="25"/>
  <c r="H56" i="25"/>
  <c r="F56" i="25"/>
  <c r="D56" i="25"/>
  <c r="M25" i="19"/>
  <c r="M24" i="19"/>
  <c r="L24" i="19"/>
  <c r="M23" i="19"/>
  <c r="L23" i="19"/>
  <c r="K23" i="19"/>
  <c r="M22" i="19"/>
  <c r="M21" i="19"/>
  <c r="L21" i="19"/>
  <c r="M20" i="19"/>
  <c r="L20" i="19"/>
  <c r="K20" i="19"/>
  <c r="M18" i="19"/>
  <c r="L18" i="19"/>
  <c r="M17" i="19"/>
  <c r="L17" i="19"/>
  <c r="K17" i="19"/>
  <c r="M16" i="19"/>
  <c r="M15" i="19"/>
  <c r="L15" i="19"/>
  <c r="M14" i="19"/>
  <c r="L14" i="19"/>
  <c r="K14" i="19"/>
  <c r="M19" i="19"/>
  <c r="M13" i="19"/>
  <c r="M12" i="19"/>
  <c r="L12" i="19"/>
  <c r="J25" i="19"/>
  <c r="I24" i="19"/>
  <c r="J22" i="19"/>
  <c r="I21" i="19"/>
  <c r="J19" i="19"/>
  <c r="I18" i="19"/>
  <c r="J16" i="19"/>
  <c r="I15" i="19"/>
  <c r="G17" i="19"/>
  <c r="G23" i="19"/>
  <c r="G14" i="19"/>
  <c r="J13" i="19"/>
  <c r="I12" i="19"/>
  <c r="E15" i="19"/>
  <c r="E16" i="19" s="1"/>
  <c r="E18" i="19" s="1"/>
  <c r="E19" i="19" s="1"/>
  <c r="E21" i="19" s="1"/>
  <c r="E22" i="19" s="1"/>
  <c r="E24" i="19" s="1"/>
  <c r="E25" i="19" s="1"/>
  <c r="E12" i="19"/>
  <c r="E13" i="19"/>
  <c r="I5" i="23"/>
  <c r="C18" i="23"/>
  <c r="C41" i="23"/>
  <c r="C53" i="23"/>
  <c r="E54" i="23"/>
  <c r="E53" i="23"/>
  <c r="E52" i="23"/>
  <c r="E51" i="23"/>
  <c r="E50" i="23"/>
  <c r="E49" i="23"/>
  <c r="E48" i="23"/>
  <c r="E42" i="23"/>
  <c r="E41" i="23"/>
  <c r="E40" i="23"/>
  <c r="E39" i="23"/>
  <c r="E38" i="23"/>
  <c r="E37" i="23"/>
  <c r="E36" i="23"/>
  <c r="E30" i="23"/>
  <c r="E29" i="23"/>
  <c r="E28" i="23"/>
  <c r="E27" i="23"/>
  <c r="E26" i="23"/>
  <c r="E25" i="23"/>
  <c r="E24" i="23"/>
  <c r="E14" i="23"/>
  <c r="E15" i="23"/>
  <c r="E13" i="23"/>
  <c r="E16" i="23"/>
  <c r="E17" i="23"/>
  <c r="E18" i="23"/>
  <c r="E19" i="23"/>
  <c r="AA56" i="25" l="1"/>
  <c r="F18" i="25" l="1"/>
  <c r="G18" i="25"/>
  <c r="H18" i="25"/>
  <c r="J18" i="25"/>
  <c r="E18" i="25"/>
  <c r="J17" i="22"/>
  <c r="K17" i="22" s="1"/>
  <c r="L17" i="22" s="1"/>
  <c r="M17" i="22" s="1"/>
  <c r="N17" i="22" s="1"/>
  <c r="O17" i="22" s="1"/>
  <c r="D34" i="22" s="1"/>
  <c r="E34" i="22" s="1"/>
  <c r="F34" i="22" s="1"/>
  <c r="G34" i="22" s="1"/>
  <c r="H34" i="22" s="1"/>
  <c r="I34" i="22" s="1"/>
  <c r="J34" i="22" s="1"/>
  <c r="K34" i="22" s="1"/>
  <c r="L34" i="22" s="1"/>
  <c r="M34" i="22" s="1"/>
  <c r="N34" i="22" s="1"/>
  <c r="O34" i="22" s="1"/>
  <c r="D52" i="22" s="1"/>
  <c r="E52" i="22" s="1"/>
  <c r="F52" i="22" s="1"/>
  <c r="G52" i="22" s="1"/>
  <c r="H52" i="22" s="1"/>
  <c r="I52" i="22" s="1"/>
  <c r="J52" i="22" s="1"/>
  <c r="K52" i="22" s="1"/>
  <c r="L52" i="22" s="1"/>
  <c r="M52" i="22" s="1"/>
  <c r="N52" i="22" s="1"/>
  <c r="O52" i="22" s="1"/>
  <c r="F17" i="22"/>
  <c r="G17" i="22"/>
  <c r="H17" i="22"/>
  <c r="I17" i="22"/>
  <c r="E17" i="22"/>
  <c r="E25" i="27"/>
  <c r="E24" i="27"/>
  <c r="E14" i="27"/>
  <c r="P55" i="22"/>
  <c r="P54" i="22"/>
  <c r="P37" i="22"/>
  <c r="P36" i="22"/>
  <c r="P20" i="22"/>
  <c r="K18" i="25" l="1"/>
  <c r="L18" i="25" s="1"/>
  <c r="E33" i="27"/>
  <c r="N70" i="25" l="1"/>
  <c r="Z70" i="25"/>
  <c r="Z51" i="25"/>
  <c r="D51" i="25"/>
  <c r="N51" i="25"/>
  <c r="X51" i="25"/>
  <c r="F51" i="25"/>
  <c r="R41" i="25"/>
  <c r="P41" i="25"/>
  <c r="Z41" i="25"/>
  <c r="N41" i="25"/>
  <c r="X41" i="25"/>
  <c r="L41" i="25"/>
  <c r="V41" i="25"/>
  <c r="J41" i="25"/>
  <c r="T41" i="25"/>
  <c r="H41" i="25"/>
  <c r="F41" i="25"/>
  <c r="D41" i="25"/>
  <c r="V70" i="25"/>
  <c r="P70" i="25"/>
  <c r="X70" i="25"/>
  <c r="L70" i="25"/>
  <c r="J70" i="25"/>
  <c r="V51" i="25"/>
  <c r="P51" i="25"/>
  <c r="J51" i="25"/>
  <c r="L51" i="25"/>
  <c r="D70" i="25"/>
  <c r="R70" i="25"/>
  <c r="H70" i="25"/>
  <c r="T51" i="25"/>
  <c r="H51" i="25"/>
  <c r="T70" i="25"/>
  <c r="F70" i="25"/>
  <c r="R51" i="25"/>
  <c r="C55" i="27"/>
  <c r="C59" i="27" s="1"/>
  <c r="C68" i="27"/>
  <c r="C72" i="27" l="1"/>
  <c r="U72" i="27" s="1"/>
  <c r="AA70" i="25"/>
  <c r="AA51" i="25"/>
  <c r="Q59" i="34" l="1"/>
  <c r="C67" i="20"/>
  <c r="C66" i="20"/>
  <c r="C106" i="20"/>
  <c r="E107" i="20"/>
  <c r="D68" i="27" s="1"/>
  <c r="E106" i="20"/>
  <c r="G107" i="20"/>
  <c r="F68" i="27" s="1"/>
  <c r="G106" i="20"/>
  <c r="F67" i="27" s="1"/>
  <c r="I107" i="20"/>
  <c r="H68" i="27" s="1"/>
  <c r="I106" i="20"/>
  <c r="H67" i="27" s="1"/>
  <c r="K107" i="20"/>
  <c r="J68" i="27" s="1"/>
  <c r="K106" i="20"/>
  <c r="M107" i="20"/>
  <c r="L68" i="27" s="1"/>
  <c r="M106" i="20"/>
  <c r="L67" i="27" s="1"/>
  <c r="O107" i="20"/>
  <c r="N68" i="27" s="1"/>
  <c r="O106" i="20"/>
  <c r="N67" i="27" s="1"/>
  <c r="Q107" i="20"/>
  <c r="P68" i="27" s="1"/>
  <c r="Q106" i="20"/>
  <c r="S107" i="20"/>
  <c r="R68" i="27" s="1"/>
  <c r="S106" i="20"/>
  <c r="R67" i="27" s="1"/>
  <c r="U107" i="20"/>
  <c r="T68" i="27" s="1"/>
  <c r="U106" i="20"/>
  <c r="T67" i="27" s="1"/>
  <c r="W107" i="20"/>
  <c r="V68" i="27" s="1"/>
  <c r="W106" i="20"/>
  <c r="Y107" i="20"/>
  <c r="X68" i="27" s="1"/>
  <c r="Y106" i="20"/>
  <c r="X67" i="27" s="1"/>
  <c r="AA107" i="20"/>
  <c r="Z68" i="27" s="1"/>
  <c r="AA106" i="20"/>
  <c r="Z67" i="27" s="1"/>
  <c r="AA67" i="20"/>
  <c r="Z55" i="27" s="1"/>
  <c r="AA66" i="20"/>
  <c r="Y67" i="20"/>
  <c r="X55" i="27" s="1"/>
  <c r="Y66" i="20"/>
  <c r="X54" i="27" s="1"/>
  <c r="W67" i="20"/>
  <c r="V55" i="27" s="1"/>
  <c r="W66" i="20"/>
  <c r="V54" i="27" s="1"/>
  <c r="U67" i="20"/>
  <c r="T55" i="27" s="1"/>
  <c r="U66" i="20"/>
  <c r="S67" i="20"/>
  <c r="R55" i="27" s="1"/>
  <c r="S66" i="20"/>
  <c r="R54" i="27" s="1"/>
  <c r="Q67" i="20"/>
  <c r="P55" i="27" s="1"/>
  <c r="Q66" i="20"/>
  <c r="P54" i="27" s="1"/>
  <c r="O67" i="20"/>
  <c r="N55" i="27" s="1"/>
  <c r="O66" i="20"/>
  <c r="M67" i="20"/>
  <c r="L55" i="27" s="1"/>
  <c r="M66" i="20"/>
  <c r="L54" i="27" s="1"/>
  <c r="K67" i="20"/>
  <c r="J55" i="27" s="1"/>
  <c r="K66" i="20"/>
  <c r="J54" i="27" s="1"/>
  <c r="I67" i="20"/>
  <c r="H55" i="27" s="1"/>
  <c r="I66" i="20"/>
  <c r="G67" i="20"/>
  <c r="F55" i="27" s="1"/>
  <c r="G66" i="20"/>
  <c r="F54" i="27" s="1"/>
  <c r="E67" i="20"/>
  <c r="D55" i="27" s="1"/>
  <c r="E66" i="20"/>
  <c r="D54" i="27" s="1"/>
  <c r="AA29" i="20"/>
  <c r="Z42" i="27" s="1"/>
  <c r="AA28" i="20"/>
  <c r="Z41" i="27" s="1"/>
  <c r="Y29" i="20"/>
  <c r="X42" i="27" s="1"/>
  <c r="Y28" i="20"/>
  <c r="X41" i="27" s="1"/>
  <c r="W29" i="20"/>
  <c r="V42" i="27" s="1"/>
  <c r="W28" i="20"/>
  <c r="V41" i="27" s="1"/>
  <c r="U29" i="20"/>
  <c r="T42" i="27" s="1"/>
  <c r="U28" i="20"/>
  <c r="T41" i="27" s="1"/>
  <c r="S29" i="20"/>
  <c r="R42" i="27" s="1"/>
  <c r="S28" i="20"/>
  <c r="R41" i="27" s="1"/>
  <c r="Q29" i="20"/>
  <c r="P42" i="27" s="1"/>
  <c r="Q28" i="20"/>
  <c r="P41" i="27" s="1"/>
  <c r="O29" i="20"/>
  <c r="N42" i="27" s="1"/>
  <c r="O28" i="20"/>
  <c r="N41" i="27" s="1"/>
  <c r="M29" i="20"/>
  <c r="L42" i="27" s="1"/>
  <c r="M28" i="20"/>
  <c r="L41" i="27" s="1"/>
  <c r="K29" i="20"/>
  <c r="J42" i="27" s="1"/>
  <c r="K28" i="20"/>
  <c r="J41" i="27" s="1"/>
  <c r="I29" i="20"/>
  <c r="H42" i="27" s="1"/>
  <c r="I28" i="20"/>
  <c r="H41" i="27" s="1"/>
  <c r="G29" i="20"/>
  <c r="F42" i="27" s="1"/>
  <c r="G28" i="20"/>
  <c r="F41" i="27" s="1"/>
  <c r="E29" i="20"/>
  <c r="D42" i="27" s="1"/>
  <c r="E28" i="20"/>
  <c r="D41" i="27" s="1"/>
  <c r="E21" i="34"/>
  <c r="E22" i="34"/>
  <c r="E23" i="34"/>
  <c r="E24" i="34"/>
  <c r="Q60" i="34" l="1"/>
  <c r="Q52" i="34"/>
  <c r="F47" i="27"/>
  <c r="L47" i="27"/>
  <c r="R47" i="27"/>
  <c r="X47" i="27"/>
  <c r="F60" i="27"/>
  <c r="G60" i="27" s="1"/>
  <c r="L60" i="27"/>
  <c r="M60" i="27" s="1"/>
  <c r="R60" i="27"/>
  <c r="S60" i="27" s="1"/>
  <c r="X60" i="27"/>
  <c r="Y60" i="27" s="1"/>
  <c r="Q53" i="34"/>
  <c r="K53" i="34"/>
  <c r="K60" i="34"/>
  <c r="E52" i="34"/>
  <c r="W52" i="34"/>
  <c r="W59" i="34"/>
  <c r="H47" i="27"/>
  <c r="N47" i="27"/>
  <c r="T47" i="27"/>
  <c r="Z47" i="27"/>
  <c r="E53" i="34"/>
  <c r="W53" i="34"/>
  <c r="W60" i="34"/>
  <c r="K52" i="34"/>
  <c r="E60" i="34"/>
  <c r="K59" i="34"/>
  <c r="E59" i="34"/>
  <c r="H54" i="27"/>
  <c r="H60" i="27" s="1"/>
  <c r="I60" i="27" s="1"/>
  <c r="G52" i="34"/>
  <c r="N54" i="27"/>
  <c r="N60" i="27" s="1"/>
  <c r="O60" i="27" s="1"/>
  <c r="M52" i="34"/>
  <c r="T54" i="27"/>
  <c r="T60" i="27" s="1"/>
  <c r="U60" i="27" s="1"/>
  <c r="S52" i="34"/>
  <c r="Z54" i="27"/>
  <c r="Z60" i="27" s="1"/>
  <c r="AA60" i="27" s="1"/>
  <c r="Y52" i="34"/>
  <c r="V67" i="27"/>
  <c r="V73" i="27" s="1"/>
  <c r="W73" i="27" s="1"/>
  <c r="U59" i="34"/>
  <c r="P67" i="27"/>
  <c r="P73" i="27" s="1"/>
  <c r="Q73" i="27" s="1"/>
  <c r="O59" i="34"/>
  <c r="J67" i="27"/>
  <c r="J73" i="27" s="1"/>
  <c r="K73" i="27" s="1"/>
  <c r="I59" i="34"/>
  <c r="D67" i="27"/>
  <c r="D73" i="27" s="1"/>
  <c r="E73" i="27" s="1"/>
  <c r="C59" i="34"/>
  <c r="C53" i="34"/>
  <c r="I53" i="34"/>
  <c r="O53" i="34"/>
  <c r="U53" i="34"/>
  <c r="C60" i="34"/>
  <c r="I60" i="34"/>
  <c r="O60" i="34"/>
  <c r="U60" i="34"/>
  <c r="D47" i="27"/>
  <c r="J47" i="27"/>
  <c r="P47" i="27"/>
  <c r="V47" i="27"/>
  <c r="D60" i="27"/>
  <c r="E60" i="27" s="1"/>
  <c r="J60" i="27"/>
  <c r="K60" i="27" s="1"/>
  <c r="P60" i="27"/>
  <c r="Q60" i="27" s="1"/>
  <c r="V60" i="27"/>
  <c r="W60" i="27" s="1"/>
  <c r="Z73" i="27"/>
  <c r="AA73" i="27" s="1"/>
  <c r="T73" i="27"/>
  <c r="U73" i="27" s="1"/>
  <c r="N73" i="27"/>
  <c r="O73" i="27" s="1"/>
  <c r="H73" i="27"/>
  <c r="I73" i="27" s="1"/>
  <c r="G59" i="34"/>
  <c r="M59" i="34"/>
  <c r="S59" i="34"/>
  <c r="Y59" i="34"/>
  <c r="G53" i="34"/>
  <c r="M53" i="34"/>
  <c r="S53" i="34"/>
  <c r="Y53" i="34"/>
  <c r="G60" i="34"/>
  <c r="M60" i="34"/>
  <c r="S60" i="34"/>
  <c r="Y60" i="34"/>
  <c r="X73" i="27"/>
  <c r="Y73" i="27" s="1"/>
  <c r="R73" i="27"/>
  <c r="S73" i="27" s="1"/>
  <c r="L73" i="27"/>
  <c r="M73" i="27" s="1"/>
  <c r="F73" i="27"/>
  <c r="G73" i="27" s="1"/>
  <c r="I52" i="34"/>
  <c r="O52" i="34"/>
  <c r="U52" i="34"/>
  <c r="A99" i="20"/>
  <c r="A100" i="20"/>
  <c r="A101" i="20"/>
  <c r="A102" i="20"/>
  <c r="A103" i="20"/>
  <c r="A104" i="20"/>
  <c r="A98" i="20"/>
  <c r="A97" i="20"/>
  <c r="C107" i="20"/>
  <c r="A59" i="20"/>
  <c r="A60" i="20"/>
  <c r="A61" i="20"/>
  <c r="A62" i="20"/>
  <c r="A63" i="20"/>
  <c r="A64" i="20"/>
  <c r="A58" i="20"/>
  <c r="A57" i="20"/>
  <c r="C28" i="20"/>
  <c r="C29" i="20"/>
  <c r="B7" i="20"/>
  <c r="A20" i="20"/>
  <c r="A21" i="20"/>
  <c r="A22" i="20"/>
  <c r="A23" i="20"/>
  <c r="A24" i="20"/>
  <c r="A25" i="20"/>
  <c r="A26" i="20"/>
  <c r="A19" i="20"/>
  <c r="N31" i="30" l="1"/>
  <c r="N30" i="30"/>
  <c r="M5" i="21" l="1"/>
  <c r="L5" i="21"/>
  <c r="K5" i="21"/>
  <c r="G11" i="19"/>
  <c r="L11" i="19" s="1"/>
  <c r="G20" i="19"/>
  <c r="D5" i="19"/>
  <c r="C5" i="19"/>
  <c r="B5" i="19"/>
  <c r="K11" i="19" l="1"/>
  <c r="M11" i="19"/>
  <c r="K26" i="19"/>
  <c r="I5" i="19" s="1"/>
  <c r="K16" i="21" s="1"/>
  <c r="G8" i="29"/>
  <c r="J7" i="30"/>
  <c r="K7" i="30"/>
  <c r="H8" i="29"/>
  <c r="F8" i="29"/>
  <c r="I7" i="30"/>
  <c r="E55" i="23"/>
  <c r="J5" i="23" s="1"/>
  <c r="M20" i="21" s="1"/>
  <c r="E43" i="23"/>
  <c r="L20" i="21" s="1"/>
  <c r="E31" i="23"/>
  <c r="H5" i="23" s="1"/>
  <c r="K20" i="21" s="1"/>
  <c r="M26" i="19" l="1"/>
  <c r="K5" i="19" s="1"/>
  <c r="M16" i="21" s="1"/>
  <c r="K15" i="30" s="1"/>
  <c r="L26" i="19"/>
  <c r="J5" i="19" s="1"/>
  <c r="L16" i="21" s="1"/>
  <c r="J15" i="30" s="1"/>
  <c r="F16" i="29"/>
  <c r="I15" i="30"/>
  <c r="H20" i="29"/>
  <c r="H32" i="29" s="1"/>
  <c r="F20" i="29"/>
  <c r="F32" i="29" s="1"/>
  <c r="G20" i="29"/>
  <c r="G32" i="29" s="1"/>
  <c r="F21" i="21"/>
  <c r="E21" i="21"/>
  <c r="G21" i="21"/>
  <c r="D5" i="23"/>
  <c r="C5" i="23"/>
  <c r="B5" i="23"/>
  <c r="E5" i="24"/>
  <c r="D5" i="24"/>
  <c r="C5" i="24"/>
  <c r="H16" i="29" l="1"/>
  <c r="G16" i="29"/>
  <c r="I19" i="30"/>
  <c r="I31" i="30" s="1"/>
  <c r="K19" i="30"/>
  <c r="K31" i="30" s="1"/>
  <c r="J19" i="30"/>
  <c r="J31" i="30" s="1"/>
  <c r="E42" i="25" l="1"/>
  <c r="G42" i="25"/>
  <c r="I42" i="25"/>
  <c r="K42" i="25"/>
  <c r="M42" i="25"/>
  <c r="O42" i="25"/>
  <c r="Q42" i="25"/>
  <c r="S42" i="25"/>
  <c r="U42" i="25"/>
  <c r="W42" i="25"/>
  <c r="Y42" i="25"/>
  <c r="E59" i="25"/>
  <c r="G59" i="25"/>
  <c r="I59" i="25"/>
  <c r="K59" i="25"/>
  <c r="M59" i="25"/>
  <c r="O59" i="25"/>
  <c r="Q59" i="25"/>
  <c r="S59" i="25"/>
  <c r="U59" i="25"/>
  <c r="W59" i="25"/>
  <c r="Y59" i="25"/>
  <c r="C59" i="25"/>
  <c r="E82" i="25"/>
  <c r="G82" i="25"/>
  <c r="I82" i="25"/>
  <c r="K82" i="25"/>
  <c r="M82" i="25"/>
  <c r="O82" i="25"/>
  <c r="Q82" i="25"/>
  <c r="S82" i="25"/>
  <c r="U82" i="25"/>
  <c r="W82" i="25"/>
  <c r="Y82" i="25"/>
  <c r="C82" i="25"/>
  <c r="C42" i="25" l="1"/>
  <c r="F29" i="25"/>
  <c r="G29" i="25"/>
  <c r="H29" i="25"/>
  <c r="J29" i="25"/>
  <c r="F28" i="25"/>
  <c r="G28" i="25"/>
  <c r="H28" i="25"/>
  <c r="J28" i="25"/>
  <c r="F27" i="25"/>
  <c r="G27" i="25"/>
  <c r="H27" i="25"/>
  <c r="J27" i="25"/>
  <c r="F26" i="25"/>
  <c r="G26" i="25"/>
  <c r="H26" i="25"/>
  <c r="J26" i="25"/>
  <c r="F25" i="25"/>
  <c r="G25" i="25"/>
  <c r="H25" i="25"/>
  <c r="J25" i="25"/>
  <c r="F24" i="25"/>
  <c r="G24" i="25"/>
  <c r="H24" i="25"/>
  <c r="J24" i="25"/>
  <c r="F23" i="25"/>
  <c r="G23" i="25"/>
  <c r="H23" i="25"/>
  <c r="J23" i="25"/>
  <c r="F22" i="25"/>
  <c r="G22" i="25"/>
  <c r="H22" i="25"/>
  <c r="J22" i="25"/>
  <c r="F21" i="25"/>
  <c r="G21" i="25"/>
  <c r="H21" i="25"/>
  <c r="J21" i="25"/>
  <c r="F20" i="25"/>
  <c r="G20" i="25"/>
  <c r="H20" i="25"/>
  <c r="J20" i="25"/>
  <c r="F19" i="25"/>
  <c r="G19" i="25"/>
  <c r="H19" i="25"/>
  <c r="J19" i="25"/>
  <c r="J17" i="25"/>
  <c r="F17" i="25"/>
  <c r="G17" i="25"/>
  <c r="H17" i="25"/>
  <c r="E29" i="25"/>
  <c r="E28" i="25"/>
  <c r="E27" i="25"/>
  <c r="E26" i="25"/>
  <c r="E25" i="25"/>
  <c r="E24" i="25"/>
  <c r="F16" i="25"/>
  <c r="G16" i="25"/>
  <c r="H16" i="25"/>
  <c r="J16" i="25"/>
  <c r="E23" i="25"/>
  <c r="E22" i="25"/>
  <c r="E21" i="25"/>
  <c r="E20" i="25"/>
  <c r="E19" i="25"/>
  <c r="E17" i="25"/>
  <c r="E16" i="25"/>
  <c r="F15" i="25"/>
  <c r="G15" i="25"/>
  <c r="H15" i="25"/>
  <c r="J15" i="25"/>
  <c r="E15" i="25"/>
  <c r="F14" i="25"/>
  <c r="G14" i="25"/>
  <c r="H14" i="25"/>
  <c r="J14" i="25"/>
  <c r="E14" i="25"/>
  <c r="D6" i="25"/>
  <c r="C6" i="25"/>
  <c r="B6" i="25"/>
  <c r="G69" i="27"/>
  <c r="G56" i="27"/>
  <c r="AA72" i="27"/>
  <c r="Y72" i="27"/>
  <c r="W72" i="27"/>
  <c r="S72" i="27"/>
  <c r="Q72" i="27"/>
  <c r="O72" i="27"/>
  <c r="M72" i="27"/>
  <c r="K72" i="27"/>
  <c r="I72" i="27"/>
  <c r="G72" i="27"/>
  <c r="E72" i="27"/>
  <c r="AA69" i="27"/>
  <c r="Y69" i="27"/>
  <c r="W69" i="27"/>
  <c r="U69" i="27"/>
  <c r="S69" i="27"/>
  <c r="Q69" i="27"/>
  <c r="O69" i="27"/>
  <c r="M69" i="27"/>
  <c r="K69" i="27"/>
  <c r="I69" i="27"/>
  <c r="E69" i="27"/>
  <c r="AA59" i="27"/>
  <c r="Y59" i="27"/>
  <c r="W59" i="27"/>
  <c r="U59" i="27"/>
  <c r="S59" i="27"/>
  <c r="Q59" i="27"/>
  <c r="O59" i="27"/>
  <c r="M59" i="27"/>
  <c r="K59" i="27"/>
  <c r="I59" i="27"/>
  <c r="G59" i="27"/>
  <c r="E59" i="27"/>
  <c r="AA56" i="27"/>
  <c r="Y56" i="27"/>
  <c r="W56" i="27"/>
  <c r="U56" i="27"/>
  <c r="S56" i="27"/>
  <c r="Q56" i="27"/>
  <c r="O56" i="27"/>
  <c r="M56" i="27"/>
  <c r="K56" i="27"/>
  <c r="I56" i="27"/>
  <c r="E56" i="27"/>
  <c r="K43" i="27"/>
  <c r="G43" i="27"/>
  <c r="AA43" i="27"/>
  <c r="Y43" i="27"/>
  <c r="W43" i="27"/>
  <c r="U43" i="27"/>
  <c r="S43" i="27"/>
  <c r="Q43" i="27"/>
  <c r="O43" i="27"/>
  <c r="M43" i="27"/>
  <c r="I43" i="27"/>
  <c r="D6" i="27"/>
  <c r="C6" i="27"/>
  <c r="B6" i="27"/>
  <c r="E43" i="27"/>
  <c r="E13" i="27"/>
  <c r="K16" i="25" l="1"/>
  <c r="L16" i="25" s="1"/>
  <c r="K15" i="25"/>
  <c r="L15" i="25" s="1"/>
  <c r="K17" i="25"/>
  <c r="L17" i="25" s="1"/>
  <c r="K19" i="25"/>
  <c r="L19" i="25" s="1"/>
  <c r="K21" i="25"/>
  <c r="L21" i="25" s="1"/>
  <c r="K22" i="25"/>
  <c r="L22" i="25" s="1"/>
  <c r="K23" i="25"/>
  <c r="L23" i="25" s="1"/>
  <c r="K25" i="25"/>
  <c r="L25" i="25" s="1"/>
  <c r="K26" i="25"/>
  <c r="K27" i="25"/>
  <c r="L27" i="25" s="1"/>
  <c r="K28" i="25"/>
  <c r="L28" i="25" s="1"/>
  <c r="K14" i="25"/>
  <c r="L14" i="25" s="1"/>
  <c r="K20" i="25"/>
  <c r="L20" i="25" s="1"/>
  <c r="K24" i="25"/>
  <c r="L24" i="25" s="1"/>
  <c r="K29" i="25"/>
  <c r="L29" i="25" s="1"/>
  <c r="AB69" i="27"/>
  <c r="AB72" i="27"/>
  <c r="AB59" i="27"/>
  <c r="AB56" i="27"/>
  <c r="AB43" i="27"/>
  <c r="D12" i="23"/>
  <c r="E12" i="23" s="1"/>
  <c r="E20" i="27"/>
  <c r="P53" i="22"/>
  <c r="P51" i="22"/>
  <c r="P50" i="22"/>
  <c r="P49" i="22"/>
  <c r="P48" i="22"/>
  <c r="P47" i="22"/>
  <c r="P46" i="22"/>
  <c r="P35" i="22"/>
  <c r="P33" i="22"/>
  <c r="P32" i="22"/>
  <c r="P31" i="22"/>
  <c r="P30" i="22"/>
  <c r="P29" i="22"/>
  <c r="P28" i="22"/>
  <c r="M23" i="22"/>
  <c r="P17" i="22"/>
  <c r="P18" i="22"/>
  <c r="P19" i="22"/>
  <c r="P15" i="22"/>
  <c r="P13" i="22"/>
  <c r="P14" i="22"/>
  <c r="P12" i="22"/>
  <c r="P16" i="22"/>
  <c r="P11" i="22"/>
  <c r="E5" i="22"/>
  <c r="D5" i="22"/>
  <c r="C5" i="22"/>
  <c r="R57" i="25" l="1"/>
  <c r="P57" i="25"/>
  <c r="T57" i="25"/>
  <c r="L57" i="25"/>
  <c r="V57" i="25"/>
  <c r="J57" i="25"/>
  <c r="H57" i="25"/>
  <c r="Z58" i="25"/>
  <c r="F57" i="25"/>
  <c r="D57" i="25"/>
  <c r="Z57" i="25"/>
  <c r="N57" i="25"/>
  <c r="X57" i="25"/>
  <c r="Z66" i="25"/>
  <c r="N66" i="25"/>
  <c r="Z74" i="25"/>
  <c r="N74" i="25"/>
  <c r="Z80" i="25"/>
  <c r="N80" i="25"/>
  <c r="N73" i="25"/>
  <c r="Z73" i="25"/>
  <c r="N79" i="25"/>
  <c r="Z79" i="25"/>
  <c r="Z71" i="25"/>
  <c r="N71" i="25"/>
  <c r="N81" i="25"/>
  <c r="Z81" i="25"/>
  <c r="Z69" i="25"/>
  <c r="N69" i="25"/>
  <c r="Z77" i="25"/>
  <c r="N77" i="25"/>
  <c r="N67" i="25"/>
  <c r="Z67" i="25"/>
  <c r="Z72" i="25"/>
  <c r="N72" i="25"/>
  <c r="Z75" i="25"/>
  <c r="N75" i="25"/>
  <c r="N68" i="25"/>
  <c r="Z68" i="25"/>
  <c r="N76" i="25"/>
  <c r="Z76" i="25"/>
  <c r="N55" i="25"/>
  <c r="F55" i="25"/>
  <c r="D55" i="25"/>
  <c r="X55" i="25"/>
  <c r="Z55" i="25"/>
  <c r="F52" i="25"/>
  <c r="D52" i="25"/>
  <c r="N52" i="25"/>
  <c r="X52" i="25"/>
  <c r="Z52" i="25"/>
  <c r="N49" i="25"/>
  <c r="X49" i="25"/>
  <c r="F49" i="25"/>
  <c r="Z49" i="25"/>
  <c r="D49" i="25"/>
  <c r="X53" i="25"/>
  <c r="D53" i="25"/>
  <c r="F53" i="25"/>
  <c r="N53" i="25"/>
  <c r="Z53" i="25"/>
  <c r="D40" i="25"/>
  <c r="X58" i="25"/>
  <c r="N58" i="25"/>
  <c r="F58" i="25"/>
  <c r="D58" i="25"/>
  <c r="X50" i="25"/>
  <c r="Z50" i="25"/>
  <c r="F50" i="25"/>
  <c r="N50" i="25"/>
  <c r="D50" i="25"/>
  <c r="P37" i="25"/>
  <c r="Z37" i="25"/>
  <c r="N37" i="25"/>
  <c r="X37" i="25"/>
  <c r="L37" i="25"/>
  <c r="V37" i="25"/>
  <c r="J37" i="25"/>
  <c r="T37" i="25"/>
  <c r="H37" i="25"/>
  <c r="R37" i="25"/>
  <c r="F37" i="25"/>
  <c r="D39" i="25"/>
  <c r="R39" i="25"/>
  <c r="F39" i="25"/>
  <c r="P39" i="25"/>
  <c r="Z39" i="25"/>
  <c r="N39" i="25"/>
  <c r="X39" i="25"/>
  <c r="L39" i="25"/>
  <c r="V39" i="25"/>
  <c r="J39" i="25"/>
  <c r="T39" i="25"/>
  <c r="H39" i="25"/>
  <c r="D38" i="25"/>
  <c r="Z40" i="25"/>
  <c r="N40" i="25"/>
  <c r="N38" i="25"/>
  <c r="Z38" i="25"/>
  <c r="D37" i="25"/>
  <c r="N36" i="25"/>
  <c r="Z36" i="25"/>
  <c r="T75" i="25"/>
  <c r="H75" i="25"/>
  <c r="V75" i="25"/>
  <c r="P75" i="25"/>
  <c r="J75" i="25"/>
  <c r="D75" i="25"/>
  <c r="X75" i="25"/>
  <c r="R75" i="25"/>
  <c r="L75" i="25"/>
  <c r="F75" i="25"/>
  <c r="T74" i="25"/>
  <c r="X74" i="25"/>
  <c r="P74" i="25"/>
  <c r="H74" i="25"/>
  <c r="R74" i="25"/>
  <c r="V74" i="25"/>
  <c r="F74" i="25"/>
  <c r="D74" i="25"/>
  <c r="J74" i="25"/>
  <c r="L74" i="25"/>
  <c r="V77" i="25"/>
  <c r="P77" i="25"/>
  <c r="J77" i="25"/>
  <c r="X77" i="25"/>
  <c r="R77" i="25"/>
  <c r="L77" i="25"/>
  <c r="F77" i="25"/>
  <c r="T77" i="25"/>
  <c r="H77" i="25"/>
  <c r="D77" i="25"/>
  <c r="X67" i="25"/>
  <c r="R67" i="25"/>
  <c r="L67" i="25"/>
  <c r="F67" i="25"/>
  <c r="T67" i="25"/>
  <c r="H67" i="25"/>
  <c r="V67" i="25"/>
  <c r="P67" i="25"/>
  <c r="J67" i="25"/>
  <c r="D67" i="25"/>
  <c r="X79" i="25"/>
  <c r="R79" i="25"/>
  <c r="L79" i="25"/>
  <c r="F79" i="25"/>
  <c r="D79" i="25"/>
  <c r="T79" i="25"/>
  <c r="H79" i="25"/>
  <c r="V79" i="25"/>
  <c r="P79" i="25"/>
  <c r="J79" i="25"/>
  <c r="V76" i="25"/>
  <c r="P76" i="25"/>
  <c r="J76" i="25"/>
  <c r="X76" i="25"/>
  <c r="R76" i="25"/>
  <c r="D76" i="25"/>
  <c r="T76" i="25"/>
  <c r="F76" i="25"/>
  <c r="L76" i="25"/>
  <c r="H76" i="25"/>
  <c r="X72" i="25"/>
  <c r="R72" i="25"/>
  <c r="L72" i="25"/>
  <c r="P72" i="25"/>
  <c r="H72" i="25"/>
  <c r="T52" i="25"/>
  <c r="H52" i="25"/>
  <c r="X40" i="25"/>
  <c r="R40" i="25"/>
  <c r="L40" i="25"/>
  <c r="F40" i="25"/>
  <c r="T72" i="25"/>
  <c r="D72" i="25"/>
  <c r="V72" i="25"/>
  <c r="F72" i="25"/>
  <c r="R52" i="25"/>
  <c r="L52" i="25"/>
  <c r="T40" i="25"/>
  <c r="H40" i="25"/>
  <c r="J72" i="25"/>
  <c r="V52" i="25"/>
  <c r="P52" i="25"/>
  <c r="J52" i="25"/>
  <c r="V40" i="25"/>
  <c r="P40" i="25"/>
  <c r="J40" i="25"/>
  <c r="T68" i="25"/>
  <c r="X68" i="25"/>
  <c r="L68" i="25"/>
  <c r="J68" i="25"/>
  <c r="D68" i="25"/>
  <c r="V50" i="25"/>
  <c r="P50" i="25"/>
  <c r="J50" i="25"/>
  <c r="V38" i="25"/>
  <c r="P38" i="25"/>
  <c r="J38" i="25"/>
  <c r="P68" i="25"/>
  <c r="R68" i="25"/>
  <c r="H68" i="25"/>
  <c r="T50" i="25"/>
  <c r="H50" i="25"/>
  <c r="X38" i="25"/>
  <c r="R38" i="25"/>
  <c r="L38" i="25"/>
  <c r="F38" i="25"/>
  <c r="V68" i="25"/>
  <c r="F68" i="25"/>
  <c r="R50" i="25"/>
  <c r="L50" i="25"/>
  <c r="T38" i="25"/>
  <c r="H38" i="25"/>
  <c r="X66" i="25"/>
  <c r="R66" i="25"/>
  <c r="L66" i="25"/>
  <c r="F66" i="25"/>
  <c r="R49" i="25"/>
  <c r="L49" i="25"/>
  <c r="T36" i="25"/>
  <c r="H36" i="25"/>
  <c r="L36" i="25"/>
  <c r="X36" i="25"/>
  <c r="J66" i="25"/>
  <c r="D66" i="25"/>
  <c r="V49" i="25"/>
  <c r="P49" i="25"/>
  <c r="J49" i="25"/>
  <c r="V36" i="25"/>
  <c r="P36" i="25"/>
  <c r="J36" i="25"/>
  <c r="T66" i="25"/>
  <c r="R36" i="25"/>
  <c r="F36" i="25"/>
  <c r="P66" i="25"/>
  <c r="T49" i="25"/>
  <c r="V66" i="25"/>
  <c r="H66" i="25"/>
  <c r="H49" i="25"/>
  <c r="T80" i="25"/>
  <c r="X80" i="25"/>
  <c r="V80" i="25"/>
  <c r="D80" i="25"/>
  <c r="V55" i="25"/>
  <c r="P55" i="25"/>
  <c r="J55" i="25"/>
  <c r="P80" i="25"/>
  <c r="J80" i="25"/>
  <c r="L80" i="25"/>
  <c r="H80" i="25"/>
  <c r="T55" i="25"/>
  <c r="H55" i="25"/>
  <c r="R80" i="25"/>
  <c r="F80" i="25"/>
  <c r="R55" i="25"/>
  <c r="L55" i="25"/>
  <c r="X73" i="25"/>
  <c r="R73" i="25"/>
  <c r="L73" i="25"/>
  <c r="F73" i="25"/>
  <c r="D73" i="25"/>
  <c r="R53" i="25"/>
  <c r="L53" i="25"/>
  <c r="T73" i="25"/>
  <c r="H73" i="25"/>
  <c r="T53" i="25"/>
  <c r="H53" i="25"/>
  <c r="V73" i="25"/>
  <c r="P73" i="25"/>
  <c r="J73" i="25"/>
  <c r="V53" i="25"/>
  <c r="P53" i="25"/>
  <c r="J53" i="25"/>
  <c r="V71" i="25"/>
  <c r="P71" i="25"/>
  <c r="J71" i="25"/>
  <c r="X71" i="25"/>
  <c r="R71" i="25"/>
  <c r="L71" i="25"/>
  <c r="F71" i="25"/>
  <c r="T71" i="25"/>
  <c r="H71" i="25"/>
  <c r="D71" i="25"/>
  <c r="T81" i="25"/>
  <c r="H81" i="25"/>
  <c r="T58" i="25"/>
  <c r="H58" i="25"/>
  <c r="V81" i="25"/>
  <c r="P81" i="25"/>
  <c r="J81" i="25"/>
  <c r="D81" i="25"/>
  <c r="V58" i="25"/>
  <c r="P58" i="25"/>
  <c r="J58" i="25"/>
  <c r="X81" i="25"/>
  <c r="R81" i="25"/>
  <c r="L81" i="25"/>
  <c r="F81" i="25"/>
  <c r="R58" i="25"/>
  <c r="L58" i="25"/>
  <c r="T69" i="25"/>
  <c r="H69" i="25"/>
  <c r="V69" i="25"/>
  <c r="P69" i="25"/>
  <c r="J69" i="25"/>
  <c r="D69" i="25"/>
  <c r="X69" i="25"/>
  <c r="R69" i="25"/>
  <c r="L69" i="25"/>
  <c r="F69" i="25"/>
  <c r="D11" i="23"/>
  <c r="E11" i="23" s="1"/>
  <c r="C67" i="27"/>
  <c r="C54" i="27"/>
  <c r="F58" i="22"/>
  <c r="AB60" i="27"/>
  <c r="I23" i="22"/>
  <c r="P34" i="22"/>
  <c r="L23" i="22"/>
  <c r="G23" i="22"/>
  <c r="J58" i="22"/>
  <c r="C42" i="27"/>
  <c r="C46" i="27" s="1"/>
  <c r="C41" i="27"/>
  <c r="D36" i="25"/>
  <c r="L26" i="25"/>
  <c r="P21" i="22"/>
  <c r="E23" i="22"/>
  <c r="H58" i="22"/>
  <c r="F40" i="22"/>
  <c r="P22" i="22"/>
  <c r="O40" i="22"/>
  <c r="P38" i="22"/>
  <c r="P39" i="22"/>
  <c r="N40" i="22"/>
  <c r="O23" i="22"/>
  <c r="E58" i="22"/>
  <c r="I58" i="22"/>
  <c r="J40" i="22"/>
  <c r="N23" i="22"/>
  <c r="G40" i="22"/>
  <c r="K40" i="22"/>
  <c r="P56" i="22"/>
  <c r="P57" i="22"/>
  <c r="J23" i="22"/>
  <c r="D40" i="22"/>
  <c r="L40" i="22"/>
  <c r="D23" i="22"/>
  <c r="F23" i="22"/>
  <c r="K23" i="22"/>
  <c r="E40" i="22"/>
  <c r="I40" i="22"/>
  <c r="M40" i="22"/>
  <c r="G58" i="22"/>
  <c r="K58" i="22"/>
  <c r="O58" i="22"/>
  <c r="L58" i="22"/>
  <c r="P52" i="22"/>
  <c r="M58" i="22"/>
  <c r="N58" i="22"/>
  <c r="D58" i="22"/>
  <c r="H40" i="22"/>
  <c r="H23" i="22"/>
  <c r="C44" i="27" l="1"/>
  <c r="C45" i="27"/>
  <c r="C57" i="27"/>
  <c r="C58" i="27"/>
  <c r="C70" i="27"/>
  <c r="C71" i="27"/>
  <c r="AA77" i="25"/>
  <c r="AA74" i="25"/>
  <c r="AA75" i="25"/>
  <c r="AA57" i="25"/>
  <c r="AA81" i="25"/>
  <c r="AA73" i="25"/>
  <c r="AA67" i="25"/>
  <c r="AA79" i="25"/>
  <c r="AA71" i="25"/>
  <c r="AA69" i="25"/>
  <c r="AA68" i="25"/>
  <c r="AA72" i="25"/>
  <c r="AA76" i="25"/>
  <c r="N78" i="25"/>
  <c r="Z78" i="25"/>
  <c r="Z82" i="25" s="1"/>
  <c r="AA80" i="25"/>
  <c r="AA50" i="25"/>
  <c r="AA58" i="25"/>
  <c r="AA53" i="25"/>
  <c r="D54" i="25"/>
  <c r="Z54" i="25"/>
  <c r="Z59" i="25" s="1"/>
  <c r="F54" i="25"/>
  <c r="F59" i="25" s="1"/>
  <c r="N54" i="25"/>
  <c r="N59" i="25" s="1"/>
  <c r="X54" i="25"/>
  <c r="X59" i="25" s="1"/>
  <c r="AA52" i="25"/>
  <c r="AA55" i="25"/>
  <c r="AA40" i="25"/>
  <c r="AA38" i="25"/>
  <c r="AA39" i="25"/>
  <c r="AA41" i="25"/>
  <c r="AA37" i="25"/>
  <c r="L78" i="25"/>
  <c r="L82" i="25" s="1"/>
  <c r="X78" i="25"/>
  <c r="X82" i="25" s="1"/>
  <c r="R78" i="25"/>
  <c r="R82" i="25" s="1"/>
  <c r="T78" i="25"/>
  <c r="T82" i="25" s="1"/>
  <c r="F78" i="25"/>
  <c r="F82" i="25" s="1"/>
  <c r="R54" i="25"/>
  <c r="R59" i="25" s="1"/>
  <c r="L54" i="25"/>
  <c r="L59" i="25" s="1"/>
  <c r="V78" i="25"/>
  <c r="V82" i="25" s="1"/>
  <c r="H54" i="25"/>
  <c r="H59" i="25" s="1"/>
  <c r="V54" i="25"/>
  <c r="V59" i="25" s="1"/>
  <c r="P54" i="25"/>
  <c r="J54" i="25"/>
  <c r="J59" i="25" s="1"/>
  <c r="T54" i="25"/>
  <c r="T59" i="25" s="1"/>
  <c r="J78" i="25"/>
  <c r="J82" i="25" s="1"/>
  <c r="N82" i="25"/>
  <c r="H78" i="25"/>
  <c r="H82" i="25" s="1"/>
  <c r="P78" i="25"/>
  <c r="P82" i="25" s="1"/>
  <c r="D78" i="25"/>
  <c r="K46" i="27"/>
  <c r="Y46" i="27"/>
  <c r="S46" i="27"/>
  <c r="M46" i="27"/>
  <c r="E46" i="27"/>
  <c r="G46" i="27"/>
  <c r="Q46" i="27"/>
  <c r="W46" i="27"/>
  <c r="I46" i="27"/>
  <c r="AA46" i="27"/>
  <c r="U46" i="27"/>
  <c r="O46" i="27"/>
  <c r="E20" i="23"/>
  <c r="G5" i="23" s="1"/>
  <c r="J20" i="21" s="1"/>
  <c r="T42" i="25"/>
  <c r="N42" i="25"/>
  <c r="F42" i="25"/>
  <c r="J42" i="25"/>
  <c r="V42" i="25"/>
  <c r="P59" i="25"/>
  <c r="AA66" i="25"/>
  <c r="H42" i="25"/>
  <c r="AA36" i="25"/>
  <c r="D42" i="25"/>
  <c r="P42" i="25"/>
  <c r="R42" i="25"/>
  <c r="AA49" i="25"/>
  <c r="L42" i="25"/>
  <c r="W55" i="27"/>
  <c r="Q55" i="27"/>
  <c r="O55" i="27"/>
  <c r="U55" i="27"/>
  <c r="E55" i="27"/>
  <c r="S55" i="27"/>
  <c r="AA55" i="27"/>
  <c r="Y55" i="27"/>
  <c r="M55" i="27"/>
  <c r="I55" i="27"/>
  <c r="G55" i="27"/>
  <c r="K55" i="27"/>
  <c r="W54" i="27"/>
  <c r="U54" i="27"/>
  <c r="Q54" i="27"/>
  <c r="Y54" i="27"/>
  <c r="E54" i="27"/>
  <c r="I54" i="27"/>
  <c r="AA54" i="27"/>
  <c r="O54" i="27"/>
  <c r="M54" i="27"/>
  <c r="G54" i="27"/>
  <c r="K54" i="27"/>
  <c r="S54" i="27"/>
  <c r="Z42" i="25"/>
  <c r="X42" i="25"/>
  <c r="P23" i="22"/>
  <c r="G5" i="22" s="1"/>
  <c r="K10" i="21" s="1"/>
  <c r="P40" i="22"/>
  <c r="H5" i="22" s="1"/>
  <c r="L10" i="21" s="1"/>
  <c r="P58" i="22"/>
  <c r="I5" i="22" s="1"/>
  <c r="M10" i="21" s="1"/>
  <c r="E20" i="38" l="1"/>
  <c r="E32" i="38" s="1"/>
  <c r="E33" i="38" s="1"/>
  <c r="E20" i="37"/>
  <c r="E32" i="37" s="1"/>
  <c r="E33" i="37" s="1"/>
  <c r="AA78" i="25"/>
  <c r="AA54" i="25"/>
  <c r="D59" i="25"/>
  <c r="AA59" i="25" s="1"/>
  <c r="I6" i="25" s="1"/>
  <c r="D82" i="25"/>
  <c r="AA82" i="25" s="1"/>
  <c r="J6" i="25" s="1"/>
  <c r="AB46" i="27"/>
  <c r="U71" i="27"/>
  <c r="Q71" i="27"/>
  <c r="E71" i="27"/>
  <c r="O71" i="27"/>
  <c r="AA71" i="27"/>
  <c r="M71" i="27"/>
  <c r="W71" i="27"/>
  <c r="Y71" i="27"/>
  <c r="K71" i="27"/>
  <c r="I71" i="27"/>
  <c r="S71" i="27"/>
  <c r="G71" i="27"/>
  <c r="Y58" i="27"/>
  <c r="M58" i="27"/>
  <c r="W58" i="27"/>
  <c r="K58" i="27"/>
  <c r="U58" i="27"/>
  <c r="I58" i="27"/>
  <c r="Q58" i="27"/>
  <c r="S58" i="27"/>
  <c r="G58" i="27"/>
  <c r="E58" i="27"/>
  <c r="AA58" i="27"/>
  <c r="O58" i="27"/>
  <c r="Y57" i="27"/>
  <c r="Y61" i="27" s="1"/>
  <c r="M57" i="27"/>
  <c r="M61" i="27" s="1"/>
  <c r="W57" i="27"/>
  <c r="W61" i="27" s="1"/>
  <c r="K57" i="27"/>
  <c r="K61" i="27" s="1"/>
  <c r="Q57" i="27"/>
  <c r="U57" i="27"/>
  <c r="I57" i="27"/>
  <c r="S57" i="27"/>
  <c r="S61" i="27" s="1"/>
  <c r="G57" i="27"/>
  <c r="G61" i="27" s="1"/>
  <c r="AA57" i="27"/>
  <c r="O57" i="27"/>
  <c r="E57" i="27"/>
  <c r="K45" i="27"/>
  <c r="Y45" i="27"/>
  <c r="G45" i="27"/>
  <c r="I45" i="27"/>
  <c r="E45" i="27"/>
  <c r="AA45" i="27"/>
  <c r="U45" i="27"/>
  <c r="O45" i="27"/>
  <c r="W45" i="27"/>
  <c r="Q45" i="27"/>
  <c r="S45" i="27"/>
  <c r="M45" i="27"/>
  <c r="U70" i="27"/>
  <c r="O70" i="27"/>
  <c r="AA70" i="27"/>
  <c r="M70" i="27"/>
  <c r="Y70" i="27"/>
  <c r="K70" i="27"/>
  <c r="S70" i="27"/>
  <c r="W70" i="27"/>
  <c r="I70" i="27"/>
  <c r="Q70" i="27"/>
  <c r="E70" i="27"/>
  <c r="G70" i="27"/>
  <c r="E44" i="27"/>
  <c r="AA44" i="27"/>
  <c r="U44" i="27"/>
  <c r="O44" i="27"/>
  <c r="G44" i="27"/>
  <c r="W44" i="27"/>
  <c r="Q44" i="27"/>
  <c r="I44" i="27"/>
  <c r="K44" i="27"/>
  <c r="Y44" i="27"/>
  <c r="S44" i="27"/>
  <c r="M44" i="27"/>
  <c r="D21" i="21"/>
  <c r="D22" i="21" s="1"/>
  <c r="E20" i="29"/>
  <c r="E32" i="29" s="1"/>
  <c r="E33" i="29" s="1"/>
  <c r="F10" i="29"/>
  <c r="F24" i="29" s="1"/>
  <c r="H10" i="29"/>
  <c r="H24" i="29" s="1"/>
  <c r="G10" i="29"/>
  <c r="G24" i="29" s="1"/>
  <c r="G13" i="21"/>
  <c r="E10" i="24"/>
  <c r="F13" i="21"/>
  <c r="D10" i="24"/>
  <c r="E13" i="21"/>
  <c r="C10" i="24"/>
  <c r="AB55" i="27"/>
  <c r="AB54" i="27"/>
  <c r="D12" i="3"/>
  <c r="D25" i="3" s="1"/>
  <c r="H19" i="30" l="1"/>
  <c r="H31" i="30" s="1"/>
  <c r="H32" i="30" s="1"/>
  <c r="Q61" i="27"/>
  <c r="O61" i="27"/>
  <c r="AA61" i="27"/>
  <c r="AB57" i="27"/>
  <c r="U61" i="27"/>
  <c r="I61" i="27"/>
  <c r="E61" i="27"/>
  <c r="AB70" i="27"/>
  <c r="AB45" i="27"/>
  <c r="AB58" i="27"/>
  <c r="AB71" i="27"/>
  <c r="AB44" i="27"/>
  <c r="J9" i="30"/>
  <c r="J23" i="30" s="1"/>
  <c r="I9" i="30"/>
  <c r="I23" i="30" s="1"/>
  <c r="K9" i="30"/>
  <c r="K23" i="30" s="1"/>
  <c r="G9" i="29"/>
  <c r="G28" i="29" s="1"/>
  <c r="L6" i="21"/>
  <c r="C6" i="19"/>
  <c r="C6" i="23"/>
  <c r="D6" i="24"/>
  <c r="D14" i="24" s="1"/>
  <c r="C7" i="25"/>
  <c r="C7" i="27"/>
  <c r="D6" i="22"/>
  <c r="M12" i="21"/>
  <c r="E12" i="24"/>
  <c r="L12" i="21"/>
  <c r="D12" i="24"/>
  <c r="D24" i="3"/>
  <c r="D26" i="3"/>
  <c r="H9" i="29" s="1"/>
  <c r="H28" i="29" s="1"/>
  <c r="AB61" i="27" l="1"/>
  <c r="I6" i="27" s="1"/>
  <c r="L11" i="21" s="1"/>
  <c r="F9" i="29"/>
  <c r="F23" i="29" s="1"/>
  <c r="F28" i="29" s="1"/>
  <c r="K6" i="21"/>
  <c r="B6" i="19"/>
  <c r="C6" i="24"/>
  <c r="C14" i="24" s="1"/>
  <c r="B6" i="23"/>
  <c r="B7" i="25"/>
  <c r="B7" i="27"/>
  <c r="C6" i="22"/>
  <c r="H12" i="29"/>
  <c r="H26" i="29" s="1"/>
  <c r="G15" i="21"/>
  <c r="G12" i="29"/>
  <c r="G26" i="29" s="1"/>
  <c r="F15" i="21"/>
  <c r="M6" i="21"/>
  <c r="D6" i="19"/>
  <c r="D6" i="23"/>
  <c r="E6" i="24"/>
  <c r="E14" i="24" s="1"/>
  <c r="D7" i="25"/>
  <c r="D7" i="27"/>
  <c r="E6" i="22"/>
  <c r="G54" i="34"/>
  <c r="K54" i="34"/>
  <c r="O54" i="34"/>
  <c r="S54" i="34"/>
  <c r="W54" i="34"/>
  <c r="E54" i="34"/>
  <c r="I54" i="34"/>
  <c r="M54" i="34"/>
  <c r="Q54" i="34"/>
  <c r="U54" i="34"/>
  <c r="Y54" i="34"/>
  <c r="E33" i="34"/>
  <c r="E34" i="34"/>
  <c r="E37" i="34" s="1"/>
  <c r="E38" i="34" s="1"/>
  <c r="E35" i="34"/>
  <c r="E36" i="34"/>
  <c r="E32" i="34"/>
  <c r="E20" i="34"/>
  <c r="B14" i="34"/>
  <c r="B10" i="34"/>
  <c r="B12" i="34" s="1"/>
  <c r="C18" i="33"/>
  <c r="C19" i="33" s="1"/>
  <c r="G11" i="29" l="1"/>
  <c r="G25" i="29" s="1"/>
  <c r="G27" i="29" s="1"/>
  <c r="G29" i="29" s="1"/>
  <c r="H30" i="29" s="1"/>
  <c r="G11" i="37"/>
  <c r="G25" i="37" s="1"/>
  <c r="G27" i="37" s="1"/>
  <c r="G11" i="38"/>
  <c r="G25" i="38" s="1"/>
  <c r="G27" i="38" s="1"/>
  <c r="F14" i="21"/>
  <c r="D11" i="24"/>
  <c r="D13" i="24" s="1"/>
  <c r="C45" i="34"/>
  <c r="E41" i="27"/>
  <c r="J8" i="30"/>
  <c r="J22" i="30" s="1"/>
  <c r="J27" i="30" s="1"/>
  <c r="K11" i="30"/>
  <c r="J11" i="30"/>
  <c r="J25" i="30" s="1"/>
  <c r="E25" i="34"/>
  <c r="C52" i="34"/>
  <c r="G29" i="38" l="1"/>
  <c r="H30" i="38" s="1"/>
  <c r="G31" i="38"/>
  <c r="G33" i="38" s="1"/>
  <c r="G29" i="37"/>
  <c r="H30" i="37" s="1"/>
  <c r="G31" i="37"/>
  <c r="G33" i="37" s="1"/>
  <c r="J10" i="30"/>
  <c r="J24" i="30" s="1"/>
  <c r="J26" i="30" s="1"/>
  <c r="G31" i="29"/>
  <c r="G33" i="29" s="1"/>
  <c r="G46" i="34"/>
  <c r="I42" i="27"/>
  <c r="I45" i="34"/>
  <c r="J45" i="34" s="1"/>
  <c r="K41" i="27"/>
  <c r="S46" i="34"/>
  <c r="T46" i="34" s="1"/>
  <c r="U42" i="27"/>
  <c r="U45" i="34"/>
  <c r="V45" i="34" s="1"/>
  <c r="W41" i="27"/>
  <c r="G45" i="34"/>
  <c r="I41" i="27"/>
  <c r="Q46" i="34"/>
  <c r="R46" i="34" s="1"/>
  <c r="S42" i="27"/>
  <c r="S45" i="34"/>
  <c r="U41" i="27"/>
  <c r="I46" i="34"/>
  <c r="J46" i="34" s="1"/>
  <c r="K42" i="27"/>
  <c r="K45" i="34"/>
  <c r="L45" i="34" s="1"/>
  <c r="K46" i="34"/>
  <c r="L46" i="34" s="1"/>
  <c r="M42" i="27"/>
  <c r="U46" i="34"/>
  <c r="V46" i="34" s="1"/>
  <c r="W42" i="27"/>
  <c r="W45" i="34"/>
  <c r="X45" i="34" s="1"/>
  <c r="Y41" i="27"/>
  <c r="V53" i="34"/>
  <c r="P53" i="34"/>
  <c r="D53" i="34"/>
  <c r="Z53" i="34"/>
  <c r="R53" i="34"/>
  <c r="X53" i="34"/>
  <c r="L53" i="34"/>
  <c r="F53" i="34"/>
  <c r="T53" i="34"/>
  <c r="H53" i="34"/>
  <c r="J53" i="34"/>
  <c r="N53" i="34"/>
  <c r="M45" i="34"/>
  <c r="N45" i="34" s="1"/>
  <c r="W46" i="34"/>
  <c r="X46" i="34" s="1"/>
  <c r="Y42" i="27"/>
  <c r="Y45" i="34"/>
  <c r="Z45" i="34" s="1"/>
  <c r="AA41" i="27"/>
  <c r="E45" i="34"/>
  <c r="F45" i="34" s="1"/>
  <c r="G41" i="27"/>
  <c r="E46" i="34"/>
  <c r="F46" i="34" s="1"/>
  <c r="G42" i="27"/>
  <c r="O46" i="34"/>
  <c r="P46" i="34" s="1"/>
  <c r="Q42" i="27"/>
  <c r="Q45" i="34"/>
  <c r="S41" i="27"/>
  <c r="C46" i="34"/>
  <c r="D46" i="34" s="1"/>
  <c r="E42" i="27"/>
  <c r="M46" i="34"/>
  <c r="N46" i="34" s="1"/>
  <c r="O42" i="27"/>
  <c r="O45" i="34"/>
  <c r="P45" i="34" s="1"/>
  <c r="Y46" i="34"/>
  <c r="Z46" i="34" s="1"/>
  <c r="AA42" i="27"/>
  <c r="J52" i="34"/>
  <c r="Z52" i="34"/>
  <c r="H52" i="34"/>
  <c r="T52" i="34"/>
  <c r="P52" i="34"/>
  <c r="F52" i="34"/>
  <c r="L52" i="34"/>
  <c r="R52" i="34"/>
  <c r="N52" i="34"/>
  <c r="X52" i="34"/>
  <c r="V52" i="34"/>
  <c r="I8" i="30"/>
  <c r="I22" i="30" s="1"/>
  <c r="I27" i="30" s="1"/>
  <c r="K8" i="30"/>
  <c r="K22" i="30" s="1"/>
  <c r="K27" i="30" s="1"/>
  <c r="K25" i="30"/>
  <c r="D52" i="34"/>
  <c r="C54" i="34"/>
  <c r="M68" i="27"/>
  <c r="L60" i="34"/>
  <c r="G68" i="27"/>
  <c r="F60" i="34"/>
  <c r="O68" i="27"/>
  <c r="N60" i="34"/>
  <c r="W68" i="27"/>
  <c r="V60" i="34"/>
  <c r="E68" i="27"/>
  <c r="D60" i="34"/>
  <c r="I68" i="27"/>
  <c r="H60" i="34"/>
  <c r="Q68" i="27"/>
  <c r="P60" i="34"/>
  <c r="Y68" i="27"/>
  <c r="X60" i="34"/>
  <c r="U68" i="27"/>
  <c r="T60" i="34"/>
  <c r="K68" i="27"/>
  <c r="J60" i="34"/>
  <c r="S68" i="27"/>
  <c r="R60" i="34"/>
  <c r="AA68" i="27"/>
  <c r="Z60" i="34"/>
  <c r="W67" i="27"/>
  <c r="I67" i="27"/>
  <c r="Y67" i="27"/>
  <c r="K67" i="27"/>
  <c r="S67" i="27"/>
  <c r="AA67" i="27"/>
  <c r="G67" i="27"/>
  <c r="E67" i="27"/>
  <c r="U67" i="27"/>
  <c r="E26" i="34"/>
  <c r="D45" i="34"/>
  <c r="D9" i="26"/>
  <c r="C9" i="26"/>
  <c r="B9" i="26"/>
  <c r="R54" i="34" l="1"/>
  <c r="S47" i="34"/>
  <c r="Q47" i="34"/>
  <c r="C47" i="34"/>
  <c r="G47" i="34"/>
  <c r="X54" i="34"/>
  <c r="R45" i="34"/>
  <c r="R47" i="34" s="1"/>
  <c r="D47" i="34"/>
  <c r="J54" i="34"/>
  <c r="V54" i="34"/>
  <c r="N54" i="34"/>
  <c r="H54" i="34"/>
  <c r="F47" i="34"/>
  <c r="Z54" i="34"/>
  <c r="L54" i="34"/>
  <c r="U47" i="34"/>
  <c r="D54" i="34"/>
  <c r="O47" i="34"/>
  <c r="AA48" i="27"/>
  <c r="I47" i="34"/>
  <c r="Q41" i="27"/>
  <c r="H45" i="34"/>
  <c r="H47" i="34" s="1"/>
  <c r="F54" i="34"/>
  <c r="S48" i="27"/>
  <c r="W47" i="34"/>
  <c r="I48" i="27"/>
  <c r="W48" i="27"/>
  <c r="U48" i="27"/>
  <c r="Y48" i="27"/>
  <c r="I74" i="27"/>
  <c r="O67" i="27"/>
  <c r="U74" i="27"/>
  <c r="P54" i="34"/>
  <c r="O41" i="27"/>
  <c r="M41" i="27"/>
  <c r="AB42" i="27"/>
  <c r="T45" i="34"/>
  <c r="T47" i="34" s="1"/>
  <c r="Z47" i="34"/>
  <c r="M67" i="27"/>
  <c r="Q67" i="27"/>
  <c r="T54" i="34"/>
  <c r="G48" i="27"/>
  <c r="E47" i="34"/>
  <c r="Y47" i="34"/>
  <c r="M47" i="34"/>
  <c r="K47" i="34"/>
  <c r="J30" i="30"/>
  <c r="J32" i="30" s="1"/>
  <c r="J28" i="30"/>
  <c r="K29" i="30" s="1"/>
  <c r="AB68" i="27"/>
  <c r="X59" i="34"/>
  <c r="X61" i="34" s="1"/>
  <c r="W61" i="34"/>
  <c r="F59" i="34"/>
  <c r="F61" i="34" s="1"/>
  <c r="E61" i="34"/>
  <c r="N59" i="34"/>
  <c r="N61" i="34" s="1"/>
  <c r="M61" i="34"/>
  <c r="V59" i="34"/>
  <c r="V61" i="34" s="1"/>
  <c r="U61" i="34"/>
  <c r="D59" i="34"/>
  <c r="D61" i="34" s="1"/>
  <c r="C61" i="34"/>
  <c r="J59" i="34"/>
  <c r="J61" i="34" s="1"/>
  <c r="I61" i="34"/>
  <c r="H59" i="34"/>
  <c r="H61" i="34" s="1"/>
  <c r="G61" i="34"/>
  <c r="T59" i="34"/>
  <c r="T61" i="34" s="1"/>
  <c r="S61" i="34"/>
  <c r="Z59" i="34"/>
  <c r="Z61" i="34" s="1"/>
  <c r="Y61" i="34"/>
  <c r="L59" i="34"/>
  <c r="L61" i="34" s="1"/>
  <c r="K61" i="34"/>
  <c r="R59" i="34"/>
  <c r="R61" i="34" s="1"/>
  <c r="Q61" i="34"/>
  <c r="P59" i="34"/>
  <c r="P61" i="34" s="1"/>
  <c r="O61" i="34"/>
  <c r="P47" i="34"/>
  <c r="J47" i="34"/>
  <c r="L47" i="34"/>
  <c r="V47" i="34"/>
  <c r="N47" i="34"/>
  <c r="X47" i="34"/>
  <c r="B98" i="20"/>
  <c r="B99" i="20"/>
  <c r="B100" i="20"/>
  <c r="B101" i="20"/>
  <c r="B102" i="20"/>
  <c r="B103" i="20"/>
  <c r="B104" i="20"/>
  <c r="B97" i="20"/>
  <c r="B58" i="20"/>
  <c r="B59" i="20"/>
  <c r="B60" i="20"/>
  <c r="B61" i="20"/>
  <c r="B62" i="20"/>
  <c r="B63" i="20"/>
  <c r="B64" i="20"/>
  <c r="B57" i="20"/>
  <c r="B20" i="20"/>
  <c r="B21" i="20"/>
  <c r="B22" i="20"/>
  <c r="B23" i="20"/>
  <c r="B24" i="20"/>
  <c r="B25" i="20"/>
  <c r="B26" i="20"/>
  <c r="X26" i="20" s="1"/>
  <c r="B19" i="20"/>
  <c r="D7" i="20"/>
  <c r="C7" i="20"/>
  <c r="H24" i="20" l="1"/>
  <c r="X24" i="20"/>
  <c r="AB23" i="20"/>
  <c r="P23" i="20"/>
  <c r="Z23" i="20"/>
  <c r="N23" i="20"/>
  <c r="X23" i="20"/>
  <c r="L23" i="20"/>
  <c r="V23" i="20"/>
  <c r="H23" i="20"/>
  <c r="R23" i="20"/>
  <c r="T23" i="20"/>
  <c r="F23" i="20"/>
  <c r="D60" i="20"/>
  <c r="D20" i="26" s="1"/>
  <c r="T60" i="20"/>
  <c r="Z60" i="20"/>
  <c r="H60" i="20"/>
  <c r="N60" i="20"/>
  <c r="F60" i="20"/>
  <c r="AB60" i="20"/>
  <c r="V60" i="20"/>
  <c r="P60" i="20"/>
  <c r="J60" i="20"/>
  <c r="L60" i="20"/>
  <c r="X60" i="20"/>
  <c r="R60" i="20"/>
  <c r="D57" i="20"/>
  <c r="D17" i="26" s="1"/>
  <c r="X57" i="20"/>
  <c r="R57" i="20"/>
  <c r="L57" i="20"/>
  <c r="F57" i="20"/>
  <c r="AB57" i="20"/>
  <c r="V57" i="20"/>
  <c r="P57" i="20"/>
  <c r="J57" i="20"/>
  <c r="Z57" i="20"/>
  <c r="H57" i="20"/>
  <c r="T57" i="20"/>
  <c r="N57" i="20"/>
  <c r="D26" i="20"/>
  <c r="T26" i="20"/>
  <c r="N26" i="20"/>
  <c r="V26" i="20"/>
  <c r="P26" i="20"/>
  <c r="J26" i="20"/>
  <c r="Z26" i="20"/>
  <c r="H26" i="20"/>
  <c r="R26" i="20"/>
  <c r="F26" i="20"/>
  <c r="L26" i="20"/>
  <c r="AB26" i="20"/>
  <c r="D59" i="20"/>
  <c r="AB59" i="20"/>
  <c r="V59" i="20"/>
  <c r="P59" i="20"/>
  <c r="J59" i="20"/>
  <c r="Z59" i="20"/>
  <c r="T59" i="20"/>
  <c r="H59" i="20"/>
  <c r="F59" i="20"/>
  <c r="N59" i="20"/>
  <c r="L59" i="20"/>
  <c r="R59" i="20"/>
  <c r="X59" i="20"/>
  <c r="D64" i="20"/>
  <c r="D24" i="26" s="1"/>
  <c r="AB64" i="20"/>
  <c r="X64" i="20"/>
  <c r="R64" i="20"/>
  <c r="L64" i="20"/>
  <c r="F64" i="20"/>
  <c r="V64" i="20"/>
  <c r="P64" i="20"/>
  <c r="J64" i="20"/>
  <c r="T64" i="20"/>
  <c r="H64" i="20"/>
  <c r="Z64" i="20"/>
  <c r="N64" i="20"/>
  <c r="D58" i="20"/>
  <c r="D18" i="26" s="1"/>
  <c r="F58" i="20"/>
  <c r="P58" i="20"/>
  <c r="J58" i="20"/>
  <c r="Z58" i="20"/>
  <c r="X58" i="20"/>
  <c r="R58" i="20"/>
  <c r="L58" i="20"/>
  <c r="AB58" i="20"/>
  <c r="V58" i="20"/>
  <c r="H58" i="20"/>
  <c r="T58" i="20"/>
  <c r="N58" i="20"/>
  <c r="D23" i="20"/>
  <c r="C21" i="26" s="1"/>
  <c r="J23" i="20"/>
  <c r="D97" i="20"/>
  <c r="X97" i="20"/>
  <c r="R97" i="20"/>
  <c r="L97" i="20"/>
  <c r="F97" i="20"/>
  <c r="AB97" i="20"/>
  <c r="V97" i="20"/>
  <c r="P97" i="20"/>
  <c r="J97" i="20"/>
  <c r="T97" i="20"/>
  <c r="Z97" i="20"/>
  <c r="H97" i="20"/>
  <c r="N97" i="20"/>
  <c r="D104" i="20"/>
  <c r="E24" i="26" s="1"/>
  <c r="AB104" i="20"/>
  <c r="V104" i="20"/>
  <c r="P104" i="20"/>
  <c r="J104" i="20"/>
  <c r="Z104" i="20"/>
  <c r="T104" i="20"/>
  <c r="N104" i="20"/>
  <c r="H104" i="20"/>
  <c r="X104" i="20"/>
  <c r="R104" i="20"/>
  <c r="L104" i="20"/>
  <c r="F104" i="20"/>
  <c r="D20" i="20"/>
  <c r="X20" i="20" s="1"/>
  <c r="T20" i="20"/>
  <c r="H20" i="20"/>
  <c r="Z20" i="20"/>
  <c r="V20" i="20"/>
  <c r="P20" i="20"/>
  <c r="J20" i="20"/>
  <c r="N20" i="20"/>
  <c r="AB20" i="20"/>
  <c r="R20" i="20"/>
  <c r="L20" i="20"/>
  <c r="F20" i="20"/>
  <c r="D102" i="20"/>
  <c r="E22" i="26" s="1"/>
  <c r="L102" i="20"/>
  <c r="J102" i="20"/>
  <c r="X102" i="20"/>
  <c r="R102" i="20"/>
  <c r="V102" i="20"/>
  <c r="Z102" i="20"/>
  <c r="T102" i="20"/>
  <c r="N102" i="20"/>
  <c r="H102" i="20"/>
  <c r="F102" i="20"/>
  <c r="AB102" i="20"/>
  <c r="P102" i="20"/>
  <c r="D25" i="20"/>
  <c r="X25" i="20" s="1"/>
  <c r="V25" i="20"/>
  <c r="P25" i="20"/>
  <c r="J25" i="20"/>
  <c r="Z25" i="20"/>
  <c r="T25" i="20"/>
  <c r="N25" i="20"/>
  <c r="H25" i="20"/>
  <c r="F25" i="20"/>
  <c r="L25" i="20"/>
  <c r="R25" i="20"/>
  <c r="AB25" i="20"/>
  <c r="D101" i="20"/>
  <c r="E21" i="26" s="1"/>
  <c r="Z101" i="20"/>
  <c r="T101" i="20"/>
  <c r="N101" i="20"/>
  <c r="H101" i="20"/>
  <c r="X101" i="20"/>
  <c r="R101" i="20"/>
  <c r="L101" i="20"/>
  <c r="F101" i="20"/>
  <c r="AB101" i="20"/>
  <c r="J101" i="20"/>
  <c r="V101" i="20"/>
  <c r="P101" i="20"/>
  <c r="D24" i="20"/>
  <c r="P24" i="20"/>
  <c r="J24" i="20"/>
  <c r="AB24" i="20"/>
  <c r="R24" i="20"/>
  <c r="L24" i="20"/>
  <c r="V24" i="20"/>
  <c r="F24" i="20"/>
  <c r="N24" i="20"/>
  <c r="Z24" i="20"/>
  <c r="T24" i="20"/>
  <c r="D100" i="20"/>
  <c r="E20" i="26" s="1"/>
  <c r="H100" i="20"/>
  <c r="R100" i="20"/>
  <c r="Z100" i="20"/>
  <c r="T100" i="20"/>
  <c r="N100" i="20"/>
  <c r="F100" i="20"/>
  <c r="AB100" i="20"/>
  <c r="V100" i="20"/>
  <c r="P100" i="20"/>
  <c r="J100" i="20"/>
  <c r="X100" i="20"/>
  <c r="L100" i="20"/>
  <c r="D63" i="20"/>
  <c r="D23" i="26" s="1"/>
  <c r="X63" i="20"/>
  <c r="R63" i="20"/>
  <c r="L63" i="20"/>
  <c r="AB63" i="20"/>
  <c r="V63" i="20"/>
  <c r="P63" i="20"/>
  <c r="J63" i="20"/>
  <c r="N63" i="20"/>
  <c r="F63" i="20"/>
  <c r="Z63" i="20"/>
  <c r="H63" i="20"/>
  <c r="T63" i="20"/>
  <c r="D99" i="20"/>
  <c r="E19" i="26" s="1"/>
  <c r="AB99" i="20"/>
  <c r="V99" i="20"/>
  <c r="P99" i="20"/>
  <c r="J99" i="20"/>
  <c r="Z99" i="20"/>
  <c r="T99" i="20"/>
  <c r="N99" i="20"/>
  <c r="H99" i="20"/>
  <c r="F99" i="20"/>
  <c r="R99" i="20"/>
  <c r="L99" i="20"/>
  <c r="X99" i="20"/>
  <c r="D22" i="20"/>
  <c r="X22" i="20" s="1"/>
  <c r="AB22" i="20"/>
  <c r="L22" i="20"/>
  <c r="Z22" i="20"/>
  <c r="T22" i="20"/>
  <c r="N22" i="20"/>
  <c r="H22" i="20"/>
  <c r="F22" i="20"/>
  <c r="R22" i="20"/>
  <c r="J22" i="20"/>
  <c r="V22" i="20"/>
  <c r="P22" i="20"/>
  <c r="D62" i="20"/>
  <c r="D22" i="26" s="1"/>
  <c r="N62" i="20"/>
  <c r="X62" i="20"/>
  <c r="R62" i="20"/>
  <c r="L62" i="20"/>
  <c r="Z62" i="20"/>
  <c r="T62" i="20"/>
  <c r="H62" i="20"/>
  <c r="AB62" i="20"/>
  <c r="P62" i="20"/>
  <c r="F62" i="20"/>
  <c r="J62" i="20"/>
  <c r="V62" i="20"/>
  <c r="D98" i="20"/>
  <c r="Z98" i="20"/>
  <c r="AB98" i="20"/>
  <c r="V98" i="20"/>
  <c r="J98" i="20"/>
  <c r="N98" i="20"/>
  <c r="X98" i="20"/>
  <c r="R98" i="20"/>
  <c r="L98" i="20"/>
  <c r="F98" i="20"/>
  <c r="P98" i="20"/>
  <c r="T98" i="20"/>
  <c r="H98" i="20"/>
  <c r="D19" i="20"/>
  <c r="X19" i="20" s="1"/>
  <c r="V19" i="20"/>
  <c r="P19" i="20"/>
  <c r="J19" i="20"/>
  <c r="Z19" i="20"/>
  <c r="T19" i="20"/>
  <c r="N19" i="20"/>
  <c r="H19" i="20"/>
  <c r="AB19" i="20"/>
  <c r="F19" i="20"/>
  <c r="R19" i="20"/>
  <c r="L19" i="20"/>
  <c r="D21" i="20"/>
  <c r="X21" i="20" s="1"/>
  <c r="Z21" i="20"/>
  <c r="T21" i="20"/>
  <c r="N21" i="20"/>
  <c r="H21" i="20"/>
  <c r="AB21" i="20"/>
  <c r="R21" i="20"/>
  <c r="L21" i="20"/>
  <c r="P21" i="20"/>
  <c r="J21" i="20"/>
  <c r="F21" i="20"/>
  <c r="V21" i="20"/>
  <c r="D61" i="20"/>
  <c r="D21" i="26" s="1"/>
  <c r="Z61" i="20"/>
  <c r="T61" i="20"/>
  <c r="H61" i="20"/>
  <c r="X61" i="20"/>
  <c r="R61" i="20"/>
  <c r="L61" i="20"/>
  <c r="N61" i="20"/>
  <c r="F61" i="20"/>
  <c r="P61" i="20"/>
  <c r="AB61" i="20"/>
  <c r="J61" i="20"/>
  <c r="V61" i="20"/>
  <c r="D103" i="20"/>
  <c r="E23" i="26" s="1"/>
  <c r="X103" i="20"/>
  <c r="R103" i="20"/>
  <c r="L103" i="20"/>
  <c r="F103" i="20"/>
  <c r="AB103" i="20"/>
  <c r="V103" i="20"/>
  <c r="P103" i="20"/>
  <c r="J103" i="20"/>
  <c r="Z103" i="20"/>
  <c r="H103" i="20"/>
  <c r="N103" i="20"/>
  <c r="T103" i="20"/>
  <c r="Y74" i="27"/>
  <c r="S74" i="27"/>
  <c r="O48" i="27"/>
  <c r="K74" i="27"/>
  <c r="M74" i="27"/>
  <c r="O74" i="27"/>
  <c r="AA74" i="27"/>
  <c r="E74" i="27"/>
  <c r="K48" i="27"/>
  <c r="Q74" i="27"/>
  <c r="G74" i="27"/>
  <c r="W74" i="27"/>
  <c r="Q48" i="27"/>
  <c r="AB47" i="27"/>
  <c r="AB67" i="27"/>
  <c r="M48" i="27"/>
  <c r="AB41" i="27"/>
  <c r="AB73" i="27"/>
  <c r="E48" i="27"/>
  <c r="AA42" i="25"/>
  <c r="H6" i="25" s="1"/>
  <c r="E17" i="26"/>
  <c r="D19" i="26"/>
  <c r="N27" i="20" l="1"/>
  <c r="C17" i="26"/>
  <c r="C19" i="26"/>
  <c r="C23" i="26"/>
  <c r="C24" i="26"/>
  <c r="D105" i="20"/>
  <c r="C20" i="26"/>
  <c r="C18" i="26"/>
  <c r="E18" i="26"/>
  <c r="D65" i="20"/>
  <c r="D27" i="20"/>
  <c r="C22" i="26"/>
  <c r="AB48" i="27"/>
  <c r="AB74" i="27"/>
  <c r="J6" i="27" s="1"/>
  <c r="M11" i="21" s="1"/>
  <c r="K12" i="21"/>
  <c r="C12" i="24"/>
  <c r="V105" i="20"/>
  <c r="T105" i="20"/>
  <c r="J105" i="20"/>
  <c r="Z105" i="20"/>
  <c r="AB105" i="20"/>
  <c r="P105" i="20"/>
  <c r="H105" i="20"/>
  <c r="N105" i="20"/>
  <c r="F105" i="20"/>
  <c r="N65" i="20"/>
  <c r="L105" i="20"/>
  <c r="X105" i="20"/>
  <c r="R105" i="20"/>
  <c r="T65" i="20"/>
  <c r="X65" i="20"/>
  <c r="L65" i="20"/>
  <c r="Z65" i="20"/>
  <c r="J65" i="20"/>
  <c r="H65" i="20"/>
  <c r="R65" i="20"/>
  <c r="AB65" i="20"/>
  <c r="F65" i="20"/>
  <c r="V65" i="20"/>
  <c r="P65" i="20"/>
  <c r="E25" i="26"/>
  <c r="G12" i="21" s="1"/>
  <c r="G17" i="21" s="1"/>
  <c r="F27" i="20"/>
  <c r="P27" i="20"/>
  <c r="V27" i="20"/>
  <c r="R27" i="20"/>
  <c r="Z27" i="20"/>
  <c r="H27" i="20"/>
  <c r="X27" i="20"/>
  <c r="T27" i="20"/>
  <c r="J27" i="20"/>
  <c r="L27" i="20"/>
  <c r="AB27" i="20"/>
  <c r="D25" i="26"/>
  <c r="F12" i="21" s="1"/>
  <c r="H6" i="27" l="1"/>
  <c r="K11" i="21" s="1"/>
  <c r="H11" i="38"/>
  <c r="H25" i="38" s="1"/>
  <c r="H27" i="38" s="1"/>
  <c r="H11" i="37"/>
  <c r="H25" i="37" s="1"/>
  <c r="H27" i="37" s="1"/>
  <c r="O55" i="20"/>
  <c r="I55" i="20"/>
  <c r="AA55" i="20"/>
  <c r="W55" i="20"/>
  <c r="Q55" i="20"/>
  <c r="S55" i="20"/>
  <c r="G55" i="20"/>
  <c r="C25" i="26"/>
  <c r="E12" i="21" s="1"/>
  <c r="E17" i="21" s="1"/>
  <c r="U55" i="20"/>
  <c r="Y55" i="20"/>
  <c r="E55" i="20"/>
  <c r="K55" i="20"/>
  <c r="M55" i="20"/>
  <c r="Y17" i="20"/>
  <c r="AA17" i="20"/>
  <c r="O17" i="20"/>
  <c r="K17" i="20"/>
  <c r="I17" i="20"/>
  <c r="U17" i="20"/>
  <c r="S17" i="20"/>
  <c r="W17" i="20"/>
  <c r="M17" i="20"/>
  <c r="G17" i="20"/>
  <c r="E17" i="20"/>
  <c r="U95" i="20"/>
  <c r="M95" i="20"/>
  <c r="S95" i="20"/>
  <c r="G95" i="20"/>
  <c r="Y95" i="20"/>
  <c r="Q95" i="20"/>
  <c r="W95" i="20"/>
  <c r="O95" i="20"/>
  <c r="K95" i="20"/>
  <c r="AA95" i="20"/>
  <c r="E95" i="20"/>
  <c r="I95" i="20"/>
  <c r="Q17" i="20"/>
  <c r="C11" i="24"/>
  <c r="C13" i="24" s="1"/>
  <c r="E11" i="24"/>
  <c r="E13" i="24" s="1"/>
  <c r="G14" i="21"/>
  <c r="G16" i="21" s="1"/>
  <c r="G18" i="21" s="1"/>
  <c r="H11" i="29"/>
  <c r="F17" i="21"/>
  <c r="F16" i="21"/>
  <c r="F12" i="29"/>
  <c r="F26" i="29" s="1"/>
  <c r="E15" i="21"/>
  <c r="C4" i="33"/>
  <c r="C5" i="33" s="1"/>
  <c r="J4" i="33"/>
  <c r="F11" i="38" l="1"/>
  <c r="F25" i="38" s="1"/>
  <c r="F27" i="38" s="1"/>
  <c r="F11" i="29"/>
  <c r="F25" i="29" s="1"/>
  <c r="F27" i="29" s="1"/>
  <c r="F31" i="29" s="1"/>
  <c r="F33" i="29" s="1"/>
  <c r="E14" i="21"/>
  <c r="E16" i="21" s="1"/>
  <c r="E20" i="21" s="1"/>
  <c r="E22" i="21" s="1"/>
  <c r="F11" i="37"/>
  <c r="F25" i="37" s="1"/>
  <c r="F27" i="37" s="1"/>
  <c r="F29" i="37" s="1"/>
  <c r="K10" i="30"/>
  <c r="K24" i="30" s="1"/>
  <c r="K26" i="30" s="1"/>
  <c r="K30" i="30" s="1"/>
  <c r="K32" i="30" s="1"/>
  <c r="H25" i="29"/>
  <c r="H27" i="29" s="1"/>
  <c r="H29" i="29" s="1"/>
  <c r="H29" i="37"/>
  <c r="H31" i="37"/>
  <c r="H33" i="37" s="1"/>
  <c r="H29" i="38"/>
  <c r="H31" i="38"/>
  <c r="H33" i="38" s="1"/>
  <c r="F29" i="38"/>
  <c r="F31" i="38"/>
  <c r="F33" i="38" s="1"/>
  <c r="F18" i="21"/>
  <c r="G19" i="21" s="1"/>
  <c r="G20" i="21" s="1"/>
  <c r="G22" i="21" s="1"/>
  <c r="F20" i="21"/>
  <c r="F22" i="21" s="1"/>
  <c r="I10" i="30"/>
  <c r="I24" i="30" s="1"/>
  <c r="I11" i="30"/>
  <c r="I25" i="30" s="1"/>
  <c r="B10" i="26"/>
  <c r="C8" i="20"/>
  <c r="C10" i="26"/>
  <c r="F31" i="37" l="1"/>
  <c r="F33" i="37" s="1"/>
  <c r="H36" i="37" s="1"/>
  <c r="K28" i="30"/>
  <c r="H31" i="29"/>
  <c r="H33" i="29" s="1"/>
  <c r="H36" i="29" s="1"/>
  <c r="G28" i="21"/>
  <c r="G27" i="21"/>
  <c r="H37" i="37"/>
  <c r="H37" i="38"/>
  <c r="H36" i="38"/>
  <c r="E18" i="21"/>
  <c r="F29" i="29"/>
  <c r="I26" i="30"/>
  <c r="I28" i="30" s="1"/>
  <c r="B8" i="20"/>
  <c r="D8" i="20"/>
  <c r="D10" i="26"/>
  <c r="H37" i="29" l="1"/>
  <c r="I30" i="30"/>
  <c r="I32" i="30" s="1"/>
</calcChain>
</file>

<file path=xl/sharedStrings.xml><?xml version="1.0" encoding="utf-8"?>
<sst xmlns="http://schemas.openxmlformats.org/spreadsheetml/2006/main" count="1652" uniqueCount="414">
  <si>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</si>
  <si>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</si>
  <si>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</si>
  <si>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</si>
  <si>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</si>
  <si>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</si>
  <si>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</si>
  <si>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</si>
  <si>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</si>
  <si>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</si>
  <si>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</si>
  <si>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</si>
  <si>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</si>
  <si>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</si>
  <si>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</si>
  <si>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Mercado total</t>
  </si>
  <si>
    <t>CABA</t>
  </si>
  <si>
    <t>Poblacion estimada 2019</t>
  </si>
  <si>
    <t>Argentina</t>
  </si>
  <si>
    <t>Total</t>
  </si>
  <si>
    <t>https://propamba.wordpress.com/amba/que-es-el-amba/</t>
  </si>
  <si>
    <t>AMBA</t>
  </si>
  <si>
    <t>https://www.indec.gob.ar/indec/web/Nivel4-Tema-2-24-85</t>
  </si>
  <si>
    <t>INDEC</t>
  </si>
  <si>
    <t>Conurbano Bonaerense (32% de Argentina)</t>
  </si>
  <si>
    <t>Fuente: https://www.indec.gob.ar/indec/web/Nivel4-Tema-2-24-85</t>
  </si>
  <si>
    <t>Población estimada 2019</t>
  </si>
  <si>
    <t>Total (CABA + Conurbano Bonaerense)</t>
  </si>
  <si>
    <t>Lista de precios</t>
  </si>
  <si>
    <t>Producto</t>
  </si>
  <si>
    <t>Precio</t>
  </si>
  <si>
    <t xml:space="preserve">Partiremos nuestro análisis del mercado considerando a todos los habitantes del Conurbano Bonaerense y de la Ciudad Autónoma de Buenos Aires que residen en casas o departamentos. 
Según la proyección que realiza el Instituto Nacional de Estadísticas y Censos se estima que en 2019 son más de 17 millones de personas. </t>
  </si>
  <si>
    <t>Evolución de la participación</t>
  </si>
  <si>
    <t>Año</t>
  </si>
  <si>
    <t>Porcentaje</t>
  </si>
  <si>
    <t>Total mercado</t>
  </si>
  <si>
    <t>Detalle</t>
  </si>
  <si>
    <t>Ingresos</t>
  </si>
  <si>
    <t>Enero</t>
  </si>
  <si>
    <t>Febrero</t>
  </si>
  <si>
    <t>Marzo</t>
  </si>
  <si>
    <t>Abril</t>
  </si>
  <si>
    <t>Mayo</t>
  </si>
  <si>
    <t>Junio</t>
  </si>
  <si>
    <t>Julio</t>
  </si>
  <si>
    <t>Agosto</t>
  </si>
  <si>
    <t>Septiembre</t>
  </si>
  <si>
    <t>Octubre</t>
  </si>
  <si>
    <t>Noviembre</t>
  </si>
  <si>
    <t>Diciembre</t>
  </si>
  <si>
    <t>.</t>
  </si>
  <si>
    <t>TOTALES</t>
  </si>
  <si>
    <t>Ingresos por productos</t>
  </si>
  <si>
    <t>Cantidad</t>
  </si>
  <si>
    <t>Anual</t>
  </si>
  <si>
    <t>Estacionalidad</t>
  </si>
  <si>
    <t>RRHH</t>
  </si>
  <si>
    <t>Concepto</t>
  </si>
  <si>
    <t>Año cero - Kick off</t>
  </si>
  <si>
    <t>Sin cambios</t>
  </si>
  <si>
    <t>Infraestructura</t>
  </si>
  <si>
    <t>Instalaciones</t>
  </si>
  <si>
    <t>Evolución de la participación en el mercado</t>
  </si>
  <si>
    <t>Comentarios</t>
  </si>
  <si>
    <t>1 - Descripción del negocio</t>
  </si>
  <si>
    <t>2 - Mercado meta</t>
  </si>
  <si>
    <t>3 - Participación del mercado</t>
  </si>
  <si>
    <t>4 - Otros datos</t>
  </si>
  <si>
    <t>Ingreso Total</t>
  </si>
  <si>
    <t>Anexo capacidad operativa</t>
  </si>
  <si>
    <t>Costo</t>
  </si>
  <si>
    <t>N° de tarea</t>
  </si>
  <si>
    <t>Jornada laboral</t>
  </si>
  <si>
    <t>horas</t>
  </si>
  <si>
    <t>Semanas por año</t>
  </si>
  <si>
    <t>Días festivos</t>
  </si>
  <si>
    <t>semanas</t>
  </si>
  <si>
    <t>días</t>
  </si>
  <si>
    <t>Semanas de licencias varias al año</t>
  </si>
  <si>
    <t>Consideraremos en promedio:</t>
  </si>
  <si>
    <t>Base horaria [BH]</t>
  </si>
  <si>
    <t>Descripción</t>
  </si>
  <si>
    <t>Horas laborables anuales por empleado</t>
  </si>
  <si>
    <t>Horas laborables anuales / empleado</t>
  </si>
  <si>
    <t>Horas laborables mensuales / empleado
[HsLaboralesXMes]</t>
  </si>
  <si>
    <t>* licencias por enfermedad, trámites, días de estudio, etc.</t>
  </si>
  <si>
    <t>Días laborales totales</t>
  </si>
  <si>
    <t>Comentarios: La estructura de madera es fabricada por un proveedor. (tercerización)</t>
  </si>
  <si>
    <t>Cantidad requerida por producto
[CantXProducto]</t>
  </si>
  <si>
    <r>
      <t xml:space="preserve">Horas por tarea de producto
</t>
    </r>
    <r>
      <rPr>
        <sz val="11"/>
        <color theme="1"/>
        <rFont val="Calibri"/>
        <family val="2"/>
        <scheme val="minor"/>
      </rPr>
      <t>Fórmula = CantXProducto / BH</t>
    </r>
  </si>
  <si>
    <r>
      <t>Horas totales por producto
[HsTotalesXProducto]</t>
    </r>
    <r>
      <rPr>
        <sz val="11"/>
        <color theme="1"/>
        <rFont val="Calibri"/>
        <family val="2"/>
        <scheme val="minor"/>
      </rPr>
      <t xml:space="preserve">
Fórmula = Σ Horas por tarea de producto</t>
    </r>
  </si>
  <si>
    <r>
      <t xml:space="preserve">Capacidad operativa mensual por empleado
</t>
    </r>
    <r>
      <rPr>
        <sz val="11"/>
        <color theme="1"/>
        <rFont val="Calibri"/>
        <family val="2"/>
        <scheme val="minor"/>
      </rPr>
      <t>Fórmula = HsLaboralesXMes / HsTotalesXProd</t>
    </r>
  </si>
  <si>
    <t>productos por mes</t>
  </si>
  <si>
    <t>Cálculo de horas laborables de un empleado por mes</t>
  </si>
  <si>
    <t>Unidades requeridas</t>
  </si>
  <si>
    <t>Horas Hombre requeridos</t>
  </si>
  <si>
    <t>Horas Hombre requeridas</t>
  </si>
  <si>
    <t>ANALISIS CAPACIDAD OPERATIVA ANUAL POR PRODUCTO EN HORAS HOMBRE</t>
  </si>
  <si>
    <t>CONCLUSIÓN</t>
  </si>
  <si>
    <t>Servicios</t>
  </si>
  <si>
    <t>Gas</t>
  </si>
  <si>
    <t>Agua</t>
  </si>
  <si>
    <t>Luz</t>
  </si>
  <si>
    <t>Alquiler</t>
  </si>
  <si>
    <t>Honorarios</t>
  </si>
  <si>
    <t>Estudio Contable</t>
  </si>
  <si>
    <t>Conceptos</t>
  </si>
  <si>
    <t>Observaciones</t>
  </si>
  <si>
    <t>Total anual</t>
  </si>
  <si>
    <t>Telefonía fija</t>
  </si>
  <si>
    <t>Internet</t>
  </si>
  <si>
    <t>Impuesto municipal (Indicado en alquiler)</t>
  </si>
  <si>
    <t>Expensas (no posee)</t>
  </si>
  <si>
    <t>Publicidad online</t>
  </si>
  <si>
    <t>Costos fijos - Totales</t>
  </si>
  <si>
    <t>Costos variables - Totales</t>
  </si>
  <si>
    <t>Subtotal</t>
  </si>
  <si>
    <t>Costo unitario</t>
  </si>
  <si>
    <t>Insumos de producción</t>
  </si>
  <si>
    <t>Insumos de librería</t>
  </si>
  <si>
    <t>Distribución</t>
  </si>
  <si>
    <t>TOTAL</t>
  </si>
  <si>
    <t>Cálculo de costo unitario de producción</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</si>
  <si>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</si>
  <si>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</si>
  <si>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</si>
  <si>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</si>
  <si>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</si>
  <si>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</si>
  <si>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</si>
  <si>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</si>
  <si>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</si>
  <si>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</si>
  <si>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</si>
  <si>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</si>
  <si>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</si>
  <si>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</si>
  <si>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</si>
  <si>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</si>
  <si>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</si>
  <si>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</si>
  <si>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</si>
  <si>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</si>
  <si>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</si>
  <si>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</si>
  <si>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Totales</t>
  </si>
  <si>
    <t>Costos Fijos</t>
  </si>
  <si>
    <t>Costos variables</t>
  </si>
  <si>
    <t>Costos de RRHH</t>
  </si>
  <si>
    <t>Costos totales</t>
  </si>
  <si>
    <t>Objetivo ingresos</t>
  </si>
  <si>
    <t>Modelo de Inversión</t>
  </si>
  <si>
    <t>Inversión Inicial</t>
  </si>
  <si>
    <t>Inversión inicial - Año cero</t>
  </si>
  <si>
    <t>Precio unitario</t>
  </si>
  <si>
    <t>Referencia</t>
  </si>
  <si>
    <t>Escritorio de oficina</t>
  </si>
  <si>
    <t>Amortización</t>
  </si>
  <si>
    <t>Rubro</t>
  </si>
  <si>
    <t>Año cero</t>
  </si>
  <si>
    <t>Amortización
( en años )</t>
  </si>
  <si>
    <t>Valor de adquisiciones</t>
  </si>
  <si>
    <t>Informática y comunicaciones</t>
  </si>
  <si>
    <t>Muebles de oficina</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</si>
  <si>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</si>
  <si>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</si>
  <si>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</si>
  <si>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</si>
  <si>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</si>
  <si>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</si>
  <si>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</si>
  <si>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</si>
  <si>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</si>
  <si>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</si>
  <si>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</si>
  <si>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</si>
  <si>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</si>
  <si>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</si>
  <si>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</si>
  <si>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Riesgo</t>
  </si>
  <si>
    <t>Causa</t>
  </si>
  <si>
    <t>Efecto</t>
  </si>
  <si>
    <t>Probabilidad</t>
  </si>
  <si>
    <t>Impacto</t>
  </si>
  <si>
    <t>Alto</t>
  </si>
  <si>
    <t>Media</t>
  </si>
  <si>
    <t>Escenario 2</t>
  </si>
  <si>
    <t>Medio</t>
  </si>
  <si>
    <t>Baja</t>
  </si>
  <si>
    <t>Bajo</t>
  </si>
  <si>
    <t>Demora de un mes en el desarrollo del plan tecnológico.</t>
  </si>
  <si>
    <t>Escenario 3</t>
  </si>
  <si>
    <t>Número</t>
  </si>
  <si>
    <t>Costos</t>
  </si>
  <si>
    <t>Aumento tarifario de servicios básicos</t>
  </si>
  <si>
    <t>El gobierno reduce subsidios.</t>
  </si>
  <si>
    <t>Problemas de disponibilidad de plataforma web</t>
  </si>
  <si>
    <t>Incendio en instalaciones</t>
  </si>
  <si>
    <t>Renuncia del gerente general</t>
  </si>
  <si>
    <t>ESCENARIO 1</t>
  </si>
  <si>
    <t>Escenario 1</t>
  </si>
  <si>
    <t>Costo fijo</t>
  </si>
  <si>
    <t>Costo variable</t>
  </si>
  <si>
    <t>Costo RRHH</t>
  </si>
  <si>
    <t>Costos RRHH</t>
  </si>
  <si>
    <t>Lanzamiento de un nuevo producto de la competencia.</t>
  </si>
  <si>
    <t>Ingresos objetivo</t>
  </si>
  <si>
    <t>ESCENARIO 2</t>
  </si>
  <si>
    <t>ESCENARIO 3</t>
  </si>
  <si>
    <t>Se posterga la implementación un mes retrasando el crecimiento.</t>
  </si>
  <si>
    <t>Aumento inflacionario de un 60% en el año 2020.</t>
  </si>
  <si>
    <t>El cambio de Gobierno acrecentó la crisis económica del modelo anterior. Nuestro potenciales clientes disponen de menos dinero para invertir en gustos personales.</t>
  </si>
  <si>
    <t>Caen las ventas un 10% en 2020 y 2021.</t>
  </si>
  <si>
    <t>Ajustes en ingresos y costos variables</t>
  </si>
  <si>
    <t>Riesgo n°1</t>
  </si>
  <si>
    <t>PLAN DE CONTINGENCIA</t>
  </si>
  <si>
    <t>Plan de contingencia para escenario 3</t>
  </si>
  <si>
    <t>Con plan de contingencia</t>
  </si>
  <si>
    <t>Ajustes en ingresos y costos variables por escenario 3</t>
  </si>
  <si>
    <t>Medidas de contingencia</t>
  </si>
  <si>
    <t>Ahorro en Inversión 2021</t>
  </si>
  <si>
    <t>Ahorro en costos de RRHH 2021</t>
  </si>
  <si>
    <t>Ahorro en costos de RRHH 2020</t>
  </si>
  <si>
    <r>
      <t xml:space="preserve">El plan de contingencia que se adoptará para este riesgo de reducción de ventas será la implementación de una política de ajuste en la cual no se contratará nuevos empleados en estos dos años, ni se comprará el nuevo vehículo para la distribución.
</t>
    </r>
    <r>
      <rPr>
        <b/>
        <sz val="11"/>
        <color theme="1"/>
        <rFont val="Calibri"/>
        <family val="2"/>
        <scheme val="minor"/>
      </rPr>
      <t xml:space="preserve">
Medida 1:</t>
    </r>
    <r>
      <rPr>
        <sz val="11"/>
        <color theme="1"/>
        <rFont val="Calibri"/>
        <family val="2"/>
        <scheme val="minor"/>
      </rPr>
      <t xml:space="preserve"> No será necesario la adquisición del vehículo extra como inversión del año 2021.  (Ahorro: $1.234.590,00).
</t>
    </r>
    <r>
      <rPr>
        <b/>
        <sz val="11"/>
        <color theme="1"/>
        <rFont val="Calibri"/>
        <family val="2"/>
        <scheme val="minor"/>
      </rPr>
      <t>Medida 2:</t>
    </r>
    <r>
      <rPr>
        <sz val="11"/>
        <color theme="1"/>
        <rFont val="Calibri"/>
        <family val="2"/>
        <scheme val="minor"/>
      </rPr>
      <t xml:space="preserve"> Se decidirá por no contratar a:
1 operario técnico especializado en enero de 2021, ahorrando $634.277,41 en 2021.
</t>
    </r>
    <r>
      <rPr>
        <b/>
        <sz val="11"/>
        <color theme="1"/>
        <rFont val="Calibri"/>
        <family val="2"/>
        <scheme val="minor"/>
      </rPr>
      <t xml:space="preserve">
Medida 3: </t>
    </r>
    <r>
      <rPr>
        <sz val="11"/>
        <color theme="1"/>
        <rFont val="Calibri"/>
        <family val="2"/>
        <scheme val="minor"/>
      </rPr>
      <t xml:space="preserve">Se decidirá por no contratar a:
1 gerente de marketing en mayo de 2020, ahorrando $549.658,81 en 2020 y $824.488,21 en 2021.
</t>
    </r>
    <r>
      <rPr>
        <b/>
        <sz val="11"/>
        <color theme="1"/>
        <rFont val="Calibri"/>
        <family val="2"/>
        <scheme val="minor"/>
      </rPr>
      <t xml:space="preserve">Medida 4: </t>
    </r>
    <r>
      <rPr>
        <sz val="11"/>
        <color theme="1"/>
        <rFont val="Calibri"/>
        <family val="2"/>
        <scheme val="minor"/>
      </rPr>
      <t xml:space="preserve">Se decidirá por no contratar en septiembre de 2021 al nuevo distribuidor y operario ahorrando $338.313,47 en 2021.
$ 39.036,17 (mismo sueldo) x 4 meses = $ 156.144,68 	
$ 156.144,68  + $ 13.012,06 (SAC) = $ 169.156,74 
$ 169.156,74  * 2 empleados = $ 338.313,47
</t>
    </r>
  </si>
  <si>
    <t>Como se puede observar, aplicando el plan de contingencia se pasa de un escenario de pérdidas, con VAN negativo y TIR a varios puntos de distancia de la tasa de corte deseada, a una situación favorable muy cercana al presupuesto financiero original. Donde el negocio mantiene su rentabilidad financiera al tener un VAN positivo con la misma tasa de corte.</t>
  </si>
  <si>
    <t>Clientes</t>
  </si>
  <si>
    <t>Gasto promedio</t>
  </si>
  <si>
    <t xml:space="preserve">Producción de </t>
  </si>
  <si>
    <t xml:space="preserve">Publicidad </t>
  </si>
  <si>
    <t>La empresa se dedica a la creación, modernización y a la mejora de portales web de empresas externas que se dediquen a las noticias y cuyas actuales aplicaciones informativas, si las poseen, no cumplen con estándares modernos de inteligencia, tecnología y diseño.</t>
  </si>
  <si>
    <t>A su vez, las empresas de noticias buscan constantemente obtener mejores, y más precisas, mediciones sobre las diversas métricas que puedan brindar información sobre el servicio prestado a la comunidad.</t>
  </si>
  <si>
    <t>El mercado meta se definió como concentrado en empresas pequeñas, por lo tanto, de menos de 50 empleados, que buscan ofrecer un portal moderno de difusión de noticias u opiniones a su público de alcance regional. El segmento geográfico donde comenzarán las operaciones es el AMBA, donde se estima que se encuentran más de 250 diarios regionales inscriptos (de los cuales 180 se encuentran en el Gran Buenos Aires) que funcionan activamente y cumplen con el tamaño indicado previamente.</t>
  </si>
  <si>
    <t>Portal de notas</t>
  </si>
  <si>
    <t>Mantenimiento</t>
  </si>
  <si>
    <t>Portal básico: Herramienta de creación de notas básica y listado por fecha de creación de las notas.</t>
  </si>
  <si>
    <t>Portal aprendizaje: Herramienta de creación de notas básica y listado por posibilidad de interés en nota según el usuario.</t>
  </si>
  <si>
    <t>Portal sugerencia: Herramienta de creación de notas con sugerencias dinámicas y listado por fecha de creación de las notas.</t>
  </si>
  <si>
    <t>Portal experto: Herramienta de creación de notas con sugerencias dinámicas y listado por posibilidad de interés en nota según el usuario.</t>
  </si>
  <si>
    <t>Portal aprendizaje</t>
  </si>
  <si>
    <t>Portal sugerencia</t>
  </si>
  <si>
    <t>Portal experto</t>
  </si>
  <si>
    <t>Portal básico</t>
  </si>
  <si>
    <t>Simple</t>
  </si>
  <si>
    <t>Funcional</t>
  </si>
  <si>
    <t>Temporal</t>
  </si>
  <si>
    <t>Experto</t>
  </si>
  <si>
    <t>Simple: Arreglos y actualizaciones con mejoras por período corto (6 meses).</t>
  </si>
  <si>
    <t>Funcional: Arreglos y actualizaciones con mejoras por período corto (6 meses) y agregado de funcionalidades de menor tamaño.</t>
  </si>
  <si>
    <t xml:space="preserve">Temporal: Arreglos y actualizaciones con mejoras por período medio (1 año). </t>
  </si>
  <si>
    <t>Experto: Arreglos y actualizaciones con mejoras por período largo (2 años) y agregado de funcionalidades de menor tamaño.</t>
  </si>
  <si>
    <t>Proyección de ventas 2022</t>
  </si>
  <si>
    <t>Capacidad operativa Kick off - Año 2022</t>
  </si>
  <si>
    <t>Proyección de ventas 2023</t>
  </si>
  <si>
    <t>Capacidad operativa - Año 2024</t>
  </si>
  <si>
    <t>Proyección de ventas 2024</t>
  </si>
  <si>
    <r>
      <t xml:space="preserve">El objetivo estratégico de nuestro emprendimiento es el de alcanzar el </t>
    </r>
    <r>
      <rPr>
        <b/>
        <sz val="14"/>
        <color theme="1"/>
        <rFont val="Calibri"/>
        <family val="2"/>
        <scheme val="minor"/>
      </rPr>
      <t>6%</t>
    </r>
    <r>
      <rPr>
        <sz val="14"/>
        <color theme="1"/>
        <rFont val="Calibri"/>
        <family val="2"/>
        <scheme val="minor"/>
      </rPr>
      <t xml:space="preserve"> de penetración del mercado meta en un horizonte temporal de 3 años. De esta manera, se estarian vendiendo consiguiendo 7 clientes el primer año, el segundo año 15, y llegando a 30 clientes para el tercer año.</t>
    </r>
  </si>
  <si>
    <t>Total - Portal</t>
  </si>
  <si>
    <t>Total - Mantenimiento</t>
  </si>
  <si>
    <t>Año 2022</t>
  </si>
  <si>
    <r>
      <t xml:space="preserve">En la proyección de ventas se podrá apreciar el efecto de la </t>
    </r>
    <r>
      <rPr>
        <b/>
        <sz val="12"/>
        <color theme="1"/>
        <rFont val="Calibri"/>
        <family val="2"/>
        <scheme val="minor"/>
      </rPr>
      <t>estacionalidad</t>
    </r>
    <r>
      <rPr>
        <sz val="12"/>
        <color theme="1"/>
        <rFont val="Calibri"/>
        <family val="2"/>
        <scheme val="minor"/>
      </rPr>
      <t xml:space="preserve"> remarcada por las siguientes situaciones:
</t>
    </r>
    <r>
      <rPr>
        <b/>
        <u/>
        <sz val="12"/>
        <color theme="1"/>
        <rFont val="Calibri"/>
        <family val="2"/>
        <scheme val="minor"/>
      </rPr>
      <t>a) Eventos deportivos:</t>
    </r>
    <r>
      <rPr>
        <b/>
        <sz val="12"/>
        <color theme="1"/>
        <rFont val="Calibri"/>
        <family val="2"/>
        <scheme val="minor"/>
      </rPr>
      <t xml:space="preserve"> </t>
    </r>
    <r>
      <rPr>
        <sz val="12"/>
        <color theme="1"/>
        <rFont val="Calibri"/>
        <family val="2"/>
        <scheme val="minor"/>
      </rPr>
      <t xml:space="preserve">Preveemos mayores ventas en los meses previos al mundial de Qatar 2022, el cual sucederá en el mes de noviembre. También se prevee mayores ventas en los meses previos al comienzo y fin de temporada local de fútbol, situados en los meses de julio y marzo respectivamente.
</t>
    </r>
    <r>
      <rPr>
        <b/>
        <u/>
        <sz val="12"/>
        <color theme="1"/>
        <rFont val="Calibri"/>
        <family val="2"/>
        <scheme val="minor"/>
      </rPr>
      <t>b) Eventos políticos:</t>
    </r>
    <r>
      <rPr>
        <sz val="12"/>
        <color theme="1"/>
        <rFont val="Calibri"/>
        <family val="2"/>
        <scheme val="minor"/>
      </rPr>
      <t xml:space="preserve"> Consideramos que en los años donde se realicen elecciones habrá un incremento considerable en los meses previos a las mismas. Las elecciones presidenciales serán en los años 2023.
</t>
    </r>
    <r>
      <rPr>
        <b/>
        <u/>
        <sz val="12"/>
        <color theme="1"/>
        <rFont val="Calibri"/>
        <family val="2"/>
        <scheme val="minor"/>
      </rPr>
      <t>c) Eventos de moda:</t>
    </r>
    <r>
      <rPr>
        <b/>
        <sz val="12"/>
        <color theme="1"/>
        <rFont val="Calibri"/>
        <family val="2"/>
        <scheme val="minor"/>
      </rPr>
      <t xml:space="preserve"> </t>
    </r>
    <r>
      <rPr>
        <sz val="12"/>
        <color theme="1"/>
        <rFont val="Calibri"/>
        <family val="2"/>
        <scheme val="minor"/>
      </rPr>
      <t>Se prevee que en los meses previos a los grandes festivales de moda haya un leve incremento de ventas. Estos eventos suceden tanto en febrero como en septiembre.</t>
    </r>
  </si>
  <si>
    <t>Capacidad operativa - Año 2023</t>
  </si>
  <si>
    <t>Gerente General</t>
  </si>
  <si>
    <t>Desarrollador</t>
  </si>
  <si>
    <t>Encargado de RRHH</t>
  </si>
  <si>
    <t>Diseñador</t>
  </si>
  <si>
    <t>Computadoras</t>
  </si>
  <si>
    <t>Computadoras de alto nivel</t>
  </si>
  <si>
    <t>Sillas</t>
  </si>
  <si>
    <t>Escritorios</t>
  </si>
  <si>
    <t>Kits de perifericos</t>
  </si>
  <si>
    <t>Alquiler Oficina 100m2</t>
  </si>
  <si>
    <t>Gerente Administrativo</t>
  </si>
  <si>
    <t>Gerente Comercial</t>
  </si>
  <si>
    <t>* En enero se contratará a un especilista en marketing para ejecutar planes de acción de promociones para mejorar el posicionamiento de los productos.
* En enero se inviertirá en la adquisicion de las herramientas de trabajo para las nuevas incorporaciones.
* A lo largo del año, y con meses entre medio, se incorporara nuevos programadores y un diseñador para agrandar el equipo.</t>
  </si>
  <si>
    <t>* En enero se contratará a un nuevo jefe de Ventas y Pagos, y a un jefe de Compras y Cobranzas.
* En enero se contratara a un nuevo empleado para soporte técnico.
* En enero se inviertirá en la adquisicion de algunas de las herramientas de trabajo para las nuevas incorporaciones.
* El resto de las herramientas se comprarán en Junio con el fin de espaciar los gastos.
* A lo largo del año, y con meses entre medio, se incorporara nuevos programadores y diseñadores para agrandar el equipo.</t>
  </si>
  <si>
    <t>Software para portal de notas.</t>
  </si>
  <si>
    <t>MODELO: Portal</t>
  </si>
  <si>
    <t>MODELO: Mantenimiento</t>
  </si>
  <si>
    <t>Analisis de nuevas funcionalidades</t>
  </si>
  <si>
    <t>Diseño de nuevas funcionalidades</t>
  </si>
  <si>
    <t>Desarrollo</t>
  </si>
  <si>
    <t>Pruebas e integración</t>
  </si>
  <si>
    <t>Despliegue y mantenimiento</t>
  </si>
  <si>
    <t>Portal</t>
  </si>
  <si>
    <t>Analisis de nuevas versiones, cambios y mejoras</t>
  </si>
  <si>
    <t>Diseño y estimación de tareas</t>
  </si>
  <si>
    <r>
      <t xml:space="preserve">El emprendimiento saldrá al mercado habiendo invertido previamente en:
</t>
    </r>
    <r>
      <rPr>
        <b/>
        <sz val="14"/>
        <color theme="1"/>
        <rFont val="Calibri"/>
        <family val="2"/>
        <scheme val="minor"/>
      </rPr>
      <t xml:space="preserve">* </t>
    </r>
    <r>
      <rPr>
        <b/>
        <u/>
        <sz val="14"/>
        <color theme="1"/>
        <rFont val="Calibri"/>
        <family val="2"/>
        <scheme val="minor"/>
      </rPr>
      <t>La plataforma digital</t>
    </r>
    <r>
      <rPr>
        <sz val="14"/>
        <color theme="1"/>
        <rFont val="Calibri"/>
        <family val="2"/>
        <scheme val="minor"/>
      </rPr>
      <t xml:space="preserve">, que fue desarrollada por el equipo de programadores, y será mantenido y ampliado por un reducido equipo de sistemas en una primera instancia.
</t>
    </r>
    <r>
      <rPr>
        <b/>
        <sz val="14"/>
        <color theme="1"/>
        <rFont val="Calibri"/>
        <family val="2"/>
        <scheme val="minor"/>
      </rPr>
      <t xml:space="preserve">* </t>
    </r>
    <r>
      <rPr>
        <b/>
        <u/>
        <sz val="14"/>
        <color theme="1"/>
        <rFont val="Calibri"/>
        <family val="2"/>
        <scheme val="minor"/>
      </rPr>
      <t>Alquiler de inmuebles</t>
    </r>
    <r>
      <rPr>
        <sz val="14"/>
        <color theme="1"/>
        <rFont val="Calibri"/>
        <family val="2"/>
        <scheme val="minor"/>
      </rPr>
      <t xml:space="preserve"> para oficina y suministros para trabajo remoto.
</t>
    </r>
    <r>
      <rPr>
        <b/>
        <sz val="14"/>
        <color theme="1"/>
        <rFont val="Calibri"/>
        <family val="2"/>
        <scheme val="minor"/>
      </rPr>
      <t xml:space="preserve">* </t>
    </r>
    <r>
      <rPr>
        <b/>
        <u/>
        <sz val="14"/>
        <color theme="1"/>
        <rFont val="Calibri"/>
        <family val="2"/>
        <scheme val="minor"/>
      </rPr>
      <t>Producción</t>
    </r>
    <r>
      <rPr>
        <b/>
        <sz val="14"/>
        <color theme="1"/>
        <rFont val="Calibri"/>
        <family val="2"/>
        <scheme val="minor"/>
      </rPr>
      <t>:</t>
    </r>
    <r>
      <rPr>
        <sz val="14"/>
        <color theme="1"/>
        <rFont val="Calibri"/>
        <family val="2"/>
        <scheme val="minor"/>
      </rPr>
      <t xml:space="preserve"> Se contará con 7 computadoras de alto nivel para el desarrollo.
Además:
* En diciembre se preparará la oficina para el ingreso de 5 nuevos integrantes al equipo.
* El gerente de Tecnología y 3 desarrolladores podrán afrontar la capacidad operativa de producción según la demanda estimada.</t>
    </r>
  </si>
  <si>
    <t>Ingresos 2022</t>
  </si>
  <si>
    <t>Ingresos 2023</t>
  </si>
  <si>
    <t>Ingresos 2024</t>
  </si>
  <si>
    <t>Costos fijos - Año 2022</t>
  </si>
  <si>
    <t>Costos fijos - Año 2023</t>
  </si>
  <si>
    <t>Costos fijos - Año 2024</t>
  </si>
  <si>
    <t>Oficina</t>
  </si>
  <si>
    <t>Publicidad</t>
  </si>
  <si>
    <t>Alumno</t>
  </si>
  <si>
    <t>Sobrero, Martin</t>
  </si>
  <si>
    <t xml:space="preserve">Legajo </t>
  </si>
  <si>
    <t>Docentes</t>
  </si>
  <si>
    <t>Scali, Jorge</t>
  </si>
  <si>
    <t>Comisión</t>
  </si>
  <si>
    <t>5A</t>
  </si>
  <si>
    <t>Localización</t>
  </si>
  <si>
    <t>Centro</t>
  </si>
  <si>
    <t>Email</t>
  </si>
  <si>
    <t>martin.sobrero.m@gmail.com</t>
  </si>
  <si>
    <t>Líneas de servicios</t>
  </si>
  <si>
    <t>AMPLITUD DE LA MEZCLA DE SERVICIOS</t>
  </si>
  <si>
    <t>PROFUNDIDAD DE LAS LÍNEAS DE SERVICIOS</t>
  </si>
  <si>
    <t>Servicio</t>
  </si>
  <si>
    <t>CAPACIDAD OPERATIVA AÑO 2022</t>
  </si>
  <si>
    <t>CAPACIDAD OPERATIVA AÑO 2023</t>
  </si>
  <si>
    <t>CAPACIDAD OPERATIVA AÑO 2024</t>
  </si>
  <si>
    <t>Considerando en promedio que un operario trabaja 150 horas mensuales, podemos observar que nuestra capacidad productiva puede ser llevada a cabo por 4 personas hasta diciembre. Luego se requerirá la contratación de un nuevo operario ya que se superan las 300hs hombres requeridas para los niveles de producción especulados.</t>
  </si>
  <si>
    <t>Estudio Abogados</t>
  </si>
  <si>
    <t>Promoción</t>
  </si>
  <si>
    <t>Costos variables - Año 2022</t>
  </si>
  <si>
    <t>Costos variables - Año 2023</t>
  </si>
  <si>
    <t>Costos variables - Año 2024</t>
  </si>
  <si>
    <t>Almacenamiento en la nube</t>
  </si>
  <si>
    <t>Procesamiento en la nube</t>
  </si>
  <si>
    <t>Hojas, Encuadernacion, Impresion, etc.</t>
  </si>
  <si>
    <t>Servicio tercerizado</t>
  </si>
  <si>
    <t>Promocion Lanzamiento (1 año descuento 50%)</t>
  </si>
  <si>
    <t>Encargado de Ventas</t>
  </si>
  <si>
    <t>Encargado de Compras</t>
  </si>
  <si>
    <t>Encargado de Pagos</t>
  </si>
  <si>
    <t>Encargado de Cobranzas</t>
  </si>
  <si>
    <t>Gerente de Produccion</t>
  </si>
  <si>
    <t>Gerente de Marketing</t>
  </si>
  <si>
    <t>Gerente de Tecnologia</t>
  </si>
  <si>
    <t>Soporte tecnico</t>
  </si>
  <si>
    <t>Costos de RRHH - Año 2022</t>
  </si>
  <si>
    <t>Costos de RRHH - Año 2023</t>
  </si>
  <si>
    <t>Costos de RRHH - Año 2024</t>
  </si>
  <si>
    <t>Encargado de Ventas y Pagos</t>
  </si>
  <si>
    <t>Encargado de Compras y Cobranzas</t>
  </si>
  <si>
    <t>Gerente General y Produccion</t>
  </si>
  <si>
    <t>Encargado Ventas y Pagos</t>
  </si>
  <si>
    <t>Encargado Compras y Cobranzas</t>
  </si>
  <si>
    <t>Administrativo Marketing</t>
  </si>
  <si>
    <t>Administrativo Comercial</t>
  </si>
  <si>
    <t>Gerente Marketing</t>
  </si>
  <si>
    <t>Gerente Produccion</t>
  </si>
  <si>
    <t>Administrativo Cobranzas</t>
  </si>
  <si>
    <t>Gerente Tecnologia</t>
  </si>
  <si>
    <t>Inversión - Año 2022</t>
  </si>
  <si>
    <t>Inversión - Año 2023</t>
  </si>
  <si>
    <t>Inversión - Año 2024</t>
  </si>
  <si>
    <t>Licencia Trello</t>
  </si>
  <si>
    <t>Desarrollo inicial del modelo - Portal</t>
  </si>
  <si>
    <t>Desarrollo inicial del modelo - Mantenimiento</t>
  </si>
  <si>
    <t>Sillas de oficina</t>
  </si>
  <si>
    <t>Escritorios de oficina</t>
  </si>
  <si>
    <t>Computadora</t>
  </si>
  <si>
    <t>Computadora de alto rendimiento</t>
  </si>
  <si>
    <t>Desarrollo de página web de la empresa</t>
  </si>
  <si>
    <t>Silla Baut</t>
  </si>
  <si>
    <t>Kit Logitech</t>
  </si>
  <si>
    <t>Escritorio Oficina</t>
  </si>
  <si>
    <t>Lenovo IdeaPad</t>
  </si>
  <si>
    <t>ThinkPad L15</t>
  </si>
  <si>
    <t>Licencia Standard Trello p/Usuario</t>
  </si>
  <si>
    <t>Al tener 8 empleados, la licencia es por usuario y por mes. Por lo tanto 8 usuarios * 12 meses * 5USD (1000ARS)</t>
  </si>
  <si>
    <t>Al tener una suficiente inversion inicial, no sera necesario invertir durante el primer año.</t>
  </si>
  <si>
    <t xml:space="preserve">Computadora </t>
  </si>
  <si>
    <t>Computadora Alto rendimiento</t>
  </si>
  <si>
    <t>Silla de oficina</t>
  </si>
  <si>
    <t>Referencia (50% descuento en Portal)</t>
  </si>
  <si>
    <t>Mantenimiento inicial (25% descuento en Mantenimiento)</t>
  </si>
  <si>
    <r>
      <rPr>
        <b/>
        <sz val="12"/>
        <color theme="1"/>
        <rFont val="Calibri"/>
        <family val="2"/>
        <scheme val="minor"/>
      </rPr>
      <t>Tasa de corte:</t>
    </r>
    <r>
      <rPr>
        <sz val="12"/>
        <color theme="1"/>
        <rFont val="Calibri"/>
        <family val="2"/>
        <scheme val="minor"/>
      </rPr>
      <t xml:space="preserve"> Basado en los plazos fijos (37%), fondo comun de inversion (30%), inflacion (45%), Balanz Renta Fija o Dolar Linked (30%), y crecimiento de las acciones de MercadoLibre YTD (27%).</t>
    </r>
  </si>
  <si>
    <t>Aumento de los servicios en la nube</t>
  </si>
  <si>
    <t>Aumento del valor del dolar.</t>
  </si>
  <si>
    <t>Alta</t>
  </si>
  <si>
    <t>Demoras en distribución.</t>
  </si>
  <si>
    <t>Demora por accidente  de tránsito, manifestación, o falta de servicio por medida de fuerza.</t>
  </si>
  <si>
    <t>Demora en la entrega de documentación.</t>
  </si>
  <si>
    <t>Aparición de un nuevo competidor en nuestro mercado.</t>
  </si>
  <si>
    <t>Entregar un producto que no sea de alta calidad por falta de tiempo y pruebas de validación.</t>
  </si>
  <si>
    <t>Empeora la imagen de la empresa</t>
  </si>
  <si>
    <t>Gastos de equipamiento no esperados</t>
  </si>
  <si>
    <t>Falta de repuestos para computadoras del equipo, o falta de equipos con el rendimiento necesitado en el mercado local.</t>
  </si>
  <si>
    <t>Delito cibernetico</t>
  </si>
  <si>
    <t>Necesidad de una actualizacion grande al proyecto.</t>
  </si>
  <si>
    <t>Causado por tecnologías disruptivas e innovación, nuevos marcos de trabajo y lenguajes que mejoren el rendimiento y experiencia de usuario.</t>
  </si>
  <si>
    <t>Demora en el desarrollo del servicio, bajando la cantidad de ventas en 10% en 2024.</t>
  </si>
  <si>
    <t>Éxito del producto con consecuente incremento de demanda del mismo genera competidores.</t>
  </si>
  <si>
    <t>Cortocircuito o uso indebido de equipos electronicos.</t>
  </si>
  <si>
    <t>Se produce un incendio que daña equipos e instalaciones. Se produce un gasto para reemplazar y cubrir estos daños.</t>
  </si>
  <si>
    <t>Al ser un producto éxitoso, en 2024 un competidor lanza un producto que compite directamente.</t>
  </si>
  <si>
    <t>Aumento inflacionario de un 50% en el año 2022.</t>
  </si>
  <si>
    <t>Debido al indice inflacionario que se mantiene elevado, los potenciales clientes disponen de menos dinero.</t>
  </si>
  <si>
    <t>Gasto de tiempo y recursos en capacitacion de personal.</t>
  </si>
  <si>
    <t>Debido a la alta rotacion de persional en la industria tecnologica, se necesita un tiempo de adaptacion del empleado.</t>
  </si>
  <si>
    <t>Se demora la implementación del sistema un 10%.</t>
  </si>
  <si>
    <t>Se demora la implementación del sistema, causando una baja en las ventas del 10%.</t>
  </si>
  <si>
    <t>Caen las ventas un 20% en 2023.</t>
  </si>
  <si>
    <t>Corte inesperado del enlace de fibra óptica del proveedor principal.</t>
  </si>
  <si>
    <t>Utilización del enlace secundario, lentitud en acceso a la plataforma. Aumenta la tasa de quejas.</t>
  </si>
  <si>
    <t>El gerente recibe y acepta una oferta laboral presentando asi, su renuncia.</t>
  </si>
  <si>
    <t>Dificultad del nuevo gerente en adecuarse a objetivos de la empresa.</t>
  </si>
  <si>
    <t>Se realiza la compra e importacion de los equipos en el extranjero, obligando al pago de impuestos por importacion.</t>
  </si>
  <si>
    <t>Disminución de la cantidad de clientes. Caen las ventas un 5% en 2023 y 2024.</t>
  </si>
  <si>
    <t>Disminución de la cantidad de clientes y aumento de reclamos. Caen las ventas un 10% en 2024.</t>
  </si>
  <si>
    <t>Se produce una fuga de datos sensibles de la empresa por un hackeo.</t>
  </si>
  <si>
    <t>Empeora la imagen de la empresa causando una caida en las ventas del 10% en 2023.</t>
  </si>
  <si>
    <t>Riesgo N°1</t>
  </si>
  <si>
    <t>Caen las ventas un 15% en 2023 y 2024.</t>
  </si>
  <si>
    <t>Riesgo N°4</t>
  </si>
  <si>
    <t>Riesgo N°9</t>
  </si>
  <si>
    <t>2022-2024</t>
  </si>
  <si>
    <t>Se encarece las tarifas de los servicios básicos en un 40%</t>
  </si>
  <si>
    <t xml:space="preserve">Aumenta el costo de los servicios un 35% en 2022, 2023 y 2024 </t>
  </si>
  <si>
    <t>Caen las ventas un 10% en 2023 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</si>
</sst>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164" formatCode="&quot;$&quot;\ #,##0.00;[Red]\-&quot;$&quot;\ #,##0.00"/>
    <numFmt numFmtId="165" formatCode="_-&quot;$&quot;\ * #,##0.00_-;\-&quot;$&quot;\ * #,##0.00_-;_-&quot;$&quot;\ * &quot;-&quot;??_-;_-@_-"/>
    <numFmt numFmtId="166" formatCode="_-* #,##0.00\ _€_-;\-* #,##0.00\ _€_-;_-* &quot;-&quot;??\ _€_-;_-@_-"/>
    <numFmt numFmtId="167" formatCode="0.0%"/>
    <numFmt numFmtId="168" formatCode="General_)"/>
    <numFmt numFmtId="169" formatCode="_-* #,##0\ _€_-;\-* #,##0\ _€_-;_-* &quot;-&quot;??\ _€_-;_-@_-"/>
    <numFmt numFmtId="170" formatCode="_ [$$-2C0A]\ * #,##0.00_ ;_ [$$-2C0A]\ * \-#,##0.00_ ;_ [$$-2C0A]\ * &quot;-&quot;??_ ;_ @_ "/>
    <numFmt numFmtId="171" formatCode="&quot;$&quot;\ #,##0.00"/>
    <numFmt numFmtId="172" formatCode="#,##0_ ;\-#,##0\ "/>
    <numFmt numFmtId="173" formatCode="&quot;$&quot;#,##0.00"/>
    <numFmt numFmtId="174" formatCode="_ &quot;$&quot;\ * #,##0.00_ ;_ &quot;$&quot;\ * \-#,##0.00_ ;_ &quot;$&quot;\ * &quot;-&quot;??_ ;_ @_ "/>
    <numFmt numFmtId="175" formatCode="&quot;$&quot;#,##0;[Red]\-&quot;$&quot;#,##0"/>
    <numFmt numFmtId="176" formatCode="0.0"/>
  </numFmts>
  <fonts count="31" x14ac:knownFonts="1">
    <font>
      <sz val="11"/>
      <color theme="1"/>
      <name val="Calibri"/>
      <family val="2"/>
      <scheme val="minor"/>
    </font>
    <font>
      <b/>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sz val="8"/>
      <name val="Arial"/>
      <family val="2"/>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u/>
      <sz val="12"/>
      <color theme="1"/>
      <name val="Calibri"/>
      <family val="2"/>
      <scheme val="minor"/>
    </font>
    <font>
      <b/>
      <u/>
      <sz val="14"/>
      <color theme="1"/>
      <name val="Calibri"/>
      <family val="2"/>
      <scheme val="minor"/>
    </font>
    <font>
      <sz val="8"/>
      <name val="Calibri"/>
      <family val="2"/>
      <scheme val="minor"/>
    </font>
    <font>
      <sz val="11"/>
      <color rgb="FF000000"/>
      <name val="Calibri"/>
      <family val="2"/>
      <scheme val="minor"/>
    </font>
    <font>
      <b/>
      <sz val="11"/>
      <name val="Calibri"/>
      <family val="2"/>
      <scheme val="minor"/>
    </font>
    <font>
      <sz val="12"/>
      <color theme="1"/>
      <name val="Arial"/>
      <family val="2"/>
    </font>
    <font>
      <sz val="20"/>
      <color theme="1"/>
      <name val="Calibri"/>
      <family val="2"/>
      <scheme val="minor"/>
    </font>
    <font>
      <sz val="16"/>
      <color theme="1"/>
      <name val="Calibri"/>
      <family val="2"/>
      <scheme val="minor"/>
    </font>
    <font>
      <sz val="11"/>
      <color rgb="FF006100"/>
      <name val="Calibri"/>
      <family val="2"/>
      <scheme val="minor"/>
    </font>
  </fonts>
  <fills count="22">
    <fill>
      <patternFill patternType="none"/>
    </fill>
    <fill>
      <patternFill patternType="gray125"/>
    </fill>
    <fill>
      <patternFill patternType="solid">
        <fgColor theme="0"/>
        <bgColor indexed="64"/>
      </patternFill>
    </fill>
    <fill>
      <patternFill patternType="solid">
        <fgColor rgb="FF7AFA72"/>
        <bgColor indexed="64"/>
      </patternFill>
    </fill>
    <fill>
      <patternFill patternType="solid">
        <fgColor indexed="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theme="8" tint="0.59999389629810485"/>
        <bgColor indexed="64"/>
      </patternFill>
    </fill>
    <fill>
      <patternFill patternType="solid">
        <fgColor theme="2"/>
        <bgColor indexed="64"/>
      </patternFill>
    </fill>
    <fill>
      <patternFill patternType="solid">
        <fgColor theme="0" tint="-4.9989318521683403E-2"/>
        <bgColor indexed="64"/>
      </patternFill>
    </fill>
    <fill>
      <patternFill patternType="solid">
        <fgColor rgb="FFF5FAFD"/>
        <bgColor indexed="64"/>
      </patternFill>
    </fill>
    <fill>
      <patternFill patternType="solid">
        <fgColor rgb="FFFFFFFF"/>
        <bgColor rgb="FF000000"/>
      </patternFill>
    </fill>
    <fill>
      <patternFill patternType="solid">
        <fgColor rgb="FFC6EFCE"/>
      </patternFill>
    </fill>
  </fills>
  <borders count="13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double">
        <color theme="8" tint="0.39994506668294322"/>
      </left>
      <right/>
      <top style="double">
        <color theme="8" tint="0.39994506668294322"/>
      </top>
      <bottom style="double">
        <color theme="8" tint="0.39994506668294322"/>
      </bottom>
      <diagonal/>
    </border>
    <border>
      <left/>
      <right/>
      <top style="double">
        <color theme="8" tint="0.39994506668294322"/>
      </top>
      <bottom style="double">
        <color theme="8" tint="0.39994506668294322"/>
      </bottom>
      <diagonal/>
    </border>
    <border>
      <left style="medium">
        <color theme="8" tint="0.59996337778862885"/>
      </left>
      <right/>
      <top style="medium">
        <color theme="8" tint="0.59996337778862885"/>
      </top>
      <bottom style="medium">
        <color theme="8" tint="0.59996337778862885"/>
      </bottom>
      <diagonal/>
    </border>
    <border>
      <left/>
      <right/>
      <top style="medium">
        <color theme="8" tint="0.59996337778862885"/>
      </top>
      <bottom style="medium">
        <color theme="8" tint="0.59996337778862885"/>
      </bottom>
      <diagonal/>
    </border>
    <border>
      <left/>
      <right style="medium">
        <color theme="8" tint="0.59996337778862885"/>
      </right>
      <top style="medium">
        <color theme="8" tint="0.59996337778862885"/>
      </top>
      <bottom style="medium">
        <color theme="8" tint="0.59996337778862885"/>
      </bottom>
      <diagonal/>
    </border>
    <border>
      <left style="thin">
        <color theme="8" tint="0.59996337778862885"/>
      </left>
      <right/>
      <top style="medium">
        <color theme="8" tint="0.59996337778862885"/>
      </top>
      <bottom style="thin">
        <color theme="8" tint="0.59996337778862885"/>
      </bottom>
      <diagonal/>
    </border>
    <border>
      <left/>
      <right/>
      <top style="medium">
        <color theme="8" tint="0.59996337778862885"/>
      </top>
      <bottom style="thin">
        <color theme="8" tint="0.59996337778862885"/>
      </bottom>
      <diagonal/>
    </border>
    <border>
      <left/>
      <right style="thin">
        <color theme="8" tint="0.59996337778862885"/>
      </right>
      <top style="medium">
        <color theme="8" tint="0.59996337778862885"/>
      </top>
      <bottom style="thin">
        <color theme="8" tint="0.59996337778862885"/>
      </bottom>
      <diagonal/>
    </border>
    <border>
      <left style="medium">
        <color theme="8" tint="0.59996337778862885"/>
      </left>
      <right/>
      <top style="medium">
        <color theme="8" tint="0.59996337778862885"/>
      </top>
      <bottom style="medium">
        <color indexed="64"/>
      </bottom>
      <diagonal/>
    </border>
    <border>
      <left/>
      <right style="medium">
        <color theme="8" tint="0.59996337778862885"/>
      </right>
      <top style="medium">
        <color theme="8" tint="0.59996337778862885"/>
      </top>
      <bottom style="medium">
        <color indexed="64"/>
      </bottom>
      <diagonal/>
    </border>
    <border>
      <left style="thin">
        <color theme="8" tint="0.59996337778862885"/>
      </left>
      <right/>
      <top style="medium">
        <color theme="8" tint="0.59996337778862885"/>
      </top>
      <bottom/>
      <diagonal/>
    </border>
    <border>
      <left/>
      <right/>
      <top style="medium">
        <color theme="8" tint="0.59996337778862885"/>
      </top>
      <bottom/>
      <diagonal/>
    </border>
    <border>
      <left/>
      <right style="thin">
        <color theme="8" tint="0.59996337778862885"/>
      </right>
      <top style="medium">
        <color theme="8" tint="0.59996337778862885"/>
      </top>
      <bottom/>
      <diagonal/>
    </border>
    <border>
      <left style="thin">
        <color theme="8" tint="0.59996337778862885"/>
      </left>
      <right/>
      <top/>
      <bottom style="thin">
        <color theme="8" tint="0.59996337778862885"/>
      </bottom>
      <diagonal/>
    </border>
    <border>
      <left/>
      <right/>
      <top/>
      <bottom style="thin">
        <color theme="8" tint="0.59996337778862885"/>
      </bottom>
      <diagonal/>
    </border>
    <border>
      <left/>
      <right style="thin">
        <color theme="8" tint="0.59996337778862885"/>
      </right>
      <top/>
      <bottom style="thin">
        <color theme="8" tint="0.59996337778862885"/>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medium">
        <color indexed="64"/>
      </right>
      <top style="thin">
        <color indexed="64"/>
      </top>
      <bottom/>
      <diagonal/>
    </border>
    <border>
      <left style="medium">
        <color theme="8" tint="0.59996337778862885"/>
      </left>
      <right/>
      <top style="medium">
        <color theme="8" tint="0.59996337778862885"/>
      </top>
      <bottom/>
      <diagonal/>
    </border>
    <border>
      <left/>
      <right style="medium">
        <color theme="8" tint="0.59996337778862885"/>
      </right>
      <top style="medium">
        <color theme="8" tint="0.59996337778862885"/>
      </top>
      <bottom/>
      <diagonal/>
    </border>
    <border>
      <left style="medium">
        <color indexed="64"/>
      </left>
      <right/>
      <top style="thin">
        <color indexed="64"/>
      </top>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thin">
        <color indexed="64"/>
      </right>
      <top style="medium">
        <color theme="1"/>
      </top>
      <bottom style="thin">
        <color indexed="64"/>
      </bottom>
      <diagonal/>
    </border>
    <border>
      <left style="thin">
        <color indexed="64"/>
      </left>
      <right style="medium">
        <color indexed="64"/>
      </right>
      <top style="medium">
        <color theme="1"/>
      </top>
      <bottom style="thin">
        <color indexed="64"/>
      </bottom>
      <diagonal/>
    </border>
    <border>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medium">
        <color theme="1"/>
      </bottom>
      <diagonal/>
    </border>
    <border>
      <left style="thin">
        <color indexed="64"/>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bottom/>
      <diagonal/>
    </border>
    <border>
      <left/>
      <right style="thin">
        <color theme="8" tint="0.59999389629810485"/>
      </right>
      <top/>
      <bottom/>
      <diagonal/>
    </border>
    <border>
      <left style="medium">
        <color theme="8" tint="0.39994506668294322"/>
      </left>
      <right/>
      <top style="thin">
        <color theme="8" tint="0.39994506668294322"/>
      </top>
      <bottom style="thin">
        <color theme="8" tint="0.39994506668294322"/>
      </bottom>
      <diagonal/>
    </border>
    <border>
      <left/>
      <right style="medium">
        <color theme="8" tint="0.39994506668294322"/>
      </right>
      <top style="thin">
        <color theme="8" tint="0.39994506668294322"/>
      </top>
      <bottom style="thin">
        <color theme="8" tint="0.39994506668294322"/>
      </bottom>
      <diagonal/>
    </border>
    <border>
      <left style="medium">
        <color theme="8" tint="0.39994506668294322"/>
      </left>
      <right/>
      <top style="thin">
        <color theme="8" tint="0.39994506668294322"/>
      </top>
      <bottom style="medium">
        <color theme="8" tint="0.39994506668294322"/>
      </bottom>
      <diagonal/>
    </border>
    <border>
      <left/>
      <right style="medium">
        <color theme="8" tint="0.39994506668294322"/>
      </right>
      <top style="thin">
        <color theme="8" tint="0.39994506668294322"/>
      </top>
      <bottom style="medium">
        <color theme="8" tint="0.39994506668294322"/>
      </bottom>
      <diagonal/>
    </border>
    <border>
      <left style="double">
        <color theme="8" tint="0.39991454817346722"/>
      </left>
      <right/>
      <top style="double">
        <color theme="8" tint="0.39991454817346722"/>
      </top>
      <bottom style="double">
        <color theme="8" tint="0.39991454817346722"/>
      </bottom>
      <diagonal/>
    </border>
    <border>
      <left/>
      <right style="double">
        <color theme="8" tint="0.39994506668294322"/>
      </right>
      <top style="double">
        <color theme="8" tint="0.39991454817346722"/>
      </top>
      <bottom style="double">
        <color theme="8" tint="0.39991454817346722"/>
      </bottom>
      <diagonal/>
    </border>
    <border>
      <left style="thick">
        <color theme="8" tint="0.59996337778862885"/>
      </left>
      <right/>
      <top style="thick">
        <color theme="8" tint="0.59996337778862885"/>
      </top>
      <bottom style="thick">
        <color theme="8" tint="0.59996337778862885"/>
      </bottom>
      <diagonal/>
    </border>
    <border>
      <left/>
      <right/>
      <top style="thick">
        <color theme="8" tint="0.59996337778862885"/>
      </top>
      <bottom style="thick">
        <color theme="8" tint="0.59996337778862885"/>
      </bottom>
      <diagonal/>
    </border>
    <border>
      <left style="medium">
        <color theme="8" tint="0.39994506668294322"/>
      </left>
      <right/>
      <top style="medium">
        <color theme="8" tint="0.39991454817346722"/>
      </top>
      <bottom style="thin">
        <color theme="8" tint="0.39994506668294322"/>
      </bottom>
      <diagonal/>
    </border>
    <border>
      <left/>
      <right style="medium">
        <color theme="8" tint="0.39994506668294322"/>
      </right>
      <top style="medium">
        <color theme="8" tint="0.39991454817346722"/>
      </top>
      <bottom style="thin">
        <color theme="8" tint="0.39994506668294322"/>
      </bottom>
      <diagonal/>
    </border>
    <border>
      <left style="medium">
        <color theme="8" tint="0.39994506668294322"/>
      </left>
      <right/>
      <top style="medium">
        <color theme="8" tint="0.39994506668294322"/>
      </top>
      <bottom style="medium">
        <color theme="8" tint="0.39994506668294322"/>
      </bottom>
      <diagonal/>
    </border>
    <border>
      <left/>
      <right/>
      <top style="medium">
        <color theme="8" tint="0.39994506668294322"/>
      </top>
      <bottom style="medium">
        <color theme="8" tint="0.39994506668294322"/>
      </bottom>
      <diagonal/>
    </border>
  </borders>
  <cellStyleXfs count="8">
    <xf numFmtId="0" fontId="0" fillId="0" borderId="0"/>
    <xf numFmtId="0" fontId="2" fillId="0" borderId="0" applyNumberForma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8" fontId="16" fillId="0" borderId="0"/>
    <xf numFmtId="168" fontId="16" fillId="0" borderId="0"/>
    <xf numFmtId="165" fontId="9" fillId="0" borderId="0" applyFont="0" applyFill="0" applyBorder="0" applyAlignment="0" applyProtection="0"/>
    <xf numFmtId="0" fontId="30" fillId="21" borderId="0" applyNumberFormat="0" applyBorder="0" applyAlignment="0" applyProtection="0"/>
  </cellStyleXfs>
  <cellXfs count="1116">
    <xf numFmtId="0" fontId="0" fillId="0" borderId="0" xfId="0"/>
    <xf numFmtId="0" fontId="0" fillId="2" borderId="0" xfId="0" applyFill="1"/>
    <xf numFmtId="0" fontId="0" fillId="2" borderId="0" xfId="0" applyFill="1" applyAlignment="1">
      <alignment vertical="center" wrapText="1"/>
    </xf>
    <xf numFmtId="0" fontId="12" fillId="2" borderId="0" xfId="0" applyFont="1" applyFill="1"/>
    <xf numFmtId="0" fontId="2" fillId="0" borderId="0" xfId="1"/>
    <xf numFmtId="166" fontId="0" fillId="0" borderId="0" xfId="0" applyNumberFormat="1"/>
    <xf numFmtId="167" fontId="0" fillId="0" borderId="0" xfId="3" applyNumberFormat="1" applyFont="1"/>
    <xf numFmtId="0" fontId="0" fillId="0" borderId="0" xfId="0" applyAlignment="1">
      <alignment horizontal="center" vertical="center"/>
    </xf>
    <xf numFmtId="0" fontId="17" fillId="4" borderId="0" xfId="4" applyNumberFormat="1" applyFont="1" applyFill="1" applyAlignment="1">
      <alignment horizontal="center"/>
    </xf>
    <xf numFmtId="3" fontId="17" fillId="4" borderId="0" xfId="4" applyNumberFormat="1" applyFont="1" applyFill="1" applyAlignment="1">
      <alignment horizontal="right"/>
    </xf>
    <xf numFmtId="0" fontId="0" fillId="4" borderId="0" xfId="0" applyFill="1" applyBorder="1"/>
    <xf numFmtId="0" fontId="17" fillId="4" borderId="0" xfId="5" applyNumberFormat="1" applyFont="1" applyFill="1" applyAlignment="1">
      <alignment horizontal="center"/>
    </xf>
    <xf numFmtId="3" fontId="17" fillId="4" borderId="0" xfId="5" applyNumberFormat="1" applyFont="1" applyFill="1" applyAlignment="1">
      <alignment horizontal="right"/>
    </xf>
    <xf numFmtId="0" fontId="0" fillId="0" borderId="1" xfId="0" applyBorder="1"/>
    <xf numFmtId="166" fontId="0" fillId="0" borderId="1" xfId="2" applyFont="1" applyBorder="1"/>
    <xf numFmtId="0" fontId="0" fillId="3" borderId="1" xfId="0" applyFill="1" applyBorder="1" applyAlignment="1">
      <alignment horizontal="center" vertical="center"/>
    </xf>
    <xf numFmtId="0" fontId="0" fillId="3" borderId="1" xfId="0" applyFill="1" applyBorder="1"/>
    <xf numFmtId="166" fontId="0" fillId="3" borderId="1" xfId="0" applyNumberFormat="1" applyFill="1" applyBorder="1"/>
    <xf numFmtId="0" fontId="0" fillId="0" borderId="3" xfId="0" applyBorder="1"/>
    <xf numFmtId="0" fontId="0" fillId="0" borderId="0" xfId="0" applyBorder="1"/>
    <xf numFmtId="166" fontId="0" fillId="0" borderId="2" xfId="2" applyFont="1" applyBorder="1"/>
    <xf numFmtId="0" fontId="8" fillId="2" borderId="0" xfId="0" applyFont="1" applyFill="1" applyBorder="1" applyAlignment="1">
      <alignment horizontal="left" vertical="top" wrapText="1"/>
    </xf>
    <xf numFmtId="0" fontId="10" fillId="5" borderId="1" xfId="0" applyFont="1" applyFill="1" applyBorder="1" applyAlignment="1">
      <alignment horizontal="center" vertical="center"/>
    </xf>
    <xf numFmtId="169" fontId="0" fillId="0" borderId="2" xfId="2" applyNumberFormat="1" applyFont="1" applyBorder="1" applyAlignment="1">
      <alignment horizontal="right"/>
    </xf>
    <xf numFmtId="169" fontId="0" fillId="0" borderId="1" xfId="2" applyNumberFormat="1" applyFont="1" applyBorder="1" applyAlignment="1">
      <alignment horizontal="right"/>
    </xf>
    <xf numFmtId="169" fontId="10" fillId="5" borderId="1" xfId="0" applyNumberFormat="1" applyFont="1" applyFill="1" applyBorder="1" applyAlignment="1">
      <alignment horizontal="right"/>
    </xf>
    <xf numFmtId="0" fontId="18" fillId="2" borderId="0" xfId="0" applyFont="1" applyFill="1" applyBorder="1" applyAlignment="1">
      <alignment vertical="center" textRotation="90"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1" fontId="0" fillId="2" borderId="0" xfId="0" applyNumberFormat="1" applyFill="1"/>
    <xf numFmtId="0" fontId="0" fillId="0" borderId="1" xfId="0" applyBorder="1" applyAlignment="1">
      <alignment wrapText="1"/>
    </xf>
    <xf numFmtId="0" fontId="0" fillId="0" borderId="3" xfId="0" applyBorder="1" applyAlignment="1">
      <alignment wrapText="1"/>
    </xf>
    <xf numFmtId="0" fontId="10" fillId="5" borderId="1" xfId="0" applyFont="1" applyFill="1" applyBorder="1" applyAlignment="1">
      <alignment wrapText="1"/>
    </xf>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9" fontId="0" fillId="2" borderId="0" xfId="0" applyNumberFormat="1" applyFill="1"/>
    <xf numFmtId="171" fontId="0" fillId="2" borderId="0" xfId="0" applyNumberFormat="1" applyFill="1" applyBorder="1"/>
    <xf numFmtId="165" fontId="0" fillId="2" borderId="0" xfId="0" applyNumberFormat="1" applyFill="1"/>
    <xf numFmtId="9" fontId="0" fillId="2" borderId="33" xfId="0" applyNumberFormat="1" applyFont="1" applyFill="1" applyBorder="1" applyAlignment="1">
      <alignment horizontal="center"/>
    </xf>
    <xf numFmtId="9" fontId="0" fillId="2" borderId="43" xfId="0" applyNumberFormat="1" applyFont="1" applyFill="1" applyBorder="1" applyAlignment="1">
      <alignment horizontal="center"/>
    </xf>
    <xf numFmtId="171" fontId="0" fillId="2" borderId="35" xfId="0" applyNumberFormat="1" applyFont="1" applyFill="1" applyBorder="1" applyAlignment="1">
      <alignment horizontal="center"/>
    </xf>
    <xf numFmtId="171" fontId="0" fillId="2" borderId="36" xfId="0" applyNumberFormat="1" applyFont="1" applyFill="1" applyBorder="1" applyAlignment="1">
      <alignment horizontal="center"/>
    </xf>
    <xf numFmtId="171" fontId="0" fillId="2" borderId="44"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5" fontId="8" fillId="2" borderId="0" xfId="0" applyNumberFormat="1" applyFont="1" applyFill="1" applyBorder="1" applyAlignment="1">
      <alignment horizontal="left" vertical="top" wrapText="1"/>
    </xf>
    <xf numFmtId="0" fontId="19" fillId="2" borderId="0" xfId="0" applyFont="1" applyFill="1" applyBorder="1" applyAlignment="1">
      <alignment horizontal="center" vertical="center"/>
    </xf>
    <xf numFmtId="171" fontId="0" fillId="2" borderId="0" xfId="0" applyNumberFormat="1" applyFill="1" applyBorder="1" applyAlignment="1"/>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0" fontId="19" fillId="12" borderId="0" xfId="0" applyFont="1" applyFill="1" applyBorder="1" applyAlignment="1">
      <alignment horizontal="center" vertical="center"/>
    </xf>
    <xf numFmtId="0" fontId="0" fillId="12" borderId="0" xfId="0" applyFill="1" applyBorder="1"/>
    <xf numFmtId="171" fontId="0" fillId="12" borderId="0" xfId="0" applyNumberFormat="1" applyFill="1" applyBorder="1"/>
    <xf numFmtId="0" fontId="0" fillId="12" borderId="0" xfId="0" applyFont="1" applyFill="1" applyBorder="1" applyAlignment="1">
      <alignment horizontal="center" vertical="center"/>
    </xf>
    <xf numFmtId="0" fontId="0" fillId="12" borderId="0" xfId="0" applyFill="1"/>
    <xf numFmtId="171" fontId="0" fillId="12" borderId="0" xfId="0" applyNumberFormat="1" applyFill="1" applyBorder="1" applyAlignment="1"/>
    <xf numFmtId="0" fontId="6" fillId="2" borderId="0" xfId="0" applyFont="1" applyFill="1" applyBorder="1" applyAlignment="1">
      <alignment horizontal="left" vertical="top" wrapText="1"/>
    </xf>
    <xf numFmtId="165" fontId="10" fillId="2" borderId="46" xfId="0" applyNumberFormat="1" applyFont="1" applyFill="1" applyBorder="1"/>
    <xf numFmtId="169" fontId="10" fillId="12" borderId="45" xfId="0" applyNumberFormat="1" applyFont="1" applyFill="1" applyBorder="1"/>
    <xf numFmtId="165" fontId="10" fillId="2" borderId="46" xfId="6" applyFont="1" applyFill="1" applyBorder="1"/>
    <xf numFmtId="0" fontId="0" fillId="2" borderId="1" xfId="0" applyFill="1" applyBorder="1"/>
    <xf numFmtId="166" fontId="8" fillId="12" borderId="36" xfId="2" applyFont="1" applyFill="1" applyBorder="1" applyAlignment="1"/>
    <xf numFmtId="166" fontId="8" fillId="12" borderId="44" xfId="2" applyFont="1" applyFill="1" applyBorder="1" applyAlignment="1"/>
    <xf numFmtId="0" fontId="0" fillId="2" borderId="0" xfId="0" applyFill="1" applyAlignment="1">
      <alignment horizontal="center"/>
    </xf>
    <xf numFmtId="0" fontId="0" fillId="2" borderId="0" xfId="0" applyFill="1" applyAlignment="1">
      <alignment wrapText="1"/>
    </xf>
    <xf numFmtId="0" fontId="0" fillId="2" borderId="0" xfId="0" applyFill="1" applyAlignment="1">
      <alignment horizontal="center" vertical="center" wrapText="1"/>
    </xf>
    <xf numFmtId="0" fontId="0" fillId="2" borderId="0" xfId="0" applyFill="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10" fillId="2" borderId="0" xfId="0" applyFont="1" applyFill="1" applyBorder="1" applyAlignment="1">
      <alignment horizontal="center"/>
    </xf>
    <xf numFmtId="1" fontId="10" fillId="2" borderId="0" xfId="0" applyNumberFormat="1" applyFont="1" applyFill="1" applyBorder="1" applyAlignment="1">
      <alignment horizontal="center"/>
    </xf>
    <xf numFmtId="0" fontId="10" fillId="12" borderId="0" xfId="0" applyFont="1" applyFill="1" applyBorder="1" applyAlignment="1">
      <alignment horizontal="center"/>
    </xf>
    <xf numFmtId="1" fontId="10" fillId="12" borderId="0" xfId="0" applyNumberFormat="1" applyFont="1" applyFill="1" applyBorder="1" applyAlignment="1">
      <alignment horizontal="center"/>
    </xf>
    <xf numFmtId="0" fontId="0" fillId="2" borderId="0" xfId="0" applyFill="1" applyBorder="1" applyAlignment="1">
      <alignment horizontal="center" vertical="center" wrapText="1"/>
    </xf>
    <xf numFmtId="0" fontId="10" fillId="2" borderId="0" xfId="0" applyFont="1" applyFill="1" applyBorder="1" applyAlignment="1">
      <alignment horizontal="center" wrapText="1"/>
    </xf>
    <xf numFmtId="0" fontId="0" fillId="12" borderId="0" xfId="0" applyFill="1" applyBorder="1" applyAlignment="1">
      <alignment horizontal="center" vertical="center" wrapText="1"/>
    </xf>
    <xf numFmtId="0" fontId="10" fillId="12" borderId="0" xfId="0" applyFont="1" applyFill="1" applyBorder="1" applyAlignment="1">
      <alignment horizontal="center" wrapText="1"/>
    </xf>
    <xf numFmtId="0" fontId="10" fillId="2" borderId="0"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0" fillId="12" borderId="0" xfId="0" applyFill="1" applyAlignment="1">
      <alignment wrapText="1"/>
    </xf>
    <xf numFmtId="0" fontId="13" fillId="2" borderId="0" xfId="0" applyFont="1" applyFill="1" applyBorder="1" applyAlignment="1"/>
    <xf numFmtId="0" fontId="0" fillId="2" borderId="63" xfId="0" applyFill="1" applyBorder="1" applyAlignment="1">
      <alignment wrapText="1"/>
    </xf>
    <xf numFmtId="0" fontId="0" fillId="2" borderId="63" xfId="0" applyFill="1" applyBorder="1" applyAlignment="1">
      <alignment horizontal="center" wrapText="1"/>
    </xf>
    <xf numFmtId="0" fontId="0" fillId="2" borderId="63" xfId="0" applyFill="1" applyBorder="1"/>
    <xf numFmtId="0" fontId="10" fillId="2" borderId="28" xfId="0" applyFont="1" applyFill="1" applyBorder="1" applyAlignment="1">
      <alignment horizontal="center" vertical="center" wrapText="1"/>
    </xf>
    <xf numFmtId="0" fontId="10" fillId="7" borderId="19" xfId="0" applyFont="1" applyFill="1" applyBorder="1" applyAlignment="1">
      <alignment horizontal="center" vertical="center" wrapText="1"/>
    </xf>
    <xf numFmtId="0" fontId="0" fillId="2" borderId="31" xfId="0" applyFill="1" applyBorder="1" applyAlignment="1">
      <alignment vertical="center" wrapText="1"/>
    </xf>
    <xf numFmtId="0" fontId="0" fillId="2" borderId="3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horizontal="center" vertical="center"/>
    </xf>
    <xf numFmtId="0" fontId="0" fillId="2" borderId="36" xfId="0" applyFill="1" applyBorder="1" applyAlignment="1">
      <alignment vertical="center" wrapText="1"/>
    </xf>
    <xf numFmtId="0" fontId="0" fillId="2" borderId="36" xfId="0" applyFill="1" applyBorder="1" applyAlignment="1">
      <alignment horizontal="center" vertical="center"/>
    </xf>
    <xf numFmtId="0" fontId="10" fillId="5" borderId="64" xfId="0" applyFont="1" applyFill="1" applyBorder="1" applyAlignment="1">
      <alignment horizontal="center" vertical="center" wrapText="1"/>
    </xf>
    <xf numFmtId="0" fontId="0" fillId="2" borderId="47" xfId="0" applyFill="1" applyBorder="1" applyAlignment="1">
      <alignment horizontal="center" vertical="center"/>
    </xf>
    <xf numFmtId="0" fontId="0" fillId="2" borderId="43" xfId="0" applyFill="1" applyBorder="1" applyAlignment="1">
      <alignment horizontal="center" vertical="center"/>
    </xf>
    <xf numFmtId="0" fontId="0" fillId="2" borderId="44" xfId="0" applyFill="1" applyBorder="1" applyAlignment="1">
      <alignment horizontal="center" vertical="center"/>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0" fillId="2" borderId="0" xfId="0" applyFill="1" applyAlignment="1">
      <alignment horizontal="left" vertical="center"/>
    </xf>
    <xf numFmtId="0" fontId="0" fillId="2" borderId="0" xfId="0" applyFill="1" applyAlignment="1"/>
    <xf numFmtId="1" fontId="0" fillId="2" borderId="1" xfId="0" applyNumberFormat="1" applyFill="1" applyBorder="1"/>
    <xf numFmtId="2" fontId="10" fillId="7" borderId="1" xfId="0" applyNumberFormat="1" applyFont="1" applyFill="1" applyBorder="1"/>
    <xf numFmtId="0" fontId="10" fillId="2" borderId="55" xfId="0" applyFont="1" applyFill="1" applyBorder="1" applyAlignment="1">
      <alignment horizontal="center" vertical="center" wrapText="1"/>
    </xf>
    <xf numFmtId="0" fontId="10" fillId="7" borderId="20" xfId="0" applyFont="1" applyFill="1" applyBorder="1" applyAlignment="1">
      <alignment horizontal="center" vertical="center" wrapText="1"/>
    </xf>
    <xf numFmtId="2" fontId="10" fillId="2" borderId="55" xfId="0" applyNumberFormat="1" applyFont="1" applyFill="1" applyBorder="1" applyAlignment="1">
      <alignment horizontal="center" vertical="center"/>
    </xf>
    <xf numFmtId="2" fontId="0" fillId="2" borderId="46" xfId="0" applyNumberFormat="1" applyFill="1" applyBorder="1" applyAlignment="1">
      <alignment horizontal="center" vertical="center"/>
    </xf>
    <xf numFmtId="165" fontId="0" fillId="0" borderId="1" xfId="6" applyFont="1" applyBorder="1" applyAlignment="1">
      <alignment horizontal="center"/>
    </xf>
    <xf numFmtId="0" fontId="0" fillId="0" borderId="12" xfId="0" applyBorder="1"/>
    <xf numFmtId="165" fontId="0" fillId="0" borderId="24" xfId="6" applyFont="1" applyBorder="1" applyAlignment="1">
      <alignment horizontal="center"/>
    </xf>
    <xf numFmtId="0" fontId="0" fillId="2" borderId="49" xfId="0" applyFill="1" applyBorder="1" applyAlignment="1">
      <alignment horizontal="left"/>
    </xf>
    <xf numFmtId="0" fontId="2" fillId="2" borderId="49" xfId="1" applyFill="1" applyBorder="1" applyAlignment="1">
      <alignment horizontal="left"/>
    </xf>
    <xf numFmtId="0" fontId="0" fillId="2" borderId="49" xfId="0" applyFill="1" applyBorder="1"/>
    <xf numFmtId="165" fontId="0" fillId="0" borderId="3" xfId="6" applyFont="1" applyBorder="1" applyAlignment="1">
      <alignment horizontal="center"/>
    </xf>
    <xf numFmtId="165" fontId="0" fillId="0" borderId="27" xfId="6" applyFont="1" applyBorder="1" applyAlignment="1">
      <alignment horizontal="center"/>
    </xf>
    <xf numFmtId="0" fontId="10" fillId="5" borderId="53" xfId="0" applyFont="1" applyFill="1" applyBorder="1" applyAlignment="1">
      <alignment horizontal="center"/>
    </xf>
    <xf numFmtId="165" fontId="0" fillId="0" borderId="31" xfId="6" applyFont="1" applyBorder="1" applyAlignment="1">
      <alignment horizontal="center"/>
    </xf>
    <xf numFmtId="165" fontId="0" fillId="0" borderId="22" xfId="6" applyFont="1" applyBorder="1" applyAlignment="1">
      <alignment horizontal="center"/>
    </xf>
    <xf numFmtId="0" fontId="0" fillId="2" borderId="32" xfId="0" applyFill="1" applyBorder="1" applyAlignment="1">
      <alignment horizontal="left"/>
    </xf>
    <xf numFmtId="165" fontId="0" fillId="0" borderId="36" xfId="6" applyFont="1" applyBorder="1" applyAlignment="1">
      <alignment horizontal="center"/>
    </xf>
    <xf numFmtId="165" fontId="0" fillId="0" borderId="39" xfId="6" applyFont="1" applyBorder="1" applyAlignment="1">
      <alignment horizontal="center"/>
    </xf>
    <xf numFmtId="0" fontId="0" fillId="2" borderId="60" xfId="0" applyFill="1" applyBorder="1" applyAlignment="1">
      <alignment horizontal="left"/>
    </xf>
    <xf numFmtId="165" fontId="0" fillId="0" borderId="31" xfId="6" applyFont="1" applyBorder="1" applyAlignment="1">
      <alignment horizontal="left" vertical="center"/>
    </xf>
    <xf numFmtId="0" fontId="0" fillId="2" borderId="32" xfId="0" applyFill="1" applyBorder="1" applyAlignment="1">
      <alignment horizontal="left" vertical="center"/>
    </xf>
    <xf numFmtId="165" fontId="0" fillId="0" borderId="21" xfId="6" applyFont="1" applyBorder="1" applyAlignment="1">
      <alignment horizontal="center"/>
    </xf>
    <xf numFmtId="165" fontId="0" fillId="0" borderId="70" xfId="6" applyFont="1" applyBorder="1" applyAlignment="1">
      <alignment horizontal="center"/>
    </xf>
    <xf numFmtId="165" fontId="10" fillId="7" borderId="53" xfId="6" applyFont="1" applyFill="1" applyBorder="1" applyAlignment="1">
      <alignment horizontal="center"/>
    </xf>
    <xf numFmtId="165" fontId="0" fillId="0" borderId="23" xfId="6" applyFont="1" applyBorder="1" applyAlignment="1">
      <alignment horizontal="center"/>
    </xf>
    <xf numFmtId="165" fontId="0" fillId="0" borderId="2" xfId="6" applyFont="1" applyBorder="1" applyAlignment="1">
      <alignment horizontal="center"/>
    </xf>
    <xf numFmtId="165" fontId="0" fillId="0" borderId="54" xfId="6" applyFont="1" applyBorder="1" applyAlignment="1">
      <alignment horizontal="center"/>
    </xf>
    <xf numFmtId="165" fontId="0" fillId="0" borderId="23" xfId="6" applyFont="1" applyBorder="1" applyAlignment="1">
      <alignment horizontal="left" vertical="center"/>
    </xf>
    <xf numFmtId="165" fontId="0" fillId="0" borderId="71" xfId="6" applyFont="1" applyBorder="1" applyAlignment="1">
      <alignment horizontal="center"/>
    </xf>
    <xf numFmtId="165" fontId="0" fillId="0" borderId="69" xfId="6" applyFont="1" applyBorder="1" applyAlignment="1">
      <alignment horizontal="center"/>
    </xf>
    <xf numFmtId="0" fontId="0" fillId="0" borderId="32" xfId="0" applyBorder="1"/>
    <xf numFmtId="0" fontId="0" fillId="0" borderId="49" xfId="0" applyBorder="1"/>
    <xf numFmtId="0" fontId="0" fillId="2" borderId="49" xfId="0" applyFill="1" applyBorder="1" applyAlignment="1">
      <alignment wrapText="1"/>
    </xf>
    <xf numFmtId="0" fontId="0" fillId="0" borderId="60" xfId="0" applyBorder="1"/>
    <xf numFmtId="171" fontId="0" fillId="2" borderId="0" xfId="0" applyNumberFormat="1" applyFont="1" applyFill="1" applyBorder="1" applyAlignment="1">
      <alignment horizontal="center"/>
    </xf>
    <xf numFmtId="0" fontId="0" fillId="0" borderId="1" xfId="0" applyBorder="1" applyAlignment="1">
      <alignment horizontal="center"/>
    </xf>
    <xf numFmtId="173"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165" fontId="0" fillId="2" borderId="1" xfId="6" applyFont="1" applyFill="1" applyBorder="1" applyAlignment="1">
      <alignment horizontal="center"/>
    </xf>
    <xf numFmtId="0" fontId="0" fillId="2" borderId="33" xfId="0" applyFill="1" applyBorder="1" applyAlignment="1">
      <alignment wrapText="1"/>
    </xf>
    <xf numFmtId="165" fontId="0" fillId="2" borderId="43" xfId="6" applyFont="1" applyFill="1" applyBorder="1" applyAlignment="1">
      <alignment horizontal="center"/>
    </xf>
    <xf numFmtId="0" fontId="0" fillId="2" borderId="35" xfId="0" applyFill="1" applyBorder="1" applyAlignment="1">
      <alignment wrapText="1"/>
    </xf>
    <xf numFmtId="0" fontId="0" fillId="2" borderId="36" xfId="0" applyFill="1" applyBorder="1" applyAlignment="1">
      <alignment horizontal="center"/>
    </xf>
    <xf numFmtId="165" fontId="0" fillId="2" borderId="36" xfId="6" applyFont="1" applyFill="1" applyBorder="1" applyAlignment="1">
      <alignment horizontal="center"/>
    </xf>
    <xf numFmtId="165" fontId="0" fillId="2" borderId="44" xfId="6" applyFont="1" applyFill="1" applyBorder="1" applyAlignment="1">
      <alignment horizontal="center"/>
    </xf>
    <xf numFmtId="0" fontId="11" fillId="2" borderId="0" xfId="0" applyFont="1" applyFill="1" applyBorder="1" applyAlignment="1">
      <alignment horizontal="center" vertical="center"/>
    </xf>
    <xf numFmtId="165" fontId="0" fillId="2" borderId="0" xfId="6" applyFont="1" applyFill="1" applyBorder="1" applyAlignment="1">
      <alignment horizontal="center"/>
    </xf>
    <xf numFmtId="165" fontId="0" fillId="2" borderId="0" xfId="0" applyNumberFormat="1" applyFill="1" applyBorder="1"/>
    <xf numFmtId="0" fontId="11" fillId="2" borderId="0" xfId="0" applyFont="1" applyFill="1" applyBorder="1"/>
    <xf numFmtId="165" fontId="10" fillId="7" borderId="20" xfId="0" applyNumberFormat="1" applyFont="1" applyFill="1" applyBorder="1"/>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66" xfId="0" applyNumberFormat="1" applyBorder="1" applyAlignment="1">
      <alignment horizontal="center"/>
    </xf>
    <xf numFmtId="1" fontId="0" fillId="0" borderId="2" xfId="0" applyNumberFormat="1" applyBorder="1" applyAlignment="1">
      <alignment horizontal="center"/>
    </xf>
    <xf numFmtId="0" fontId="0" fillId="0" borderId="33" xfId="0" applyBorder="1" applyAlignment="1">
      <alignment horizontal="left" vertical="center"/>
    </xf>
    <xf numFmtId="173" fontId="0" fillId="0" borderId="43" xfId="0" applyNumberFormat="1" applyBorder="1" applyAlignment="1">
      <alignment horizontal="center"/>
    </xf>
    <xf numFmtId="0" fontId="0" fillId="0" borderId="33" xfId="0" applyBorder="1" applyAlignment="1">
      <alignment horizontal="left" vertical="center" wrapText="1"/>
    </xf>
    <xf numFmtId="0" fontId="0" fillId="0" borderId="30" xfId="0" applyBorder="1" applyAlignment="1">
      <alignment horizontal="left" vertical="center"/>
    </xf>
    <xf numFmtId="173" fontId="0" fillId="0" borderId="47" xfId="0" applyNumberFormat="1" applyBorder="1" applyAlignment="1">
      <alignment horizontal="center"/>
    </xf>
    <xf numFmtId="1" fontId="0" fillId="0" borderId="23" xfId="0" applyNumberFormat="1" applyBorder="1" applyAlignment="1">
      <alignment horizontal="center"/>
    </xf>
    <xf numFmtId="0" fontId="0" fillId="0" borderId="35" xfId="0" applyBorder="1" applyAlignment="1">
      <alignment horizontal="left" vertical="center"/>
    </xf>
    <xf numFmtId="173" fontId="0" fillId="0" borderId="44" xfId="0" applyNumberFormat="1" applyBorder="1" applyAlignment="1">
      <alignment horizontal="center"/>
    </xf>
    <xf numFmtId="1" fontId="0" fillId="0" borderId="54" xfId="0" applyNumberFormat="1" applyBorder="1" applyAlignment="1">
      <alignment horizontal="center"/>
    </xf>
    <xf numFmtId="0" fontId="0" fillId="0" borderId="19" xfId="0" applyBorder="1" applyAlignment="1">
      <alignment horizontal="left" vertical="center"/>
    </xf>
    <xf numFmtId="0" fontId="0" fillId="12" borderId="12" xfId="0" applyFill="1" applyBorder="1"/>
    <xf numFmtId="0" fontId="0" fillId="12" borderId="11" xfId="0" applyFill="1" applyBorder="1"/>
    <xf numFmtId="174" fontId="10" fillId="7" borderId="6" xfId="0" applyNumberFormat="1" applyFont="1" applyFill="1" applyBorder="1"/>
    <xf numFmtId="1" fontId="0" fillId="12" borderId="11" xfId="0" applyNumberFormat="1" applyFill="1" applyBorder="1"/>
    <xf numFmtId="0" fontId="0" fillId="0" borderId="42" xfId="0" applyBorder="1" applyAlignment="1">
      <alignment horizontal="left" vertical="center"/>
    </xf>
    <xf numFmtId="165" fontId="0" fillId="0" borderId="20" xfId="6" applyFont="1" applyBorder="1" applyAlignment="1">
      <alignment horizontal="left" vertical="center"/>
    </xf>
    <xf numFmtId="165" fontId="0" fillId="2" borderId="47" xfId="6" applyFont="1" applyFill="1" applyBorder="1"/>
    <xf numFmtId="165" fontId="0" fillId="2" borderId="43" xfId="6" applyFont="1" applyFill="1" applyBorder="1"/>
    <xf numFmtId="165" fontId="0" fillId="2" borderId="44" xfId="6" applyFont="1" applyFill="1" applyBorder="1"/>
    <xf numFmtId="165" fontId="0" fillId="0" borderId="53" xfId="6" applyFont="1" applyBorder="1" applyAlignment="1">
      <alignment horizontal="center"/>
    </xf>
    <xf numFmtId="165" fontId="0" fillId="0" borderId="57" xfId="6" applyFont="1" applyBorder="1" applyAlignment="1">
      <alignment horizontal="center"/>
    </xf>
    <xf numFmtId="165" fontId="0" fillId="0" borderId="58" xfId="6" applyFont="1" applyBorder="1" applyAlignment="1">
      <alignment horizontal="center"/>
    </xf>
    <xf numFmtId="165" fontId="0" fillId="0" borderId="59" xfId="6" applyFont="1" applyBorder="1" applyAlignment="1">
      <alignment horizontal="center"/>
    </xf>
    <xf numFmtId="171" fontId="0" fillId="2" borderId="1" xfId="0" applyNumberFormat="1" applyFont="1" applyFill="1" applyBorder="1" applyAlignment="1">
      <alignment horizontal="right"/>
    </xf>
    <xf numFmtId="171" fontId="10" fillId="7" borderId="1" xfId="0" applyNumberFormat="1" applyFont="1" applyFill="1" applyBorder="1" applyAlignment="1">
      <alignment horizontal="right"/>
    </xf>
    <xf numFmtId="171" fontId="0" fillId="0" borderId="1" xfId="0" applyNumberFormat="1" applyBorder="1" applyAlignment="1">
      <alignment horizontal="center"/>
    </xf>
    <xf numFmtId="171" fontId="0" fillId="0" borderId="35" xfId="0" applyNumberFormat="1" applyBorder="1" applyAlignment="1">
      <alignment horizontal="center"/>
    </xf>
    <xf numFmtId="171" fontId="0" fillId="0" borderId="36" xfId="0" applyNumberFormat="1" applyBorder="1" applyAlignment="1">
      <alignment horizontal="center"/>
    </xf>
    <xf numFmtId="171" fontId="0" fillId="0" borderId="44" xfId="0" applyNumberFormat="1" applyBorder="1" applyAlignment="1">
      <alignment horizontal="center"/>
    </xf>
    <xf numFmtId="0" fontId="0" fillId="0" borderId="33" xfId="0" applyBorder="1" applyAlignment="1">
      <alignment vertical="center"/>
    </xf>
    <xf numFmtId="171" fontId="10" fillId="7" borderId="44" xfId="0" applyNumberFormat="1" applyFont="1" applyFill="1" applyBorder="1"/>
    <xf numFmtId="0" fontId="0" fillId="2" borderId="11" xfId="0" applyFill="1" applyBorder="1"/>
    <xf numFmtId="0" fontId="0" fillId="0" borderId="35" xfId="0" applyBorder="1" applyAlignment="1">
      <alignment vertical="center"/>
    </xf>
    <xf numFmtId="0" fontId="0" fillId="0" borderId="36" xfId="0" applyBorder="1" applyAlignment="1">
      <alignment horizontal="center"/>
    </xf>
    <xf numFmtId="171" fontId="10" fillId="7" borderId="53" xfId="0" applyNumberFormat="1" applyFont="1" applyFill="1" applyBorder="1" applyAlignment="1">
      <alignment horizontal="center"/>
    </xf>
    <xf numFmtId="171" fontId="10" fillId="7" borderId="6" xfId="0" applyNumberFormat="1" applyFont="1" applyFill="1" applyBorder="1" applyAlignment="1">
      <alignment horizontal="center"/>
    </xf>
    <xf numFmtId="0" fontId="13" fillId="0" borderId="0" xfId="0" applyFont="1" applyFill="1" applyBorder="1" applyAlignment="1"/>
    <xf numFmtId="171" fontId="0" fillId="0" borderId="43" xfId="0" applyNumberFormat="1" applyBorder="1" applyAlignment="1">
      <alignment horizontal="center"/>
    </xf>
    <xf numFmtId="0" fontId="0" fillId="0" borderId="31" xfId="0" applyBorder="1" applyAlignment="1">
      <alignment horizontal="center"/>
    </xf>
    <xf numFmtId="171" fontId="0" fillId="0" borderId="31" xfId="0" applyNumberFormat="1" applyBorder="1" applyAlignment="1">
      <alignment horizontal="center"/>
    </xf>
    <xf numFmtId="0" fontId="0" fillId="0" borderId="2" xfId="0" applyBorder="1" applyAlignment="1">
      <alignment horizontal="center"/>
    </xf>
    <xf numFmtId="165" fontId="0" fillId="2" borderId="0" xfId="6" applyFont="1" applyFill="1"/>
    <xf numFmtId="164" fontId="0" fillId="2" borderId="0" xfId="0" applyNumberFormat="1" applyFill="1"/>
    <xf numFmtId="171" fontId="10" fillId="7" borderId="30" xfId="0" applyNumberFormat="1" applyFont="1" applyFill="1" applyBorder="1"/>
    <xf numFmtId="171" fontId="10" fillId="7" borderId="33" xfId="0" applyNumberFormat="1" applyFont="1" applyFill="1" applyBorder="1"/>
    <xf numFmtId="175" fontId="10" fillId="10" borderId="43" xfId="0" applyNumberFormat="1" applyFont="1" applyFill="1" applyBorder="1" applyAlignment="1">
      <alignment horizontal="center"/>
    </xf>
    <xf numFmtId="171" fontId="10" fillId="7" borderId="35" xfId="0" applyNumberFormat="1" applyFont="1" applyFill="1" applyBorder="1"/>
    <xf numFmtId="165" fontId="10"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0" fontId="25" fillId="5" borderId="25" xfId="0" applyFont="1" applyFill="1" applyBorder="1" applyAlignment="1">
      <alignment vertical="center"/>
    </xf>
    <xf numFmtId="0" fontId="25" fillId="5" borderId="2" xfId="0" applyFont="1" applyFill="1" applyBorder="1" applyAlignment="1">
      <alignment vertical="center"/>
    </xf>
    <xf numFmtId="10" fontId="0" fillId="2" borderId="1" xfId="0" applyNumberFormat="1" applyFill="1" applyBorder="1" applyAlignment="1">
      <alignment horizontal="center"/>
    </xf>
    <xf numFmtId="171" fontId="0" fillId="2" borderId="1" xfId="0" applyNumberFormat="1" applyFill="1" applyBorder="1" applyAlignment="1">
      <alignment horizontal="center"/>
    </xf>
    <xf numFmtId="0" fontId="0" fillId="2" borderId="3" xfId="0" applyFill="1" applyBorder="1" applyAlignment="1">
      <alignment horizontal="center"/>
    </xf>
    <xf numFmtId="0" fontId="0" fillId="5" borderId="1" xfId="0" applyFill="1" applyBorder="1" applyAlignment="1">
      <alignment horizontal="center"/>
    </xf>
    <xf numFmtId="0" fontId="0" fillId="5" borderId="24" xfId="0" applyFill="1" applyBorder="1" applyAlignment="1">
      <alignment vertical="center"/>
    </xf>
    <xf numFmtId="0" fontId="0" fillId="5" borderId="2" xfId="0" applyFill="1" applyBorder="1" applyAlignment="1">
      <alignment vertical="center"/>
    </xf>
    <xf numFmtId="0" fontId="0" fillId="5" borderId="1" xfId="0" applyFill="1" applyBorder="1"/>
    <xf numFmtId="0" fontId="0" fillId="5" borderId="24" xfId="0" applyFill="1" applyBorder="1"/>
    <xf numFmtId="0" fontId="0" fillId="5" borderId="2" xfId="0" applyFill="1" applyBorder="1"/>
    <xf numFmtId="0" fontId="0" fillId="2" borderId="2" xfId="0" applyFill="1" applyBorder="1" applyAlignment="1">
      <alignment horizontal="center" vertical="center"/>
    </xf>
    <xf numFmtId="171" fontId="0" fillId="2" borderId="1" xfId="0" applyNumberFormat="1" applyFill="1" applyBorder="1" applyAlignment="1">
      <alignment horizontal="center" vertical="center"/>
    </xf>
    <xf numFmtId="0" fontId="0" fillId="7" borderId="1" xfId="0" applyFill="1" applyBorder="1" applyAlignment="1">
      <alignment horizontal="center" vertical="center"/>
    </xf>
    <xf numFmtId="171" fontId="0" fillId="7" borderId="1" xfId="0" applyNumberFormat="1" applyFill="1" applyBorder="1" applyAlignment="1">
      <alignment horizontal="center" vertical="center"/>
    </xf>
    <xf numFmtId="0" fontId="21" fillId="5" borderId="24" xfId="0" applyFont="1" applyFill="1" applyBorder="1" applyAlignment="1">
      <alignment vertical="center"/>
    </xf>
    <xf numFmtId="171" fontId="0" fillId="5" borderId="1" xfId="0" applyNumberFormat="1" applyFont="1" applyFill="1" applyBorder="1" applyAlignment="1">
      <alignment horizontal="center"/>
    </xf>
    <xf numFmtId="0" fontId="0" fillId="2" borderId="0" xfId="0" applyFill="1" applyBorder="1" applyAlignment="1">
      <alignment horizontal="center"/>
    </xf>
    <xf numFmtId="0" fontId="0" fillId="2" borderId="6" xfId="0" applyFill="1" applyBorder="1" applyAlignment="1">
      <alignment horizontal="left" vertical="center" wrapText="1"/>
    </xf>
    <xf numFmtId="0" fontId="14" fillId="2" borderId="0" xfId="0" applyFont="1" applyFill="1" applyAlignment="1">
      <alignment horizontal="center" vertical="center"/>
    </xf>
    <xf numFmtId="0" fontId="15"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9" fontId="10" fillId="2" borderId="1" xfId="0" applyNumberFormat="1" applyFont="1" applyFill="1" applyBorder="1" applyAlignment="1">
      <alignment horizontal="center"/>
    </xf>
    <xf numFmtId="175" fontId="10" fillId="2" borderId="1" xfId="0" applyNumberFormat="1" applyFont="1" applyFill="1" applyBorder="1" applyAlignment="1">
      <alignment horizontal="center"/>
    </xf>
    <xf numFmtId="167" fontId="10"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6" xfId="0" applyFill="1" applyBorder="1" applyAlignment="1">
      <alignment horizontal="left" vertical="center" wrapText="1"/>
    </xf>
    <xf numFmtId="171" fontId="10" fillId="9" borderId="1" xfId="0" applyNumberFormat="1" applyFont="1" applyFill="1" applyBorder="1" applyAlignment="1">
      <alignment horizontal="center" vertical="center"/>
    </xf>
    <xf numFmtId="2" fontId="0" fillId="9" borderId="1" xfId="0" applyNumberFormat="1" applyFill="1" applyBorder="1" applyAlignment="1">
      <alignment horizontal="center"/>
    </xf>
    <xf numFmtId="171" fontId="0" fillId="5" borderId="61" xfId="0" applyNumberFormat="1" applyFill="1" applyBorder="1"/>
    <xf numFmtId="9" fontId="0" fillId="2" borderId="62" xfId="0" applyNumberFormat="1" applyFill="1" applyBorder="1" applyAlignment="1">
      <alignment horizontal="center"/>
    </xf>
    <xf numFmtId="171" fontId="0" fillId="5" borderId="33" xfId="0" applyNumberFormat="1" applyFill="1" applyBorder="1"/>
    <xf numFmtId="175" fontId="0" fillId="2" borderId="43" xfId="0" applyNumberFormat="1" applyFill="1" applyBorder="1" applyAlignment="1">
      <alignment horizontal="center"/>
    </xf>
    <xf numFmtId="171" fontId="0" fillId="5" borderId="35" xfId="0" applyNumberFormat="1" applyFill="1" applyBorder="1"/>
    <xf numFmtId="167" fontId="0" fillId="2" borderId="44" xfId="0" applyNumberFormat="1" applyFill="1" applyBorder="1" applyAlignment="1">
      <alignment horizontal="center"/>
    </xf>
    <xf numFmtId="0" fontId="0" fillId="2" borderId="3" xfId="0" applyFill="1" applyBorder="1" applyAlignment="1">
      <alignment horizontal="left"/>
    </xf>
    <xf numFmtId="2" fontId="0" fillId="2" borderId="1" xfId="0" applyNumberFormat="1" applyFill="1" applyBorder="1" applyAlignment="1">
      <alignment horizontal="left"/>
    </xf>
    <xf numFmtId="166" fontId="0" fillId="2" borderId="0" xfId="2" applyFont="1" applyFill="1"/>
    <xf numFmtId="0" fontId="26" fillId="13" borderId="53" xfId="0" applyFont="1" applyFill="1" applyBorder="1" applyAlignment="1">
      <alignment horizontal="center"/>
    </xf>
    <xf numFmtId="171" fontId="10" fillId="14" borderId="1" xfId="0" applyNumberFormat="1" applyFont="1" applyFill="1" applyBorder="1" applyAlignment="1">
      <alignment horizontal="center" vertical="center"/>
    </xf>
    <xf numFmtId="171" fontId="10" fillId="11" borderId="1" xfId="0" applyNumberFormat="1" applyFont="1" applyFill="1" applyBorder="1" applyAlignment="1">
      <alignment horizontal="center" vertical="center"/>
    </xf>
    <xf numFmtId="171" fontId="10" fillId="13" borderId="1" xfId="0" applyNumberFormat="1" applyFont="1" applyFill="1" applyBorder="1" applyAlignment="1">
      <alignment horizontal="center" vertical="center"/>
    </xf>
    <xf numFmtId="0" fontId="0" fillId="0" borderId="0" xfId="0" applyFont="1" applyFill="1"/>
    <xf numFmtId="0" fontId="0" fillId="0" borderId="0" xfId="0" applyFill="1"/>
    <xf numFmtId="0" fontId="0" fillId="15" borderId="0" xfId="0" applyFill="1"/>
    <xf numFmtId="0" fontId="14" fillId="15" borderId="0" xfId="0" applyFont="1" applyFill="1" applyAlignment="1">
      <alignment vertical="center"/>
    </xf>
    <xf numFmtId="0" fontId="4" fillId="15" borderId="0" xfId="0" applyFont="1" applyFill="1" applyAlignment="1">
      <alignment vertical="center"/>
    </xf>
    <xf numFmtId="10" fontId="10" fillId="10" borderId="47" xfId="0" applyNumberFormat="1" applyFont="1" applyFill="1" applyBorder="1" applyAlignment="1">
      <alignment horizontal="center"/>
    </xf>
    <xf numFmtId="10" fontId="10" fillId="10" borderId="44" xfId="0" applyNumberFormat="1" applyFont="1" applyFill="1" applyBorder="1" applyAlignment="1">
      <alignment horizontal="center"/>
    </xf>
    <xf numFmtId="0" fontId="0" fillId="2" borderId="0" xfId="0" applyFont="1" applyFill="1" applyBorder="1" applyAlignment="1">
      <alignment horizontal="center" vertical="center"/>
    </xf>
    <xf numFmtId="0" fontId="0" fillId="11" borderId="0" xfId="0" applyFill="1"/>
    <xf numFmtId="0" fontId="0" fillId="11" borderId="76" xfId="0" applyFill="1" applyBorder="1" applyAlignment="1">
      <alignment vertical="center"/>
    </xf>
    <xf numFmtId="0" fontId="0" fillId="11" borderId="77" xfId="0" applyFill="1" applyBorder="1" applyAlignment="1">
      <alignment vertical="center"/>
    </xf>
    <xf numFmtId="0" fontId="14" fillId="11" borderId="77" xfId="0" applyFont="1" applyFill="1" applyBorder="1" applyAlignment="1">
      <alignment horizontal="center" vertical="center"/>
    </xf>
    <xf numFmtId="0" fontId="15" fillId="11" borderId="77" xfId="0" applyFont="1" applyFill="1" applyBorder="1" applyAlignment="1">
      <alignment horizontal="center" vertical="center"/>
    </xf>
    <xf numFmtId="0" fontId="20" fillId="11" borderId="92" xfId="0" applyFont="1" applyFill="1" applyBorder="1" applyAlignment="1">
      <alignment horizontal="left" vertical="top" wrapText="1"/>
    </xf>
    <xf numFmtId="0" fontId="8" fillId="2" borderId="92" xfId="0" applyFont="1" applyFill="1" applyBorder="1" applyAlignment="1">
      <alignment horizontal="left" vertical="top" wrapText="1"/>
    </xf>
    <xf numFmtId="9" fontId="8" fillId="2" borderId="92" xfId="3" applyFont="1" applyFill="1" applyBorder="1" applyAlignment="1">
      <alignment horizontal="left" vertical="top" wrapText="1"/>
    </xf>
    <xf numFmtId="165" fontId="8" fillId="2" borderId="92" xfId="0" applyNumberFormat="1" applyFont="1" applyFill="1" applyBorder="1" applyAlignment="1">
      <alignment horizontal="left" vertical="top" wrapText="1"/>
    </xf>
    <xf numFmtId="0" fontId="11" fillId="11" borderId="92" xfId="0" applyFont="1" applyFill="1" applyBorder="1" applyAlignment="1">
      <alignment horizontal="center" vertical="center" wrapText="1"/>
    </xf>
    <xf numFmtId="169" fontId="6" fillId="2" borderId="92" xfId="2" applyNumberFormat="1" applyFont="1" applyFill="1" applyBorder="1" applyAlignment="1">
      <alignment horizontal="center" vertical="top" wrapText="1"/>
    </xf>
    <xf numFmtId="169" fontId="6" fillId="2" borderId="92" xfId="2" applyNumberFormat="1" applyFont="1" applyFill="1" applyBorder="1" applyAlignment="1">
      <alignment horizontal="left" vertical="top" wrapText="1"/>
    </xf>
    <xf numFmtId="165" fontId="20" fillId="16" borderId="92" xfId="6" applyFont="1" applyFill="1" applyBorder="1" applyAlignment="1">
      <alignment horizontal="left" vertical="top" wrapText="1"/>
    </xf>
    <xf numFmtId="0" fontId="18" fillId="17" borderId="53" xfId="0" applyFont="1" applyFill="1" applyBorder="1" applyAlignment="1">
      <alignment horizontal="center" vertical="center" wrapText="1"/>
    </xf>
    <xf numFmtId="0" fontId="8" fillId="6" borderId="33" xfId="0" applyFont="1" applyFill="1" applyBorder="1"/>
    <xf numFmtId="170" fontId="8" fillId="6" borderId="1" xfId="0" applyNumberFormat="1" applyFont="1" applyFill="1" applyBorder="1"/>
    <xf numFmtId="0" fontId="8" fillId="6" borderId="35" xfId="0" applyFont="1" applyFill="1" applyBorder="1"/>
    <xf numFmtId="170" fontId="8" fillId="6" borderId="36" xfId="0" applyNumberFormat="1" applyFont="1" applyFill="1" applyBorder="1"/>
    <xf numFmtId="0" fontId="8" fillId="10" borderId="30" xfId="0" applyFont="1" applyFill="1" applyBorder="1"/>
    <xf numFmtId="170" fontId="8" fillId="10" borderId="31" xfId="0" applyNumberFormat="1" applyFont="1" applyFill="1" applyBorder="1"/>
    <xf numFmtId="0" fontId="8" fillId="10" borderId="61" xfId="0" applyFont="1" applyFill="1" applyBorder="1"/>
    <xf numFmtId="170" fontId="8" fillId="10" borderId="1" xfId="0" applyNumberFormat="1" applyFont="1" applyFill="1" applyBorder="1"/>
    <xf numFmtId="0" fontId="8" fillId="10" borderId="42" xfId="0" applyFont="1" applyFill="1" applyBorder="1"/>
    <xf numFmtId="170" fontId="8" fillId="10" borderId="36" xfId="0" applyNumberFormat="1" applyFont="1" applyFill="1" applyBorder="1"/>
    <xf numFmtId="0" fontId="0" fillId="6" borderId="43" xfId="0" applyFont="1" applyFill="1" applyBorder="1" applyAlignment="1">
      <alignment horizontal="center"/>
    </xf>
    <xf numFmtId="0" fontId="0" fillId="10" borderId="47" xfId="0" applyFont="1" applyFill="1" applyBorder="1" applyAlignment="1">
      <alignment horizontal="center"/>
    </xf>
    <xf numFmtId="0" fontId="0" fillId="10" borderId="43" xfId="0" applyFont="1" applyFill="1" applyBorder="1" applyAlignment="1">
      <alignment horizontal="center"/>
    </xf>
    <xf numFmtId="0" fontId="0" fillId="10" borderId="44" xfId="0" applyFont="1" applyFill="1" applyBorder="1" applyAlignment="1">
      <alignment horizontal="center"/>
    </xf>
    <xf numFmtId="166" fontId="8" fillId="6" borderId="30" xfId="2" applyFont="1" applyFill="1" applyBorder="1" applyAlignment="1"/>
    <xf numFmtId="165" fontId="0" fillId="6" borderId="22" xfId="6" applyFont="1" applyFill="1" applyBorder="1"/>
    <xf numFmtId="165" fontId="0" fillId="6" borderId="24" xfId="6" applyFont="1" applyFill="1" applyBorder="1"/>
    <xf numFmtId="165" fontId="0" fillId="6" borderId="39" xfId="6" applyFont="1" applyFill="1" applyBorder="1"/>
    <xf numFmtId="165" fontId="0" fillId="6" borderId="1" xfId="6" applyFont="1" applyFill="1" applyBorder="1"/>
    <xf numFmtId="169" fontId="0" fillId="6" borderId="1" xfId="0" applyNumberFormat="1" applyFill="1" applyBorder="1"/>
    <xf numFmtId="0" fontId="0" fillId="6" borderId="1" xfId="0" applyFill="1" applyBorder="1"/>
    <xf numFmtId="165" fontId="0" fillId="6" borderId="31" xfId="6" applyFont="1" applyFill="1" applyBorder="1"/>
    <xf numFmtId="0" fontId="0" fillId="6" borderId="31" xfId="0" applyFill="1" applyBorder="1"/>
    <xf numFmtId="166" fontId="8" fillId="6" borderId="33" xfId="2" applyFont="1" applyFill="1" applyBorder="1" applyAlignment="1"/>
    <xf numFmtId="166" fontId="8" fillId="6" borderId="35" xfId="2" applyFont="1" applyFill="1" applyBorder="1" applyAlignment="1"/>
    <xf numFmtId="165" fontId="0" fillId="6" borderId="36" xfId="6" applyFont="1" applyFill="1" applyBorder="1"/>
    <xf numFmtId="0" fontId="0" fillId="6" borderId="36" xfId="0" applyFill="1" applyBorder="1"/>
    <xf numFmtId="0" fontId="10" fillId="11" borderId="41" xfId="0" applyFont="1" applyFill="1" applyBorder="1" applyAlignment="1">
      <alignment horizontal="center" vertical="center" wrapText="1"/>
    </xf>
    <xf numFmtId="0" fontId="10" fillId="11" borderId="34" xfId="0" applyFont="1" applyFill="1" applyBorder="1" applyAlignment="1">
      <alignment horizontal="center" vertical="center" wrapText="1"/>
    </xf>
    <xf numFmtId="0" fontId="0" fillId="16" borderId="0" xfId="0" applyFill="1"/>
    <xf numFmtId="0" fontId="21" fillId="11" borderId="53" xfId="2" applyNumberFormat="1" applyFont="1" applyFill="1" applyBorder="1" applyAlignment="1">
      <alignment horizontal="center" vertical="center"/>
    </xf>
    <xf numFmtId="9" fontId="0" fillId="2" borderId="61" xfId="0" applyNumberFormat="1" applyFont="1" applyFill="1" applyBorder="1" applyAlignment="1">
      <alignment horizontal="center" vertical="center"/>
    </xf>
    <xf numFmtId="9" fontId="0" fillId="2" borderId="3" xfId="0" applyNumberFormat="1" applyFont="1" applyFill="1" applyBorder="1" applyAlignment="1">
      <alignment horizontal="center" vertical="center"/>
    </xf>
    <xf numFmtId="9" fontId="0" fillId="2" borderId="62" xfId="0" applyNumberFormat="1" applyFont="1" applyFill="1" applyBorder="1" applyAlignment="1">
      <alignment horizontal="center" vertical="center"/>
    </xf>
    <xf numFmtId="171" fontId="0" fillId="2" borderId="35" xfId="0" applyNumberFormat="1" applyFont="1" applyFill="1" applyBorder="1" applyAlignment="1">
      <alignment horizontal="center" vertical="center"/>
    </xf>
    <xf numFmtId="171" fontId="0" fillId="2" borderId="36" xfId="0" applyNumberFormat="1" applyFont="1" applyFill="1" applyBorder="1" applyAlignment="1">
      <alignment horizontal="center" vertical="center"/>
    </xf>
    <xf numFmtId="171" fontId="0" fillId="2" borderId="44" xfId="0" applyNumberFormat="1" applyFont="1" applyFill="1" applyBorder="1" applyAlignment="1">
      <alignment horizontal="center" vertical="center"/>
    </xf>
    <xf numFmtId="0" fontId="10" fillId="11" borderId="64" xfId="0" applyFont="1" applyFill="1" applyBorder="1" applyAlignment="1">
      <alignment horizontal="center" vertical="center" wrapText="1"/>
    </xf>
    <xf numFmtId="0" fontId="10" fillId="11" borderId="65" xfId="0" applyFont="1" applyFill="1" applyBorder="1" applyAlignment="1">
      <alignment horizontal="center" vertical="center" wrapText="1"/>
    </xf>
    <xf numFmtId="0" fontId="10" fillId="11" borderId="55" xfId="0" applyFont="1" applyFill="1" applyBorder="1" applyAlignment="1">
      <alignment horizontal="center" vertical="center" wrapText="1"/>
    </xf>
    <xf numFmtId="0" fontId="10" fillId="11" borderId="1" xfId="0" applyFont="1" applyFill="1" applyBorder="1" applyAlignment="1">
      <alignment horizontal="center" vertical="center" wrapText="1"/>
    </xf>
    <xf numFmtId="166" fontId="8" fillId="10" borderId="30" xfId="2" applyFont="1" applyFill="1" applyBorder="1" applyAlignment="1"/>
    <xf numFmtId="165" fontId="0" fillId="10" borderId="31" xfId="6" applyFont="1" applyFill="1" applyBorder="1"/>
    <xf numFmtId="0" fontId="0" fillId="10" borderId="31" xfId="0" applyFill="1" applyBorder="1"/>
    <xf numFmtId="166" fontId="8" fillId="10" borderId="33" xfId="2" applyFont="1" applyFill="1" applyBorder="1" applyAlignment="1"/>
    <xf numFmtId="165" fontId="0" fillId="10" borderId="1" xfId="6" applyFont="1" applyFill="1" applyBorder="1"/>
    <xf numFmtId="0" fontId="0" fillId="10" borderId="1" xfId="0" applyFill="1" applyBorder="1"/>
    <xf numFmtId="166" fontId="8" fillId="10" borderId="35" xfId="2" applyFont="1" applyFill="1" applyBorder="1" applyAlignment="1"/>
    <xf numFmtId="165" fontId="0" fillId="10" borderId="36" xfId="6" applyFont="1" applyFill="1" applyBorder="1"/>
    <xf numFmtId="0" fontId="0" fillId="10" borderId="36" xfId="0" applyFill="1" applyBorder="1"/>
    <xf numFmtId="165" fontId="0" fillId="10" borderId="22" xfId="6" applyFont="1" applyFill="1" applyBorder="1"/>
    <xf numFmtId="165" fontId="0" fillId="10" borderId="24" xfId="6" applyFont="1" applyFill="1" applyBorder="1"/>
    <xf numFmtId="165" fontId="0" fillId="10" borderId="39" xfId="6" applyFont="1" applyFill="1" applyBorder="1"/>
    <xf numFmtId="0" fontId="0" fillId="0" borderId="97" xfId="0" applyFont="1" applyFill="1" applyBorder="1"/>
    <xf numFmtId="0" fontId="0" fillId="0" borderId="98" xfId="0" applyFont="1" applyFill="1" applyBorder="1"/>
    <xf numFmtId="0" fontId="0" fillId="0" borderId="98" xfId="0" applyFill="1" applyBorder="1"/>
    <xf numFmtId="0" fontId="0" fillId="16" borderId="98" xfId="0" applyFill="1" applyBorder="1"/>
    <xf numFmtId="0" fontId="0" fillId="11" borderId="98" xfId="0" applyFill="1" applyBorder="1"/>
    <xf numFmtId="0" fontId="0" fillId="2" borderId="98" xfId="0" applyFill="1" applyBorder="1"/>
    <xf numFmtId="0" fontId="0" fillId="0" borderId="97" xfId="0" applyFill="1" applyBorder="1"/>
    <xf numFmtId="0" fontId="0" fillId="6" borderId="98" xfId="0" applyFill="1" applyBorder="1"/>
    <xf numFmtId="0" fontId="0" fillId="10" borderId="98" xfId="0" applyFill="1" applyBorder="1"/>
    <xf numFmtId="172" fontId="8" fillId="10" borderId="54" xfId="2" applyNumberFormat="1" applyFont="1" applyFill="1" applyBorder="1" applyAlignment="1">
      <alignment vertical="center"/>
    </xf>
    <xf numFmtId="172" fontId="8" fillId="10" borderId="35" xfId="2" applyNumberFormat="1" applyFont="1" applyFill="1" applyBorder="1" applyAlignment="1">
      <alignment vertical="center"/>
    </xf>
    <xf numFmtId="172" fontId="8" fillId="6" borderId="66" xfId="2" applyNumberFormat="1" applyFont="1" applyFill="1" applyBorder="1" applyAlignment="1">
      <alignment vertical="center"/>
    </xf>
    <xf numFmtId="166" fontId="8" fillId="12" borderId="62" xfId="2" applyFont="1" applyFill="1" applyBorder="1" applyAlignment="1"/>
    <xf numFmtId="172" fontId="8" fillId="6" borderId="61" xfId="2" applyNumberFormat="1" applyFont="1" applyFill="1" applyBorder="1" applyAlignment="1">
      <alignment vertical="center"/>
    </xf>
    <xf numFmtId="166" fontId="8" fillId="12" borderId="3" xfId="2" applyFont="1" applyFill="1" applyBorder="1" applyAlignment="1"/>
    <xf numFmtId="165" fontId="10" fillId="2" borderId="20" xfId="0" applyNumberFormat="1" applyFont="1" applyFill="1" applyBorder="1"/>
    <xf numFmtId="169" fontId="10" fillId="12" borderId="19" xfId="0" applyNumberFormat="1" applyFont="1" applyFill="1" applyBorder="1"/>
    <xf numFmtId="165" fontId="10" fillId="2" borderId="20" xfId="6" applyFont="1" applyFill="1" applyBorder="1"/>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10" fillId="11" borderId="35" xfId="0" applyFont="1" applyFill="1" applyBorder="1" applyAlignment="1">
      <alignment horizontal="center" vertical="center" wrapText="1"/>
    </xf>
    <xf numFmtId="0" fontId="10" fillId="11" borderId="44" xfId="0" applyFont="1" applyFill="1" applyBorder="1" applyAlignment="1">
      <alignment horizontal="center" vertical="center" wrapText="1"/>
    </xf>
    <xf numFmtId="0" fontId="28" fillId="8" borderId="53" xfId="0" applyFont="1" applyFill="1" applyBorder="1" applyAlignment="1">
      <alignment horizontal="center" vertical="center"/>
    </xf>
    <xf numFmtId="0" fontId="28" fillId="11" borderId="53" xfId="0" applyFont="1" applyFill="1" applyBorder="1" applyAlignment="1">
      <alignment horizontal="center" vertical="center"/>
    </xf>
    <xf numFmtId="0" fontId="10" fillId="18" borderId="18" xfId="0" applyFont="1" applyFill="1" applyBorder="1" applyAlignment="1">
      <alignment horizontal="center" vertical="center"/>
    </xf>
    <xf numFmtId="0" fontId="0" fillId="18" borderId="57" xfId="0" applyFill="1" applyBorder="1" applyAlignment="1">
      <alignment horizontal="left" wrapText="1"/>
    </xf>
    <xf numFmtId="0" fontId="10" fillId="18" borderId="25" xfId="0" applyFont="1" applyFill="1" applyBorder="1" applyAlignment="1">
      <alignment horizontal="center" vertical="center"/>
    </xf>
    <xf numFmtId="171" fontId="0" fillId="18" borderId="58" xfId="0" applyNumberFormat="1" applyFill="1" applyBorder="1" applyAlignment="1">
      <alignment horizontal="left" wrapText="1"/>
    </xf>
    <xf numFmtId="171" fontId="0" fillId="18" borderId="57" xfId="0" applyNumberFormat="1" applyFill="1" applyBorder="1" applyAlignment="1">
      <alignment horizontal="left" wrapText="1"/>
    </xf>
    <xf numFmtId="0" fontId="10" fillId="18" borderId="56" xfId="0" applyFont="1" applyFill="1" applyBorder="1" applyAlignment="1">
      <alignment horizontal="center" vertical="center"/>
    </xf>
    <xf numFmtId="171" fontId="0" fillId="18" borderId="59" xfId="0" applyNumberFormat="1" applyFill="1" applyBorder="1"/>
    <xf numFmtId="165" fontId="0" fillId="6" borderId="47" xfId="6" applyFont="1" applyFill="1" applyBorder="1"/>
    <xf numFmtId="165" fontId="0" fillId="6" borderId="43" xfId="6" applyFont="1" applyFill="1" applyBorder="1"/>
    <xf numFmtId="165" fontId="0" fillId="6" borderId="44" xfId="6" applyFont="1" applyFill="1" applyBorder="1"/>
    <xf numFmtId="165" fontId="0" fillId="10" borderId="47" xfId="6" applyFont="1" applyFill="1" applyBorder="1"/>
    <xf numFmtId="165" fontId="0" fillId="10" borderId="43" xfId="6" applyFont="1" applyFill="1" applyBorder="1"/>
    <xf numFmtId="165" fontId="0" fillId="10" borderId="44" xfId="6" applyFont="1" applyFill="1" applyBorder="1"/>
    <xf numFmtId="172" fontId="8" fillId="6" borderId="103" xfId="2" applyNumberFormat="1" applyFont="1" applyFill="1" applyBorder="1" applyAlignment="1">
      <alignment vertical="center"/>
    </xf>
    <xf numFmtId="166" fontId="8" fillId="12" borderId="104" xfId="2" applyFont="1" applyFill="1" applyBorder="1" applyAlignment="1"/>
    <xf numFmtId="166" fontId="8" fillId="12" borderId="105" xfId="2" applyFont="1" applyFill="1" applyBorder="1" applyAlignment="1"/>
    <xf numFmtId="172" fontId="8" fillId="10" borderId="108" xfId="2" applyNumberFormat="1" applyFont="1" applyFill="1" applyBorder="1" applyAlignment="1">
      <alignment vertical="center"/>
    </xf>
    <xf numFmtId="166" fontId="8" fillId="12" borderId="109" xfId="2" applyFont="1" applyFill="1" applyBorder="1" applyAlignment="1"/>
    <xf numFmtId="166" fontId="8" fillId="12" borderId="110" xfId="2" applyFont="1" applyFill="1" applyBorder="1" applyAlignment="1"/>
    <xf numFmtId="0" fontId="10" fillId="11" borderId="7" xfId="0" applyFont="1" applyFill="1" applyBorder="1" applyAlignment="1">
      <alignment horizontal="center" vertical="center"/>
    </xf>
    <xf numFmtId="0" fontId="0" fillId="2" borderId="63" xfId="0" applyFill="1" applyBorder="1" applyAlignment="1">
      <alignment vertical="center" wrapText="1"/>
    </xf>
    <xf numFmtId="176" fontId="10" fillId="2" borderId="20" xfId="0" applyNumberFormat="1" applyFont="1" applyFill="1" applyBorder="1" applyAlignment="1">
      <alignment horizontal="center" vertical="center"/>
    </xf>
    <xf numFmtId="166" fontId="21" fillId="11" borderId="26" xfId="2" applyFont="1" applyFill="1" applyBorder="1" applyAlignment="1">
      <alignment horizontal="center" vertical="center" wrapText="1"/>
    </xf>
    <xf numFmtId="166" fontId="21" fillId="11" borderId="46" xfId="2" applyFont="1" applyFill="1" applyBorder="1" applyAlignment="1">
      <alignment horizontal="center" vertical="center" wrapText="1"/>
    </xf>
    <xf numFmtId="166" fontId="11" fillId="11" borderId="45" xfId="2" applyFont="1" applyFill="1" applyBorder="1" applyAlignment="1">
      <alignment horizontal="center" vertical="center" wrapText="1"/>
    </xf>
    <xf numFmtId="0" fontId="8" fillId="6" borderId="30" xfId="0" applyFont="1" applyFill="1" applyBorder="1" applyAlignment="1">
      <alignment vertical="center"/>
    </xf>
    <xf numFmtId="165" fontId="0" fillId="6" borderId="31" xfId="0" applyNumberFormat="1" applyFill="1" applyBorder="1" applyAlignment="1">
      <alignment vertical="center" wrapText="1"/>
    </xf>
    <xf numFmtId="165" fontId="0" fillId="6" borderId="47" xfId="0" applyNumberFormat="1" applyFill="1" applyBorder="1" applyAlignment="1">
      <alignment vertical="center" wrapText="1"/>
    </xf>
    <xf numFmtId="0" fontId="8" fillId="6" borderId="33" xfId="0" applyFont="1" applyFill="1" applyBorder="1" applyAlignment="1">
      <alignment vertical="center"/>
    </xf>
    <xf numFmtId="165" fontId="0" fillId="6" borderId="1" xfId="0" applyNumberFormat="1" applyFill="1" applyBorder="1" applyAlignment="1">
      <alignment vertical="center" wrapText="1"/>
    </xf>
    <xf numFmtId="165" fontId="0" fillId="6" borderId="43" xfId="0" applyNumberFormat="1" applyFill="1" applyBorder="1" applyAlignment="1">
      <alignment vertical="center" wrapText="1"/>
    </xf>
    <xf numFmtId="0" fontId="8" fillId="6" borderId="35" xfId="0" applyFont="1" applyFill="1" applyBorder="1" applyAlignment="1">
      <alignment vertical="center"/>
    </xf>
    <xf numFmtId="165" fontId="0" fillId="6" borderId="36" xfId="0" applyNumberFormat="1" applyFill="1" applyBorder="1" applyAlignment="1">
      <alignment vertical="center" wrapText="1"/>
    </xf>
    <xf numFmtId="165" fontId="0" fillId="6" borderId="44" xfId="0" applyNumberFormat="1" applyFill="1" applyBorder="1" applyAlignment="1">
      <alignment vertical="center" wrapText="1"/>
    </xf>
    <xf numFmtId="0" fontId="8" fillId="10" borderId="30" xfId="0" applyFont="1" applyFill="1" applyBorder="1" applyAlignment="1">
      <alignment vertical="center"/>
    </xf>
    <xf numFmtId="165" fontId="0" fillId="10" borderId="31" xfId="0" applyNumberFormat="1" applyFill="1" applyBorder="1" applyAlignment="1">
      <alignment vertical="center" wrapText="1"/>
    </xf>
    <xf numFmtId="165" fontId="0" fillId="10" borderId="47" xfId="0" applyNumberFormat="1" applyFill="1" applyBorder="1" applyAlignment="1">
      <alignment vertical="center" wrapText="1"/>
    </xf>
    <xf numFmtId="0" fontId="8" fillId="10" borderId="33" xfId="0" applyFont="1" applyFill="1" applyBorder="1" applyAlignment="1">
      <alignment vertical="center"/>
    </xf>
    <xf numFmtId="165" fontId="0" fillId="10" borderId="1" xfId="0" applyNumberFormat="1" applyFill="1" applyBorder="1" applyAlignment="1">
      <alignment vertical="center" wrapText="1"/>
    </xf>
    <xf numFmtId="165" fontId="0" fillId="10" borderId="43" xfId="0" applyNumberFormat="1" applyFill="1" applyBorder="1" applyAlignment="1">
      <alignment vertical="center" wrapText="1"/>
    </xf>
    <xf numFmtId="0" fontId="8" fillId="10" borderId="35" xfId="0" applyFont="1" applyFill="1" applyBorder="1" applyAlignment="1">
      <alignment vertical="center"/>
    </xf>
    <xf numFmtId="165" fontId="0" fillId="10" borderId="36" xfId="0" applyNumberFormat="1" applyFill="1" applyBorder="1" applyAlignment="1">
      <alignment vertical="center" wrapText="1"/>
    </xf>
    <xf numFmtId="165" fontId="0" fillId="10" borderId="44" xfId="0" applyNumberFormat="1" applyFill="1" applyBorder="1" applyAlignment="1">
      <alignment vertical="center" wrapText="1"/>
    </xf>
    <xf numFmtId="0" fontId="10" fillId="11" borderId="42" xfId="0" applyFont="1" applyFill="1" applyBorder="1" applyAlignment="1">
      <alignment vertical="center" wrapText="1"/>
    </xf>
    <xf numFmtId="165" fontId="10" fillId="11" borderId="37" xfId="0" applyNumberFormat="1" applyFont="1" applyFill="1" applyBorder="1" applyAlignment="1">
      <alignment vertical="center" wrapText="1"/>
    </xf>
    <xf numFmtId="165" fontId="10" fillId="11" borderId="38" xfId="0" applyNumberFormat="1" applyFont="1" applyFill="1" applyBorder="1" applyAlignment="1">
      <alignment vertical="center" wrapText="1"/>
    </xf>
    <xf numFmtId="0" fontId="10" fillId="11" borderId="61" xfId="0" applyFont="1" applyFill="1" applyBorder="1" applyAlignment="1">
      <alignment horizontal="center" vertical="center"/>
    </xf>
    <xf numFmtId="0" fontId="10" fillId="11" borderId="3" xfId="0" applyFont="1" applyFill="1" applyBorder="1" applyAlignment="1">
      <alignment horizontal="center" vertical="center"/>
    </xf>
    <xf numFmtId="0" fontId="10" fillId="11" borderId="62" xfId="0" applyFont="1" applyFill="1" applyBorder="1" applyAlignment="1">
      <alignment horizontal="center" vertical="center"/>
    </xf>
    <xf numFmtId="9" fontId="0" fillId="2" borderId="33" xfId="0" applyNumberFormat="1" applyFont="1" applyFill="1" applyBorder="1" applyAlignment="1">
      <alignment horizontal="center" vertical="center"/>
    </xf>
    <xf numFmtId="9" fontId="0" fillId="2" borderId="1" xfId="0" applyNumberFormat="1" applyFont="1" applyFill="1" applyBorder="1" applyAlignment="1">
      <alignment horizontal="center" vertical="center"/>
    </xf>
    <xf numFmtId="9" fontId="0" fillId="2" borderId="43" xfId="0" applyNumberFormat="1" applyFont="1" applyFill="1" applyBorder="1" applyAlignment="1">
      <alignment horizontal="center" vertical="center"/>
    </xf>
    <xf numFmtId="0" fontId="0" fillId="11" borderId="76" xfId="0" applyFill="1" applyBorder="1"/>
    <xf numFmtId="0" fontId="14" fillId="11" borderId="77" xfId="0" applyFont="1" applyFill="1" applyBorder="1" applyAlignment="1">
      <alignment vertical="center"/>
    </xf>
    <xf numFmtId="0" fontId="0" fillId="11" borderId="77" xfId="0" applyFill="1" applyBorder="1"/>
    <xf numFmtId="0" fontId="4" fillId="11" borderId="77" xfId="0" applyFont="1" applyFill="1" applyBorder="1" applyAlignment="1">
      <alignment vertical="center"/>
    </xf>
    <xf numFmtId="0" fontId="0" fillId="11" borderId="77" xfId="0" applyFill="1" applyBorder="1" applyAlignment="1">
      <alignment wrapText="1"/>
    </xf>
    <xf numFmtId="0" fontId="10" fillId="11" borderId="33" xfId="0" applyFont="1" applyFill="1" applyBorder="1" applyAlignment="1">
      <alignment horizontal="center"/>
    </xf>
    <xf numFmtId="0" fontId="10" fillId="11" borderId="1" xfId="0" applyFont="1" applyFill="1" applyBorder="1" applyAlignment="1">
      <alignment horizontal="center"/>
    </xf>
    <xf numFmtId="0" fontId="10" fillId="11" borderId="43" xfId="0" applyFont="1" applyFill="1" applyBorder="1" applyAlignment="1">
      <alignment horizontal="center"/>
    </xf>
    <xf numFmtId="165" fontId="10" fillId="17" borderId="57" xfId="6" applyFont="1" applyFill="1" applyBorder="1" applyAlignment="1">
      <alignment horizontal="center"/>
    </xf>
    <xf numFmtId="165" fontId="10" fillId="17" borderId="58" xfId="6" applyFont="1" applyFill="1" applyBorder="1" applyAlignment="1">
      <alignment horizontal="center"/>
    </xf>
    <xf numFmtId="165" fontId="10" fillId="17" borderId="59" xfId="6" applyFont="1" applyFill="1" applyBorder="1" applyAlignment="1">
      <alignment horizontal="center"/>
    </xf>
    <xf numFmtId="165" fontId="10" fillId="17" borderId="57" xfId="6" applyFont="1" applyFill="1" applyBorder="1" applyAlignment="1">
      <alignment horizontal="left" vertical="center"/>
    </xf>
    <xf numFmtId="165" fontId="10" fillId="17" borderId="67" xfId="6" applyFont="1" applyFill="1" applyBorder="1" applyAlignment="1">
      <alignment horizontal="center"/>
    </xf>
    <xf numFmtId="0" fontId="10" fillId="17" borderId="19" xfId="0" applyFont="1" applyFill="1" applyBorder="1"/>
    <xf numFmtId="165" fontId="10" fillId="17" borderId="21" xfId="6" applyFont="1" applyFill="1" applyBorder="1" applyAlignment="1">
      <alignment horizontal="center"/>
    </xf>
    <xf numFmtId="165" fontId="10" fillId="17" borderId="70" xfId="6" applyFont="1" applyFill="1" applyBorder="1" applyAlignment="1">
      <alignment horizontal="center"/>
    </xf>
    <xf numFmtId="0" fontId="0" fillId="2" borderId="0" xfId="0" applyFill="1" applyAlignment="1">
      <alignment vertical="center"/>
    </xf>
    <xf numFmtId="0" fontId="10" fillId="11" borderId="71" xfId="0" applyFont="1" applyFill="1" applyBorder="1" applyAlignment="1">
      <alignment horizontal="center" vertical="center"/>
    </xf>
    <xf numFmtId="0" fontId="10" fillId="11" borderId="21" xfId="0" applyFont="1" applyFill="1" applyBorder="1" applyAlignment="1">
      <alignment horizontal="center" vertical="center"/>
    </xf>
    <xf numFmtId="0" fontId="10" fillId="11" borderId="70" xfId="0" applyFont="1" applyFill="1" applyBorder="1" applyAlignment="1">
      <alignment horizontal="center" vertical="center"/>
    </xf>
    <xf numFmtId="0" fontId="10" fillId="11" borderId="53" xfId="0" applyFont="1" applyFill="1" applyBorder="1" applyAlignment="1">
      <alignment horizontal="center" vertical="center"/>
    </xf>
    <xf numFmtId="0" fontId="0" fillId="0" borderId="32" xfId="0" applyBorder="1" applyAlignment="1">
      <alignment vertical="center" wrapText="1"/>
    </xf>
    <xf numFmtId="0" fontId="0" fillId="0" borderId="60" xfId="0" applyBorder="1" applyAlignment="1">
      <alignment vertical="center"/>
    </xf>
    <xf numFmtId="165" fontId="10" fillId="17" borderId="59" xfId="6" applyFont="1" applyFill="1" applyBorder="1" applyAlignment="1">
      <alignment horizontal="center" vertical="center"/>
    </xf>
    <xf numFmtId="0" fontId="0" fillId="2" borderId="60" xfId="0" applyFill="1" applyBorder="1" applyAlignment="1">
      <alignment horizontal="left" vertical="center"/>
    </xf>
    <xf numFmtId="0" fontId="1" fillId="19" borderId="111" xfId="0" applyFont="1" applyFill="1" applyBorder="1" applyAlignment="1">
      <alignment horizontal="right" vertical="center"/>
    </xf>
    <xf numFmtId="0" fontId="6" fillId="19" borderId="112" xfId="0" applyFont="1" applyFill="1" applyBorder="1" applyAlignment="1">
      <alignment horizontal="left" vertical="center"/>
    </xf>
    <xf numFmtId="0" fontId="1" fillId="19" borderId="113" xfId="0" applyFont="1" applyFill="1" applyBorder="1" applyAlignment="1">
      <alignment horizontal="right" vertical="center"/>
    </xf>
    <xf numFmtId="0" fontId="6" fillId="19" borderId="114" xfId="0" applyFont="1" applyFill="1" applyBorder="1" applyAlignment="1">
      <alignment horizontal="left" vertical="center"/>
    </xf>
    <xf numFmtId="0" fontId="6" fillId="19" borderId="114" xfId="0" applyFont="1" applyFill="1" applyBorder="1" applyAlignment="1">
      <alignment vertical="center"/>
    </xf>
    <xf numFmtId="0" fontId="1" fillId="19" borderId="115" xfId="0" applyFont="1" applyFill="1" applyBorder="1" applyAlignment="1">
      <alignment horizontal="right" vertical="center"/>
    </xf>
    <xf numFmtId="0" fontId="6" fillId="19" borderId="116" xfId="0" applyFont="1" applyFill="1" applyBorder="1" applyAlignment="1">
      <alignment vertical="center"/>
    </xf>
    <xf numFmtId="169" fontId="10" fillId="12" borderId="42" xfId="0" applyNumberFormat="1" applyFont="1" applyFill="1" applyBorder="1"/>
    <xf numFmtId="165" fontId="10" fillId="2" borderId="38" xfId="6" applyFont="1" applyFill="1" applyBorder="1"/>
    <xf numFmtId="169" fontId="0" fillId="10" borderId="23" xfId="0" applyNumberFormat="1" applyFill="1" applyBorder="1"/>
    <xf numFmtId="169" fontId="0" fillId="10" borderId="2" xfId="0" applyNumberFormat="1" applyFill="1" applyBorder="1"/>
    <xf numFmtId="169" fontId="0" fillId="10" borderId="54" xfId="0" applyNumberFormat="1" applyFill="1" applyBorder="1"/>
    <xf numFmtId="169" fontId="0" fillId="6" borderId="63" xfId="0" applyNumberFormat="1" applyFill="1" applyBorder="1"/>
    <xf numFmtId="169" fontId="0" fillId="10" borderId="30" xfId="0" applyNumberFormat="1" applyFill="1" applyBorder="1"/>
    <xf numFmtId="169" fontId="0" fillId="10" borderId="33" xfId="0" applyNumberFormat="1" applyFill="1" applyBorder="1"/>
    <xf numFmtId="169" fontId="0" fillId="10" borderId="35" xfId="0" applyNumberFormat="1" applyFill="1" applyBorder="1"/>
    <xf numFmtId="169" fontId="0" fillId="6" borderId="2" xfId="0" applyNumberFormat="1" applyFill="1" applyBorder="1"/>
    <xf numFmtId="169" fontId="0" fillId="6" borderId="54" xfId="0" applyNumberFormat="1" applyFill="1" applyBorder="1"/>
    <xf numFmtId="169" fontId="0" fillId="6" borderId="30" xfId="0" applyNumberFormat="1" applyFill="1" applyBorder="1"/>
    <xf numFmtId="169" fontId="0" fillId="6" borderId="33" xfId="0" applyNumberFormat="1" applyFill="1" applyBorder="1"/>
    <xf numFmtId="169" fontId="0" fillId="6" borderId="35" xfId="0" applyNumberFormat="1" applyFill="1" applyBorder="1"/>
    <xf numFmtId="165" fontId="0" fillId="6" borderId="62" xfId="6" applyFont="1" applyFill="1" applyBorder="1"/>
    <xf numFmtId="165" fontId="0" fillId="10" borderId="62" xfId="6" applyFont="1" applyFill="1" applyBorder="1"/>
    <xf numFmtId="169" fontId="0" fillId="6" borderId="3" xfId="0" applyNumberFormat="1" applyFill="1" applyBorder="1"/>
    <xf numFmtId="0" fontId="10" fillId="11" borderId="54" xfId="0" applyFont="1" applyFill="1" applyBorder="1" applyAlignment="1">
      <alignment horizontal="center" vertical="center" wrapText="1"/>
    </xf>
    <xf numFmtId="169" fontId="0" fillId="6" borderId="66" xfId="0" applyNumberFormat="1" applyFill="1" applyBorder="1"/>
    <xf numFmtId="169" fontId="0" fillId="6" borderId="69" xfId="0" applyNumberFormat="1" applyFill="1" applyBorder="1"/>
    <xf numFmtId="169" fontId="0" fillId="6" borderId="61" xfId="0" applyNumberFormat="1" applyFill="1" applyBorder="1"/>
    <xf numFmtId="169" fontId="0" fillId="6" borderId="41" xfId="0" applyNumberFormat="1" applyFill="1" applyBorder="1"/>
    <xf numFmtId="165" fontId="0" fillId="6" borderId="34" xfId="6" applyFont="1" applyFill="1" applyBorder="1"/>
    <xf numFmtId="0" fontId="10" fillId="11" borderId="39" xfId="0" applyFont="1" applyFill="1" applyBorder="1" applyAlignment="1">
      <alignment horizontal="center" vertical="center" wrapText="1"/>
    </xf>
    <xf numFmtId="165" fontId="0" fillId="6" borderId="27" xfId="6" applyFont="1" applyFill="1" applyBorder="1"/>
    <xf numFmtId="165" fontId="0" fillId="6" borderId="29" xfId="6" applyFont="1" applyFill="1" applyBorder="1"/>
    <xf numFmtId="165" fontId="10" fillId="2" borderId="70" xfId="6" applyFont="1" applyFill="1" applyBorder="1"/>
    <xf numFmtId="169" fontId="10" fillId="12" borderId="71" xfId="0" applyNumberFormat="1" applyFont="1" applyFill="1" applyBorder="1"/>
    <xf numFmtId="165" fontId="0" fillId="0" borderId="37" xfId="6" applyFont="1" applyBorder="1" applyAlignment="1">
      <alignment horizontal="center" vertical="center"/>
    </xf>
    <xf numFmtId="165" fontId="0" fillId="0" borderId="73" xfId="6" applyFont="1" applyBorder="1" applyAlignment="1">
      <alignment horizontal="center" vertical="center"/>
    </xf>
    <xf numFmtId="0" fontId="0" fillId="0" borderId="93" xfId="0" applyBorder="1" applyAlignment="1">
      <alignment vertical="center"/>
    </xf>
    <xf numFmtId="165" fontId="0" fillId="0" borderId="69" xfId="6" applyFont="1" applyBorder="1" applyAlignment="1">
      <alignment horizontal="center" vertical="center"/>
    </xf>
    <xf numFmtId="165" fontId="0" fillId="0" borderId="63" xfId="6" applyFont="1" applyBorder="1" applyAlignment="1">
      <alignment horizontal="center" vertical="center"/>
    </xf>
    <xf numFmtId="165" fontId="0" fillId="0" borderId="29" xfId="6" applyFont="1" applyBorder="1" applyAlignment="1">
      <alignment horizontal="center" vertical="center"/>
    </xf>
    <xf numFmtId="165" fontId="10" fillId="17" borderId="67" xfId="6" applyFont="1" applyFill="1" applyBorder="1" applyAlignment="1">
      <alignment horizontal="center" vertical="center"/>
    </xf>
    <xf numFmtId="0" fontId="0" fillId="2" borderId="93" xfId="0" applyFill="1" applyBorder="1" applyAlignment="1">
      <alignment horizontal="left" vertical="center"/>
    </xf>
    <xf numFmtId="0" fontId="0" fillId="0" borderId="52" xfId="0" applyBorder="1"/>
    <xf numFmtId="165" fontId="0" fillId="0" borderId="66" xfId="6" applyFont="1" applyBorder="1" applyAlignment="1">
      <alignment horizontal="center"/>
    </xf>
    <xf numFmtId="165" fontId="10" fillId="17" borderId="68" xfId="6" applyFont="1" applyFill="1" applyBorder="1" applyAlignment="1">
      <alignment horizontal="center"/>
    </xf>
    <xf numFmtId="0" fontId="2" fillId="2" borderId="52" xfId="1" applyFill="1" applyBorder="1" applyAlignment="1">
      <alignment horizontal="left"/>
    </xf>
    <xf numFmtId="0" fontId="0" fillId="0" borderId="40" xfId="0" applyBorder="1"/>
    <xf numFmtId="0" fontId="0" fillId="0" borderId="50" xfId="0" applyBorder="1"/>
    <xf numFmtId="165" fontId="0" fillId="0" borderId="30" xfId="6" applyFont="1" applyBorder="1" applyAlignment="1">
      <alignment horizontal="center"/>
    </xf>
    <xf numFmtId="165" fontId="0" fillId="0" borderId="35" xfId="6" applyFont="1" applyBorder="1" applyAlignment="1">
      <alignment horizontal="center"/>
    </xf>
    <xf numFmtId="0" fontId="0" fillId="2" borderId="57" xfId="0" applyFill="1" applyBorder="1" applyAlignment="1">
      <alignment horizontal="left"/>
    </xf>
    <xf numFmtId="0" fontId="0" fillId="2" borderId="59" xfId="0" applyFill="1" applyBorder="1" applyAlignment="1">
      <alignment horizontal="left"/>
    </xf>
    <xf numFmtId="0" fontId="0" fillId="11" borderId="77" xfId="0" applyFill="1" applyBorder="1" applyAlignment="1">
      <alignment horizontal="center" vertical="center"/>
    </xf>
    <xf numFmtId="0" fontId="10" fillId="16" borderId="16" xfId="0" applyFont="1" applyFill="1" applyBorder="1" applyAlignment="1">
      <alignment horizontal="center" vertical="center" wrapText="1"/>
    </xf>
    <xf numFmtId="0" fontId="10" fillId="16" borderId="15" xfId="0" applyFont="1" applyFill="1" applyBorder="1" applyAlignment="1">
      <alignment horizontal="center" vertical="center" wrapText="1"/>
    </xf>
    <xf numFmtId="0" fontId="11" fillId="11" borderId="61" xfId="0" applyFont="1" applyFill="1" applyBorder="1" applyAlignment="1">
      <alignment horizontal="center" vertical="center" wrapText="1"/>
    </xf>
    <xf numFmtId="0" fontId="11" fillId="11" borderId="3" xfId="0" applyFont="1" applyFill="1" applyBorder="1" applyAlignment="1">
      <alignment horizontal="center" vertical="center"/>
    </xf>
    <xf numFmtId="0" fontId="11" fillId="11" borderId="62" xfId="0" applyFont="1" applyFill="1" applyBorder="1" applyAlignment="1">
      <alignment horizontal="center" vertical="center"/>
    </xf>
    <xf numFmtId="0" fontId="11" fillId="11" borderId="19" xfId="0" applyFont="1" applyFill="1" applyBorder="1" applyAlignment="1">
      <alignment horizontal="center" vertical="center"/>
    </xf>
    <xf numFmtId="0" fontId="10" fillId="11" borderId="41" xfId="0" applyFont="1" applyFill="1" applyBorder="1" applyAlignment="1">
      <alignment horizontal="center"/>
    </xf>
    <xf numFmtId="0" fontId="10" fillId="11" borderId="34" xfId="0" applyFont="1" applyFill="1" applyBorder="1" applyAlignment="1">
      <alignment horizontal="center"/>
    </xf>
    <xf numFmtId="0" fontId="10" fillId="11" borderId="69" xfId="0" applyFont="1" applyFill="1" applyBorder="1" applyAlignment="1">
      <alignment horizontal="center"/>
    </xf>
    <xf numFmtId="0" fontId="10" fillId="11" borderId="63" xfId="0" applyFont="1" applyFill="1" applyBorder="1" applyAlignment="1">
      <alignment horizontal="center"/>
    </xf>
    <xf numFmtId="0" fontId="10" fillId="11" borderId="29" xfId="0" applyFont="1" applyFill="1" applyBorder="1" applyAlignment="1">
      <alignment horizontal="center"/>
    </xf>
    <xf numFmtId="165" fontId="0" fillId="11" borderId="57" xfId="0" applyNumberFormat="1" applyFill="1" applyBorder="1"/>
    <xf numFmtId="165" fontId="0" fillId="11" borderId="58" xfId="0" applyNumberFormat="1" applyFill="1" applyBorder="1"/>
    <xf numFmtId="165" fontId="0" fillId="11" borderId="59" xfId="0" applyNumberFormat="1" applyFill="1" applyBorder="1"/>
    <xf numFmtId="174" fontId="0" fillId="11" borderId="73" xfId="0" applyNumberFormat="1" applyFill="1" applyBorder="1"/>
    <xf numFmtId="174" fontId="0" fillId="11" borderId="37" xfId="0" applyNumberFormat="1" applyFill="1" applyBorder="1"/>
    <xf numFmtId="0" fontId="10" fillId="16" borderId="15" xfId="0" applyFont="1" applyFill="1" applyBorder="1" applyAlignment="1">
      <alignment horizontal="center"/>
    </xf>
    <xf numFmtId="0" fontId="0" fillId="0" borderId="118" xfId="0" applyFill="1" applyBorder="1"/>
    <xf numFmtId="0" fontId="0" fillId="0" borderId="0" xfId="0" applyFill="1" applyBorder="1"/>
    <xf numFmtId="0" fontId="0" fillId="11" borderId="119" xfId="0" applyFill="1" applyBorder="1" applyAlignment="1">
      <alignment horizontal="center" vertical="center"/>
    </xf>
    <xf numFmtId="0" fontId="6" fillId="11" borderId="120" xfId="1" applyFont="1" applyFill="1" applyBorder="1" applyAlignment="1">
      <alignment horizontal="center" vertical="center"/>
    </xf>
    <xf numFmtId="0" fontId="0" fillId="11" borderId="121" xfId="0" applyFill="1" applyBorder="1" applyAlignment="1">
      <alignment horizontal="center" vertical="center"/>
    </xf>
    <xf numFmtId="0" fontId="6" fillId="11" borderId="122" xfId="1" applyFont="1" applyFill="1" applyBorder="1" applyAlignment="1">
      <alignment horizontal="center" vertical="center"/>
    </xf>
    <xf numFmtId="173" fontId="0" fillId="0" borderId="20" xfId="0" applyNumberFormat="1" applyBorder="1" applyAlignment="1">
      <alignment horizontal="center" vertical="center"/>
    </xf>
    <xf numFmtId="1" fontId="0" fillId="0" borderId="71" xfId="0" applyNumberFormat="1" applyBorder="1" applyAlignment="1">
      <alignment horizontal="center" vertical="center"/>
    </xf>
    <xf numFmtId="165" fontId="0" fillId="0" borderId="21" xfId="6" applyFont="1" applyBorder="1" applyAlignment="1">
      <alignment horizontal="center" vertical="center"/>
    </xf>
    <xf numFmtId="165" fontId="0" fillId="0" borderId="70" xfId="6" applyFont="1" applyBorder="1" applyAlignment="1">
      <alignment horizontal="center" vertical="center"/>
    </xf>
    <xf numFmtId="165" fontId="0" fillId="11" borderId="53" xfId="0" applyNumberFormat="1" applyFill="1" applyBorder="1" applyAlignment="1">
      <alignment vertical="center"/>
    </xf>
    <xf numFmtId="0" fontId="0" fillId="2" borderId="19" xfId="0" applyFill="1" applyBorder="1" applyAlignment="1">
      <alignment horizontal="left" vertical="center"/>
    </xf>
    <xf numFmtId="173" fontId="0" fillId="0" borderId="43" xfId="0" applyNumberFormat="1" applyBorder="1" applyAlignment="1">
      <alignment horizontal="center" vertical="center"/>
    </xf>
    <xf numFmtId="1" fontId="0" fillId="0" borderId="2" xfId="0" applyNumberFormat="1" applyBorder="1" applyAlignment="1">
      <alignment horizontal="center" vertical="center"/>
    </xf>
    <xf numFmtId="165" fontId="0" fillId="0" borderId="1" xfId="6" applyFont="1" applyBorder="1" applyAlignment="1">
      <alignment horizontal="center" vertical="center"/>
    </xf>
    <xf numFmtId="1" fontId="0" fillId="0" borderId="1" xfId="0" applyNumberFormat="1" applyBorder="1" applyAlignment="1">
      <alignment horizontal="center" vertical="center"/>
    </xf>
    <xf numFmtId="165" fontId="0" fillId="0" borderId="24" xfId="6" applyFont="1" applyBorder="1" applyAlignment="1">
      <alignment horizontal="center" vertical="center"/>
    </xf>
    <xf numFmtId="165" fontId="0" fillId="11" borderId="58" xfId="0" applyNumberFormat="1" applyFill="1" applyBorder="1" applyAlignment="1">
      <alignment vertical="center"/>
    </xf>
    <xf numFmtId="0" fontId="0" fillId="0" borderId="61" xfId="0" applyBorder="1" applyAlignment="1">
      <alignment vertical="center"/>
    </xf>
    <xf numFmtId="173" fontId="0" fillId="0" borderId="62" xfId="0" applyNumberFormat="1" applyBorder="1" applyAlignment="1">
      <alignment horizontal="center" vertical="center"/>
    </xf>
    <xf numFmtId="1" fontId="0" fillId="0" borderId="66" xfId="0" applyNumberFormat="1" applyBorder="1" applyAlignment="1">
      <alignment horizontal="center" vertical="center"/>
    </xf>
    <xf numFmtId="165" fontId="0" fillId="0" borderId="3" xfId="6" applyFont="1" applyBorder="1" applyAlignment="1">
      <alignment horizontal="center" vertical="center"/>
    </xf>
    <xf numFmtId="1" fontId="0" fillId="0" borderId="3" xfId="0" applyNumberFormat="1" applyBorder="1" applyAlignment="1">
      <alignment horizontal="center" vertical="center"/>
    </xf>
    <xf numFmtId="165" fontId="0" fillId="0" borderId="27" xfId="6" applyFont="1" applyBorder="1" applyAlignment="1">
      <alignment horizontal="center" vertical="center"/>
    </xf>
    <xf numFmtId="173" fontId="0" fillId="0" borderId="38" xfId="0" applyNumberFormat="1" applyBorder="1" applyAlignment="1">
      <alignment horizontal="center" vertical="center"/>
    </xf>
    <xf numFmtId="1" fontId="0" fillId="0" borderId="74" xfId="0" applyNumberFormat="1" applyBorder="1" applyAlignment="1">
      <alignment horizontal="center" vertical="center"/>
    </xf>
    <xf numFmtId="165" fontId="0" fillId="11" borderId="6" xfId="0" applyNumberFormat="1" applyFill="1" applyBorder="1" applyAlignment="1">
      <alignment vertical="center"/>
    </xf>
    <xf numFmtId="170" fontId="11" fillId="2" borderId="0" xfId="0" applyNumberFormat="1" applyFont="1" applyFill="1" applyBorder="1"/>
    <xf numFmtId="165" fontId="0" fillId="11" borderId="57" xfId="0" applyNumberFormat="1" applyFill="1" applyBorder="1" applyAlignment="1">
      <alignment vertical="center"/>
    </xf>
    <xf numFmtId="165" fontId="0" fillId="11" borderId="59" xfId="0" applyNumberFormat="1" applyFill="1" applyBorder="1" applyAlignment="1">
      <alignment vertical="center"/>
    </xf>
    <xf numFmtId="173" fontId="0" fillId="2" borderId="20" xfId="0" applyNumberFormat="1" applyFill="1" applyBorder="1" applyAlignment="1">
      <alignment horizontal="center" vertical="center"/>
    </xf>
    <xf numFmtId="1" fontId="0" fillId="2" borderId="71" xfId="0" applyNumberFormat="1" applyFill="1" applyBorder="1" applyAlignment="1">
      <alignment horizontal="center" vertical="center"/>
    </xf>
    <xf numFmtId="165" fontId="0" fillId="2" borderId="21" xfId="6" applyFont="1" applyFill="1" applyBorder="1" applyAlignment="1">
      <alignment horizontal="center" vertical="center"/>
    </xf>
    <xf numFmtId="0" fontId="0" fillId="11" borderId="125" xfId="0" applyFill="1" applyBorder="1"/>
    <xf numFmtId="0" fontId="0" fillId="11" borderId="126" xfId="0" applyFill="1" applyBorder="1"/>
    <xf numFmtId="0" fontId="14" fillId="11" borderId="126" xfId="0" applyFont="1" applyFill="1" applyBorder="1" applyAlignment="1">
      <alignment vertical="center"/>
    </xf>
    <xf numFmtId="0" fontId="5" fillId="11" borderId="126" xfId="0" applyFont="1" applyFill="1" applyBorder="1" applyAlignment="1">
      <alignment vertical="center"/>
    </xf>
    <xf numFmtId="0" fontId="11" fillId="11" borderId="66" xfId="0" applyFont="1" applyFill="1" applyBorder="1" applyAlignment="1">
      <alignment horizontal="center" vertical="center"/>
    </xf>
    <xf numFmtId="0" fontId="11" fillId="11" borderId="3" xfId="0" applyFont="1" applyFill="1" applyBorder="1" applyAlignment="1">
      <alignment horizontal="center" vertical="center" wrapText="1"/>
    </xf>
    <xf numFmtId="0" fontId="11" fillId="11" borderId="27" xfId="0" applyFont="1" applyFill="1" applyBorder="1" applyAlignment="1">
      <alignment horizontal="center" vertical="center" wrapText="1"/>
    </xf>
    <xf numFmtId="10" fontId="11" fillId="11" borderId="69" xfId="0" applyNumberFormat="1" applyFont="1" applyFill="1" applyBorder="1" applyAlignment="1">
      <alignment horizontal="center" vertical="center"/>
    </xf>
    <xf numFmtId="10" fontId="11" fillId="11" borderId="63" xfId="0" applyNumberFormat="1" applyFont="1" applyFill="1" applyBorder="1" applyAlignment="1">
      <alignment horizontal="center" vertical="center"/>
    </xf>
    <xf numFmtId="9" fontId="11" fillId="11" borderId="63" xfId="0" applyNumberFormat="1" applyFont="1" applyFill="1" applyBorder="1" applyAlignment="1">
      <alignment horizontal="center" vertical="center"/>
    </xf>
    <xf numFmtId="9" fontId="11" fillId="11" borderId="29" xfId="0" applyNumberFormat="1" applyFont="1" applyFill="1" applyBorder="1" applyAlignment="1">
      <alignment horizontal="center" vertical="center"/>
    </xf>
    <xf numFmtId="165" fontId="10" fillId="11" borderId="53" xfId="6" applyFont="1" applyFill="1" applyBorder="1"/>
    <xf numFmtId="165" fontId="10" fillId="11" borderId="57" xfId="6" applyFont="1" applyFill="1" applyBorder="1"/>
    <xf numFmtId="165" fontId="10" fillId="11" borderId="58" xfId="6" applyFont="1" applyFill="1" applyBorder="1"/>
    <xf numFmtId="165" fontId="10" fillId="11" borderId="59" xfId="6" applyFont="1" applyFill="1" applyBorder="1"/>
    <xf numFmtId="0" fontId="11" fillId="11" borderId="1" xfId="0" applyFont="1" applyFill="1" applyBorder="1" applyAlignment="1">
      <alignment horizontal="center" vertical="center"/>
    </xf>
    <xf numFmtId="171" fontId="0" fillId="11" borderId="43" xfId="0" applyNumberFormat="1" applyFill="1" applyBorder="1"/>
    <xf numFmtId="0" fontId="10" fillId="11" borderId="36" xfId="0" applyFont="1" applyFill="1" applyBorder="1" applyAlignment="1">
      <alignment horizontal="center"/>
    </xf>
    <xf numFmtId="173" fontId="10" fillId="11" borderId="36" xfId="0" applyNumberFormat="1" applyFont="1" applyFill="1" applyBorder="1" applyAlignment="1">
      <alignment horizontal="center"/>
    </xf>
    <xf numFmtId="0" fontId="11" fillId="11" borderId="2" xfId="0" applyFont="1" applyFill="1" applyBorder="1" applyAlignment="1">
      <alignment horizontal="center" vertical="center"/>
    </xf>
    <xf numFmtId="0" fontId="10" fillId="11" borderId="54" xfId="0" applyFont="1" applyFill="1" applyBorder="1" applyAlignment="1">
      <alignment horizontal="center"/>
    </xf>
    <xf numFmtId="0" fontId="0" fillId="0" borderId="58" xfId="0" applyBorder="1" applyAlignment="1">
      <alignment vertical="center"/>
    </xf>
    <xf numFmtId="0" fontId="0" fillId="2" borderId="58" xfId="0" applyFill="1" applyBorder="1"/>
    <xf numFmtId="0" fontId="11" fillId="11" borderId="59" xfId="0" applyFont="1" applyFill="1" applyBorder="1" applyAlignment="1">
      <alignment horizontal="center" vertical="center"/>
    </xf>
    <xf numFmtId="0" fontId="0" fillId="0" borderId="71" xfId="0" applyBorder="1" applyAlignment="1">
      <alignment vertical="center"/>
    </xf>
    <xf numFmtId="0" fontId="0" fillId="2" borderId="23" xfId="0" applyFill="1" applyBorder="1"/>
    <xf numFmtId="0" fontId="0" fillId="2" borderId="2" xfId="0" applyFill="1" applyBorder="1"/>
    <xf numFmtId="0" fontId="0" fillId="2" borderId="54" xfId="0" applyFill="1" applyBorder="1"/>
    <xf numFmtId="0" fontId="0" fillId="0" borderId="53" xfId="0" applyBorder="1" applyAlignment="1">
      <alignment horizontal="center" vertical="center"/>
    </xf>
    <xf numFmtId="0" fontId="10" fillId="11" borderId="1" xfId="0" applyFont="1" applyFill="1" applyBorder="1" applyAlignment="1">
      <alignment horizontal="left"/>
    </xf>
    <xf numFmtId="0" fontId="4" fillId="11" borderId="126" xfId="0" applyFont="1" applyFill="1" applyBorder="1" applyAlignment="1">
      <alignment vertical="center"/>
    </xf>
    <xf numFmtId="0" fontId="11" fillId="11" borderId="6" xfId="0" applyFont="1" applyFill="1" applyBorder="1" applyAlignment="1">
      <alignment horizontal="center" vertical="center"/>
    </xf>
    <xf numFmtId="165" fontId="10" fillId="17" borderId="32" xfId="6" applyFont="1" applyFill="1" applyBorder="1" applyAlignment="1">
      <alignment horizontal="center"/>
    </xf>
    <xf numFmtId="165" fontId="10" fillId="17" borderId="60" xfId="6" applyFont="1" applyFill="1" applyBorder="1" applyAlignment="1">
      <alignment horizontal="center"/>
    </xf>
    <xf numFmtId="165" fontId="0" fillId="0" borderId="47" xfId="6" applyFont="1" applyBorder="1" applyAlignment="1">
      <alignment horizontal="center"/>
    </xf>
    <xf numFmtId="165" fontId="0" fillId="0" borderId="44" xfId="6" applyFont="1" applyBorder="1" applyAlignment="1">
      <alignment horizontal="center"/>
    </xf>
    <xf numFmtId="165" fontId="10" fillId="17" borderId="18" xfId="6" applyFont="1" applyFill="1" applyBorder="1" applyAlignment="1">
      <alignment horizontal="center"/>
    </xf>
    <xf numFmtId="165" fontId="10" fillId="17" borderId="56" xfId="6" applyFont="1" applyFill="1" applyBorder="1" applyAlignment="1">
      <alignment horizontal="center"/>
    </xf>
    <xf numFmtId="0" fontId="10" fillId="2" borderId="2" xfId="0" applyFont="1" applyFill="1" applyBorder="1" applyAlignment="1">
      <alignment horizontal="center"/>
    </xf>
    <xf numFmtId="0" fontId="0" fillId="0" borderId="57" xfId="0" applyBorder="1" applyAlignment="1">
      <alignment vertical="center"/>
    </xf>
    <xf numFmtId="0" fontId="0" fillId="2" borderId="59" xfId="0" applyFill="1" applyBorder="1"/>
    <xf numFmtId="0" fontId="10" fillId="11" borderId="1" xfId="0" applyFont="1" applyFill="1" applyBorder="1" applyAlignment="1">
      <alignment horizontal="center" vertical="center"/>
    </xf>
    <xf numFmtId="0" fontId="11" fillId="11" borderId="61" xfId="0" applyFont="1" applyFill="1" applyBorder="1" applyAlignment="1">
      <alignment horizontal="center"/>
    </xf>
    <xf numFmtId="0" fontId="11" fillId="11" borderId="3" xfId="0" applyFont="1" applyFill="1" applyBorder="1" applyAlignment="1">
      <alignment horizontal="center"/>
    </xf>
    <xf numFmtId="0" fontId="11" fillId="11" borderId="62" xfId="0" applyFont="1" applyFill="1" applyBorder="1" applyAlignment="1">
      <alignment horizontal="center"/>
    </xf>
    <xf numFmtId="0" fontId="10" fillId="11" borderId="30" xfId="0" applyFont="1" applyFill="1" applyBorder="1" applyAlignment="1">
      <alignment horizontal="center"/>
    </xf>
    <xf numFmtId="0" fontId="10" fillId="11" borderId="31" xfId="0" applyFont="1" applyFill="1" applyBorder="1" applyAlignment="1">
      <alignment horizontal="center"/>
    </xf>
    <xf numFmtId="0" fontId="10" fillId="11" borderId="47" xfId="0" applyFont="1" applyFill="1" applyBorder="1" applyAlignment="1">
      <alignment horizontal="center"/>
    </xf>
    <xf numFmtId="0" fontId="0" fillId="0" borderId="1" xfId="0" applyBorder="1" applyAlignment="1">
      <alignment vertical="center"/>
    </xf>
    <xf numFmtId="0" fontId="0" fillId="2" borderId="1" xfId="0" applyFont="1" applyFill="1" applyBorder="1" applyAlignment="1">
      <alignment horizontal="center" vertical="center"/>
    </xf>
    <xf numFmtId="0" fontId="11" fillId="11" borderId="45" xfId="0" applyFont="1" applyFill="1" applyBorder="1" applyAlignment="1">
      <alignment horizontal="center"/>
    </xf>
    <xf numFmtId="0" fontId="11" fillId="11" borderId="26" xfId="0" applyFont="1" applyFill="1" applyBorder="1" applyAlignment="1">
      <alignment horizontal="center"/>
    </xf>
    <xf numFmtId="0" fontId="0" fillId="0" borderId="30" xfId="0" applyBorder="1" applyAlignment="1">
      <alignment vertical="center"/>
    </xf>
    <xf numFmtId="0" fontId="0" fillId="2" borderId="31" xfId="0" applyFont="1" applyFill="1" applyBorder="1" applyAlignment="1">
      <alignment horizontal="center" vertical="center"/>
    </xf>
    <xf numFmtId="0" fontId="11" fillId="11" borderId="46" xfId="0" applyFont="1" applyFill="1" applyBorder="1" applyAlignment="1">
      <alignment horizontal="center" vertical="center"/>
    </xf>
    <xf numFmtId="0" fontId="0" fillId="2" borderId="47" xfId="0" applyFont="1" applyFill="1" applyBorder="1" applyAlignment="1">
      <alignment horizontal="center" vertical="center"/>
    </xf>
    <xf numFmtId="0" fontId="0" fillId="2" borderId="43" xfId="0" applyFont="1" applyFill="1" applyBorder="1" applyAlignment="1">
      <alignment horizontal="center" vertical="center"/>
    </xf>
    <xf numFmtId="0" fontId="2" fillId="2" borderId="43" xfId="1" applyFill="1" applyBorder="1" applyAlignment="1">
      <alignment horizontal="center" vertical="center"/>
    </xf>
    <xf numFmtId="0" fontId="2" fillId="0" borderId="43" xfId="1" applyBorder="1" applyAlignment="1">
      <alignment horizontal="center" vertical="center"/>
    </xf>
    <xf numFmtId="0" fontId="2" fillId="2" borderId="10" xfId="1" applyFill="1" applyBorder="1" applyAlignment="1">
      <alignment horizontal="center"/>
    </xf>
    <xf numFmtId="0" fontId="25" fillId="20" borderId="0" xfId="0" applyFont="1" applyFill="1"/>
    <xf numFmtId="0" fontId="11" fillId="11" borderId="30" xfId="0" applyFont="1" applyFill="1" applyBorder="1" applyAlignment="1">
      <alignment horizontal="center"/>
    </xf>
    <xf numFmtId="0" fontId="11" fillId="11" borderId="31" xfId="0" applyFont="1" applyFill="1" applyBorder="1" applyAlignment="1">
      <alignment horizontal="center"/>
    </xf>
    <xf numFmtId="0" fontId="11" fillId="11" borderId="47" xfId="0" applyFont="1" applyFill="1" applyBorder="1" applyAlignment="1">
      <alignment horizontal="center"/>
    </xf>
    <xf numFmtId="0" fontId="10" fillId="11" borderId="35" xfId="0" applyFont="1" applyFill="1" applyBorder="1" applyAlignment="1">
      <alignment horizontal="center" vertical="center"/>
    </xf>
    <xf numFmtId="0" fontId="10" fillId="11" borderId="44" xfId="0" applyFont="1" applyFill="1" applyBorder="1" applyAlignment="1">
      <alignment horizontal="center"/>
    </xf>
    <xf numFmtId="0" fontId="0" fillId="0" borderId="31" xfId="0" applyBorder="1" applyAlignment="1">
      <alignment vertical="center"/>
    </xf>
    <xf numFmtId="0" fontId="0" fillId="0" borderId="47" xfId="0" applyBorder="1" applyAlignment="1">
      <alignment horizontal="center"/>
    </xf>
    <xf numFmtId="0" fontId="0" fillId="0" borderId="43" xfId="0" applyBorder="1" applyAlignment="1">
      <alignment horizontal="center"/>
    </xf>
    <xf numFmtId="0" fontId="0" fillId="0" borderId="36" xfId="0" applyBorder="1" applyAlignment="1">
      <alignment vertical="center"/>
    </xf>
    <xf numFmtId="0" fontId="0" fillId="0" borderId="44" xfId="0" applyBorder="1" applyAlignment="1">
      <alignment horizontal="center"/>
    </xf>
    <xf numFmtId="0" fontId="0" fillId="0" borderId="36" xfId="0" applyBorder="1" applyAlignment="1">
      <alignment horizontal="center" vertical="center"/>
    </xf>
    <xf numFmtId="171" fontId="0" fillId="6" borderId="31" xfId="0" applyNumberFormat="1" applyFill="1" applyBorder="1" applyAlignment="1">
      <alignment horizontal="center"/>
    </xf>
    <xf numFmtId="171" fontId="0" fillId="6" borderId="2" xfId="0" applyNumberFormat="1" applyFill="1" applyBorder="1" applyAlignment="1">
      <alignment horizontal="center"/>
    </xf>
    <xf numFmtId="171" fontId="0" fillId="6" borderId="1" xfId="0" applyNumberFormat="1" applyFill="1" applyBorder="1" applyAlignment="1">
      <alignment horizontal="center"/>
    </xf>
    <xf numFmtId="171" fontId="0" fillId="6" borderId="36" xfId="0" applyNumberFormat="1" applyFill="1" applyBorder="1" applyAlignment="1">
      <alignment horizontal="center"/>
    </xf>
    <xf numFmtId="171" fontId="0" fillId="6" borderId="54" xfId="0" applyNumberFormat="1" applyFill="1" applyBorder="1" applyAlignment="1">
      <alignment horizontal="center"/>
    </xf>
    <xf numFmtId="171" fontId="0" fillId="6" borderId="22" xfId="0" applyNumberFormat="1" applyFill="1" applyBorder="1" applyAlignment="1">
      <alignment horizontal="center"/>
    </xf>
    <xf numFmtId="171" fontId="0" fillId="6" borderId="24" xfId="0" applyNumberFormat="1" applyFill="1" applyBorder="1" applyAlignment="1">
      <alignment horizontal="center"/>
    </xf>
    <xf numFmtId="171" fontId="11" fillId="7" borderId="74" xfId="0" applyNumberFormat="1" applyFont="1" applyFill="1" applyBorder="1"/>
    <xf numFmtId="171" fontId="11" fillId="7" borderId="37" xfId="0" applyNumberFormat="1" applyFont="1" applyFill="1" applyBorder="1"/>
    <xf numFmtId="171" fontId="11" fillId="7" borderId="38" xfId="0" applyNumberFormat="1" applyFont="1" applyFill="1" applyBorder="1"/>
    <xf numFmtId="171" fontId="0" fillId="6" borderId="33" xfId="0" applyNumberFormat="1" applyFill="1" applyBorder="1"/>
    <xf numFmtId="171" fontId="0" fillId="6" borderId="35" xfId="0" applyNumberFormat="1" applyFill="1" applyBorder="1"/>
    <xf numFmtId="171" fontId="0" fillId="6" borderId="36" xfId="0" applyNumberFormat="1" applyFill="1" applyBorder="1"/>
    <xf numFmtId="171" fontId="0" fillId="6" borderId="1" xfId="0" applyNumberFormat="1" applyFill="1" applyBorder="1"/>
    <xf numFmtId="171" fontId="0" fillId="10" borderId="47" xfId="0" applyNumberFormat="1" applyFill="1" applyBorder="1"/>
    <xf numFmtId="171" fontId="0" fillId="10" borderId="43" xfId="0" applyNumberFormat="1" applyFill="1" applyBorder="1"/>
    <xf numFmtId="171" fontId="0" fillId="10" borderId="44" xfId="0" applyNumberFormat="1" applyFill="1" applyBorder="1"/>
    <xf numFmtId="171" fontId="0" fillId="10" borderId="62" xfId="0" applyNumberFormat="1" applyFill="1" applyBorder="1"/>
    <xf numFmtId="171" fontId="0" fillId="10" borderId="33" xfId="0" applyNumberFormat="1" applyFill="1" applyBorder="1"/>
    <xf numFmtId="171" fontId="0" fillId="10" borderId="1" xfId="0" applyNumberFormat="1" applyFill="1" applyBorder="1"/>
    <xf numFmtId="171" fontId="0" fillId="10" borderId="61" xfId="0" applyNumberFormat="1" applyFill="1" applyBorder="1"/>
    <xf numFmtId="171" fontId="0" fillId="10" borderId="3" xfId="0" applyNumberFormat="1" applyFill="1" applyBorder="1"/>
    <xf numFmtId="171" fontId="0" fillId="10" borderId="30" xfId="0" applyNumberFormat="1" applyFill="1" applyBorder="1"/>
    <xf numFmtId="171" fontId="0" fillId="10" borderId="31" xfId="0" applyNumberFormat="1" applyFill="1" applyBorder="1"/>
    <xf numFmtId="171" fontId="0" fillId="10" borderId="23" xfId="0" applyNumberFormat="1" applyFill="1" applyBorder="1" applyAlignment="1">
      <alignment horizontal="center"/>
    </xf>
    <xf numFmtId="171" fontId="0" fillId="10" borderId="2" xfId="0" applyNumberFormat="1" applyFill="1" applyBorder="1" applyAlignment="1">
      <alignment horizontal="center"/>
    </xf>
    <xf numFmtId="171" fontId="0" fillId="10" borderId="1" xfId="0" applyNumberFormat="1" applyFill="1" applyBorder="1" applyAlignment="1">
      <alignment horizontal="center"/>
    </xf>
    <xf numFmtId="171" fontId="0" fillId="10" borderId="24" xfId="0" applyNumberFormat="1" applyFill="1" applyBorder="1" applyAlignment="1">
      <alignment horizontal="center"/>
    </xf>
    <xf numFmtId="0" fontId="0" fillId="11" borderId="127" xfId="0" applyFill="1" applyBorder="1" applyAlignment="1">
      <alignment horizontal="center" vertical="center"/>
    </xf>
    <xf numFmtId="0" fontId="6" fillId="11" borderId="128" xfId="1" applyFont="1" applyFill="1" applyBorder="1" applyAlignment="1">
      <alignment horizontal="center" vertical="center"/>
    </xf>
    <xf numFmtId="0" fontId="0" fillId="11" borderId="78" xfId="0" applyFill="1" applyBorder="1"/>
    <xf numFmtId="0" fontId="0" fillId="11" borderId="79" xfId="0" applyFill="1" applyBorder="1"/>
    <xf numFmtId="0" fontId="14" fillId="11" borderId="79" xfId="0" applyFont="1" applyFill="1" applyBorder="1" applyAlignment="1">
      <alignment vertical="center"/>
    </xf>
    <xf numFmtId="0" fontId="4" fillId="11" borderId="79" xfId="0" applyFont="1" applyFill="1" applyBorder="1" applyAlignment="1">
      <alignment vertical="center"/>
    </xf>
    <xf numFmtId="171" fontId="0" fillId="2" borderId="33" xfId="0" applyNumberFormat="1" applyFont="1" applyFill="1" applyBorder="1" applyAlignment="1">
      <alignment horizontal="center" vertical="center"/>
    </xf>
    <xf numFmtId="171" fontId="0" fillId="2" borderId="1" xfId="0" applyNumberFormat="1" applyFont="1" applyFill="1" applyBorder="1" applyAlignment="1">
      <alignment horizontal="center" vertical="center"/>
    </xf>
    <xf numFmtId="171" fontId="0" fillId="2" borderId="43" xfId="0" applyNumberFormat="1" applyFont="1" applyFill="1" applyBorder="1" applyAlignment="1">
      <alignment horizontal="center" vertical="center"/>
    </xf>
    <xf numFmtId="0" fontId="10" fillId="11" borderId="24" xfId="0" applyFont="1" applyFill="1" applyBorder="1" applyAlignment="1">
      <alignment vertical="center"/>
    </xf>
    <xf numFmtId="0" fontId="0" fillId="0" borderId="2" xfId="0" applyFont="1" applyBorder="1" applyAlignment="1">
      <alignment horizontal="center"/>
    </xf>
    <xf numFmtId="0" fontId="0" fillId="2" borderId="2" xfId="0" applyFont="1" applyFill="1" applyBorder="1" applyAlignment="1">
      <alignment horizontal="center"/>
    </xf>
    <xf numFmtId="0" fontId="10" fillId="11" borderId="33" xfId="0" applyFont="1" applyFill="1" applyBorder="1" applyAlignment="1">
      <alignment horizontal="center" vertical="center"/>
    </xf>
    <xf numFmtId="0" fontId="10" fillId="11" borderId="43" xfId="0" applyFont="1" applyFill="1" applyBorder="1" applyAlignment="1">
      <alignment horizontal="center" vertical="center"/>
    </xf>
    <xf numFmtId="171" fontId="0" fillId="0" borderId="35" xfId="0" applyNumberFormat="1" applyBorder="1" applyAlignment="1">
      <alignment horizontal="center" vertical="center"/>
    </xf>
    <xf numFmtId="171" fontId="0" fillId="0" borderId="36" xfId="0" applyNumberFormat="1" applyBorder="1" applyAlignment="1">
      <alignment horizontal="center" vertical="center"/>
    </xf>
    <xf numFmtId="171" fontId="0" fillId="0" borderId="44" xfId="0" applyNumberFormat="1" applyBorder="1" applyAlignment="1">
      <alignment horizontal="center" vertical="center"/>
    </xf>
    <xf numFmtId="0" fontId="10" fillId="11" borderId="19" xfId="0" applyFont="1" applyFill="1" applyBorder="1" applyAlignment="1">
      <alignment horizontal="center" vertical="center"/>
    </xf>
    <xf numFmtId="0" fontId="10" fillId="11" borderId="20" xfId="0" applyFont="1" applyFill="1" applyBorder="1" applyAlignment="1">
      <alignment horizontal="center" vertical="center"/>
    </xf>
    <xf numFmtId="0" fontId="0" fillId="0" borderId="66" xfId="0" applyBorder="1" applyAlignment="1">
      <alignment horizontal="center" vertical="center"/>
    </xf>
    <xf numFmtId="171" fontId="0" fillId="0" borderId="3" xfId="0" applyNumberFormat="1" applyBorder="1" applyAlignment="1">
      <alignment horizontal="center" vertical="center"/>
    </xf>
    <xf numFmtId="171" fontId="0" fillId="0" borderId="62" xfId="0" applyNumberFormat="1" applyBorder="1" applyAlignment="1">
      <alignment horizontal="center" vertical="center"/>
    </xf>
    <xf numFmtId="0" fontId="0" fillId="0" borderId="43" xfId="0" applyBorder="1" applyAlignment="1">
      <alignment vertical="center"/>
    </xf>
    <xf numFmtId="0" fontId="0" fillId="0" borderId="2" xfId="0" applyBorder="1" applyAlignment="1">
      <alignment horizontal="center" vertical="center"/>
    </xf>
    <xf numFmtId="171" fontId="0" fillId="0" borderId="1" xfId="0" applyNumberFormat="1" applyBorder="1" applyAlignment="1">
      <alignment horizontal="center" vertical="center"/>
    </xf>
    <xf numFmtId="171" fontId="0" fillId="0" borderId="43" xfId="0" applyNumberFormat="1" applyBorder="1" applyAlignment="1">
      <alignment horizontal="center" vertical="center"/>
    </xf>
    <xf numFmtId="0" fontId="0" fillId="0" borderId="34" xfId="0" applyBorder="1" applyAlignment="1">
      <alignment vertical="center"/>
    </xf>
    <xf numFmtId="0" fontId="0" fillId="0" borderId="69" xfId="0" applyBorder="1" applyAlignment="1">
      <alignment horizontal="center" vertical="center"/>
    </xf>
    <xf numFmtId="171" fontId="0" fillId="0" borderId="63" xfId="0" applyNumberFormat="1" applyBorder="1" applyAlignment="1">
      <alignment horizontal="center" vertical="center"/>
    </xf>
    <xf numFmtId="171" fontId="0" fillId="0" borderId="34" xfId="0" applyNumberFormat="1" applyBorder="1" applyAlignment="1">
      <alignment horizontal="center" vertical="center"/>
    </xf>
    <xf numFmtId="0" fontId="0" fillId="10" borderId="71" xfId="0" applyFill="1" applyBorder="1" applyAlignment="1">
      <alignment horizontal="center" vertical="center"/>
    </xf>
    <xf numFmtId="171" fontId="0" fillId="10" borderId="21" xfId="0" applyNumberFormat="1" applyFill="1" applyBorder="1" applyAlignment="1">
      <alignment horizontal="center" vertical="center"/>
    </xf>
    <xf numFmtId="171" fontId="0" fillId="10" borderId="20" xfId="0" applyNumberFormat="1" applyFill="1" applyBorder="1" applyAlignment="1">
      <alignment horizontal="center" vertical="center"/>
    </xf>
    <xf numFmtId="171" fontId="0" fillId="0" borderId="75" xfId="0" applyNumberFormat="1" applyBorder="1" applyAlignment="1">
      <alignment horizontal="center" vertical="center"/>
    </xf>
    <xf numFmtId="171" fontId="0" fillId="0" borderId="26" xfId="0" applyNumberFormat="1" applyBorder="1" applyAlignment="1">
      <alignment horizontal="center" vertical="center"/>
    </xf>
    <xf numFmtId="171" fontId="0" fillId="0" borderId="46" xfId="0" applyNumberFormat="1" applyBorder="1" applyAlignment="1">
      <alignment horizontal="center" vertical="center"/>
    </xf>
    <xf numFmtId="171" fontId="0" fillId="10" borderId="71"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1" borderId="129" xfId="0" applyFill="1" applyBorder="1"/>
    <xf numFmtId="0" fontId="0" fillId="11" borderId="130" xfId="0" applyFill="1" applyBorder="1"/>
    <xf numFmtId="0" fontId="14" fillId="11" borderId="130" xfId="0" applyFont="1" applyFill="1" applyBorder="1" applyAlignment="1">
      <alignment vertical="center"/>
    </xf>
    <xf numFmtId="0" fontId="0" fillId="11" borderId="130" xfId="0" applyFill="1" applyBorder="1" applyAlignment="1">
      <alignment horizontal="center" vertical="center"/>
    </xf>
    <xf numFmtId="0" fontId="4" fillId="11" borderId="130" xfId="0" applyFont="1" applyFill="1" applyBorder="1" applyAlignment="1">
      <alignment vertical="center"/>
    </xf>
    <xf numFmtId="0" fontId="10" fillId="16" borderId="35" xfId="0" applyFont="1" applyFill="1" applyBorder="1" applyAlignment="1">
      <alignment horizontal="center" vertical="center"/>
    </xf>
    <xf numFmtId="0" fontId="0" fillId="0" borderId="0" xfId="0" applyAlignment="1">
      <alignment vertical="center"/>
    </xf>
    <xf numFmtId="0" fontId="10" fillId="16" borderId="43" xfId="0" applyFont="1" applyFill="1" applyBorder="1" applyAlignment="1">
      <alignment horizontal="center" vertical="center"/>
    </xf>
    <xf numFmtId="0" fontId="10" fillId="16" borderId="1" xfId="0" applyFont="1" applyFill="1" applyBorder="1" applyAlignment="1">
      <alignment horizontal="center" vertical="center"/>
    </xf>
    <xf numFmtId="0" fontId="10" fillId="16" borderId="1" xfId="0" applyFont="1" applyFill="1" applyBorder="1" applyAlignment="1">
      <alignment horizontal="center" vertical="center" wrapText="1"/>
    </xf>
    <xf numFmtId="0" fontId="10" fillId="16" borderId="33" xfId="0" applyFont="1" applyFill="1" applyBorder="1" applyAlignment="1">
      <alignment horizontal="center" vertical="center"/>
    </xf>
    <xf numFmtId="0" fontId="0" fillId="11" borderId="1" xfId="0" applyFill="1" applyBorder="1" applyAlignment="1">
      <alignment horizontal="left" vertical="center" wrapText="1"/>
    </xf>
    <xf numFmtId="0" fontId="0" fillId="11" borderId="1" xfId="0" applyFill="1" applyBorder="1" applyAlignment="1">
      <alignment horizontal="center" vertical="center"/>
    </xf>
    <xf numFmtId="0" fontId="0" fillId="11" borderId="43" xfId="0" applyFill="1" applyBorder="1" applyAlignment="1">
      <alignment horizontal="center" vertical="center"/>
    </xf>
    <xf numFmtId="0" fontId="0" fillId="11" borderId="1" xfId="0" applyFill="1" applyBorder="1" applyAlignment="1">
      <alignment vertical="center"/>
    </xf>
    <xf numFmtId="0" fontId="0" fillId="11" borderId="1" xfId="0" applyFill="1" applyBorder="1" applyAlignment="1">
      <alignment vertical="center" wrapText="1"/>
    </xf>
    <xf numFmtId="0" fontId="12" fillId="11" borderId="1" xfId="7" applyFont="1" applyFill="1" applyBorder="1" applyAlignment="1">
      <alignment horizontal="left" vertical="center" wrapText="1"/>
    </xf>
    <xf numFmtId="0" fontId="0" fillId="11" borderId="1" xfId="0" applyFill="1" applyBorder="1"/>
    <xf numFmtId="171" fontId="0" fillId="11" borderId="1" xfId="0" applyNumberFormat="1" applyFont="1" applyFill="1" applyBorder="1" applyAlignment="1">
      <alignment horizontal="center"/>
    </xf>
    <xf numFmtId="0" fontId="0" fillId="11" borderId="24" xfId="0" applyFill="1" applyBorder="1" applyAlignment="1">
      <alignment vertical="center"/>
    </xf>
    <xf numFmtId="0" fontId="0" fillId="11" borderId="2" xfId="0" applyFill="1" applyBorder="1" applyAlignment="1">
      <alignment vertical="center"/>
    </xf>
    <xf numFmtId="0" fontId="0" fillId="11" borderId="24" xfId="0" applyFill="1" applyBorder="1"/>
    <xf numFmtId="0" fontId="0" fillId="11" borderId="2" xfId="0" applyFill="1" applyBorder="1"/>
    <xf numFmtId="171" fontId="10" fillId="11" borderId="1" xfId="0" applyNumberFormat="1" applyFont="1" applyFill="1" applyBorder="1" applyAlignment="1">
      <alignment horizontal="right"/>
    </xf>
    <xf numFmtId="0" fontId="0" fillId="11" borderId="3" xfId="0" applyFill="1" applyBorder="1" applyAlignment="1">
      <alignment horizontal="center"/>
    </xf>
    <xf numFmtId="10" fontId="0" fillId="2" borderId="3" xfId="0" applyNumberFormat="1" applyFill="1" applyBorder="1" applyAlignment="1">
      <alignment horizontal="center"/>
    </xf>
    <xf numFmtId="0" fontId="0" fillId="10" borderId="2" xfId="0" applyFill="1" applyBorder="1"/>
    <xf numFmtId="0" fontId="0" fillId="10" borderId="1" xfId="0" applyFill="1" applyBorder="1" applyAlignment="1">
      <alignment horizontal="center" vertical="center"/>
    </xf>
    <xf numFmtId="171" fontId="0" fillId="10" borderId="1" xfId="0" applyNumberFormat="1" applyFill="1" applyBorder="1" applyAlignment="1">
      <alignment horizontal="center" vertical="center"/>
    </xf>
    <xf numFmtId="0" fontId="0" fillId="10" borderId="24" xfId="0" applyFill="1" applyBorder="1"/>
    <xf numFmtId="2" fontId="10" fillId="9" borderId="1" xfId="0" applyNumberFormat="1" applyFont="1" applyFill="1" applyBorder="1" applyAlignment="1">
      <alignment horizontal="center" vertical="center"/>
    </xf>
    <xf numFmtId="0" fontId="3" fillId="2" borderId="0" xfId="0" applyFont="1" applyFill="1" applyAlignment="1">
      <alignment horizontal="center"/>
    </xf>
    <xf numFmtId="0" fontId="7" fillId="11" borderId="123" xfId="0" applyFont="1" applyFill="1" applyBorder="1" applyAlignment="1">
      <alignment horizontal="center" vertical="center"/>
    </xf>
    <xf numFmtId="0" fontId="7" fillId="11" borderId="124" xfId="0" applyFont="1" applyFill="1" applyBorder="1" applyAlignment="1">
      <alignment horizontal="center" vertical="center"/>
    </xf>
    <xf numFmtId="0" fontId="13" fillId="11" borderId="78" xfId="0" applyFont="1" applyFill="1" applyBorder="1" applyAlignment="1">
      <alignment horizontal="left"/>
    </xf>
    <xf numFmtId="0" fontId="13" fillId="11" borderId="79" xfId="0" applyFont="1" applyFill="1" applyBorder="1" applyAlignment="1">
      <alignment horizontal="left"/>
    </xf>
    <xf numFmtId="0" fontId="13" fillId="11" borderId="80" xfId="0" applyFont="1" applyFill="1" applyBorder="1" applyAlignment="1">
      <alignment horizontal="left"/>
    </xf>
    <xf numFmtId="0" fontId="13" fillId="11" borderId="92" xfId="0" applyFont="1" applyFill="1" applyBorder="1" applyAlignment="1">
      <alignment horizontal="left"/>
    </xf>
    <xf numFmtId="0" fontId="18" fillId="11" borderId="13" xfId="0" applyFont="1" applyFill="1" applyBorder="1" applyAlignment="1">
      <alignment horizontal="center" vertical="center" wrapText="1"/>
    </xf>
    <xf numFmtId="0" fontId="18" fillId="11" borderId="8" xfId="0" applyFont="1" applyFill="1" applyBorder="1" applyAlignment="1">
      <alignment horizontal="center" vertical="center" wrapText="1"/>
    </xf>
    <xf numFmtId="0" fontId="18" fillId="11" borderId="9" xfId="0" applyFont="1" applyFill="1" applyBorder="1" applyAlignment="1">
      <alignment horizontal="center" vertical="center" wrapText="1"/>
    </xf>
    <xf numFmtId="0" fontId="18" fillId="11" borderId="14" xfId="0" applyFont="1" applyFill="1" applyBorder="1" applyAlignment="1">
      <alignment horizontal="center" vertical="center" wrapText="1"/>
    </xf>
    <xf numFmtId="0" fontId="18" fillId="11" borderId="0" xfId="0" applyFont="1" applyFill="1" applyBorder="1" applyAlignment="1">
      <alignment horizontal="center" vertical="center" wrapText="1"/>
    </xf>
    <xf numFmtId="0" fontId="18" fillId="11" borderId="10" xfId="0" applyFont="1" applyFill="1" applyBorder="1" applyAlignment="1">
      <alignment horizontal="center" vertical="center" wrapText="1"/>
    </xf>
    <xf numFmtId="0" fontId="18" fillId="11" borderId="15" xfId="0" applyFont="1" applyFill="1" applyBorder="1" applyAlignment="1">
      <alignment horizontal="center" vertical="center" wrapText="1"/>
    </xf>
    <xf numFmtId="0" fontId="18" fillId="11" borderId="11" xfId="0" applyFont="1" applyFill="1" applyBorder="1" applyAlignment="1">
      <alignment horizontal="center" vertical="center" wrapText="1"/>
    </xf>
    <xf numFmtId="0" fontId="18" fillId="11" borderId="12" xfId="0" applyFont="1" applyFill="1" applyBorder="1" applyAlignment="1">
      <alignment horizontal="center" vertical="center" wrapText="1"/>
    </xf>
    <xf numFmtId="0" fontId="18" fillId="11" borderId="4" xfId="0" applyFont="1" applyFill="1" applyBorder="1" applyAlignment="1">
      <alignment horizontal="center" vertical="center" wrapText="1"/>
    </xf>
    <xf numFmtId="0" fontId="18" fillId="11" borderId="5" xfId="0" applyFont="1" applyFill="1" applyBorder="1" applyAlignment="1">
      <alignment horizontal="center" vertical="center" wrapText="1"/>
    </xf>
    <xf numFmtId="0" fontId="18" fillId="11" borderId="6" xfId="0" applyFont="1" applyFill="1" applyBorder="1" applyAlignment="1">
      <alignment horizontal="center" vertical="center" wrapText="1"/>
    </xf>
    <xf numFmtId="0" fontId="6" fillId="2" borderId="86" xfId="0" applyFont="1" applyFill="1" applyBorder="1" applyAlignment="1">
      <alignment horizontal="left" vertical="center" wrapText="1"/>
    </xf>
    <xf numFmtId="0" fontId="6" fillId="2" borderId="87" xfId="0" applyFont="1" applyFill="1" applyBorder="1" applyAlignment="1">
      <alignment horizontal="left" vertical="center" wrapText="1"/>
    </xf>
    <xf numFmtId="0" fontId="6" fillId="2" borderId="88" xfId="0" applyFont="1" applyFill="1" applyBorder="1" applyAlignment="1">
      <alignment horizontal="left" vertical="center" wrapText="1"/>
    </xf>
    <xf numFmtId="0" fontId="6" fillId="2" borderId="81" xfId="0" applyFont="1" applyFill="1" applyBorder="1" applyAlignment="1">
      <alignment horizontal="left" vertical="center" wrapText="1"/>
    </xf>
    <xf numFmtId="0" fontId="6" fillId="2" borderId="82" xfId="0" applyFont="1" applyFill="1" applyBorder="1" applyAlignment="1">
      <alignment horizontal="left" vertical="center" wrapText="1"/>
    </xf>
    <xf numFmtId="0" fontId="6" fillId="2" borderId="83" xfId="0" applyFont="1" applyFill="1" applyBorder="1" applyAlignment="1">
      <alignment horizontal="left" vertical="center" wrapText="1"/>
    </xf>
    <xf numFmtId="0" fontId="6" fillId="2" borderId="89" xfId="0" applyFont="1" applyFill="1" applyBorder="1" applyAlignment="1">
      <alignment horizontal="left" vertical="center" wrapText="1"/>
    </xf>
    <xf numFmtId="0" fontId="6" fillId="2" borderId="90" xfId="0" applyFont="1" applyFill="1" applyBorder="1" applyAlignment="1">
      <alignment horizontal="left" vertical="center" wrapText="1"/>
    </xf>
    <xf numFmtId="0" fontId="6" fillId="2" borderId="91" xfId="0" applyFont="1" applyFill="1" applyBorder="1" applyAlignment="1">
      <alignment horizontal="left" vertical="center" wrapText="1"/>
    </xf>
    <xf numFmtId="0" fontId="27" fillId="6" borderId="33" xfId="0" applyFont="1" applyFill="1" applyBorder="1" applyAlignment="1">
      <alignment horizontal="center" vertical="center" wrapText="1"/>
    </xf>
    <xf numFmtId="0" fontId="27" fillId="6" borderId="24" xfId="0" applyFont="1" applyFill="1" applyBorder="1" applyAlignment="1">
      <alignment horizontal="center" vertical="center" wrapText="1"/>
    </xf>
    <xf numFmtId="0" fontId="13" fillId="11" borderId="94" xfId="0" applyFont="1" applyFill="1" applyBorder="1" applyAlignment="1">
      <alignment horizontal="left"/>
    </xf>
    <xf numFmtId="0" fontId="13" fillId="11" borderId="87" xfId="0" applyFont="1" applyFill="1" applyBorder="1" applyAlignment="1">
      <alignment horizontal="left"/>
    </xf>
    <xf numFmtId="0" fontId="13" fillId="11" borderId="95" xfId="0" applyFont="1" applyFill="1" applyBorder="1" applyAlignment="1">
      <alignment horizontal="left"/>
    </xf>
    <xf numFmtId="0" fontId="13" fillId="11" borderId="84" xfId="0" applyFont="1" applyFill="1" applyBorder="1" applyAlignment="1">
      <alignment horizontal="left"/>
    </xf>
    <xf numFmtId="0" fontId="13" fillId="11" borderId="85" xfId="0" applyFont="1" applyFill="1" applyBorder="1" applyAlignment="1">
      <alignment horizontal="left"/>
    </xf>
    <xf numFmtId="0" fontId="27" fillId="6" borderId="30" xfId="0" applyFont="1" applyFill="1" applyBorder="1" applyAlignment="1">
      <alignment horizontal="center" vertical="center" wrapText="1"/>
    </xf>
    <xf numFmtId="0" fontId="27" fillId="6" borderId="22" xfId="0" applyFont="1" applyFill="1" applyBorder="1" applyAlignment="1">
      <alignment horizontal="center" vertical="center" wrapText="1"/>
    </xf>
    <xf numFmtId="0" fontId="27" fillId="6" borderId="35" xfId="0" applyFont="1" applyFill="1" applyBorder="1" applyAlignment="1">
      <alignment horizontal="center" vertical="center" wrapText="1"/>
    </xf>
    <xf numFmtId="0" fontId="27" fillId="6" borderId="39" xfId="0" applyFont="1" applyFill="1" applyBorder="1" applyAlignment="1">
      <alignment horizontal="center" vertical="center" wrapText="1"/>
    </xf>
    <xf numFmtId="0" fontId="18" fillId="17" borderId="16" xfId="0" applyFont="1" applyFill="1" applyBorder="1" applyAlignment="1">
      <alignment horizontal="center" vertical="center" wrapText="1"/>
    </xf>
    <xf numFmtId="0" fontId="18" fillId="17" borderId="7" xfId="0" applyFont="1" applyFill="1" applyBorder="1" applyAlignment="1">
      <alignment horizontal="center" vertical="center" wrapText="1"/>
    </xf>
    <xf numFmtId="0" fontId="27" fillId="10" borderId="30" xfId="0" applyFont="1" applyFill="1" applyBorder="1" applyAlignment="1">
      <alignment horizontal="center" vertical="center" wrapText="1"/>
    </xf>
    <xf numFmtId="0" fontId="27" fillId="10" borderId="47" xfId="0" applyFont="1" applyFill="1" applyBorder="1" applyAlignment="1">
      <alignment horizontal="center" vertical="center" wrapText="1"/>
    </xf>
    <xf numFmtId="0" fontId="27" fillId="10" borderId="33" xfId="0" applyFont="1" applyFill="1" applyBorder="1" applyAlignment="1">
      <alignment horizontal="center" vertical="center" wrapText="1"/>
    </xf>
    <xf numFmtId="0" fontId="27" fillId="10" borderId="43" xfId="0" applyFont="1" applyFill="1" applyBorder="1" applyAlignment="1">
      <alignment horizontal="center" vertical="center" wrapText="1"/>
    </xf>
    <xf numFmtId="0" fontId="27" fillId="10" borderId="96" xfId="0" applyFont="1" applyFill="1" applyBorder="1" applyAlignment="1">
      <alignment horizontal="center" vertical="center" wrapText="1"/>
    </xf>
    <xf numFmtId="0" fontId="27" fillId="10" borderId="93" xfId="0" applyFont="1" applyFill="1" applyBorder="1" applyAlignment="1">
      <alignment horizontal="center" vertical="center" wrapText="1"/>
    </xf>
    <xf numFmtId="0" fontId="27" fillId="10" borderId="14" xfId="0" applyFont="1" applyFill="1" applyBorder="1" applyAlignment="1">
      <alignment horizontal="center" vertical="center" wrapText="1"/>
    </xf>
    <xf numFmtId="0" fontId="27" fillId="10" borderId="10" xfId="0" applyFont="1" applyFill="1" applyBorder="1" applyAlignment="1">
      <alignment horizontal="center" vertical="center" wrapText="1"/>
    </xf>
    <xf numFmtId="0" fontId="27" fillId="10" borderId="15" xfId="0" applyFont="1" applyFill="1" applyBorder="1" applyAlignment="1">
      <alignment horizontal="center" vertical="center" wrapText="1"/>
    </xf>
    <xf numFmtId="0" fontId="27" fillId="10" borderId="12" xfId="0" applyFont="1" applyFill="1" applyBorder="1" applyAlignment="1">
      <alignment horizontal="center" vertical="center" wrapText="1"/>
    </xf>
    <xf numFmtId="0" fontId="0" fillId="18" borderId="24" xfId="0" applyFont="1" applyFill="1" applyBorder="1" applyAlignment="1">
      <alignment horizontal="center" vertical="center"/>
    </xf>
    <xf numFmtId="0" fontId="0" fillId="18" borderId="2" xfId="0" applyFont="1" applyFill="1" applyBorder="1" applyAlignment="1">
      <alignment horizontal="center" vertical="center"/>
    </xf>
    <xf numFmtId="0" fontId="0" fillId="18" borderId="48" xfId="0" applyFont="1" applyFill="1" applyBorder="1" applyAlignment="1">
      <alignment horizontal="center" vertical="center"/>
    </xf>
    <xf numFmtId="0" fontId="0" fillId="18" borderId="49" xfId="0" applyFont="1" applyFill="1" applyBorder="1" applyAlignment="1">
      <alignment horizontal="center" vertical="center"/>
    </xf>
    <xf numFmtId="0" fontId="10" fillId="11" borderId="40" xfId="0" applyFont="1" applyFill="1" applyBorder="1" applyAlignment="1">
      <alignment horizontal="center" vertical="center"/>
    </xf>
    <xf numFmtId="0" fontId="10" fillId="11" borderId="32" xfId="0" applyFont="1" applyFill="1" applyBorder="1" applyAlignment="1">
      <alignment horizontal="center" vertical="center"/>
    </xf>
    <xf numFmtId="0" fontId="0" fillId="18" borderId="31" xfId="0" applyFont="1" applyFill="1" applyBorder="1" applyAlignment="1">
      <alignment horizontal="center" vertical="center"/>
    </xf>
    <xf numFmtId="0" fontId="0" fillId="18" borderId="1" xfId="0" applyFont="1" applyFill="1" applyBorder="1" applyAlignment="1">
      <alignment horizontal="center" vertical="center"/>
    </xf>
    <xf numFmtId="9" fontId="10" fillId="7" borderId="48" xfId="3" applyFont="1" applyFill="1" applyBorder="1" applyAlignment="1">
      <alignment horizontal="center" vertical="center"/>
    </xf>
    <xf numFmtId="9" fontId="10" fillId="7" borderId="49" xfId="3" applyFont="1" applyFill="1" applyBorder="1" applyAlignment="1">
      <alignment horizontal="center" vertical="center"/>
    </xf>
    <xf numFmtId="0" fontId="0" fillId="18" borderId="43" xfId="0" applyFont="1" applyFill="1" applyBorder="1" applyAlignment="1">
      <alignment horizontal="center" vertical="center"/>
    </xf>
    <xf numFmtId="0" fontId="0" fillId="18" borderId="47" xfId="0" applyFont="1" applyFill="1" applyBorder="1" applyAlignment="1">
      <alignment horizontal="center" vertical="center"/>
    </xf>
    <xf numFmtId="0" fontId="8" fillId="2" borderId="13" xfId="0" applyFont="1" applyFill="1" applyBorder="1" applyAlignment="1">
      <alignment horizontal="left" vertical="top" wrapText="1"/>
    </xf>
    <xf numFmtId="0" fontId="8" fillId="2" borderId="8" xfId="0" applyFont="1" applyFill="1" applyBorder="1" applyAlignment="1">
      <alignment horizontal="left" vertical="top" wrapText="1"/>
    </xf>
    <xf numFmtId="0" fontId="8" fillId="2" borderId="9" xfId="0" applyFont="1" applyFill="1" applyBorder="1" applyAlignment="1">
      <alignment horizontal="left" vertical="top" wrapText="1"/>
    </xf>
    <xf numFmtId="0" fontId="8" fillId="2" borderId="14"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10" xfId="0" applyFont="1" applyFill="1" applyBorder="1" applyAlignment="1">
      <alignment horizontal="left" vertical="top" wrapText="1"/>
    </xf>
    <xf numFmtId="0" fontId="8" fillId="2" borderId="15" xfId="0" applyFont="1" applyFill="1" applyBorder="1" applyAlignment="1">
      <alignment horizontal="left" vertical="top" wrapText="1"/>
    </xf>
    <xf numFmtId="0" fontId="8" fillId="2" borderId="11" xfId="0" applyFont="1" applyFill="1" applyBorder="1" applyAlignment="1">
      <alignment horizontal="left" vertical="top" wrapText="1"/>
    </xf>
    <xf numFmtId="0" fontId="8" fillId="2" borderId="12" xfId="0" applyFont="1" applyFill="1" applyBorder="1" applyAlignment="1">
      <alignment horizontal="left" vertical="top" wrapText="1"/>
    </xf>
    <xf numFmtId="0" fontId="19" fillId="16" borderId="16" xfId="0" applyFont="1" applyFill="1" applyBorder="1" applyAlignment="1">
      <alignment horizontal="left"/>
    </xf>
    <xf numFmtId="0" fontId="19" fillId="16" borderId="17" xfId="0" applyFont="1" applyFill="1" applyBorder="1" applyAlignment="1">
      <alignment horizontal="left"/>
    </xf>
    <xf numFmtId="0" fontId="19" fillId="16" borderId="7" xfId="0" applyFont="1" applyFill="1" applyBorder="1" applyAlignment="1">
      <alignment horizontal="left"/>
    </xf>
    <xf numFmtId="0" fontId="7" fillId="11" borderId="41" xfId="0" applyFont="1" applyFill="1" applyBorder="1" applyAlignment="1">
      <alignment horizontal="center" vertical="center"/>
    </xf>
    <xf numFmtId="0" fontId="7" fillId="11" borderId="34" xfId="0" applyFont="1" applyFill="1" applyBorder="1" applyAlignment="1">
      <alignment horizontal="center" vertical="center"/>
    </xf>
    <xf numFmtId="0" fontId="10" fillId="11" borderId="8" xfId="0" applyFont="1" applyFill="1" applyBorder="1" applyAlignment="1">
      <alignment horizontal="center" vertical="center"/>
    </xf>
    <xf numFmtId="0" fontId="10" fillId="11" borderId="9" xfId="0" applyFont="1" applyFill="1" applyBorder="1" applyAlignment="1">
      <alignment horizontal="center" vertical="center"/>
    </xf>
    <xf numFmtId="0" fontId="10" fillId="11" borderId="13" xfId="0" applyFont="1" applyFill="1" applyBorder="1" applyAlignment="1">
      <alignment horizontal="center" vertical="center"/>
    </xf>
    <xf numFmtId="0" fontId="0" fillId="18" borderId="50" xfId="0" applyFont="1" applyFill="1" applyBorder="1" applyAlignment="1">
      <alignment horizontal="center" vertical="center"/>
    </xf>
    <xf numFmtId="0" fontId="0" fillId="18" borderId="54" xfId="0" applyFont="1" applyFill="1" applyBorder="1" applyAlignment="1">
      <alignment horizontal="center" vertical="center"/>
    </xf>
    <xf numFmtId="0" fontId="13" fillId="16" borderId="16" xfId="0" applyFont="1" applyFill="1" applyBorder="1" applyAlignment="1">
      <alignment horizontal="center"/>
    </xf>
    <xf numFmtId="0" fontId="13" fillId="16" borderId="17" xfId="0" applyFont="1" applyFill="1" applyBorder="1" applyAlignment="1">
      <alignment horizontal="center"/>
    </xf>
    <xf numFmtId="0" fontId="13" fillId="16" borderId="7" xfId="0" applyFont="1" applyFill="1" applyBorder="1" applyAlignment="1">
      <alignment horizontal="center"/>
    </xf>
    <xf numFmtId="166" fontId="21" fillId="11" borderId="51" xfId="2" applyFont="1" applyFill="1" applyBorder="1" applyAlignment="1">
      <alignment horizontal="center" vertical="center"/>
    </xf>
    <xf numFmtId="166" fontId="21" fillId="11" borderId="48" xfId="2" applyFont="1" applyFill="1" applyBorder="1" applyAlignment="1">
      <alignment horizontal="center" vertical="center"/>
    </xf>
    <xf numFmtId="166" fontId="21" fillId="11" borderId="50" xfId="2" applyFont="1" applyFill="1" applyBorder="1" applyAlignment="1">
      <alignment horizontal="center" vertical="center"/>
    </xf>
    <xf numFmtId="166" fontId="21" fillId="11" borderId="27" xfId="2" applyFont="1" applyFill="1" applyBorder="1" applyAlignment="1">
      <alignment horizontal="center" vertical="center"/>
    </xf>
    <xf numFmtId="166" fontId="21" fillId="11" borderId="24" xfId="2" applyFont="1" applyFill="1" applyBorder="1" applyAlignment="1">
      <alignment horizontal="center" vertical="center"/>
    </xf>
    <xf numFmtId="166" fontId="21" fillId="11" borderId="39" xfId="2" applyFont="1" applyFill="1" applyBorder="1" applyAlignment="1">
      <alignment horizontal="center" vertical="center"/>
    </xf>
    <xf numFmtId="166" fontId="21" fillId="11" borderId="52" xfId="2" applyFont="1" applyFill="1" applyBorder="1" applyAlignment="1">
      <alignment horizontal="center" vertical="center"/>
    </xf>
    <xf numFmtId="166" fontId="21" fillId="11" borderId="41" xfId="2" applyFont="1" applyFill="1" applyBorder="1" applyAlignment="1">
      <alignment horizontal="center" vertical="center"/>
    </xf>
    <xf numFmtId="166" fontId="21" fillId="11" borderId="42" xfId="2" applyFont="1" applyFill="1" applyBorder="1" applyAlignment="1">
      <alignment horizontal="center" vertical="center"/>
    </xf>
    <xf numFmtId="166" fontId="21" fillId="11" borderId="34" xfId="2" applyFont="1" applyFill="1" applyBorder="1" applyAlignment="1">
      <alignment horizontal="center" vertical="center"/>
    </xf>
    <xf numFmtId="166" fontId="21" fillId="11" borderId="38" xfId="2" applyFont="1" applyFill="1" applyBorder="1" applyAlignment="1">
      <alignment horizontal="center" vertical="center"/>
    </xf>
    <xf numFmtId="0" fontId="10" fillId="11" borderId="51" xfId="0" applyFont="1" applyFill="1" applyBorder="1" applyAlignment="1">
      <alignment horizontal="center" vertical="center"/>
    </xf>
    <xf numFmtId="166" fontId="21" fillId="11" borderId="40" xfId="2" applyFont="1" applyFill="1" applyBorder="1" applyAlignment="1">
      <alignment horizontal="center" vertical="center"/>
    </xf>
    <xf numFmtId="166" fontId="21" fillId="11" borderId="18" xfId="2" applyFont="1" applyFill="1" applyBorder="1" applyAlignment="1">
      <alignment horizontal="center" vertical="center"/>
    </xf>
    <xf numFmtId="0" fontId="10" fillId="11" borderId="18" xfId="0" applyFont="1" applyFill="1" applyBorder="1" applyAlignment="1">
      <alignment horizontal="center" vertical="center"/>
    </xf>
    <xf numFmtId="0" fontId="6" fillId="2" borderId="16" xfId="0" applyFont="1" applyFill="1" applyBorder="1" applyAlignment="1">
      <alignment horizontal="left" vertical="center" wrapText="1"/>
    </xf>
    <xf numFmtId="0" fontId="6" fillId="2" borderId="17" xfId="0" applyFont="1" applyFill="1" applyBorder="1" applyAlignment="1">
      <alignment horizontal="left" vertical="center"/>
    </xf>
    <xf numFmtId="0" fontId="6" fillId="2" borderId="7" xfId="0" applyFont="1" applyFill="1" applyBorder="1" applyAlignment="1">
      <alignment horizontal="left" vertical="center"/>
    </xf>
    <xf numFmtId="0" fontId="0" fillId="18" borderId="36" xfId="0" applyFont="1" applyFill="1" applyBorder="1" applyAlignment="1">
      <alignment horizontal="center" vertical="center"/>
    </xf>
    <xf numFmtId="166" fontId="21" fillId="11" borderId="22" xfId="2" applyFont="1" applyFill="1" applyBorder="1" applyAlignment="1">
      <alignment horizontal="center" vertical="center"/>
    </xf>
    <xf numFmtId="166" fontId="21" fillId="11" borderId="29" xfId="2" applyFont="1" applyFill="1" applyBorder="1" applyAlignment="1">
      <alignment horizontal="center" vertical="center"/>
    </xf>
    <xf numFmtId="0" fontId="0" fillId="18" borderId="39" xfId="0" applyFont="1" applyFill="1" applyBorder="1" applyAlignment="1">
      <alignment horizontal="center" vertical="center"/>
    </xf>
    <xf numFmtId="0" fontId="6" fillId="2" borderId="16" xfId="0" applyFont="1" applyFill="1" applyBorder="1" applyAlignment="1">
      <alignment horizontal="left" vertical="top" wrapText="1"/>
    </xf>
    <xf numFmtId="0" fontId="6" fillId="2" borderId="8" xfId="0" applyFont="1" applyFill="1" applyBorder="1" applyAlignment="1">
      <alignment horizontal="left" vertical="top"/>
    </xf>
    <xf numFmtId="0" fontId="6" fillId="2" borderId="17" xfId="0" applyFont="1" applyFill="1" applyBorder="1" applyAlignment="1">
      <alignment horizontal="left" vertical="top"/>
    </xf>
    <xf numFmtId="0" fontId="6" fillId="2" borderId="7" xfId="0" applyFont="1" applyFill="1" applyBorder="1" applyAlignment="1">
      <alignment horizontal="left" vertical="top"/>
    </xf>
    <xf numFmtId="0" fontId="10" fillId="11" borderId="0" xfId="0" applyFont="1" applyFill="1" applyBorder="1" applyAlignment="1">
      <alignment horizontal="center" vertical="center"/>
    </xf>
    <xf numFmtId="0" fontId="10" fillId="11" borderId="10" xfId="0" applyFont="1" applyFill="1" applyBorder="1" applyAlignment="1">
      <alignment horizontal="center" vertical="center"/>
    </xf>
    <xf numFmtId="0" fontId="13" fillId="16" borderId="16" xfId="0" applyFont="1" applyFill="1" applyBorder="1" applyAlignment="1">
      <alignment horizontal="left"/>
    </xf>
    <xf numFmtId="0" fontId="13" fillId="16" borderId="17" xfId="0" applyFont="1" applyFill="1" applyBorder="1" applyAlignment="1">
      <alignment horizontal="left"/>
    </xf>
    <xf numFmtId="0" fontId="13" fillId="16" borderId="7" xfId="0" applyFont="1" applyFill="1" applyBorder="1" applyAlignment="1">
      <alignment horizontal="left"/>
    </xf>
    <xf numFmtId="166" fontId="21" fillId="11" borderId="32" xfId="2" applyFont="1" applyFill="1" applyBorder="1" applyAlignment="1">
      <alignment horizontal="center" vertical="center"/>
    </xf>
    <xf numFmtId="0" fontId="29" fillId="11" borderId="99" xfId="0" applyFont="1" applyFill="1" applyBorder="1" applyAlignment="1">
      <alignment horizontal="center"/>
    </xf>
    <xf numFmtId="0" fontId="29" fillId="11" borderId="100" xfId="0" applyFont="1" applyFill="1" applyBorder="1" applyAlignment="1">
      <alignment horizontal="center"/>
    </xf>
    <xf numFmtId="0" fontId="28" fillId="8" borderId="13" xfId="0" applyFont="1" applyFill="1" applyBorder="1" applyAlignment="1">
      <alignment horizontal="center" vertical="center"/>
    </xf>
    <xf numFmtId="0" fontId="28" fillId="8" borderId="9" xfId="0" applyFont="1" applyFill="1" applyBorder="1" applyAlignment="1">
      <alignment horizontal="center" vertical="center"/>
    </xf>
    <xf numFmtId="0" fontId="28" fillId="8" borderId="14" xfId="0" applyFont="1" applyFill="1" applyBorder="1" applyAlignment="1">
      <alignment horizontal="center" vertical="center"/>
    </xf>
    <xf numFmtId="0" fontId="28" fillId="8" borderId="10" xfId="0" applyFont="1" applyFill="1" applyBorder="1" applyAlignment="1">
      <alignment horizontal="center" vertical="center"/>
    </xf>
    <xf numFmtId="0" fontId="28" fillId="8" borderId="15" xfId="0" applyFont="1" applyFill="1" applyBorder="1" applyAlignment="1">
      <alignment horizontal="center" vertical="center"/>
    </xf>
    <xf numFmtId="0" fontId="28" fillId="8" borderId="12" xfId="0" applyFont="1" applyFill="1" applyBorder="1" applyAlignment="1">
      <alignment horizontal="center" vertical="center"/>
    </xf>
    <xf numFmtId="0" fontId="0" fillId="18" borderId="23" xfId="0" applyFont="1" applyFill="1" applyBorder="1" applyAlignment="1">
      <alignment horizontal="center" vertical="center"/>
    </xf>
    <xf numFmtId="0" fontId="29" fillId="11" borderId="11" xfId="0" applyFont="1" applyFill="1" applyBorder="1" applyAlignment="1">
      <alignment horizontal="left"/>
    </xf>
    <xf numFmtId="0" fontId="29" fillId="11" borderId="12" xfId="0" applyFont="1" applyFill="1" applyBorder="1" applyAlignment="1">
      <alignment horizontal="left"/>
    </xf>
    <xf numFmtId="0" fontId="29" fillId="8" borderId="30"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41" xfId="0" applyFont="1" applyFill="1" applyBorder="1" applyAlignment="1">
      <alignment horizontal="center" vertical="center"/>
    </xf>
    <xf numFmtId="0" fontId="29" fillId="8" borderId="34" xfId="0" applyFont="1" applyFill="1" applyBorder="1" applyAlignment="1">
      <alignment horizontal="center" vertical="center"/>
    </xf>
    <xf numFmtId="0" fontId="28" fillId="8" borderId="30" xfId="0" applyFont="1" applyFill="1" applyBorder="1" applyAlignment="1">
      <alignment horizontal="center" vertical="center"/>
    </xf>
    <xf numFmtId="0" fontId="28" fillId="8" borderId="47" xfId="0" applyFont="1" applyFill="1" applyBorder="1" applyAlignment="1">
      <alignment horizontal="center" vertical="center"/>
    </xf>
    <xf numFmtId="0" fontId="28" fillId="8" borderId="33" xfId="0" applyFont="1" applyFill="1" applyBorder="1" applyAlignment="1">
      <alignment horizontal="center" vertical="center"/>
    </xf>
    <xf numFmtId="0" fontId="28" fillId="8" borderId="43" xfId="0" applyFont="1" applyFill="1" applyBorder="1" applyAlignment="1">
      <alignment horizontal="center" vertical="center"/>
    </xf>
    <xf numFmtId="166" fontId="21" fillId="11" borderId="45" xfId="2" applyFont="1" applyFill="1" applyBorder="1" applyAlignment="1">
      <alignment horizontal="center" vertical="center"/>
    </xf>
    <xf numFmtId="166" fontId="21" fillId="11" borderId="117" xfId="2" applyFont="1" applyFill="1" applyBorder="1" applyAlignment="1">
      <alignment horizontal="center" vertical="center"/>
    </xf>
    <xf numFmtId="0" fontId="0" fillId="18" borderId="3" xfId="0" applyFont="1" applyFill="1" applyBorder="1" applyAlignment="1">
      <alignment horizontal="center" vertical="center"/>
    </xf>
    <xf numFmtId="0" fontId="0" fillId="18" borderId="44" xfId="0" applyFont="1" applyFill="1" applyBorder="1" applyAlignment="1">
      <alignment horizontal="center" vertical="center"/>
    </xf>
    <xf numFmtId="0" fontId="28" fillId="11" borderId="30" xfId="0" applyFont="1" applyFill="1" applyBorder="1" applyAlignment="1">
      <alignment horizontal="center" vertical="center"/>
    </xf>
    <xf numFmtId="0" fontId="28" fillId="11" borderId="47" xfId="0" applyFont="1" applyFill="1" applyBorder="1" applyAlignment="1">
      <alignment horizontal="center" vertical="center"/>
    </xf>
    <xf numFmtId="0" fontId="28" fillId="11" borderId="33" xfId="0" applyFont="1" applyFill="1" applyBorder="1" applyAlignment="1">
      <alignment horizontal="center" vertical="center"/>
    </xf>
    <xf numFmtId="0" fontId="28" fillId="11" borderId="43" xfId="0" applyFont="1" applyFill="1" applyBorder="1" applyAlignment="1">
      <alignment horizontal="center" vertical="center"/>
    </xf>
    <xf numFmtId="0" fontId="0" fillId="18" borderId="40" xfId="0" applyFont="1" applyFill="1" applyBorder="1" applyAlignment="1">
      <alignment horizontal="center" vertical="center"/>
    </xf>
    <xf numFmtId="0" fontId="0" fillId="18" borderId="22" xfId="0" applyFont="1" applyFill="1" applyBorder="1" applyAlignment="1">
      <alignment horizontal="center" vertical="center"/>
    </xf>
    <xf numFmtId="0" fontId="28" fillId="11" borderId="13"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14" xfId="0" applyFont="1" applyFill="1" applyBorder="1" applyAlignment="1">
      <alignment horizontal="center" vertical="center"/>
    </xf>
    <xf numFmtId="0" fontId="28" fillId="11" borderId="10" xfId="0" applyFont="1" applyFill="1" applyBorder="1" applyAlignment="1">
      <alignment horizontal="center" vertical="center"/>
    </xf>
    <xf numFmtId="0" fontId="0" fillId="18" borderId="66" xfId="0" applyFont="1" applyFill="1" applyBorder="1" applyAlignment="1">
      <alignment horizontal="center" vertical="center"/>
    </xf>
    <xf numFmtId="171" fontId="0" fillId="18" borderId="48" xfId="0" applyNumberFormat="1" applyFill="1" applyBorder="1" applyAlignment="1">
      <alignment horizontal="center" wrapText="1"/>
    </xf>
    <xf numFmtId="171" fontId="0" fillId="18" borderId="49" xfId="0" applyNumberFormat="1" applyFill="1" applyBorder="1" applyAlignment="1">
      <alignment horizontal="center" wrapText="1"/>
    </xf>
    <xf numFmtId="171" fontId="0" fillId="18" borderId="48" xfId="0" applyNumberFormat="1" applyFill="1" applyBorder="1" applyAlignment="1">
      <alignment horizontal="center"/>
    </xf>
    <xf numFmtId="171" fontId="0" fillId="18" borderId="49" xfId="0" applyNumberFormat="1" applyFill="1" applyBorder="1" applyAlignment="1">
      <alignment horizontal="center"/>
    </xf>
    <xf numFmtId="0" fontId="28" fillId="11" borderId="15" xfId="0" applyFont="1" applyFill="1" applyBorder="1" applyAlignment="1">
      <alignment horizontal="center" vertical="center"/>
    </xf>
    <xf numFmtId="0" fontId="28" fillId="11" borderId="12" xfId="0" applyFont="1" applyFill="1" applyBorder="1" applyAlignment="1">
      <alignment horizontal="center" vertical="center"/>
    </xf>
    <xf numFmtId="0" fontId="0" fillId="18" borderId="40" xfId="0" applyFill="1" applyBorder="1" applyAlignment="1">
      <alignment horizontal="center"/>
    </xf>
    <xf numFmtId="0" fontId="0" fillId="18" borderId="32" xfId="0" applyFill="1" applyBorder="1" applyAlignment="1">
      <alignment horizontal="center"/>
    </xf>
    <xf numFmtId="0" fontId="10" fillId="11" borderId="16" xfId="0" applyFont="1" applyFill="1" applyBorder="1" applyAlignment="1">
      <alignment horizontal="center" vertical="center"/>
    </xf>
    <xf numFmtId="0" fontId="10" fillId="11" borderId="7" xfId="0" applyFont="1" applyFill="1" applyBorder="1" applyAlignment="1">
      <alignment horizontal="center" vertical="center"/>
    </xf>
    <xf numFmtId="171" fontId="0" fillId="18" borderId="40" xfId="0" applyNumberFormat="1" applyFill="1" applyBorder="1" applyAlignment="1">
      <alignment horizontal="center"/>
    </xf>
    <xf numFmtId="171" fontId="0" fillId="18" borderId="32" xfId="0" applyNumberFormat="1" applyFill="1" applyBorder="1" applyAlignment="1">
      <alignment horizontal="center"/>
    </xf>
    <xf numFmtId="171" fontId="0" fillId="18" borderId="50" xfId="0" applyNumberFormat="1" applyFill="1" applyBorder="1" applyAlignment="1">
      <alignment horizontal="center"/>
    </xf>
    <xf numFmtId="171" fontId="0" fillId="18" borderId="60" xfId="0" applyNumberFormat="1" applyFill="1" applyBorder="1" applyAlignment="1">
      <alignment horizontal="center"/>
    </xf>
    <xf numFmtId="171" fontId="0" fillId="18" borderId="40" xfId="0" applyNumberFormat="1" applyFill="1" applyBorder="1" applyAlignment="1">
      <alignment horizontal="center" wrapText="1"/>
    </xf>
    <xf numFmtId="171" fontId="0" fillId="18" borderId="32" xfId="0" applyNumberFormat="1" applyFill="1" applyBorder="1" applyAlignment="1">
      <alignment horizontal="center" wrapText="1"/>
    </xf>
    <xf numFmtId="0" fontId="0" fillId="18" borderId="32" xfId="0" applyFont="1" applyFill="1" applyBorder="1" applyAlignment="1">
      <alignment horizontal="center" vertical="center"/>
    </xf>
    <xf numFmtId="0" fontId="28" fillId="11" borderId="35" xfId="0" applyFont="1" applyFill="1" applyBorder="1" applyAlignment="1">
      <alignment horizontal="center" vertical="center"/>
    </xf>
    <xf numFmtId="0" fontId="28" fillId="11" borderId="44" xfId="0" applyFont="1" applyFill="1" applyBorder="1" applyAlignment="1">
      <alignment horizontal="center" vertical="center"/>
    </xf>
    <xf numFmtId="0" fontId="0" fillId="18" borderId="18" xfId="0" applyFont="1" applyFill="1" applyBorder="1" applyAlignment="1">
      <alignment horizontal="center" vertical="center"/>
    </xf>
    <xf numFmtId="0" fontId="20" fillId="2" borderId="16" xfId="0" applyFont="1" applyFill="1" applyBorder="1" applyAlignment="1">
      <alignment horizontal="left" vertical="center" wrapText="1"/>
    </xf>
    <xf numFmtId="0" fontId="20" fillId="2" borderId="17" xfId="0" applyFont="1" applyFill="1" applyBorder="1" applyAlignment="1">
      <alignment horizontal="left" vertical="center"/>
    </xf>
    <xf numFmtId="0" fontId="20" fillId="2" borderId="7" xfId="0" applyFont="1" applyFill="1" applyBorder="1" applyAlignment="1">
      <alignment horizontal="left" vertical="center"/>
    </xf>
    <xf numFmtId="171" fontId="0" fillId="18" borderId="51" xfId="0" applyNumberFormat="1" applyFill="1" applyBorder="1" applyAlignment="1">
      <alignment horizontal="center" wrapText="1"/>
    </xf>
    <xf numFmtId="171" fontId="0" fillId="18" borderId="52" xfId="0" applyNumberFormat="1" applyFill="1" applyBorder="1" applyAlignment="1">
      <alignment horizontal="center" wrapText="1"/>
    </xf>
    <xf numFmtId="0" fontId="0" fillId="18" borderId="62" xfId="0" applyFont="1" applyFill="1" applyBorder="1" applyAlignment="1">
      <alignment horizontal="center" vertical="center"/>
    </xf>
    <xf numFmtId="166" fontId="8" fillId="10" borderId="106" xfId="2" applyFont="1" applyFill="1" applyBorder="1" applyAlignment="1">
      <alignment horizontal="left"/>
    </xf>
    <xf numFmtId="166" fontId="8" fillId="10" borderId="107" xfId="2" applyFont="1" applyFill="1" applyBorder="1" applyAlignment="1">
      <alignment horizontal="left"/>
    </xf>
    <xf numFmtId="166" fontId="8" fillId="6" borderId="101" xfId="2" applyFont="1" applyFill="1" applyBorder="1" applyAlignment="1">
      <alignment horizontal="left"/>
    </xf>
    <xf numFmtId="166" fontId="8" fillId="6" borderId="102" xfId="2" applyFont="1" applyFill="1" applyBorder="1" applyAlignment="1">
      <alignment horizontal="left"/>
    </xf>
    <xf numFmtId="0" fontId="11" fillId="7" borderId="45" xfId="0" applyFont="1" applyFill="1" applyBorder="1" applyAlignment="1">
      <alignment horizontal="left"/>
    </xf>
    <xf numFmtId="0" fontId="11" fillId="7" borderId="46" xfId="0" applyFont="1" applyFill="1" applyBorder="1" applyAlignment="1">
      <alignment horizontal="left"/>
    </xf>
    <xf numFmtId="0" fontId="11" fillId="7" borderId="19" xfId="0" applyFont="1" applyFill="1" applyBorder="1" applyAlignment="1">
      <alignment horizontal="left"/>
    </xf>
    <xf numFmtId="0" fontId="11" fillId="7" borderId="20" xfId="0" applyFont="1" applyFill="1" applyBorder="1" applyAlignment="1">
      <alignment horizontal="left"/>
    </xf>
    <xf numFmtId="166" fontId="8" fillId="6" borderId="61" xfId="2" applyFont="1" applyFill="1" applyBorder="1" applyAlignment="1">
      <alignment horizontal="left"/>
    </xf>
    <xf numFmtId="166" fontId="8" fillId="6" borderId="62" xfId="2" applyFont="1" applyFill="1" applyBorder="1" applyAlignment="1">
      <alignment horizontal="left"/>
    </xf>
    <xf numFmtId="166" fontId="8" fillId="10" borderId="35" xfId="2" applyFont="1" applyFill="1" applyBorder="1" applyAlignment="1">
      <alignment horizontal="left"/>
    </xf>
    <xf numFmtId="166" fontId="8" fillId="10" borderId="44" xfId="2" applyFont="1" applyFill="1" applyBorder="1" applyAlignment="1">
      <alignment horizontal="left"/>
    </xf>
    <xf numFmtId="0" fontId="10" fillId="7" borderId="45" xfId="0" applyFont="1" applyFill="1" applyBorder="1" applyAlignment="1">
      <alignment horizontal="left"/>
    </xf>
    <xf numFmtId="0" fontId="10" fillId="7" borderId="46" xfId="0" applyFont="1" applyFill="1" applyBorder="1" applyAlignment="1">
      <alignment horizontal="left"/>
    </xf>
    <xf numFmtId="0" fontId="10" fillId="7" borderId="1" xfId="0" applyFont="1" applyFill="1" applyBorder="1" applyAlignment="1">
      <alignment horizontal="left"/>
    </xf>
    <xf numFmtId="0" fontId="13" fillId="16" borderId="16" xfId="0" applyFont="1" applyFill="1" applyBorder="1" applyAlignment="1">
      <alignment horizontal="center" vertical="center"/>
    </xf>
    <xf numFmtId="0" fontId="13" fillId="16" borderId="17" xfId="0" applyFont="1" applyFill="1" applyBorder="1" applyAlignment="1">
      <alignment horizontal="center" vertical="center"/>
    </xf>
    <xf numFmtId="0" fontId="13" fillId="16" borderId="7" xfId="0" applyFont="1" applyFill="1" applyBorder="1" applyAlignment="1">
      <alignment horizontal="center" vertical="center"/>
    </xf>
    <xf numFmtId="0" fontId="0" fillId="2" borderId="3" xfId="0" applyFill="1" applyBorder="1" applyAlignment="1">
      <alignment horizontal="left" vertical="center" wrapText="1"/>
    </xf>
    <xf numFmtId="0" fontId="10" fillId="11" borderId="1" xfId="0" applyFont="1" applyFill="1" applyBorder="1" applyAlignment="1">
      <alignment horizontal="center" vertical="center"/>
    </xf>
    <xf numFmtId="0" fontId="3" fillId="11" borderId="1" xfId="0" applyFont="1" applyFill="1" applyBorder="1" applyAlignment="1">
      <alignment horizontal="center" vertical="center"/>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7" xfId="0" applyFill="1" applyBorder="1" applyAlignment="1">
      <alignment horizontal="left" vertical="top" wrapText="1"/>
    </xf>
    <xf numFmtId="166" fontId="11" fillId="8" borderId="24" xfId="2" applyFont="1" applyFill="1" applyBorder="1" applyAlignment="1">
      <alignment horizontal="right"/>
    </xf>
    <xf numFmtId="166" fontId="11" fillId="8" borderId="2" xfId="2" applyFont="1" applyFill="1" applyBorder="1" applyAlignment="1">
      <alignment horizontal="right"/>
    </xf>
    <xf numFmtId="0" fontId="0" fillId="2" borderId="57" xfId="0" applyFill="1" applyBorder="1" applyAlignment="1">
      <alignment horizontal="center" vertical="center" wrapText="1"/>
    </xf>
    <xf numFmtId="0" fontId="0" fillId="2" borderId="59" xfId="0"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13" fillId="16" borderId="19" xfId="0" applyFont="1" applyFill="1" applyBorder="1" applyAlignment="1">
      <alignment horizontal="center" vertical="center" wrapText="1"/>
    </xf>
    <xf numFmtId="0" fontId="13" fillId="16" borderId="21" xfId="0" applyFont="1" applyFill="1" applyBorder="1" applyAlignment="1">
      <alignment horizontal="center" vertical="center" wrapText="1"/>
    </xf>
    <xf numFmtId="0" fontId="13" fillId="16" borderId="20" xfId="0" applyFont="1" applyFill="1" applyBorder="1" applyAlignment="1">
      <alignment horizontal="center" vertical="center" wrapText="1"/>
    </xf>
    <xf numFmtId="0" fontId="13" fillId="16" borderId="16" xfId="0" applyFont="1" applyFill="1" applyBorder="1" applyAlignment="1">
      <alignment horizontal="center" vertical="center" wrapText="1"/>
    </xf>
    <xf numFmtId="0" fontId="13" fillId="16" borderId="17" xfId="0" applyFont="1" applyFill="1" applyBorder="1" applyAlignment="1">
      <alignment horizontal="center" vertical="center" wrapText="1"/>
    </xf>
    <xf numFmtId="0" fontId="13" fillId="16" borderId="7" xfId="0" applyFont="1" applyFill="1" applyBorder="1" applyAlignment="1">
      <alignment horizontal="center" vertical="center" wrapText="1"/>
    </xf>
    <xf numFmtId="0" fontId="20" fillId="11" borderId="4" xfId="0" applyFont="1" applyFill="1" applyBorder="1" applyAlignment="1">
      <alignment horizontal="center" vertical="center"/>
    </xf>
    <xf numFmtId="0" fontId="20" fillId="11" borderId="5" xfId="0" applyFont="1" applyFill="1" applyBorder="1" applyAlignment="1">
      <alignment horizontal="center" vertical="center"/>
    </xf>
    <xf numFmtId="0" fontId="20" fillId="11" borderId="57" xfId="0" applyFont="1" applyFill="1" applyBorder="1" applyAlignment="1">
      <alignment horizontal="center" vertical="center"/>
    </xf>
    <xf numFmtId="0" fontId="20" fillId="11" borderId="59" xfId="0" applyFont="1" applyFill="1" applyBorder="1" applyAlignment="1">
      <alignment horizontal="center" vertical="center"/>
    </xf>
    <xf numFmtId="0" fontId="20" fillId="11" borderId="16" xfId="0" applyFont="1" applyFill="1" applyBorder="1" applyAlignment="1">
      <alignment horizontal="center" vertical="center"/>
    </xf>
    <xf numFmtId="0" fontId="20" fillId="11" borderId="7" xfId="0" applyFont="1" applyFill="1" applyBorder="1" applyAlignment="1">
      <alignment horizontal="center" vertical="center"/>
    </xf>
    <xf numFmtId="0" fontId="20" fillId="11" borderId="58" xfId="0" applyFont="1" applyFill="1" applyBorder="1" applyAlignment="1">
      <alignment horizontal="center" vertical="center"/>
    </xf>
    <xf numFmtId="0" fontId="20" fillId="11" borderId="58" xfId="0" applyFont="1" applyFill="1" applyBorder="1" applyAlignment="1">
      <alignment horizontal="center" vertical="center" wrapText="1"/>
    </xf>
    <xf numFmtId="0" fontId="20" fillId="11" borderId="59" xfId="0" applyFont="1" applyFill="1" applyBorder="1" applyAlignment="1">
      <alignment horizontal="center" vertical="center" wrapText="1"/>
    </xf>
    <xf numFmtId="0" fontId="20" fillId="11" borderId="6" xfId="0" applyFont="1" applyFill="1" applyBorder="1" applyAlignment="1">
      <alignment horizontal="center" vertical="center"/>
    </xf>
    <xf numFmtId="0" fontId="20" fillId="11" borderId="68" xfId="0" applyFont="1" applyFill="1" applyBorder="1" applyAlignment="1">
      <alignment horizontal="center" vertical="center" wrapText="1"/>
    </xf>
    <xf numFmtId="0" fontId="10" fillId="16" borderId="57" xfId="0" applyFont="1" applyFill="1" applyBorder="1" applyAlignment="1">
      <alignment horizontal="center" vertical="center" wrapText="1"/>
    </xf>
    <xf numFmtId="0" fontId="10" fillId="16" borderId="58" xfId="0" applyFont="1" applyFill="1" applyBorder="1" applyAlignment="1">
      <alignment horizontal="center" vertical="center" wrapText="1"/>
    </xf>
    <xf numFmtId="0" fontId="10" fillId="11" borderId="27" xfId="0" applyFont="1" applyFill="1" applyBorder="1" applyAlignment="1">
      <alignment horizontal="center"/>
    </xf>
    <xf numFmtId="0" fontId="10" fillId="11" borderId="66" xfId="0" applyFont="1" applyFill="1" applyBorder="1" applyAlignment="1">
      <alignment horizontal="center"/>
    </xf>
    <xf numFmtId="0" fontId="10" fillId="16" borderId="40"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1" borderId="72" xfId="0" applyFont="1" applyFill="1" applyBorder="1" applyAlignment="1">
      <alignment horizontal="center"/>
    </xf>
    <xf numFmtId="0" fontId="13" fillId="16" borderId="19" xfId="0" applyFont="1" applyFill="1" applyBorder="1" applyAlignment="1">
      <alignment horizontal="left"/>
    </xf>
    <xf numFmtId="0" fontId="13" fillId="16" borderId="21" xfId="0" applyFont="1" applyFill="1" applyBorder="1" applyAlignment="1">
      <alignment horizontal="left"/>
    </xf>
    <xf numFmtId="0" fontId="13" fillId="16" borderId="20" xfId="0" applyFont="1" applyFill="1" applyBorder="1" applyAlignment="1">
      <alignment horizontal="left"/>
    </xf>
    <xf numFmtId="0" fontId="10" fillId="11" borderId="40" xfId="0" applyFont="1" applyFill="1" applyBorder="1" applyAlignment="1">
      <alignment horizontal="center"/>
    </xf>
    <xf numFmtId="0" fontId="10" fillId="11" borderId="32" xfId="0" applyFont="1" applyFill="1" applyBorder="1" applyAlignment="1">
      <alignment horizontal="center"/>
    </xf>
    <xf numFmtId="0" fontId="10" fillId="16" borderId="4" xfId="0" applyFont="1" applyFill="1" applyBorder="1" applyAlignment="1">
      <alignment horizontal="center" vertical="center"/>
    </xf>
    <xf numFmtId="0" fontId="10" fillId="16" borderId="5" xfId="0" applyFont="1" applyFill="1" applyBorder="1" applyAlignment="1">
      <alignment horizontal="center" vertical="center"/>
    </xf>
    <xf numFmtId="0" fontId="10" fillId="16" borderId="59" xfId="0" applyFont="1" applyFill="1" applyBorder="1" applyAlignment="1">
      <alignment horizontal="center" vertical="center" wrapText="1"/>
    </xf>
    <xf numFmtId="0" fontId="13" fillId="11" borderId="16" xfId="0" applyFont="1" applyFill="1" applyBorder="1" applyAlignment="1">
      <alignment horizontal="left"/>
    </xf>
    <xf numFmtId="0" fontId="13" fillId="11" borderId="17" xfId="0" applyFont="1" applyFill="1" applyBorder="1" applyAlignment="1">
      <alignment horizontal="left"/>
    </xf>
    <xf numFmtId="0" fontId="13" fillId="11" borderId="7" xfId="0" applyFont="1" applyFill="1" applyBorder="1" applyAlignment="1">
      <alignment horizontal="left"/>
    </xf>
    <xf numFmtId="0" fontId="11" fillId="11" borderId="57" xfId="0" applyFont="1" applyFill="1" applyBorder="1" applyAlignment="1">
      <alignment horizontal="center" vertical="center"/>
    </xf>
    <xf numFmtId="0" fontId="11" fillId="11" borderId="58" xfId="0" applyFont="1" applyFill="1" applyBorder="1" applyAlignment="1">
      <alignment horizontal="center" vertical="center"/>
    </xf>
    <xf numFmtId="0" fontId="11" fillId="11" borderId="66" xfId="0" applyFont="1" applyFill="1" applyBorder="1" applyAlignment="1">
      <alignment horizontal="center" vertical="center"/>
    </xf>
    <xf numFmtId="0" fontId="11" fillId="11" borderId="3" xfId="0" applyFont="1" applyFill="1" applyBorder="1" applyAlignment="1">
      <alignment horizontal="center" vertical="center"/>
    </xf>
    <xf numFmtId="0" fontId="11" fillId="11" borderId="62" xfId="0" applyFont="1" applyFill="1" applyBorder="1" applyAlignment="1">
      <alignment horizontal="center" vertical="center"/>
    </xf>
    <xf numFmtId="0" fontId="11" fillId="11" borderId="43" xfId="0" applyFont="1" applyFill="1" applyBorder="1" applyAlignment="1">
      <alignment horizontal="center" vertical="center"/>
    </xf>
    <xf numFmtId="0" fontId="11" fillId="11" borderId="67" xfId="0" applyFont="1" applyFill="1" applyBorder="1" applyAlignment="1">
      <alignment horizontal="center" vertical="center"/>
    </xf>
    <xf numFmtId="0" fontId="13" fillId="16" borderId="64" xfId="0" applyFont="1" applyFill="1" applyBorder="1" applyAlignment="1">
      <alignment horizontal="left"/>
    </xf>
    <xf numFmtId="0" fontId="11" fillId="11" borderId="57" xfId="0" applyFont="1" applyFill="1" applyBorder="1" applyAlignment="1">
      <alignment horizontal="center" vertical="center" wrapText="1"/>
    </xf>
    <xf numFmtId="0" fontId="11" fillId="11" borderId="67" xfId="0" applyFont="1" applyFill="1" applyBorder="1" applyAlignment="1">
      <alignment horizontal="center" vertical="center" wrapText="1"/>
    </xf>
    <xf numFmtId="0" fontId="0" fillId="2" borderId="57" xfId="0" applyFill="1" applyBorder="1" applyAlignment="1">
      <alignment horizontal="center" vertical="center"/>
    </xf>
    <xf numFmtId="0" fontId="0" fillId="2" borderId="58" xfId="0" applyFill="1" applyBorder="1" applyAlignment="1">
      <alignment horizontal="center" vertical="center"/>
    </xf>
    <xf numFmtId="0" fontId="0" fillId="2" borderId="59" xfId="0" applyFill="1" applyBorder="1" applyAlignment="1">
      <alignment horizontal="center" vertical="center"/>
    </xf>
    <xf numFmtId="0" fontId="11" fillId="11" borderId="47" xfId="0" applyFont="1" applyFill="1" applyBorder="1" applyAlignment="1">
      <alignment horizontal="center" vertical="center" wrapText="1"/>
    </xf>
    <xf numFmtId="0" fontId="11" fillId="11" borderId="34" xfId="0" applyFont="1" applyFill="1" applyBorder="1" applyAlignment="1">
      <alignment horizontal="center" vertical="center" wrapText="1"/>
    </xf>
    <xf numFmtId="0" fontId="11" fillId="11" borderId="23" xfId="0" applyFont="1" applyFill="1" applyBorder="1" applyAlignment="1">
      <alignment horizontal="center" vertical="center"/>
    </xf>
    <xf numFmtId="0" fontId="11" fillId="11" borderId="69" xfId="0" applyFont="1" applyFill="1" applyBorder="1" applyAlignment="1">
      <alignment horizontal="center" vertical="center"/>
    </xf>
    <xf numFmtId="0" fontId="10" fillId="11" borderId="42" xfId="0" applyFont="1" applyFill="1" applyBorder="1" applyAlignment="1">
      <alignment horizontal="center"/>
    </xf>
    <xf numFmtId="0" fontId="10" fillId="11" borderId="37" xfId="0" applyFont="1" applyFill="1" applyBorder="1" applyAlignment="1">
      <alignment horizontal="center"/>
    </xf>
    <xf numFmtId="0" fontId="10" fillId="11" borderId="73" xfId="0" applyFont="1" applyFill="1" applyBorder="1" applyAlignment="1">
      <alignment horizont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3" fillId="16" borderId="13" xfId="0" applyFont="1" applyFill="1" applyBorder="1" applyAlignment="1">
      <alignment horizontal="center"/>
    </xf>
    <xf numFmtId="0" fontId="13" fillId="16" borderId="8" xfId="0" applyFont="1" applyFill="1" applyBorder="1" applyAlignment="1">
      <alignment horizontal="center"/>
    </xf>
    <xf numFmtId="0" fontId="13" fillId="16" borderId="9" xfId="0" applyFont="1" applyFill="1" applyBorder="1" applyAlignment="1">
      <alignment horizontal="center"/>
    </xf>
    <xf numFmtId="0" fontId="0" fillId="0" borderId="30" xfId="0" applyBorder="1" applyAlignment="1">
      <alignment horizontal="center" vertical="center"/>
    </xf>
    <xf numFmtId="0" fontId="0" fillId="0" borderId="33" xfId="0" applyBorder="1" applyAlignment="1">
      <alignment horizontal="center" vertical="center"/>
    </xf>
    <xf numFmtId="0" fontId="0" fillId="0" borderId="35" xfId="0" applyBorder="1" applyAlignment="1">
      <alignment horizontal="center" vertical="center"/>
    </xf>
    <xf numFmtId="0" fontId="11" fillId="11" borderId="42" xfId="0" applyFont="1" applyFill="1" applyBorder="1" applyAlignment="1">
      <alignment horizontal="right"/>
    </xf>
    <xf numFmtId="0" fontId="11" fillId="11" borderId="37" xfId="0" applyFont="1" applyFill="1" applyBorder="1" applyAlignment="1">
      <alignment horizontal="right"/>
    </xf>
    <xf numFmtId="0" fontId="11" fillId="11" borderId="21" xfId="0" applyFont="1" applyFill="1" applyBorder="1" applyAlignment="1">
      <alignment horizontal="right"/>
    </xf>
    <xf numFmtId="0" fontId="11" fillId="11" borderId="20" xfId="0" applyFont="1" applyFill="1" applyBorder="1" applyAlignment="1">
      <alignment horizontal="right"/>
    </xf>
    <xf numFmtId="0" fontId="10" fillId="11" borderId="22" xfId="0" applyFont="1" applyFill="1" applyBorder="1" applyAlignment="1">
      <alignment horizontal="center" vertical="center" wrapText="1"/>
    </xf>
    <xf numFmtId="0" fontId="10" fillId="11" borderId="29" xfId="0" applyFont="1" applyFill="1" applyBorder="1" applyAlignment="1">
      <alignment horizontal="center" vertical="center"/>
    </xf>
    <xf numFmtId="0" fontId="10" fillId="11" borderId="65" xfId="0" applyFont="1" applyFill="1" applyBorder="1" applyAlignment="1">
      <alignment horizontal="center" vertical="center"/>
    </xf>
    <xf numFmtId="0" fontId="10" fillId="11" borderId="26" xfId="0" applyFont="1" applyFill="1" applyBorder="1" applyAlignment="1">
      <alignment horizontal="center" vertical="center"/>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0" borderId="35" xfId="0" applyBorder="1" applyAlignment="1">
      <alignment horizontal="center" vertical="center" wrapText="1"/>
    </xf>
    <xf numFmtId="0" fontId="10" fillId="11" borderId="30" xfId="0" applyFont="1" applyFill="1" applyBorder="1" applyAlignment="1">
      <alignment horizontal="center" vertical="center"/>
    </xf>
    <xf numFmtId="0" fontId="10" fillId="11" borderId="31" xfId="0" applyFont="1" applyFill="1" applyBorder="1" applyAlignment="1">
      <alignment horizontal="center" vertical="center"/>
    </xf>
    <xf numFmtId="0" fontId="10" fillId="11" borderId="47" xfId="0" applyFont="1" applyFill="1" applyBorder="1" applyAlignment="1">
      <alignment horizontal="center" vertical="center"/>
    </xf>
    <xf numFmtId="0" fontId="10" fillId="11" borderId="23" xfId="0" applyFont="1" applyFill="1" applyBorder="1" applyAlignment="1">
      <alignment horizontal="center" vertical="center"/>
    </xf>
    <xf numFmtId="0" fontId="13" fillId="16" borderId="13" xfId="0" applyFont="1" applyFill="1" applyBorder="1" applyAlignment="1">
      <alignment horizontal="left"/>
    </xf>
    <xf numFmtId="0" fontId="13" fillId="16" borderId="8" xfId="0" applyFont="1" applyFill="1" applyBorder="1" applyAlignment="1">
      <alignment horizontal="left"/>
    </xf>
    <xf numFmtId="0" fontId="13" fillId="16" borderId="9" xfId="0" applyFont="1" applyFill="1" applyBorder="1" applyAlignment="1">
      <alignment horizontal="left"/>
    </xf>
    <xf numFmtId="0" fontId="10" fillId="11" borderId="41" xfId="0" applyFont="1" applyFill="1" applyBorder="1" applyAlignment="1">
      <alignment horizontal="center" vertical="center"/>
    </xf>
    <xf numFmtId="0" fontId="10" fillId="11" borderId="63" xfId="0" applyFont="1" applyFill="1" applyBorder="1" applyAlignment="1">
      <alignment horizontal="center" vertical="center"/>
    </xf>
    <xf numFmtId="0" fontId="8" fillId="2" borderId="0" xfId="0" applyFont="1" applyFill="1" applyAlignment="1">
      <alignment horizontal="left" vertical="top" wrapText="1"/>
    </xf>
    <xf numFmtId="0" fontId="0" fillId="10" borderId="19" xfId="0" applyFill="1" applyBorder="1" applyAlignment="1">
      <alignment horizontal="left" vertical="center"/>
    </xf>
    <xf numFmtId="0" fontId="0" fillId="10" borderId="20" xfId="0" applyFill="1" applyBorder="1" applyAlignment="1">
      <alignment horizontal="left" vertical="center"/>
    </xf>
    <xf numFmtId="0" fontId="13" fillId="16" borderId="16" xfId="0" applyFont="1" applyFill="1" applyBorder="1" applyAlignment="1">
      <alignment horizontal="left" vertical="center"/>
    </xf>
    <xf numFmtId="0" fontId="13" fillId="16" borderId="17" xfId="0" applyFont="1" applyFill="1" applyBorder="1" applyAlignment="1">
      <alignment horizontal="left" vertical="center"/>
    </xf>
    <xf numFmtId="0" fontId="13" fillId="16" borderId="7" xfId="0" applyFont="1" applyFill="1" applyBorder="1" applyAlignment="1">
      <alignment horizontal="left" vertical="center"/>
    </xf>
    <xf numFmtId="0" fontId="0" fillId="10" borderId="16" xfId="0" applyFill="1" applyBorder="1" applyAlignment="1">
      <alignment horizontal="left" vertical="center"/>
    </xf>
    <xf numFmtId="0" fontId="0" fillId="10" borderId="7" xfId="0" applyFill="1" applyBorder="1" applyAlignment="1">
      <alignment horizontal="left" vertical="center"/>
    </xf>
    <xf numFmtId="0" fontId="13" fillId="16" borderId="13" xfId="0" applyFont="1" applyFill="1" applyBorder="1" applyAlignment="1">
      <alignment horizontal="left" vertical="center"/>
    </xf>
    <xf numFmtId="0" fontId="13" fillId="16" borderId="8" xfId="0" applyFont="1" applyFill="1" applyBorder="1" applyAlignment="1">
      <alignment horizontal="left" vertical="center"/>
    </xf>
    <xf numFmtId="0" fontId="13" fillId="16" borderId="9" xfId="0" applyFont="1" applyFill="1" applyBorder="1" applyAlignment="1">
      <alignment horizontal="left" vertical="center"/>
    </xf>
    <xf numFmtId="0" fontId="0" fillId="0" borderId="61" xfId="0" applyBorder="1" applyAlignment="1">
      <alignment horizontal="left" vertical="center"/>
    </xf>
    <xf numFmtId="0" fontId="0" fillId="0" borderId="62" xfId="0" applyBorder="1" applyAlignment="1">
      <alignment horizontal="left" vertical="center"/>
    </xf>
    <xf numFmtId="0" fontId="0" fillId="0" borderId="41" xfId="0" applyBorder="1" applyAlignment="1">
      <alignment horizontal="center" vertical="center"/>
    </xf>
    <xf numFmtId="0" fontId="0" fillId="0" borderId="33" xfId="0" applyBorder="1" applyAlignment="1">
      <alignment horizontal="left" vertical="center"/>
    </xf>
    <xf numFmtId="0" fontId="0" fillId="0" borderId="43" xfId="0" applyBorder="1" applyAlignment="1">
      <alignment horizontal="left" vertical="center"/>
    </xf>
    <xf numFmtId="0" fontId="13" fillId="16" borderId="19" xfId="0" applyFont="1" applyFill="1" applyBorder="1" applyAlignment="1">
      <alignment horizontal="left" vertical="center"/>
    </xf>
    <xf numFmtId="0" fontId="13" fillId="16" borderId="21" xfId="0" applyFont="1" applyFill="1" applyBorder="1" applyAlignment="1">
      <alignment horizontal="left" vertical="center"/>
    </xf>
    <xf numFmtId="0" fontId="13" fillId="16" borderId="20" xfId="0" applyFont="1" applyFill="1" applyBorder="1" applyAlignment="1">
      <alignment horizontal="left" vertical="center"/>
    </xf>
    <xf numFmtId="0" fontId="10" fillId="11" borderId="19" xfId="0" applyFont="1" applyFill="1" applyBorder="1" applyAlignment="1">
      <alignment horizontal="left" vertical="center"/>
    </xf>
    <xf numFmtId="0" fontId="10" fillId="11" borderId="20" xfId="0" applyFont="1" applyFill="1" applyBorder="1" applyAlignment="1">
      <alignment horizontal="left" vertical="center"/>
    </xf>
    <xf numFmtId="0" fontId="0" fillId="0" borderId="45" xfId="0" applyBorder="1" applyAlignment="1">
      <alignment horizontal="left" vertical="center"/>
    </xf>
    <xf numFmtId="0" fontId="0" fillId="0" borderId="46" xfId="0" applyBorder="1" applyAlignment="1">
      <alignment horizontal="left" vertical="center"/>
    </xf>
    <xf numFmtId="0" fontId="0" fillId="0" borderId="41" xfId="0" applyBorder="1" applyAlignment="1">
      <alignment horizontal="left" vertical="center"/>
    </xf>
    <xf numFmtId="0" fontId="0" fillId="0" borderId="34" xfId="0" applyBorder="1" applyAlignment="1">
      <alignment horizontal="left" vertical="center"/>
    </xf>
    <xf numFmtId="0" fontId="13" fillId="16" borderId="30" xfId="0" applyFont="1" applyFill="1" applyBorder="1" applyAlignment="1">
      <alignment horizontal="center" vertical="center"/>
    </xf>
    <xf numFmtId="0" fontId="13" fillId="16" borderId="31" xfId="0" applyFont="1" applyFill="1" applyBorder="1" applyAlignment="1">
      <alignment horizontal="center" vertical="center"/>
    </xf>
    <xf numFmtId="0" fontId="13" fillId="16" borderId="47" xfId="0" applyFont="1" applyFill="1" applyBorder="1" applyAlignment="1">
      <alignment horizontal="center" vertical="center"/>
    </xf>
    <xf numFmtId="0" fontId="14" fillId="11" borderId="130" xfId="0" applyFont="1" applyFill="1" applyBorder="1" applyAlignment="1">
      <alignment horizontal="center" vertical="center"/>
    </xf>
    <xf numFmtId="0" fontId="15" fillId="11" borderId="130" xfId="0" applyFont="1" applyFill="1" applyBorder="1" applyAlignment="1">
      <alignment horizontal="center" vertical="center"/>
    </xf>
    <xf numFmtId="0" fontId="0" fillId="11" borderId="24" xfId="0" applyFill="1" applyBorder="1" applyAlignment="1">
      <alignment horizontal="left"/>
    </xf>
    <xf numFmtId="0" fontId="0" fillId="11" borderId="2" xfId="0" applyFill="1" applyBorder="1" applyAlignment="1">
      <alignment horizontal="left"/>
    </xf>
    <xf numFmtId="0" fontId="0" fillId="2" borderId="58" xfId="0" applyFill="1" applyBorder="1" applyAlignment="1">
      <alignment horizontal="center" vertical="center" wrapText="1"/>
    </xf>
    <xf numFmtId="0" fontId="0" fillId="2" borderId="67" xfId="0" applyFill="1" applyBorder="1" applyAlignment="1">
      <alignment horizontal="center" vertical="center" wrapText="1"/>
    </xf>
    <xf numFmtId="0" fontId="0" fillId="2" borderId="68" xfId="0" applyFill="1" applyBorder="1" applyAlignment="1">
      <alignment horizontal="center" vertical="center" wrapText="1"/>
    </xf>
    <xf numFmtId="0" fontId="10" fillId="16" borderId="16" xfId="0" applyFont="1" applyFill="1" applyBorder="1" applyAlignment="1">
      <alignment horizontal="center"/>
    </xf>
    <xf numFmtId="0" fontId="10" fillId="16" borderId="17" xfId="0" applyFont="1" applyFill="1" applyBorder="1" applyAlignment="1">
      <alignment horizontal="center"/>
    </xf>
    <xf numFmtId="0" fontId="10" fillId="16" borderId="7" xfId="0" applyFont="1" applyFill="1" applyBorder="1" applyAlignment="1">
      <alignment horizontal="center"/>
    </xf>
    <xf numFmtId="0" fontId="10" fillId="11" borderId="24" xfId="0" applyFont="1" applyFill="1" applyBorder="1" applyAlignment="1">
      <alignment horizontal="center"/>
    </xf>
    <xf numFmtId="0" fontId="10" fillId="11"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11" borderId="63" xfId="0" applyFill="1" applyBorder="1" applyAlignment="1">
      <alignment horizontal="center" vertical="center"/>
    </xf>
    <xf numFmtId="0" fontId="0" fillId="11" borderId="26" xfId="0" applyFill="1" applyBorder="1" applyAlignment="1">
      <alignment horizontal="center" vertical="center"/>
    </xf>
    <xf numFmtId="0" fontId="0" fillId="11" borderId="3" xfId="0" applyFill="1" applyBorder="1" applyAlignment="1">
      <alignment horizontal="center" vertical="center"/>
    </xf>
    <xf numFmtId="0" fontId="21" fillId="11" borderId="24" xfId="0" applyFont="1" applyFill="1" applyBorder="1" applyAlignment="1">
      <alignment horizontal="center" vertical="center"/>
    </xf>
    <xf numFmtId="0" fontId="21" fillId="11" borderId="25" xfId="0" applyFont="1" applyFill="1" applyBorder="1" applyAlignment="1">
      <alignment horizontal="center" vertical="center"/>
    </xf>
    <xf numFmtId="0" fontId="21" fillId="11" borderId="2" xfId="0" applyFont="1" applyFill="1" applyBorder="1" applyAlignment="1">
      <alignment horizontal="center" vertical="center"/>
    </xf>
    <xf numFmtId="0" fontId="10" fillId="11" borderId="24" xfId="0" applyFont="1" applyFill="1" applyBorder="1" applyAlignment="1">
      <alignment horizontal="center" vertical="center" wrapText="1"/>
    </xf>
    <xf numFmtId="0" fontId="10" fillId="11" borderId="25" xfId="0" applyFont="1" applyFill="1" applyBorder="1" applyAlignment="1">
      <alignment horizontal="center" vertical="center" wrapText="1"/>
    </xf>
    <xf numFmtId="0" fontId="10" fillId="11" borderId="2" xfId="0" applyFont="1" applyFill="1" applyBorder="1" applyAlignment="1">
      <alignment horizontal="center" vertical="center" wrapText="1"/>
    </xf>
    <xf numFmtId="0" fontId="0" fillId="2" borderId="24" xfId="0" applyFill="1" applyBorder="1" applyAlignment="1">
      <alignment horizontal="center" vertical="center"/>
    </xf>
    <xf numFmtId="0" fontId="0" fillId="2" borderId="2" xfId="0" applyFill="1" applyBorder="1" applyAlignment="1">
      <alignment horizontal="center" vertical="center"/>
    </xf>
    <xf numFmtId="2" fontId="10" fillId="9" borderId="24" xfId="0" applyNumberFormat="1" applyFont="1" applyFill="1" applyBorder="1" applyAlignment="1">
      <alignment horizontal="center" vertical="center"/>
    </xf>
    <xf numFmtId="2" fontId="10" fillId="9" borderId="2" xfId="0" applyNumberFormat="1" applyFont="1" applyFill="1" applyBorder="1" applyAlignment="1">
      <alignment horizontal="center" vertical="center"/>
    </xf>
    <xf numFmtId="2" fontId="10" fillId="9" borderId="24" xfId="0" applyNumberFormat="1" applyFont="1" applyFill="1" applyBorder="1" applyAlignment="1">
      <alignment horizontal="center"/>
    </xf>
    <xf numFmtId="2" fontId="10" fillId="9" borderId="2" xfId="0" applyNumberFormat="1" applyFont="1" applyFill="1" applyBorder="1" applyAlignment="1">
      <alignment horizontal="center"/>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7" xfId="0" applyFill="1" applyBorder="1" applyAlignment="1">
      <alignment horizontal="left" vertical="center" wrapText="1"/>
    </xf>
    <xf numFmtId="0" fontId="7" fillId="6" borderId="16" xfId="0" applyFont="1" applyFill="1" applyBorder="1" applyAlignment="1">
      <alignment horizontal="center"/>
    </xf>
    <xf numFmtId="0" fontId="7" fillId="6" borderId="17" xfId="0" applyFont="1" applyFill="1" applyBorder="1" applyAlignment="1">
      <alignment horizontal="center"/>
    </xf>
    <xf numFmtId="0" fontId="7" fillId="6" borderId="7" xfId="0" applyFont="1" applyFill="1" applyBorder="1" applyAlignment="1">
      <alignment horizontal="center"/>
    </xf>
    <xf numFmtId="0" fontId="0" fillId="6" borderId="16" xfId="0" applyFill="1" applyBorder="1" applyAlignment="1">
      <alignment horizontal="center"/>
    </xf>
    <xf numFmtId="0" fontId="0" fillId="6" borderId="7" xfId="0" applyFill="1" applyBorder="1" applyAlignment="1">
      <alignment horizontal="center"/>
    </xf>
    <xf numFmtId="0" fontId="10" fillId="5" borderId="24" xfId="0" applyFont="1" applyFill="1" applyBorder="1" applyAlignment="1">
      <alignment horizontal="center"/>
    </xf>
    <xf numFmtId="0" fontId="10" fillId="5" borderId="2" xfId="0" applyFont="1"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0" fillId="14" borderId="13" xfId="0" applyFont="1" applyFill="1" applyBorder="1" applyAlignment="1">
      <alignment horizontal="center"/>
    </xf>
    <xf numFmtId="0" fontId="10" fillId="14" borderId="8" xfId="0" applyFont="1" applyFill="1" applyBorder="1" applyAlignment="1">
      <alignment horizontal="center"/>
    </xf>
    <xf numFmtId="0" fontId="10" fillId="14" borderId="9" xfId="0" applyFont="1" applyFill="1" applyBorder="1" applyAlignment="1">
      <alignment horizontal="center"/>
    </xf>
    <xf numFmtId="0" fontId="10" fillId="14" borderId="15" xfId="0" applyFont="1" applyFill="1" applyBorder="1" applyAlignment="1">
      <alignment horizontal="center"/>
    </xf>
    <xf numFmtId="0" fontId="10" fillId="14" borderId="11" xfId="0" applyFont="1" applyFill="1" applyBorder="1" applyAlignment="1">
      <alignment horizontal="center"/>
    </xf>
    <xf numFmtId="0" fontId="10" fillId="14" borderId="12" xfId="0" applyFont="1" applyFill="1" applyBorder="1" applyAlignment="1">
      <alignment horizontal="center"/>
    </xf>
    <xf numFmtId="0" fontId="0" fillId="2" borderId="68" xfId="0" applyFill="1" applyBorder="1" applyAlignment="1">
      <alignment horizontal="left" vertical="center" wrapText="1"/>
    </xf>
    <xf numFmtId="0" fontId="0" fillId="2" borderId="58" xfId="0" applyFill="1" applyBorder="1" applyAlignment="1">
      <alignment horizontal="left" vertical="center" wrapText="1"/>
    </xf>
    <xf numFmtId="0" fontId="0" fillId="2" borderId="67" xfId="0" applyFill="1" applyBorder="1" applyAlignment="1">
      <alignment horizontal="left" vertical="center" wrapText="1"/>
    </xf>
    <xf numFmtId="0" fontId="10" fillId="5" borderId="24" xfId="0" applyFont="1" applyFill="1" applyBorder="1" applyAlignment="1">
      <alignment horizontal="center" vertical="center" wrapText="1"/>
    </xf>
    <xf numFmtId="0" fontId="10" fillId="5" borderId="25"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0" fillId="5" borderId="6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4" xfId="0" applyFill="1" applyBorder="1" applyAlignment="1">
      <alignment horizontal="left"/>
    </xf>
    <xf numFmtId="0" fontId="0" fillId="5" borderId="2" xfId="0" applyFill="1" applyBorder="1" applyAlignment="1">
      <alignment horizontal="left"/>
    </xf>
    <xf numFmtId="0" fontId="13" fillId="5" borderId="16" xfId="0" applyFont="1" applyFill="1" applyBorder="1" applyAlignment="1">
      <alignment horizontal="left"/>
    </xf>
    <xf numFmtId="0" fontId="13" fillId="5" borderId="17" xfId="0" applyFont="1" applyFill="1" applyBorder="1" applyAlignment="1">
      <alignment horizontal="left"/>
    </xf>
    <xf numFmtId="0" fontId="13" fillId="5" borderId="7" xfId="0" applyFont="1" applyFill="1" applyBorder="1" applyAlignment="1">
      <alignment horizontal="left"/>
    </xf>
    <xf numFmtId="0" fontId="6" fillId="2" borderId="22" xfId="0" applyFont="1" applyFill="1" applyBorder="1" applyAlignment="1">
      <alignment horizontal="left" vertical="top" wrapText="1"/>
    </xf>
    <xf numFmtId="0" fontId="6" fillId="2" borderId="18" xfId="0" applyFont="1" applyFill="1" applyBorder="1" applyAlignment="1">
      <alignment horizontal="left" vertical="top" wrapText="1"/>
    </xf>
    <xf numFmtId="0" fontId="6" fillId="2" borderId="23" xfId="0" applyFont="1" applyFill="1" applyBorder="1" applyAlignment="1">
      <alignment horizontal="left" vertical="top" wrapText="1"/>
    </xf>
    <xf numFmtId="165" fontId="0" fillId="10" borderId="18" xfId="6" applyFont="1" applyFill="1" applyBorder="1"/>
    <xf numFmtId="165" fontId="0" fillId="10" borderId="25" xfId="6" applyFont="1" applyFill="1" applyBorder="1"/>
    <xf numFmtId="165" fontId="0" fillId="10" borderId="56" xfId="6" applyFont="1" applyFill="1" applyBorder="1"/>
    <xf numFmtId="169" fontId="0" fillId="10" borderId="58" xfId="2" applyNumberFormat="1" applyFont="1" applyFill="1" applyBorder="1"/>
    <xf numFmtId="169" fontId="0" fillId="10" borderId="59" xfId="2" applyNumberFormat="1" applyFont="1" applyFill="1" applyBorder="1"/>
    <xf numFmtId="165" fontId="0" fillId="6" borderId="18" xfId="6" applyFont="1" applyFill="1" applyBorder="1"/>
    <xf numFmtId="165" fontId="0" fillId="6" borderId="25" xfId="6" applyFont="1" applyFill="1" applyBorder="1"/>
    <xf numFmtId="165" fontId="0" fillId="6" borderId="56" xfId="6" applyFont="1" applyFill="1" applyBorder="1"/>
    <xf numFmtId="169" fontId="0" fillId="10" borderId="68" xfId="2" applyNumberFormat="1" applyFont="1" applyFill="1" applyBorder="1"/>
    <xf numFmtId="169" fontId="0" fillId="6" borderId="57" xfId="2" applyNumberFormat="1" applyFont="1" applyFill="1" applyBorder="1"/>
    <xf numFmtId="169" fontId="0" fillId="6" borderId="58" xfId="2" applyNumberFormat="1" applyFont="1" applyFill="1" applyBorder="1"/>
    <xf numFmtId="169" fontId="0" fillId="6" borderId="59" xfId="2" applyNumberFormat="1" applyFont="1" applyFill="1" applyBorder="1"/>
  </cellXfs>
  <cellStyles count="8">
    <cellStyle name="Comma" xfId="2" builtinId="3"/>
    <cellStyle name="Currency" xfId="6" builtinId="4"/>
    <cellStyle name="Good" xfId="7" builtinId="26"/>
    <cellStyle name="Hyperlink" xfId="1" builtinId="8"/>
    <cellStyle name="Normal" xfId="0" builtinId="0"/>
    <cellStyle name="Normal 2 14" xfId="4" xr:uid="{00000000-0005-0000-0000-000004000000}"/>
    <cellStyle name="Normal 2 15" xfId="5" xr:uid="{00000000-0005-0000-0000-00000500000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5FAFD"/>
      <color rgb="FFECF4FA"/>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 Hipótesis'!$B$24</c:f>
              <c:strCache>
                <c:ptCount val="1"/>
                <c:pt idx="0">
                  <c:v>2022</c:v>
                </c:pt>
              </c:strCache>
            </c:strRef>
          </c:tx>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 Hipótesis'!$D$23</c:f>
              <c:strCache>
                <c:ptCount val="1"/>
                <c:pt idx="0">
                  <c:v>Total</c:v>
                </c:pt>
              </c:strCache>
            </c:strRef>
          </c:cat>
          <c:val>
            <c:numRef>
              <c:f>'1️⃣ Hipótesis'!$D$24</c:f>
              <c:numCache>
                <c:formatCode>_-"$"\ * #,##0.00_-;\-"$"\ * #,##0.00_-;_-"$"\ * "-"??_-;_-@_-</c:formatCode>
                <c:ptCount val="1"/>
                <c:pt idx="0">
                  <c:v>18750000</c:v>
                </c:pt>
              </c:numCache>
            </c:numRef>
          </c:val>
          <c:extLst>
            <c:ext xmlns:c16="http://schemas.microsoft.com/office/drawing/2014/chart" uri="{C3380CC4-5D6E-409C-BE32-E72D297353CC}">
              <c16:uniqueId val="{00000000-8197-4CDA-AB2D-833E93D514F5}"/>
            </c:ext>
          </c:extLst>
        </c:ser>
        <c:ser>
          <c:idx val="1"/>
          <c:order val="1"/>
          <c:tx>
            <c:strRef>
              <c:f>'1️⃣ Hipótesis'!$B$25</c:f>
              <c:strCache>
                <c:ptCount val="1"/>
                <c:pt idx="0">
                  <c:v>2023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 Hipótesis'!$D$23</c:f>
              <c:strCache>
                <c:ptCount val="1"/>
                <c:pt idx="0">
                  <c:v>Total</c:v>
                </c:pt>
              </c:strCache>
            </c:strRef>
          </c:cat>
          <c:val>
            <c:numRef>
              <c:f>'1️⃣ Hipótesis'!$D$25</c:f>
              <c:numCache>
                <c:formatCode>_-"$"\ * #,##0.00_-;\-"$"\ * #,##0.00_-;_-"$"\ * "-"??_-;_-@_-</c:formatCode>
                <c:ptCount val="1"/>
                <c:pt idx="0">
                  <c:v>43750000.000000007</c:v>
                </c:pt>
              </c:numCache>
            </c:numRef>
          </c:val>
          <c:extLst>
            <c:ext xmlns:c16="http://schemas.microsoft.com/office/drawing/2014/chart" uri="{C3380CC4-5D6E-409C-BE32-E72D297353CC}">
              <c16:uniqueId val="{00000001-8197-4CDA-AB2D-833E93D514F5}"/>
            </c:ext>
          </c:extLst>
        </c:ser>
        <c:ser>
          <c:idx val="2"/>
          <c:order val="2"/>
          <c:tx>
            <c:strRef>
              <c:f>'1️⃣ Hipótesis'!$B$26</c:f>
              <c:strCache>
                <c:ptCount val="1"/>
                <c:pt idx="0">
                  <c:v>2024</c:v>
                </c:pt>
              </c:strCache>
            </c:strRef>
          </c:tx>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 Hipótesis'!$D$23</c:f>
              <c:strCache>
                <c:ptCount val="1"/>
                <c:pt idx="0">
                  <c:v>Total</c:v>
                </c:pt>
              </c:strCache>
            </c:strRef>
          </c:cat>
          <c:val>
            <c:numRef>
              <c:f>'1️⃣ Hipótesis'!$D$26</c:f>
              <c:numCache>
                <c:formatCode>_-"$"\ * #,##0.00_-;\-"$"\ * #,##0.00_-;_-"$"\ * "-"??_-;_-@_-</c:formatCode>
                <c:ptCount val="1"/>
                <c:pt idx="0">
                  <c:v>75000000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5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2024 </a:t>
            </a:r>
          </a:p>
        </c:rich>
      </c:tx>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'3️⃣ Mod. ingresos'!$E$16</c:f>
              <c:strCache>
                <c:ptCount val="1"/>
                <c:pt idx="0">
                  <c:v> Ingresos 2024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9-EA85-40A9-9793-B381DA40BF8B}"/>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8-EA85-40A9-9793-B381DA40BF8B}"/>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A-EA85-40A9-9793-B381DA40BF8B}"/>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B-EA85-40A9-9793-B381DA40BF8B}"/>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C-EA85-40A9-9793-B381DA40BF8B}"/>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D-EA85-40A9-9793-B381DA40BF8B}"/>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7-EA85-40A9-9793-B381DA40BF8B}"/>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6-EA85-40A9-9793-B381DA40BF8B}"/>
              </c:ext>
            </c:extLst>
          </c:dPt>
          <c:dLbls>
            <c:dLbl>
              <c:idx val="0"/>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3"/>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A85-40A9-9793-B381DA40BF8B}"/>
                </c:ext>
              </c:extLst>
            </c:dLbl>
            <c:dLbl>
              <c:idx val="4"/>
              <c:layout>
                <c:manualLayout>
                  <c:x val="-1.8744162575353985E-2"/>
                  <c:y val="2.7246016708419838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EA85-40A9-9793-B381DA40BF8B}"/>
                </c:ext>
              </c:extLst>
            </c:dLbl>
            <c:dLbl>
              <c:idx val="5"/>
              <c:layout>
                <c:manualLayout>
                  <c:x val="-5.1120443387329137E-3"/>
                  <c:y val="-1.9815284878850793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A85-40A9-9793-B381DA40BF8B}"/>
                </c:ext>
              </c:extLst>
            </c:dLbl>
            <c:dLbl>
              <c:idx val="6"/>
              <c:layout>
                <c:manualLayout>
                  <c:x val="2.6355473315598163E-2"/>
                  <c:y val="-3.0177547682967154E-2"/>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A85-40A9-9793-B381DA40BF8B}"/>
                </c:ext>
              </c:extLst>
            </c:dLbl>
            <c:dLbl>
              <c:idx val="7"/>
              <c:layout>
                <c:manualLayout>
                  <c:x val="1.4200078438349617E-2"/>
                  <c:y val="7.0517840094941626E-3"/>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EA85-40A9-9793-B381DA40BF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'3️⃣ 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'3️⃣ Mod. ingresos'!$E$17:$E$24</c:f>
              <c:numCache>
                <c:formatCode>_-"$"\ * #,##0.00_-;\-"$"\ * #,##0.00_-;_-"$"\ * "-"??_-;_-@_-</c:formatCode>
                <c:ptCount val="8"/>
                <c:pt idx="0">
                  <c:v>6000000</c:v>
                </c:pt>
                <c:pt idx="1">
                  <c:v>13800000</c:v>
                </c:pt>
                <c:pt idx="2">
                  <c:v>14400000</c:v>
                </c:pt>
                <c:pt idx="3">
                  <c:v>12500000</c:v>
                </c:pt>
                <c:pt idx="4">
                  <c:v>6250000</c:v>
                </c:pt>
                <c:pt idx="5">
                  <c:v>4800000</c:v>
                </c:pt>
                <c:pt idx="6">
                  <c:v>8625000</c:v>
                </c:pt>
                <c:pt idx="7">
                  <c:v>9100000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'7️⃣ Mod. egresos'!$B$10</c:f>
              <c:strCache>
                <c:ptCount val="1"/>
                <c:pt idx="0">
                  <c:v>Costos Fijos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numRef>
              <c:f>'7️⃣ Mod. egresos'!$C$9:$E$9</c:f>
              <c:numCache>
                <c:formatCode>General</c:formatCode>
                <c:ptCount val="3"/>
                <c:pt idx="0">
                  <c:v>2022</c:v>
                </c:pt>
                <c:pt idx="1">
                  <c:v>2023</c:v>
                </c:pt>
                <c:pt idx="2">
                  <c:v>2024</c:v>
                </c:pt>
              </c:numCache>
            </c:numRef>
          </c:cat>
          <c:val>
            <c:numRef>
              <c:f>'7️⃣ Mod. egresos'!$C$10:$E$10</c:f>
              <c:numCache>
                <c:formatCode>"$"\ #,##0.00</c:formatCode>
                <c:ptCount val="3"/>
                <c:pt idx="0">
                  <c:v>2828400</c:v>
                </c:pt>
                <c:pt idx="1">
                  <c:v>3292920</c:v>
                </c:pt>
                <c:pt idx="2">
                  <c:v>3962001.6000000006</c:v>
                </c:pt>
              </c:numCache>
            </c:numRef>
          </c:val>
          <c:extLst>
            <c:ext xmlns:c16="http://schemas.microsoft.com/office/drawing/2014/chart" uri="{C3380CC4-5D6E-409C-BE32-E72D297353CC}">
              <c16:uniqueId val="{00000000-252F-41D5-9F1B-5A707FE5FD1F}"/>
            </c:ext>
          </c:extLst>
        </c:ser>
        <c:ser>
          <c:idx val="1"/>
          <c:order val="1"/>
          <c:tx>
            <c:strRef>
              <c:f>'7️⃣ Mod. egresos'!$B$11</c:f>
              <c:strCache>
                <c:ptCount val="1"/>
                <c:pt idx="0">
                  <c:v>Costos variables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numRef>
              <c:f>'7️⃣ Mod. egresos'!$C$9:$E$9</c:f>
              <c:numCache>
                <c:formatCode>General</c:formatCode>
                <c:ptCount val="3"/>
                <c:pt idx="0">
                  <c:v>2022</c:v>
                </c:pt>
                <c:pt idx="1">
                  <c:v>2023</c:v>
                </c:pt>
                <c:pt idx="2">
                  <c:v>2024</c:v>
                </c:pt>
              </c:numCache>
            </c:numRef>
          </c:cat>
          <c:val>
            <c:numRef>
              <c:f>'7️⃣ Mod. egresos'!$C$11:$E$11</c:f>
              <c:numCache>
                <c:formatCode>"$"\ #,##0.00</c:formatCode>
                <c:ptCount val="3"/>
                <c:pt idx="0">
                  <c:v>931100</c:v>
                </c:pt>
                <c:pt idx="1">
                  <c:v>2879000</c:v>
                </c:pt>
                <c:pt idx="2">
                  <c:v>6043550</c:v>
                </c:pt>
              </c:numCache>
            </c:numRef>
          </c:val>
          <c:extLst>
            <c:ext xmlns:c16="http://schemas.microsoft.com/office/drawing/2014/chart" uri="{C3380CC4-5D6E-409C-BE32-E72D297353CC}">
              <c16:uniqueId val="{00000001-252F-41D5-9F1B-5A707FE5FD1F}"/>
            </c:ext>
          </c:extLst>
        </c:ser>
        <c:ser>
          <c:idx val="2"/>
          <c:order val="2"/>
          <c:tx>
            <c:strRef>
              <c:f>'7️⃣ Mod. egresos'!$B$12</c:f>
              <c:strCache>
                <c:ptCount val="1"/>
                <c:pt idx="0">
                  <c:v>Costos de RRHH</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numRef>
              <c:f>'7️⃣ Mod. egresos'!$C$9:$E$9</c:f>
              <c:numCache>
                <c:formatCode>General</c:formatCode>
                <c:ptCount val="3"/>
                <c:pt idx="0">
                  <c:v>2022</c:v>
                </c:pt>
                <c:pt idx="1">
                  <c:v>2023</c:v>
                </c:pt>
                <c:pt idx="2">
                  <c:v>2024</c:v>
                </c:pt>
              </c:numCache>
            </c:numRef>
          </c:cat>
          <c:val>
            <c:numRef>
              <c:f>'7️⃣ Mod. egresos'!$C$12:$E$12</c:f>
              <c:numCache>
                <c:formatCode>"$"\ #,##0.00</c:formatCode>
                <c:ptCount val="3"/>
                <c:pt idx="0">
                  <c:v>16346610.640000002</c:v>
                </c:pt>
                <c:pt idx="1">
                  <c:v>29562208.922499999</c:v>
                </c:pt>
                <c:pt idx="2">
                  <c:v>53106550.25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'7️⃣ Mod. egresos'!$B$13</c:f>
              <c:strCache>
                <c:ptCount val="1"/>
                <c:pt idx="0">
                  <c:v>Costos totales</c:v>
                </c:pt>
              </c:strCache>
            </c:strRef>
          </c:tx>
          <c:spPr>
            <a:ln w="15875" cap="rnd">
              <a:solidFill>
                <a:schemeClr val="accent2">
                  <a:lumMod val="60000"/>
                </a:schemeClr>
              </a:solidFill>
              <a:round/>
            </a:ln>
            <a:effectLst/>
          </c:spPr>
          <c:marker>
            <c:symbol val="circle"/>
            <c:size val="5"/>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marker>
          <c:cat>
            <c:numRef>
              <c:f>'7️⃣ Mod. egresos'!$C$9:$E$9</c:f>
              <c:numCache>
                <c:formatCode>General</c:formatCode>
                <c:ptCount val="3"/>
                <c:pt idx="0">
                  <c:v>2022</c:v>
                </c:pt>
                <c:pt idx="1">
                  <c:v>2023</c:v>
                </c:pt>
                <c:pt idx="2">
                  <c:v>2024</c:v>
                </c:pt>
              </c:numCache>
            </c:numRef>
          </c:cat>
          <c:val>
            <c:numRef>
              <c:f>'7️⃣ Mod. egresos'!$C$13:$E$13</c:f>
              <c:numCache>
                <c:formatCode>"$"\ #,##0.00</c:formatCode>
                <c:ptCount val="3"/>
                <c:pt idx="0">
                  <c:v>20106110.640000001</c:v>
                </c:pt>
                <c:pt idx="1">
                  <c:v>35734128.922499999</c:v>
                </c:pt>
                <c:pt idx="2">
                  <c:v>63112101.850000001</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Ingresos vs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'7️⃣ Mod. egresos'!$B$13</c:f>
              <c:strCache>
                <c:ptCount val="1"/>
                <c:pt idx="0">
                  <c:v>Costos totales</c:v>
                </c:pt>
              </c:strCache>
            </c:strRef>
          </c:tx>
          <c:spPr>
            <a:ln w="28575" cap="rnd">
              <a:solidFill>
                <a:schemeClr val="accent1"/>
              </a:solidFill>
              <a:round/>
            </a:ln>
            <a:effectLst/>
          </c:spPr>
          <c:marker>
            <c:symbol val="none"/>
          </c:marker>
          <c:cat>
            <c:numRef>
              <c:f>'7️⃣ Mod. egresos'!$C$9:$E$9</c:f>
              <c:numCache>
                <c:formatCode>General</c:formatCode>
                <c:ptCount val="3"/>
                <c:pt idx="0">
                  <c:v>2022</c:v>
                </c:pt>
                <c:pt idx="1">
                  <c:v>2023</c:v>
                </c:pt>
                <c:pt idx="2">
                  <c:v>2024</c:v>
                </c:pt>
              </c:numCache>
            </c:numRef>
          </c:cat>
          <c:val>
            <c:numRef>
              <c:f>'7️⃣ Mod. egresos'!$C$13:$E$13</c:f>
              <c:numCache>
                <c:formatCode>"$"\ #,##0.00</c:formatCode>
                <c:ptCount val="3"/>
                <c:pt idx="0">
                  <c:v>20106110.640000001</c:v>
                </c:pt>
                <c:pt idx="1">
                  <c:v>35734128.922499999</c:v>
                </c:pt>
                <c:pt idx="2">
                  <c:v>63112101.850000001</c:v>
                </c:pt>
              </c:numCache>
            </c:numRef>
          </c:val>
          <c:smooth val="0"/>
          <c:extLst>
            <c:ext xmlns:c16="http://schemas.microsoft.com/office/drawing/2014/chart" uri="{C3380CC4-5D6E-409C-BE32-E72D297353CC}">
              <c16:uniqueId val="{00000000-F8DF-4E16-9F13-7AC41150A311}"/>
            </c:ext>
          </c:extLst>
        </c:ser>
        <c:ser>
          <c:idx val="1"/>
          <c:order val="1"/>
          <c:tx>
            <c:strRef>
              <c:f>'7️⃣ Mod. egresos'!$B$14</c:f>
              <c:strCache>
                <c:ptCount val="1"/>
                <c:pt idx="0">
                  <c:v>Objetivo ingresos</c:v>
                </c:pt>
              </c:strCache>
            </c:strRef>
          </c:tx>
          <c:spPr>
            <a:ln w="28575" cap="rnd">
              <a:solidFill>
                <a:schemeClr val="accent2"/>
              </a:solidFill>
              <a:round/>
            </a:ln>
            <a:effectLst/>
          </c:spPr>
          <c:marker>
            <c:symbol val="none"/>
          </c:marker>
          <c:cat>
            <c:numRef>
              <c:f>'7️⃣ Mod. egresos'!$C$9:$E$9</c:f>
              <c:numCache>
                <c:formatCode>General</c:formatCode>
                <c:ptCount val="3"/>
                <c:pt idx="0">
                  <c:v>2022</c:v>
                </c:pt>
                <c:pt idx="1">
                  <c:v>2023</c:v>
                </c:pt>
                <c:pt idx="2">
                  <c:v>2024</c:v>
                </c:pt>
              </c:numCache>
            </c:numRef>
          </c:cat>
          <c:val>
            <c:numRef>
              <c:f>'7️⃣ Mod. egresos'!$C$14:$E$14</c:f>
              <c:numCache>
                <c:formatCode>"$"\ #,##0.00</c:formatCode>
                <c:ptCount val="3"/>
                <c:pt idx="0">
                  <c:v>18750000</c:v>
                </c:pt>
                <c:pt idx="1">
                  <c:v>43750000.000000007</c:v>
                </c:pt>
                <c:pt idx="2">
                  <c:v>75000000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manualLayout>
          <c:layoutTarget val="inner"/>
          <c:xMode val="edge"/>
          <c:yMode val="edge"/>
          <c:x val="0.10072347391190987"/>
          <c:y val="8.3947929945699024E-2"/>
          <c:w val="0.88416923240132761"/>
          <c:h val="0.78659194141361466"/>
        </c:manualLayout>
      </c:layout>
      <c:barChart>
        <c:barDir val="col"/>
        <c:grouping val="clustered"/>
        <c:varyColors val="0"/>
        <c:ser>
          <c:idx val="0"/>
          <c:order val="0"/>
          <c:tx>
            <c:strRef>
              <c:f>'2️⃣ Proy. ventas'!$E$16:$F$16</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'2️⃣ Proy. ventas'!$F$27</c:f>
              <c:numCache>
                <c:formatCode>_-"$"\ * #,##0.00_-;\-"$"\ * #,##0.00_-;_-"$"\ * "-"??_-;_-@_-</c:formatCode>
                <c:ptCount val="1"/>
                <c:pt idx="0">
                  <c:v>2050000</c:v>
                </c:pt>
              </c:numCache>
            </c:numRef>
          </c:val>
          <c:extLst>
            <c:ext xmlns:c16="http://schemas.microsoft.com/office/drawing/2014/chart" uri="{C3380CC4-5D6E-409C-BE32-E72D297353CC}">
              <c16:uniqueId val="{00000000-4DA9-477F-8514-E5E1C16EC836}"/>
            </c:ext>
          </c:extLst>
        </c:ser>
        <c:ser>
          <c:idx val="1"/>
          <c:order val="1"/>
          <c:tx>
            <c:strRef>
              <c:f>'2️⃣ Proy. ventas'!$G$16:$H$16</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'2️⃣ Proy. ventas'!$H$27</c:f>
              <c:numCache>
                <c:formatCode>_-"$"\ * #,##0.00_-;\-"$"\ * #,##0.00_-;_-"$"\ * "-"??_-;_-@_-</c:formatCode>
                <c:ptCount val="1"/>
                <c:pt idx="0">
                  <c:v>50000</c:v>
                </c:pt>
              </c:numCache>
            </c:numRef>
          </c:val>
          <c:extLst>
            <c:ext xmlns:c16="http://schemas.microsoft.com/office/drawing/2014/chart" uri="{C3380CC4-5D6E-409C-BE32-E72D297353CC}">
              <c16:uniqueId val="{00000001-4DA9-477F-8514-E5E1C16EC836}"/>
            </c:ext>
          </c:extLst>
        </c:ser>
        <c:ser>
          <c:idx val="2"/>
          <c:order val="2"/>
          <c:tx>
            <c:strRef>
              <c:f>'2️⃣ Proy. ventas'!$I$16:$J$16</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'2️⃣ Proy. ventas'!$J$27</c:f>
              <c:numCache>
                <c:formatCode>_-"$"\ * #,##0.00_-;\-"$"\ * #,##0.00_-;_-"$"\ * "-"??_-;_-@_-</c:formatCode>
                <c:ptCount val="1"/>
                <c:pt idx="0">
                  <c:v>2100000</c:v>
                </c:pt>
              </c:numCache>
            </c:numRef>
          </c:val>
          <c:extLst>
            <c:ext xmlns:c16="http://schemas.microsoft.com/office/drawing/2014/chart" uri="{C3380CC4-5D6E-409C-BE32-E72D297353CC}">
              <c16:uniqueId val="{00000002-4DA9-477F-8514-E5E1C16EC836}"/>
            </c:ext>
          </c:extLst>
        </c:ser>
        <c:ser>
          <c:idx val="3"/>
          <c:order val="3"/>
          <c:tx>
            <c:strRef>
              <c:f>'2️⃣ Proy. ventas'!$K$16:$L$16</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'2️⃣ Proy. ventas'!$L$27</c:f>
              <c:numCache>
                <c:formatCode>_-"$"\ * #,##0.00_-;\-"$"\ * #,##0.00_-;_-"$"\ * "-"??_-;_-@_-</c:formatCode>
                <c:ptCount val="1"/>
                <c:pt idx="0">
                  <c:v>100000</c:v>
                </c:pt>
              </c:numCache>
            </c:numRef>
          </c:val>
          <c:extLst>
            <c:ext xmlns:c16="http://schemas.microsoft.com/office/drawing/2014/chart" uri="{C3380CC4-5D6E-409C-BE32-E72D297353CC}">
              <c16:uniqueId val="{00000003-4DA9-477F-8514-E5E1C16EC836}"/>
            </c:ext>
          </c:extLst>
        </c:ser>
        <c:ser>
          <c:idx val="4"/>
          <c:order val="4"/>
          <c:tx>
            <c:strRef>
              <c:f>'2️⃣ Proy. ventas'!$M$16:$N$16</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'2️⃣ Proy. ventas'!$N$27</c:f>
              <c:numCache>
                <c:formatCode>_-"$"\ * #,##0.00_-;\-"$"\ * #,##0.00_-;_-"$"\ * "-"??_-;_-@_-</c:formatCode>
                <c:ptCount val="1"/>
                <c:pt idx="0">
                  <c:v>2660000</c:v>
                </c:pt>
              </c:numCache>
            </c:numRef>
          </c:val>
          <c:extLst>
            <c:ext xmlns:c16="http://schemas.microsoft.com/office/drawing/2014/chart" uri="{C3380CC4-5D6E-409C-BE32-E72D297353CC}">
              <c16:uniqueId val="{00000004-4DA9-477F-8514-E5E1C16EC836}"/>
            </c:ext>
          </c:extLst>
        </c:ser>
        <c:ser>
          <c:idx val="5"/>
          <c:order val="5"/>
          <c:tx>
            <c:strRef>
              <c:f>'2️⃣ Proy. ventas'!$O$16:$P$16</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'2️⃣ Proy. ventas'!$P$27</c:f>
              <c:numCache>
                <c:formatCode>_-"$"\ * #,##0.00_-;\-"$"\ * #,##0.00_-;_-"$"\ * "-"??_-;_-@_-</c:formatCode>
                <c:ptCount val="1"/>
                <c:pt idx="0">
                  <c:v>160000</c:v>
                </c:pt>
              </c:numCache>
            </c:numRef>
          </c:val>
          <c:extLst>
            <c:ext xmlns:c16="http://schemas.microsoft.com/office/drawing/2014/chart" uri="{C3380CC4-5D6E-409C-BE32-E72D297353CC}">
              <c16:uniqueId val="{00000005-4DA9-477F-8514-E5E1C16EC836}"/>
            </c:ext>
          </c:extLst>
        </c:ser>
        <c:ser>
          <c:idx val="6"/>
          <c:order val="6"/>
          <c:tx>
            <c:strRef>
              <c:f>'2️⃣ Proy. ventas'!$Q$16:$R$16</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'2️⃣ Proy. ventas'!$R$27</c:f>
              <c:numCache>
                <c:formatCode>_-"$"\ * #,##0.00_-;\-"$"\ * #,##0.00_-;_-"$"\ * "-"??_-;_-@_-</c:formatCode>
                <c:ptCount val="1"/>
                <c:pt idx="0">
                  <c:v>2510000</c:v>
                </c:pt>
              </c:numCache>
            </c:numRef>
          </c:val>
          <c:extLst>
            <c:ext xmlns:c16="http://schemas.microsoft.com/office/drawing/2014/chart" uri="{C3380CC4-5D6E-409C-BE32-E72D297353CC}">
              <c16:uniqueId val="{00000006-4DA9-477F-8514-E5E1C16EC836}"/>
            </c:ext>
          </c:extLst>
        </c:ser>
        <c:ser>
          <c:idx val="7"/>
          <c:order val="7"/>
          <c:tx>
            <c:strRef>
              <c:f>'2️⃣ Proy. ventas'!$S$16:$T$16</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'2️⃣ Proy. ventas'!$T$27</c:f>
              <c:numCache>
                <c:formatCode>_-"$"\ * #,##0.00_-;\-"$"\ * #,##0.00_-;_-"$"\ * "-"??_-;_-@_-</c:formatCode>
                <c:ptCount val="1"/>
                <c:pt idx="0">
                  <c:v>2770000</c:v>
                </c:pt>
              </c:numCache>
            </c:numRef>
          </c:val>
          <c:extLst>
            <c:ext xmlns:c16="http://schemas.microsoft.com/office/drawing/2014/chart" uri="{C3380CC4-5D6E-409C-BE32-E72D297353CC}">
              <c16:uniqueId val="{00000007-4DA9-477F-8514-E5E1C16EC836}"/>
            </c:ext>
          </c:extLst>
        </c:ser>
        <c:ser>
          <c:idx val="8"/>
          <c:order val="8"/>
          <c:tx>
            <c:strRef>
              <c:f>'2️⃣ Proy. ventas'!$U$16:$V$16</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'2️⃣ Proy. ventas'!$V$27</c:f>
              <c:numCache>
                <c:formatCode>_-"$"\ * #,##0.00_-;\-"$"\ * #,##0.00_-;_-"$"\ * "-"??_-;_-@_-</c:formatCode>
                <c:ptCount val="1"/>
                <c:pt idx="0">
                  <c:v>270000</c:v>
                </c:pt>
              </c:numCache>
            </c:numRef>
          </c:val>
          <c:extLst>
            <c:ext xmlns:c16="http://schemas.microsoft.com/office/drawing/2014/chart" uri="{C3380CC4-5D6E-409C-BE32-E72D297353CC}">
              <c16:uniqueId val="{00000008-4DA9-477F-8514-E5E1C16EC836}"/>
            </c:ext>
          </c:extLst>
        </c:ser>
        <c:ser>
          <c:idx val="9"/>
          <c:order val="9"/>
          <c:tx>
            <c:strRef>
              <c:f>'2️⃣ Proy. ventas'!$W$16:$X$16</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'2️⃣ Proy. ventas'!$X$27</c:f>
              <c:numCache>
                <c:formatCode>_-"$"\ * #,##0.00_-;\-"$"\ * #,##0.00_-;_-"$"\ * "-"??_-;_-@_-</c:formatCode>
                <c:ptCount val="1"/>
                <c:pt idx="0">
                  <c:v>2770000</c:v>
                </c:pt>
              </c:numCache>
            </c:numRef>
          </c:val>
          <c:extLst>
            <c:ext xmlns:c16="http://schemas.microsoft.com/office/drawing/2014/chart" uri="{C3380CC4-5D6E-409C-BE32-E72D297353CC}">
              <c16:uniqueId val="{00000009-4DA9-477F-8514-E5E1C16EC836}"/>
            </c:ext>
          </c:extLst>
        </c:ser>
        <c:ser>
          <c:idx val="10"/>
          <c:order val="10"/>
          <c:tx>
            <c:strRef>
              <c:f>'2️⃣ Proy. ventas'!$Y$16:$Z$16</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'2️⃣ Proy. ventas'!$Z$27</c:f>
              <c:numCache>
                <c:formatCode>_-"$"\ * #,##0.00_-;\-"$"\ * #,##0.00_-;_-"$"\ * "-"??_-;_-@_-</c:formatCode>
                <c:ptCount val="1"/>
                <c:pt idx="0">
                  <c:v>370000</c:v>
                </c:pt>
              </c:numCache>
            </c:numRef>
          </c:val>
          <c:extLst>
            <c:ext xmlns:c16="http://schemas.microsoft.com/office/drawing/2014/chart" uri="{C3380CC4-5D6E-409C-BE32-E72D297353CC}">
              <c16:uniqueId val="{0000000A-4DA9-477F-8514-E5E1C16EC836}"/>
            </c:ext>
          </c:extLst>
        </c:ser>
        <c:ser>
          <c:idx val="11"/>
          <c:order val="11"/>
          <c:tx>
            <c:strRef>
              <c:f>'2️⃣ Proy. ventas'!$AA$16:$AB$16</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'2️⃣ Proy. ventas'!$AB$27</c:f>
              <c:numCache>
                <c:formatCode>_-"$"\ * #,##0.00_-;\-"$"\ * #,##0.00_-;_-"$"\ * "-"??_-;_-@_-</c:formatCode>
                <c:ptCount val="1"/>
                <c:pt idx="0">
                  <c:v>2745000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ventas'!$E$54:$F$54</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'2️⃣ Proy. ventas'!$F$65</c:f>
              <c:numCache>
                <c:formatCode>_-"$"\ * #,##0.00_-;\-"$"\ * #,##0.00_-;_-"$"\ * "-"??_-;_-@_-</c:formatCode>
                <c:ptCount val="1"/>
                <c:pt idx="0">
                  <c:v>3095000</c:v>
                </c:pt>
              </c:numCache>
            </c:numRef>
          </c:val>
          <c:extLst>
            <c:ext xmlns:c16="http://schemas.microsoft.com/office/drawing/2014/chart" uri="{C3380CC4-5D6E-409C-BE32-E72D297353CC}">
              <c16:uniqueId val="{00000000-916A-4904-8F5A-19D256CB58D9}"/>
            </c:ext>
          </c:extLst>
        </c:ser>
        <c:ser>
          <c:idx val="1"/>
          <c:order val="1"/>
          <c:tx>
            <c:strRef>
              <c:f>'2️⃣ Proy. ventas'!$G$54:$H$54</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'2️⃣ Proy. ventas'!$H$65</c:f>
              <c:numCache>
                <c:formatCode>_-"$"\ * #,##0.00_-;\-"$"\ * #,##0.00_-;_-"$"\ * "-"??_-;_-@_-</c:formatCode>
                <c:ptCount val="1"/>
                <c:pt idx="0">
                  <c:v>3095000</c:v>
                </c:pt>
              </c:numCache>
            </c:numRef>
          </c:val>
          <c:extLst>
            <c:ext xmlns:c16="http://schemas.microsoft.com/office/drawing/2014/chart" uri="{C3380CC4-5D6E-409C-BE32-E72D297353CC}">
              <c16:uniqueId val="{00000001-916A-4904-8F5A-19D256CB58D9}"/>
            </c:ext>
          </c:extLst>
        </c:ser>
        <c:ser>
          <c:idx val="2"/>
          <c:order val="2"/>
          <c:tx>
            <c:strRef>
              <c:f>'2️⃣ Proy. ventas'!$I$54:$J$54</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'2️⃣ Proy. ventas'!$J$65</c:f>
              <c:numCache>
                <c:formatCode>_-"$"\ * #,##0.00_-;\-"$"\ * #,##0.00_-;_-"$"\ * "-"??_-;_-@_-</c:formatCode>
                <c:ptCount val="1"/>
                <c:pt idx="0">
                  <c:v>2745000</c:v>
                </c:pt>
              </c:numCache>
            </c:numRef>
          </c:val>
          <c:extLst>
            <c:ext xmlns:c16="http://schemas.microsoft.com/office/drawing/2014/chart" uri="{C3380CC4-5D6E-409C-BE32-E72D297353CC}">
              <c16:uniqueId val="{00000002-916A-4904-8F5A-19D256CB58D9}"/>
            </c:ext>
          </c:extLst>
        </c:ser>
        <c:ser>
          <c:idx val="3"/>
          <c:order val="3"/>
          <c:tx>
            <c:strRef>
              <c:f>'2️⃣ Proy. ventas'!$K$54:$L$54</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'2️⃣ Proy. ventas'!$L$65</c:f>
              <c:numCache>
                <c:formatCode>_-"$"\ * #,##0.00_-;\-"$"\ * #,##0.00_-;_-"$"\ * "-"??_-;_-@_-</c:formatCode>
                <c:ptCount val="1"/>
                <c:pt idx="0">
                  <c:v>2795000</c:v>
                </c:pt>
              </c:numCache>
            </c:numRef>
          </c:val>
          <c:extLst>
            <c:ext xmlns:c16="http://schemas.microsoft.com/office/drawing/2014/chart" uri="{C3380CC4-5D6E-409C-BE32-E72D297353CC}">
              <c16:uniqueId val="{00000003-916A-4904-8F5A-19D256CB58D9}"/>
            </c:ext>
          </c:extLst>
        </c:ser>
        <c:ser>
          <c:idx val="4"/>
          <c:order val="4"/>
          <c:tx>
            <c:strRef>
              <c:f>'2️⃣ Proy. ventas'!$M$54:$N$54</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'2️⃣ Proy. ventas'!$N$65</c:f>
              <c:numCache>
                <c:formatCode>_-"$"\ * #,##0.00_-;\-"$"\ * #,##0.00_-;_-"$"\ * "-"??_-;_-@_-</c:formatCode>
                <c:ptCount val="1"/>
                <c:pt idx="0">
                  <c:v>2855000</c:v>
                </c:pt>
              </c:numCache>
            </c:numRef>
          </c:val>
          <c:extLst>
            <c:ext xmlns:c16="http://schemas.microsoft.com/office/drawing/2014/chart" uri="{C3380CC4-5D6E-409C-BE32-E72D297353CC}">
              <c16:uniqueId val="{00000004-916A-4904-8F5A-19D256CB58D9}"/>
            </c:ext>
          </c:extLst>
        </c:ser>
        <c:ser>
          <c:idx val="5"/>
          <c:order val="5"/>
          <c:tx>
            <c:strRef>
              <c:f>'2️⃣ Proy. ventas'!$O$54:$P$54</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'2️⃣ Proy. ventas'!$P$65</c:f>
              <c:numCache>
                <c:formatCode>_-"$"\ * #,##0.00_-;\-"$"\ * #,##0.00_-;_-"$"\ * "-"??_-;_-@_-</c:formatCode>
                <c:ptCount val="1"/>
                <c:pt idx="0">
                  <c:v>5690000</c:v>
                </c:pt>
              </c:numCache>
            </c:numRef>
          </c:val>
          <c:extLst>
            <c:ext xmlns:c16="http://schemas.microsoft.com/office/drawing/2014/chart" uri="{C3380CC4-5D6E-409C-BE32-E72D297353CC}">
              <c16:uniqueId val="{00000005-916A-4904-8F5A-19D256CB58D9}"/>
            </c:ext>
          </c:extLst>
        </c:ser>
        <c:ser>
          <c:idx val="6"/>
          <c:order val="6"/>
          <c:tx>
            <c:strRef>
              <c:f>'2️⃣ Proy. ventas'!$Q$54:$R$54</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'2️⃣ Proy. ventas'!$R$65</c:f>
              <c:numCache>
                <c:formatCode>_-"$"\ * #,##0.00_-;\-"$"\ * #,##0.00_-;_-"$"\ * "-"??_-;_-@_-</c:formatCode>
                <c:ptCount val="1"/>
                <c:pt idx="0">
                  <c:v>3540000</c:v>
                </c:pt>
              </c:numCache>
            </c:numRef>
          </c:val>
          <c:extLst>
            <c:ext xmlns:c16="http://schemas.microsoft.com/office/drawing/2014/chart" uri="{C3380CC4-5D6E-409C-BE32-E72D297353CC}">
              <c16:uniqueId val="{00000006-916A-4904-8F5A-19D256CB58D9}"/>
            </c:ext>
          </c:extLst>
        </c:ser>
        <c:ser>
          <c:idx val="7"/>
          <c:order val="7"/>
          <c:tx>
            <c:strRef>
              <c:f>'2️⃣ Proy. ventas'!$S$54:$T$54</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'2️⃣ Proy. ventas'!$T$65</c:f>
              <c:numCache>
                <c:formatCode>_-"$"\ * #,##0.00_-;\-"$"\ * #,##0.00_-;_-"$"\ * "-"??_-;_-@_-</c:formatCode>
                <c:ptCount val="1"/>
                <c:pt idx="0">
                  <c:v>3415000</c:v>
                </c:pt>
              </c:numCache>
            </c:numRef>
          </c:val>
          <c:extLst>
            <c:ext xmlns:c16="http://schemas.microsoft.com/office/drawing/2014/chart" uri="{C3380CC4-5D6E-409C-BE32-E72D297353CC}">
              <c16:uniqueId val="{00000007-916A-4904-8F5A-19D256CB58D9}"/>
            </c:ext>
          </c:extLst>
        </c:ser>
        <c:ser>
          <c:idx val="8"/>
          <c:order val="8"/>
          <c:tx>
            <c:strRef>
              <c:f>'2️⃣ Proy. ventas'!$U$54:$V$54</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'2️⃣ Proy. ventas'!$V$65</c:f>
              <c:numCache>
                <c:formatCode>_-"$"\ * #,##0.00_-;\-"$"\ * #,##0.00_-;_-"$"\ * "-"??_-;_-@_-</c:formatCode>
                <c:ptCount val="1"/>
                <c:pt idx="0">
                  <c:v>3215000</c:v>
                </c:pt>
              </c:numCache>
            </c:numRef>
          </c:val>
          <c:extLst>
            <c:ext xmlns:c16="http://schemas.microsoft.com/office/drawing/2014/chart" uri="{C3380CC4-5D6E-409C-BE32-E72D297353CC}">
              <c16:uniqueId val="{00000008-916A-4904-8F5A-19D256CB58D9}"/>
            </c:ext>
          </c:extLst>
        </c:ser>
        <c:ser>
          <c:idx val="9"/>
          <c:order val="9"/>
          <c:tx>
            <c:strRef>
              <c:f>'2️⃣ Proy. ventas'!$W$54:$X$54</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'2️⃣ Proy. ventas'!$X$65</c:f>
              <c:numCache>
                <c:formatCode>_-"$"\ * #,##0.00_-;\-"$"\ * #,##0.00_-;_-"$"\ * "-"??_-;_-@_-</c:formatCode>
                <c:ptCount val="1"/>
                <c:pt idx="0">
                  <c:v>6150000</c:v>
                </c:pt>
              </c:numCache>
            </c:numRef>
          </c:val>
          <c:extLst>
            <c:ext xmlns:c16="http://schemas.microsoft.com/office/drawing/2014/chart" uri="{C3380CC4-5D6E-409C-BE32-E72D297353CC}">
              <c16:uniqueId val="{00000009-916A-4904-8F5A-19D256CB58D9}"/>
            </c:ext>
          </c:extLst>
        </c:ser>
        <c:ser>
          <c:idx val="10"/>
          <c:order val="10"/>
          <c:tx>
            <c:strRef>
              <c:f>'2️⃣ Proy. ventas'!$Y$54:$Z$54</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'2️⃣ Proy. ventas'!$Z$65</c:f>
              <c:numCache>
                <c:formatCode>_-"$"\ * #,##0.00_-;\-"$"\ * #,##0.00_-;_-"$"\ * "-"??_-;_-@_-</c:formatCode>
                <c:ptCount val="1"/>
                <c:pt idx="0">
                  <c:v>1450000</c:v>
                </c:pt>
              </c:numCache>
            </c:numRef>
          </c:val>
          <c:extLst>
            <c:ext xmlns:c16="http://schemas.microsoft.com/office/drawing/2014/chart" uri="{C3380CC4-5D6E-409C-BE32-E72D297353CC}">
              <c16:uniqueId val="{0000000A-916A-4904-8F5A-19D256CB58D9}"/>
            </c:ext>
          </c:extLst>
        </c:ser>
        <c:ser>
          <c:idx val="11"/>
          <c:order val="11"/>
          <c:tx>
            <c:strRef>
              <c:f>'2️⃣ Proy. ventas'!$AA$54:$AB$54</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'2️⃣ Proy. ventas'!$AB$65</c:f>
              <c:numCache>
                <c:formatCode>_-"$"\ * #,##0.00_-;\-"$"\ * #,##0.00_-;_-"$"\ * "-"??_-;_-@_-</c:formatCode>
                <c:ptCount val="1"/>
                <c:pt idx="0">
                  <c:v>5625000</c:v>
                </c:pt>
              </c:numCache>
            </c:numRef>
          </c:val>
          <c:extLst>
            <c:ext xmlns:c16="http://schemas.microsoft.com/office/drawing/2014/chart" uri="{C3380CC4-5D6E-409C-BE32-E72D297353CC}">
              <c16:uniqueId val="{0000000B-916A-4904-8F5A-19D256CB58D9}"/>
            </c:ext>
          </c:extLst>
        </c:ser>
        <c:dLbls>
          <c:showLegendKey val="0"/>
          <c:showVal val="0"/>
          <c:showCatName val="0"/>
          <c:showSerName val="0"/>
          <c:showPercent val="0"/>
          <c:showBubbleSize val="0"/>
        </c:dLbls>
        <c:gapWidth val="100"/>
        <c:overlap val="-24"/>
        <c:axId val="281125407"/>
        <c:axId val="271408143"/>
      </c:barChart>
      <c:catAx>
        <c:axId val="28112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08143"/>
        <c:crosses val="autoZero"/>
        <c:auto val="1"/>
        <c:lblAlgn val="ctr"/>
        <c:lblOffset val="100"/>
        <c:noMultiLvlLbl val="0"/>
      </c:catAx>
      <c:valAx>
        <c:axId val="2714081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25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2024</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ventas'!$E$94:$F$94</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'2️⃣ Proy. ventas'!$F$105</c:f>
              <c:numCache>
                <c:formatCode>_-"$"\ * #,##0.00_-;\-"$"\ * #,##0.00_-;_-"$"\ * "-"??_-;_-@_-</c:formatCode>
                <c:ptCount val="1"/>
                <c:pt idx="0">
                  <c:v>6575000</c:v>
                </c:pt>
              </c:numCache>
            </c:numRef>
          </c:val>
          <c:extLst>
            <c:ext xmlns:c16="http://schemas.microsoft.com/office/drawing/2014/chart" uri="{C3380CC4-5D6E-409C-BE32-E72D297353CC}">
              <c16:uniqueId val="{00000000-9191-4473-B9A1-489F425F65C4}"/>
            </c:ext>
          </c:extLst>
        </c:ser>
        <c:ser>
          <c:idx val="1"/>
          <c:order val="1"/>
          <c:tx>
            <c:strRef>
              <c:f>'2️⃣ Proy. ventas'!$G$94:$H$94</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'2️⃣ Proy. ventas'!$H$105</c:f>
              <c:numCache>
                <c:formatCode>_-"$"\ * #,##0.00_-;\-"$"\ * #,##0.00_-;_-"$"\ * "-"??_-;_-@_-</c:formatCode>
                <c:ptCount val="1"/>
                <c:pt idx="0">
                  <c:v>6700000</c:v>
                </c:pt>
              </c:numCache>
            </c:numRef>
          </c:val>
          <c:extLst>
            <c:ext xmlns:c16="http://schemas.microsoft.com/office/drawing/2014/chart" uri="{C3380CC4-5D6E-409C-BE32-E72D297353CC}">
              <c16:uniqueId val="{00000001-9191-4473-B9A1-489F425F65C4}"/>
            </c:ext>
          </c:extLst>
        </c:ser>
        <c:ser>
          <c:idx val="2"/>
          <c:order val="2"/>
          <c:tx>
            <c:strRef>
              <c:f>'2️⃣ Proy. ventas'!$I$94:$J$94</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'2️⃣ Proy. ventas'!$J$105</c:f>
              <c:numCache>
                <c:formatCode>_-"$"\ * #,##0.00_-;\-"$"\ * #,##0.00_-;_-"$"\ * "-"??_-;_-@_-</c:formatCode>
                <c:ptCount val="1"/>
                <c:pt idx="0">
                  <c:v>6750000</c:v>
                </c:pt>
              </c:numCache>
            </c:numRef>
          </c:val>
          <c:extLst>
            <c:ext xmlns:c16="http://schemas.microsoft.com/office/drawing/2014/chart" uri="{C3380CC4-5D6E-409C-BE32-E72D297353CC}">
              <c16:uniqueId val="{00000002-9191-4473-B9A1-489F425F65C4}"/>
            </c:ext>
          </c:extLst>
        </c:ser>
        <c:ser>
          <c:idx val="3"/>
          <c:order val="3"/>
          <c:tx>
            <c:strRef>
              <c:f>'2️⃣ Proy. ventas'!$K$94:$L$94</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'2️⃣ Proy. ventas'!$L$105</c:f>
              <c:numCache>
                <c:formatCode>_-"$"\ * #,##0.00_-;\-"$"\ * #,##0.00_-;_-"$"\ * "-"??_-;_-@_-</c:formatCode>
                <c:ptCount val="1"/>
                <c:pt idx="0">
                  <c:v>4425000</c:v>
                </c:pt>
              </c:numCache>
            </c:numRef>
          </c:val>
          <c:extLst>
            <c:ext xmlns:c16="http://schemas.microsoft.com/office/drawing/2014/chart" uri="{C3380CC4-5D6E-409C-BE32-E72D297353CC}">
              <c16:uniqueId val="{00000003-9191-4473-B9A1-489F425F65C4}"/>
            </c:ext>
          </c:extLst>
        </c:ser>
        <c:ser>
          <c:idx val="4"/>
          <c:order val="4"/>
          <c:tx>
            <c:strRef>
              <c:f>'2️⃣ Proy. ventas'!$M$94:$N$94</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'2️⃣ Proy. ventas'!$N$105</c:f>
              <c:numCache>
                <c:formatCode>_-"$"\ * #,##0.00_-;\-"$"\ * #,##0.00_-;_-"$"\ * "-"??_-;_-@_-</c:formatCode>
                <c:ptCount val="1"/>
                <c:pt idx="0">
                  <c:v>6625000</c:v>
                </c:pt>
              </c:numCache>
            </c:numRef>
          </c:val>
          <c:extLst>
            <c:ext xmlns:c16="http://schemas.microsoft.com/office/drawing/2014/chart" uri="{C3380CC4-5D6E-409C-BE32-E72D297353CC}">
              <c16:uniqueId val="{00000004-9191-4473-B9A1-489F425F65C4}"/>
            </c:ext>
          </c:extLst>
        </c:ser>
        <c:ser>
          <c:idx val="5"/>
          <c:order val="5"/>
          <c:tx>
            <c:strRef>
              <c:f>'2️⃣ Proy. ventas'!$O$94:$P$94</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'2️⃣ Proy. ventas'!$P$105</c:f>
              <c:numCache>
                <c:formatCode>_-"$"\ * #,##0.00_-;\-"$"\ * #,##0.00_-;_-"$"\ * "-"??_-;_-@_-</c:formatCode>
                <c:ptCount val="1"/>
                <c:pt idx="0">
                  <c:v>7285000</c:v>
                </c:pt>
              </c:numCache>
            </c:numRef>
          </c:val>
          <c:extLst>
            <c:ext xmlns:c16="http://schemas.microsoft.com/office/drawing/2014/chart" uri="{C3380CC4-5D6E-409C-BE32-E72D297353CC}">
              <c16:uniqueId val="{00000005-9191-4473-B9A1-489F425F65C4}"/>
            </c:ext>
          </c:extLst>
        </c:ser>
        <c:ser>
          <c:idx val="6"/>
          <c:order val="6"/>
          <c:tx>
            <c:strRef>
              <c:f>'2️⃣ Proy. ventas'!$Q$94:$R$94</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'2️⃣ Proy. ventas'!$R$105</c:f>
              <c:numCache>
                <c:formatCode>_-"$"\ * #,##0.00_-;\-"$"\ * #,##0.00_-;_-"$"\ * "-"??_-;_-@_-</c:formatCode>
                <c:ptCount val="1"/>
                <c:pt idx="0">
                  <c:v>7320000</c:v>
                </c:pt>
              </c:numCache>
            </c:numRef>
          </c:val>
          <c:extLst>
            <c:ext xmlns:c16="http://schemas.microsoft.com/office/drawing/2014/chart" uri="{C3380CC4-5D6E-409C-BE32-E72D297353CC}">
              <c16:uniqueId val="{00000006-9191-4473-B9A1-489F425F65C4}"/>
            </c:ext>
          </c:extLst>
        </c:ser>
        <c:ser>
          <c:idx val="7"/>
          <c:order val="7"/>
          <c:tx>
            <c:strRef>
              <c:f>'2️⃣ Proy. ventas'!$S$94:$T$94</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'2️⃣ Proy. ventas'!$T$105</c:f>
              <c:numCache>
                <c:formatCode>_-"$"\ * #,##0.00_-;\-"$"\ * #,##0.00_-;_-"$"\ * "-"??_-;_-@_-</c:formatCode>
                <c:ptCount val="1"/>
                <c:pt idx="0">
                  <c:v>4895000</c:v>
                </c:pt>
              </c:numCache>
            </c:numRef>
          </c:val>
          <c:extLst>
            <c:ext xmlns:c16="http://schemas.microsoft.com/office/drawing/2014/chart" uri="{C3380CC4-5D6E-409C-BE32-E72D297353CC}">
              <c16:uniqueId val="{00000007-9191-4473-B9A1-489F425F65C4}"/>
            </c:ext>
          </c:extLst>
        </c:ser>
        <c:ser>
          <c:idx val="8"/>
          <c:order val="8"/>
          <c:tx>
            <c:strRef>
              <c:f>'2️⃣ Proy. ventas'!$U$94:$V$94</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'2️⃣ Proy. ventas'!$V$105</c:f>
              <c:numCache>
                <c:formatCode>_-"$"\ * #,##0.00_-;\-"$"\ * #,##0.00_-;_-"$"\ * "-"??_-;_-@_-</c:formatCode>
                <c:ptCount val="1"/>
                <c:pt idx="0">
                  <c:v>5170000</c:v>
                </c:pt>
              </c:numCache>
            </c:numRef>
          </c:val>
          <c:extLst>
            <c:ext xmlns:c16="http://schemas.microsoft.com/office/drawing/2014/chart" uri="{C3380CC4-5D6E-409C-BE32-E72D297353CC}">
              <c16:uniqueId val="{00000008-9191-4473-B9A1-489F425F65C4}"/>
            </c:ext>
          </c:extLst>
        </c:ser>
        <c:ser>
          <c:idx val="9"/>
          <c:order val="9"/>
          <c:tx>
            <c:strRef>
              <c:f>'2️⃣ Proy. ventas'!$W$94:$X$94</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'2️⃣ Proy. ventas'!$X$105</c:f>
              <c:numCache>
                <c:formatCode>_-"$"\ * #,##0.00_-;\-"$"\ * #,##0.00_-;_-"$"\ * "-"??_-;_-@_-</c:formatCode>
                <c:ptCount val="1"/>
                <c:pt idx="0">
                  <c:v>5030000</c:v>
                </c:pt>
              </c:numCache>
            </c:numRef>
          </c:val>
          <c:extLst>
            <c:ext xmlns:c16="http://schemas.microsoft.com/office/drawing/2014/chart" uri="{C3380CC4-5D6E-409C-BE32-E72D297353CC}">
              <c16:uniqueId val="{00000009-9191-4473-B9A1-489F425F65C4}"/>
            </c:ext>
          </c:extLst>
        </c:ser>
        <c:ser>
          <c:idx val="10"/>
          <c:order val="10"/>
          <c:tx>
            <c:strRef>
              <c:f>'2️⃣ Proy. ventas'!$Y$94:$Z$94</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'2️⃣ Proy. ventas'!$Z$105</c:f>
              <c:numCache>
                <c:formatCode>_-"$"\ * #,##0.00_-;\-"$"\ * #,##0.00_-;_-"$"\ * "-"??_-;_-@_-</c:formatCode>
                <c:ptCount val="1"/>
                <c:pt idx="0">
                  <c:v>7250000</c:v>
                </c:pt>
              </c:numCache>
            </c:numRef>
          </c:val>
          <c:extLst>
            <c:ext xmlns:c16="http://schemas.microsoft.com/office/drawing/2014/chart" uri="{C3380CC4-5D6E-409C-BE32-E72D297353CC}">
              <c16:uniqueId val="{0000000A-9191-4473-B9A1-489F425F65C4}"/>
            </c:ext>
          </c:extLst>
        </c:ser>
        <c:ser>
          <c:idx val="11"/>
          <c:order val="11"/>
          <c:tx>
            <c:strRef>
              <c:f>'2️⃣ Proy. ventas'!$AA$94:$AB$94</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'2️⃣ Proy. ventas'!$AB$105</c:f>
              <c:numCache>
                <c:formatCode>_-"$"\ * #,##0.00_-;\-"$"\ * #,##0.00_-;_-"$"\ * "-"??_-;_-@_-</c:formatCode>
                <c:ptCount val="1"/>
                <c:pt idx="0">
                  <c:v>7450000</c:v>
                </c:pt>
              </c:numCache>
            </c:numRef>
          </c:val>
          <c:extLst>
            <c:ext xmlns:c16="http://schemas.microsoft.com/office/drawing/2014/chart" uri="{C3380CC4-5D6E-409C-BE32-E72D297353CC}">
              <c16:uniqueId val="{0000000B-9191-4473-B9A1-489F425F65C4}"/>
            </c:ext>
          </c:extLst>
        </c:ser>
        <c:dLbls>
          <c:showLegendKey val="0"/>
          <c:showVal val="0"/>
          <c:showCatName val="0"/>
          <c:showSerName val="0"/>
          <c:showPercent val="0"/>
          <c:showBubbleSize val="0"/>
        </c:dLbls>
        <c:gapWidth val="100"/>
        <c:overlap val="-24"/>
        <c:axId val="282684127"/>
        <c:axId val="271410223"/>
      </c:barChart>
      <c:catAx>
        <c:axId val="2826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10223"/>
        <c:crosses val="autoZero"/>
        <c:auto val="1"/>
        <c:lblAlgn val="ctr"/>
        <c:lblOffset val="100"/>
        <c:noMultiLvlLbl val="0"/>
      </c:catAx>
      <c:valAx>
        <c:axId val="2714102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2684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2022 de productos fabricados en nuestra empresa</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ventas'!$A$19</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ventas'!$E$19,'2️⃣ Proy. ventas'!$G$19,'2️⃣ Proy. ventas'!$I$19,'2️⃣ Proy. ventas'!$K$19,'2️⃣ Proy. ventas'!$M$19,'2️⃣ Proy. ventas'!$O$19,'2️⃣ Proy. ventas'!$Q$19,'2️⃣ Proy. ventas'!$S$19,'2️⃣ Proy. ventas'!$U$19,'2️⃣ Proy. ventas'!$W$19,'2️⃣ Proy. ventas'!$Y$19,'2️⃣ Proy. ventas'!$AA$19)</c:f>
              <c:numCache>
                <c:formatCode>_-* #,##0\ _€_-;\-* #,##0\ _€_-;_-* "-"??\ _€_-;_-@_-</c:formatCode>
                <c:ptCount val="12"/>
                <c:pt idx="0">
                  <c:v>1</c:v>
                </c:pt>
                <c:pt idx="2">
                  <c:v>1</c:v>
                </c:pt>
              </c:numCache>
            </c:numRef>
          </c:val>
          <c:extLst>
            <c:ext xmlns:c16="http://schemas.microsoft.com/office/drawing/2014/chart" uri="{C3380CC4-5D6E-409C-BE32-E72D297353CC}">
              <c16:uniqueId val="{00000000-396A-4246-A5F4-AB115A34A6FA}"/>
            </c:ext>
          </c:extLst>
        </c:ser>
        <c:ser>
          <c:idx val="1"/>
          <c:order val="1"/>
          <c:tx>
            <c:strRef>
              <c:f>'2️⃣ Proy. ventas'!$A$20</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ventas'!$E$20,'2️⃣ Proy. ventas'!$G$20,'2️⃣ Proy. ventas'!$I$20,'2️⃣ Proy. ventas'!$K$20,'2️⃣ Proy. ventas'!$M$20,'2️⃣ Proy. ventas'!$O$20,'2️⃣ Proy. ventas'!$Q$20,'2️⃣ Proy. ventas'!$S$20,'2️⃣ Proy. ventas'!$U$20,'2️⃣ Proy. ventas'!$W$20,'2️⃣ Proy. ventas'!$Y$20,'2️⃣ Proy. ventas'!$AA$20)</c:f>
              <c:numCache>
                <c:formatCode>_-* #,##0\ _€_-;\-* #,##0\ _€_-;_-* "-"??\ _€_-;_-@_-</c:formatCode>
                <c:ptCount val="12"/>
                <c:pt idx="6">
                  <c:v>1</c:v>
                </c:pt>
                <c:pt idx="11">
                  <c:v>1</c:v>
                </c:pt>
              </c:numCache>
            </c:numRef>
          </c:val>
          <c:extLst>
            <c:ext xmlns:c16="http://schemas.microsoft.com/office/drawing/2014/chart" uri="{C3380CC4-5D6E-409C-BE32-E72D297353CC}">
              <c16:uniqueId val="{00000001-396A-4246-A5F4-AB115A34A6FA}"/>
            </c:ext>
          </c:extLst>
        </c:ser>
        <c:ser>
          <c:idx val="2"/>
          <c:order val="2"/>
          <c:tx>
            <c:strRef>
              <c:f>'2️⃣ Proy. ventas'!$A$21</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ventas'!$E$21,'2️⃣ Proy. ventas'!$G$21,'2️⃣ Proy. ventas'!$I$21,'2️⃣ Proy. ventas'!$K$21,'2️⃣ Proy. ventas'!$M$21,'2️⃣ Proy. ventas'!$O$21,'2️⃣ Proy. ventas'!$Q$21,'2️⃣ Proy. ventas'!$S$21,'2️⃣ Proy. ventas'!$U$21,'2️⃣ Proy. ventas'!$W$21,'2️⃣ Proy. ventas'!$Y$21,'2️⃣ Proy. ventas'!$AA$21)</c:f>
              <c:numCache>
                <c:formatCode>_-* #,##0\ _€_-;\-* #,##0\ _€_-;_-* "-"??\ _€_-;_-@_-</c:formatCode>
                <c:ptCount val="12"/>
                <c:pt idx="9">
                  <c:v>1</c:v>
                </c:pt>
              </c:numCache>
            </c:numRef>
          </c:val>
          <c:extLst>
            <c:ext xmlns:c16="http://schemas.microsoft.com/office/drawing/2014/chart" uri="{C3380CC4-5D6E-409C-BE32-E72D297353CC}">
              <c16:uniqueId val="{00000002-396A-4246-A5F4-AB115A34A6FA}"/>
            </c:ext>
          </c:extLst>
        </c:ser>
        <c:ser>
          <c:idx val="3"/>
          <c:order val="3"/>
          <c:tx>
            <c:strRef>
              <c:f>'2️⃣ Proy. ventas'!$A$22</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ventas'!$E$22,'2️⃣ Proy. ventas'!$G$22,'2️⃣ Proy. ventas'!$I$22,'2️⃣ Proy. ventas'!$K$22,'2️⃣ Proy. ventas'!$M$22,'2️⃣ Proy. ventas'!$O$22,'2️⃣ Proy. ventas'!$Q$22,'2️⃣ Proy. ventas'!$S$22,'2️⃣ Proy. ventas'!$U$22,'2️⃣ Proy. ventas'!$W$22,'2️⃣ Proy. ventas'!$Y$22,'2️⃣ Proy. ventas'!$AA$22)</c:f>
              <c:numCache>
                <c:formatCode>_-* #,##0\ _€_-;\-* #,##0\ _€_-;_-* "-"??\ _€_-;_-@_-</c:formatCode>
                <c:ptCount val="12"/>
                <c:pt idx="4">
                  <c:v>1</c:v>
                </c:pt>
                <c:pt idx="7">
                  <c:v>1</c:v>
                </c:pt>
              </c:numCache>
            </c:numRef>
          </c:val>
          <c:extLst>
            <c:ext xmlns:c16="http://schemas.microsoft.com/office/drawing/2014/chart" uri="{C3380CC4-5D6E-409C-BE32-E72D297353CC}">
              <c16:uniqueId val="{00000004-CB43-4A51-9369-35F3A7E956FB}"/>
            </c:ext>
          </c:extLst>
        </c:ser>
        <c:dLbls>
          <c:dLblPos val="ctr"/>
          <c:showLegendKey val="0"/>
          <c:showVal val="1"/>
          <c:showCatName val="0"/>
          <c:showSerName val="0"/>
          <c:showPercent val="0"/>
          <c:showBubbleSize val="0"/>
        </c:dLbls>
        <c:gapWidth val="150"/>
        <c:axId val="262473679"/>
        <c:axId val="258788111"/>
      </c:barChart>
      <c:catAx>
        <c:axId val="26247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62473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2023 de productos fabricados en nuestra empresa</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ventas'!$A$57</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ventas'!$E$57,'2️⃣ Proy. ventas'!$G$57,'2️⃣ Proy. ventas'!$I$57,'2️⃣ Proy. ventas'!$K$57,'2️⃣ Proy. ventas'!$M$57,'2️⃣ Proy. ventas'!$O$57,'2️⃣ Proy. ventas'!$Q$57,'2️⃣ Proy. ventas'!$S$57,'2️⃣ Proy. ventas'!$U$57,'2️⃣ Proy. ventas'!$W$57,'2️⃣ Proy. ventas'!$Y$57,'2️⃣ Proy. ventas'!$AA$57)</c:f>
              <c:numCache>
                <c:formatCode>_-* #,##0\ _€_-;\-* #,##0\ _€_-;_-* "-"??\ _€_-;_-@_-</c:formatCode>
                <c:ptCount val="12"/>
                <c:pt idx="2">
                  <c:v>1</c:v>
                </c:pt>
                <c:pt idx="3">
                  <c:v>1</c:v>
                </c:pt>
                <c:pt idx="4">
                  <c:v>1</c:v>
                </c:pt>
                <c:pt idx="8">
                  <c:v>1</c:v>
                </c:pt>
                <c:pt idx="11">
                  <c:v>2</c:v>
                </c:pt>
              </c:numCache>
            </c:numRef>
          </c:val>
          <c:extLst>
            <c:ext xmlns:c16="http://schemas.microsoft.com/office/drawing/2014/chart" uri="{C3380CC4-5D6E-409C-BE32-E72D297353CC}">
              <c16:uniqueId val="{00000000-4FB4-4DAA-AE13-4A7CBDA485EA}"/>
            </c:ext>
          </c:extLst>
        </c:ser>
        <c:ser>
          <c:idx val="1"/>
          <c:order val="1"/>
          <c:tx>
            <c:strRef>
              <c:f>'2️⃣ Proy. ventas'!$A$58</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ventas'!$E$58,'2️⃣ Proy. ventas'!$G$58,'2️⃣ Proy. ventas'!$I$58,'2️⃣ Proy. ventas'!$K$58,'2️⃣ Proy. ventas'!$M$58,'2️⃣ Proy. ventas'!$O$58,'2️⃣ Proy. ventas'!$Q$58,'2️⃣ Proy. ventas'!$S$58,'2️⃣ Proy. ventas'!$U$58,'2️⃣ Proy. ventas'!$W$58,'2️⃣ Proy. ventas'!$Y$58,'2️⃣ Proy. ventas'!$AA$58)</c:f>
              <c:numCache>
                <c:formatCode>_-* #,##0\ _€_-;\-* #,##0\ _€_-;_-* "-"??\ _€_-;_-@_-</c:formatCode>
                <c:ptCount val="12"/>
                <c:pt idx="5">
                  <c:v>1</c:v>
                </c:pt>
                <c:pt idx="7">
                  <c:v>1</c:v>
                </c:pt>
                <c:pt idx="9">
                  <c:v>1</c:v>
                </c:pt>
              </c:numCache>
            </c:numRef>
          </c:val>
          <c:extLst>
            <c:ext xmlns:c16="http://schemas.microsoft.com/office/drawing/2014/chart" uri="{C3380CC4-5D6E-409C-BE32-E72D297353CC}">
              <c16:uniqueId val="{00000001-4FB4-4DAA-AE13-4A7CBDA485EA}"/>
            </c:ext>
          </c:extLst>
        </c:ser>
        <c:ser>
          <c:idx val="2"/>
          <c:order val="2"/>
          <c:tx>
            <c:strRef>
              <c:f>'2️⃣ Proy. ventas'!$A$59</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ventas'!$E$59,'2️⃣ Proy. ventas'!$G$59,'2️⃣ Proy. ventas'!$I$59,'2️⃣ Proy. ventas'!$K$59,'2️⃣ Proy. ventas'!$M$59,'2️⃣ Proy. ventas'!$O$59,'2️⃣ Proy. ventas'!$Q$59,'2️⃣ Proy. ventas'!$S$59,'2️⃣ Proy. ventas'!$U$59,'2️⃣ Proy. ventas'!$W$59,'2️⃣ Proy. ventas'!$Y$59,'2️⃣ Proy. ventas'!$AA$59)</c:f>
              <c:numCache>
                <c:formatCode>_-* #,##0\ _€_-;\-* #,##0\ _€_-;_-* "-"??\ _€_-;_-@_-</c:formatCode>
                <c:ptCount val="12"/>
                <c:pt idx="1">
                  <c:v>1</c:v>
                </c:pt>
                <c:pt idx="5">
                  <c:v>1</c:v>
                </c:pt>
                <c:pt idx="9">
                  <c:v>1</c:v>
                </c:pt>
              </c:numCache>
            </c:numRef>
          </c:val>
          <c:extLst>
            <c:ext xmlns:c16="http://schemas.microsoft.com/office/drawing/2014/chart" uri="{C3380CC4-5D6E-409C-BE32-E72D297353CC}">
              <c16:uniqueId val="{00000002-4FB4-4DAA-AE13-4A7CBDA485EA}"/>
            </c:ext>
          </c:extLst>
        </c:ser>
        <c:ser>
          <c:idx val="3"/>
          <c:order val="3"/>
          <c:tx>
            <c:strRef>
              <c:f>'2️⃣ Proy. ventas'!$A$60</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ventas'!$E$60,'2️⃣ Proy. ventas'!$G$60,'2️⃣ Proy. ventas'!$I$60,'2️⃣ Proy. ventas'!$K$60,'2️⃣ Proy. ventas'!$M$60,'2️⃣ Proy. ventas'!$O$60,'2️⃣ Proy. ventas'!$Q$60,'2️⃣ Proy. ventas'!$S$60,'2️⃣ Proy. ventas'!$U$60,'2️⃣ Proy. ventas'!$W$60,'2️⃣ Proy. ventas'!$Y$60,'2️⃣ Proy. ventas'!$AA$60)</c:f>
              <c:numCache>
                <c:formatCode>_-* #,##0\ _€_-;\-* #,##0\ _€_-;_-* "-"??\ _€_-;_-@_-</c:formatCode>
                <c:ptCount val="12"/>
                <c:pt idx="0">
                  <c:v>1</c:v>
                </c:pt>
                <c:pt idx="6">
                  <c:v>1</c:v>
                </c:pt>
              </c:numCache>
            </c:numRef>
          </c:val>
          <c:extLst>
            <c:ext xmlns:c16="http://schemas.microsoft.com/office/drawing/2014/chart" uri="{C3380CC4-5D6E-409C-BE32-E72D297353CC}">
              <c16:uniqueId val="{00000001-154F-4C91-A414-F5B2162E1DD3}"/>
            </c:ext>
          </c:extLst>
        </c:ser>
        <c:dLbls>
          <c:dLblPos val="ctr"/>
          <c:showLegendKey val="0"/>
          <c:showVal val="1"/>
          <c:showCatName val="0"/>
          <c:showSerName val="0"/>
          <c:showPercent val="0"/>
          <c:showBubbleSize val="0"/>
        </c:dLbls>
        <c:gapWidth val="150"/>
        <c:axId val="387721455"/>
        <c:axId val="253992239"/>
      </c:barChart>
      <c:catAx>
        <c:axId val="3877214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3992239"/>
        <c:crosses val="autoZero"/>
        <c:auto val="1"/>
        <c:lblAlgn val="ctr"/>
        <c:lblOffset val="100"/>
        <c:noMultiLvlLbl val="0"/>
      </c:catAx>
      <c:valAx>
        <c:axId val="25399223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387721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2024 de productos fabricados en nuestra empresa</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ventas'!$A$97</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ventas'!$E$97,'2️⃣ Proy. ventas'!$G$97,'2️⃣ Proy. ventas'!$I$97,'2️⃣ Proy. ventas'!$K$97,'2️⃣ Proy. ventas'!$M$97,'2️⃣ Proy. ventas'!$O$97,'2️⃣ Proy. ventas'!$Q$97,'2️⃣ Proy. ventas'!$S$97,'2️⃣ Proy. ventas'!$U$97,'2️⃣ Proy. ventas'!$W$97,'2️⃣ Proy. ventas'!$Y$97,'2️⃣ Proy. ventas'!$AA$97)</c:f>
              <c:numCache>
                <c:formatCode>_-* #,##0\ _€_-;\-* #,##0\ _€_-;_-* "-"??\ _€_-;_-@_-</c:formatCode>
                <c:ptCount val="12"/>
                <c:pt idx="4">
                  <c:v>1</c:v>
                </c:pt>
                <c:pt idx="10">
                  <c:v>1</c:v>
                </c:pt>
                <c:pt idx="11">
                  <c:v>1</c:v>
                </c:pt>
              </c:numCache>
            </c:numRef>
          </c:val>
          <c:extLst>
            <c:ext xmlns:c16="http://schemas.microsoft.com/office/drawing/2014/chart" uri="{C3380CC4-5D6E-409C-BE32-E72D297353CC}">
              <c16:uniqueId val="{00000000-8413-472A-B852-1050BCF984DB}"/>
            </c:ext>
          </c:extLst>
        </c:ser>
        <c:ser>
          <c:idx val="1"/>
          <c:order val="1"/>
          <c:tx>
            <c:strRef>
              <c:f>'2️⃣ Proy. ventas'!$A$98</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ventas'!$E$98,'2️⃣ Proy. ventas'!$G$98,'2️⃣ Proy. ventas'!$I$98,'2️⃣ Proy. ventas'!$K$98,'2️⃣ Proy. ventas'!$M$98,'2️⃣ Proy. ventas'!$O$98,'2️⃣ Proy. ventas'!$Q$98,'2️⃣ Proy. ventas'!$S$98,'2️⃣ Proy. ventas'!$U$98,'2️⃣ Proy. ventas'!$W$98,'2️⃣ Proy. ventas'!$Y$98,'2️⃣ Proy. ventas'!$AA$98)</c:f>
              <c:numCache>
                <c:formatCode>_-* #,##0\ _€_-;\-* #,##0\ _€_-;_-* "-"??\ _€_-;_-@_-</c:formatCode>
                <c:ptCount val="12"/>
                <c:pt idx="1">
                  <c:v>1</c:v>
                </c:pt>
                <c:pt idx="2">
                  <c:v>1</c:v>
                </c:pt>
                <c:pt idx="3">
                  <c:v>1</c:v>
                </c:pt>
                <c:pt idx="6">
                  <c:v>1</c:v>
                </c:pt>
                <c:pt idx="7">
                  <c:v>1</c:v>
                </c:pt>
                <c:pt idx="9">
                  <c:v>1</c:v>
                </c:pt>
              </c:numCache>
            </c:numRef>
          </c:val>
          <c:extLst>
            <c:ext xmlns:c16="http://schemas.microsoft.com/office/drawing/2014/chart" uri="{C3380CC4-5D6E-409C-BE32-E72D297353CC}">
              <c16:uniqueId val="{00000001-8413-472A-B852-1050BCF984DB}"/>
            </c:ext>
          </c:extLst>
        </c:ser>
        <c:ser>
          <c:idx val="2"/>
          <c:order val="2"/>
          <c:tx>
            <c:strRef>
              <c:f>'2️⃣ Proy. ventas'!$A$99</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ventas'!$E$99,'2️⃣ Proy. ventas'!$G$99,'2️⃣ Proy. ventas'!$I$99,'2️⃣ Proy. ventas'!$K$99,'2️⃣ Proy. ventas'!$M$99,'2️⃣ Proy. ventas'!$O$99,'2️⃣ Proy. ventas'!$Q$99,'2️⃣ Proy. ventas'!$S$99,'2️⃣ Proy. ventas'!$U$99,'2️⃣ Proy. ventas'!$W$99,'2️⃣ Proy. ventas'!$Y$99,'2️⃣ Proy. ventas'!$AA$99)</c:f>
              <c:numCache>
                <c:formatCode>_-* #,##0\ _€_-;\-* #,##0\ _€_-;_-* "-"??\ _€_-;_-@_-</c:formatCode>
                <c:ptCount val="12"/>
                <c:pt idx="0">
                  <c:v>2</c:v>
                </c:pt>
                <c:pt idx="2">
                  <c:v>1</c:v>
                </c:pt>
                <c:pt idx="4">
                  <c:v>1</c:v>
                </c:pt>
                <c:pt idx="5">
                  <c:v>1</c:v>
                </c:pt>
                <c:pt idx="10">
                  <c:v>1</c:v>
                </c:pt>
              </c:numCache>
            </c:numRef>
          </c:val>
          <c:extLst>
            <c:ext xmlns:c16="http://schemas.microsoft.com/office/drawing/2014/chart" uri="{C3380CC4-5D6E-409C-BE32-E72D297353CC}">
              <c16:uniqueId val="{00000002-8413-472A-B852-1050BCF984DB}"/>
            </c:ext>
          </c:extLst>
        </c:ser>
        <c:ser>
          <c:idx val="3"/>
          <c:order val="3"/>
          <c:tx>
            <c:strRef>
              <c:f>'2️⃣ Proy. ventas'!$A$100</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ventas'!$E$100,'2️⃣ Proy. ventas'!$G$100,'2️⃣ Proy. ventas'!$I$100,'2️⃣ Proy. ventas'!$K$100,'2️⃣ Proy. ventas'!$M$100,'2️⃣ Proy. ventas'!$O$100,'2️⃣ Proy. ventas'!$Q$100,'2️⃣ Proy. ventas'!$S$100,'2️⃣ Proy. ventas'!$U$100,'2️⃣ Proy. ventas'!$W$100,'2️⃣ Proy. ventas'!$Y$100,'2️⃣ Proy. ventas'!$AA$100)</c:f>
              <c:numCache>
                <c:formatCode>_-* #,##0\ _€_-;\-* #,##0\ _€_-;_-* "-"??\ _€_-;_-@_-</c:formatCode>
                <c:ptCount val="12"/>
                <c:pt idx="1">
                  <c:v>1</c:v>
                </c:pt>
                <c:pt idx="5">
                  <c:v>1</c:v>
                </c:pt>
                <c:pt idx="6">
                  <c:v>1</c:v>
                </c:pt>
                <c:pt idx="8">
                  <c:v>1</c:v>
                </c:pt>
                <c:pt idx="11">
                  <c:v>1</c:v>
                </c:pt>
              </c:numCache>
            </c:numRef>
          </c:val>
          <c:extLst>
            <c:ext xmlns:c16="http://schemas.microsoft.com/office/drawing/2014/chart" uri="{C3380CC4-5D6E-409C-BE32-E72D297353CC}">
              <c16:uniqueId val="{00000001-0223-45A9-A456-78B0D0E92695}"/>
            </c:ext>
          </c:extLst>
        </c:ser>
        <c:dLbls>
          <c:dLblPos val="ctr"/>
          <c:showLegendKey val="0"/>
          <c:showVal val="1"/>
          <c:showCatName val="0"/>
          <c:showSerName val="0"/>
          <c:showPercent val="0"/>
          <c:showBubbleSize val="0"/>
        </c:dLbls>
        <c:gapWidth val="150"/>
        <c:axId val="387710655"/>
        <c:axId val="253998479"/>
      </c:barChart>
      <c:catAx>
        <c:axId val="387710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3998479"/>
        <c:crosses val="autoZero"/>
        <c:auto val="1"/>
        <c:lblAlgn val="ctr"/>
        <c:lblOffset val="100"/>
        <c:noMultiLvlLbl val="0"/>
      </c:catAx>
      <c:valAx>
        <c:axId val="25399847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387710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2022 </a:t>
            </a:r>
          </a:p>
        </c:rich>
      </c:tx>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'3️⃣ Mod. ingresos'!$C$16</c:f>
              <c:strCache>
                <c:ptCount val="1"/>
                <c:pt idx="0">
                  <c:v> Ingresos 2022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1-61DD-4CD8-B158-0B704BE81697}"/>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2-61DD-4CD8-B158-0B704BE81697}"/>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3-61DD-4CD8-B158-0B704BE81697}"/>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4-61DD-4CD8-B158-0B704BE81697}"/>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5-61DD-4CD8-B158-0B704BE81697}"/>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6-61DD-4CD8-B158-0B704BE81697}"/>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7-61DD-4CD8-B158-0B704BE81697}"/>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8-61DD-4CD8-B158-0B704BE81697}"/>
              </c:ext>
            </c:extLst>
          </c:dPt>
          <c:dLbls>
            <c:dLbl>
              <c:idx val="3"/>
              <c:layout>
                <c:manualLayout>
                  <c:x val="0"/>
                  <c:y val="7.8903728175242147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DD-4CD8-B158-0B704BE81697}"/>
                </c:ext>
              </c:extLst>
            </c:dLbl>
            <c:dLbl>
              <c:idx val="4"/>
              <c:layout>
                <c:manualLayout>
                  <c:x val="0"/>
                  <c:y val="3.2434116604479995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DD-4CD8-B158-0B704BE816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1"/>
            <c:showVal val="1"/>
            <c:showCatName val="1"/>
            <c:showSerName val="0"/>
            <c:showPercent val="0"/>
            <c:showBubbleSize val="0"/>
            <c:showLeaderLines val="0"/>
            <c:extLst>
              <c:ext xmlns:c15="http://schemas.microsoft.com/office/drawing/2012/chart" uri="{CE6537A1-D6FC-4f65-9D91-7224C49458BB}"/>
            </c:extLst>
          </c:dLbls>
          <c:cat>
            <c:strRef>
              <c:f>'3️⃣ 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'3️⃣ Mod. ingresos'!$C$17:$C$24</c:f>
              <c:numCache>
                <c:formatCode>_-"$"\ * #,##0.00_-;\-"$"\ * #,##0.00_-;_-"$"\ * "-"??_-;_-@_-</c:formatCode>
                <c:ptCount val="8"/>
                <c:pt idx="0">
                  <c:v>4000000</c:v>
                </c:pt>
                <c:pt idx="1">
                  <c:v>4600000</c:v>
                </c:pt>
                <c:pt idx="2">
                  <c:v>2400000</c:v>
                </c:pt>
                <c:pt idx="3">
                  <c:v>5000000</c:v>
                </c:pt>
                <c:pt idx="4">
                  <c:v>1400000</c:v>
                </c:pt>
                <c:pt idx="5">
                  <c:v>780000</c:v>
                </c:pt>
                <c:pt idx="6">
                  <c:v>75000</c:v>
                </c:pt>
                <c:pt idx="7">
                  <c:v>300000</c:v>
                </c:pt>
              </c:numCache>
            </c:numRef>
          </c:val>
          <c:extLst>
            <c:ext xmlns:c16="http://schemas.microsoft.com/office/drawing/2014/chart" uri="{C3380CC4-5D6E-409C-BE32-E72D297353CC}">
              <c16:uniqueId val="{00000000-61DD-4CD8-B158-0B704BE8169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2023 </a:t>
            </a:r>
          </a:p>
        </c:rich>
      </c:tx>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'3️⃣ Mod. ingresos'!$D$16</c:f>
              <c:strCache>
                <c:ptCount val="1"/>
                <c:pt idx="0">
                  <c:v> Ingresos 2023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2-8374-4368-97F6-BBDA83FD1D3E}"/>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3-8374-4368-97F6-BBDA83FD1D3E}"/>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4-8374-4368-97F6-BBDA83FD1D3E}"/>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5-8374-4368-97F6-BBDA83FD1D3E}"/>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6-8374-4368-97F6-BBDA83FD1D3E}"/>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7-8374-4368-97F6-BBDA83FD1D3E}"/>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8-8374-4368-97F6-BBDA83FD1D3E}"/>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9-8374-4368-97F6-BBDA83FD1D3E}"/>
              </c:ext>
            </c:extLst>
          </c:dPt>
          <c:dLbls>
            <c:dLbl>
              <c:idx val="0"/>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3"/>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74-4368-97F6-BBDA83FD1D3E}"/>
                </c:ext>
              </c:extLst>
            </c:dLbl>
            <c:dLbl>
              <c:idx val="4"/>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374-4368-97F6-BBDA83FD1D3E}"/>
                </c:ext>
              </c:extLst>
            </c:dLbl>
            <c:dLbl>
              <c:idx val="5"/>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74-4368-97F6-BBDA83FD1D3E}"/>
                </c:ext>
              </c:extLst>
            </c:dLbl>
            <c:dLbl>
              <c:idx val="6"/>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374-4368-97F6-BBDA83FD1D3E}"/>
                </c:ext>
              </c:extLst>
            </c:dLbl>
            <c:dLbl>
              <c:idx val="7"/>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374-4368-97F6-BBDA83FD1D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'3️⃣ 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'3️⃣ Mod. ingresos'!$D$17:$D$24</c:f>
              <c:numCache>
                <c:formatCode>_-"$"\ * #,##0.00_-;\-"$"\ * #,##0.00_-;_-"$"\ * "-"??_-;_-@_-</c:formatCode>
                <c:ptCount val="8"/>
                <c:pt idx="0">
                  <c:v>12000000</c:v>
                </c:pt>
                <c:pt idx="1">
                  <c:v>6900000</c:v>
                </c:pt>
                <c:pt idx="2">
                  <c:v>7200000</c:v>
                </c:pt>
                <c:pt idx="3">
                  <c:v>5000000</c:v>
                </c:pt>
                <c:pt idx="4">
                  <c:v>3650000</c:v>
                </c:pt>
                <c:pt idx="5">
                  <c:v>2520000</c:v>
                </c:pt>
                <c:pt idx="6">
                  <c:v>2100000</c:v>
                </c:pt>
                <c:pt idx="7">
                  <c:v>4300000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8" Type="http://schemas.openxmlformats.org/officeDocument/2006/relationships/hyperlink" Target="#'Anexo capacidad operativa'!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hyperlink" Target="#'Proy. ventas'!A1"/></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5</xdr:col>
      <xdr:colOff>235268</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2682688"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345281</xdr:colOff>
      <xdr:row>0</xdr:row>
      <xdr:rowOff>214312</xdr:rowOff>
    </xdr:from>
    <xdr:to>
      <xdr:col>2</xdr:col>
      <xdr:colOff>261937</xdr:colOff>
      <xdr:row>0</xdr:row>
      <xdr:rowOff>571500</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CE31AC0B-3E3D-41C1-AF72-BF1096BD1383}"/>
            </a:ext>
          </a:extLst>
        </xdr:cNvPr>
        <xdr:cNvSpPr/>
      </xdr:nvSpPr>
      <xdr:spPr>
        <a:xfrm>
          <a:off x="345281" y="214312"/>
          <a:ext cx="1321594" cy="357188"/>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86ABE255-E756-487C-A001-4B94AE59DBDF}"/>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55D7E974-B1DE-497B-98BD-4CF4F6AF760D}"/>
            </a:ext>
          </a:extLst>
        </xdr:cNvPr>
        <xdr:cNvSpPr/>
      </xdr:nvSpPr>
      <xdr:spPr>
        <a:xfrm>
          <a:off x="752475" y="238125"/>
          <a:ext cx="118110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4" name="Rectángulo: esquinas redondeadas 2">
          <a:hlinkClick xmlns:r="http://schemas.openxmlformats.org/officeDocument/2006/relationships" r:id="rId1"/>
          <a:extLst>
            <a:ext uri="{FF2B5EF4-FFF2-40B4-BE49-F238E27FC236}">
              <a16:creationId xmlns:a16="http://schemas.microsoft.com/office/drawing/2014/main" id="{85E9CCD1-AC29-4CC9-811D-E33AC1732BA0}"/>
            </a:ext>
          </a:extLst>
        </xdr:cNvPr>
        <xdr:cNvSpPr/>
      </xdr:nvSpPr>
      <xdr:spPr>
        <a:xfrm>
          <a:off x="628650" y="238125"/>
          <a:ext cx="1171575"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4" name="Rectángulo: esquinas redondeadas 2">
          <a:hlinkClick xmlns:r="http://schemas.openxmlformats.org/officeDocument/2006/relationships" r:id="rId1"/>
          <a:extLst>
            <a:ext uri="{FF2B5EF4-FFF2-40B4-BE49-F238E27FC236}">
              <a16:creationId xmlns:a16="http://schemas.microsoft.com/office/drawing/2014/main" id="{8EAA05F8-6574-4553-ACE6-5483DC509EEA}"/>
            </a:ext>
          </a:extLst>
        </xdr:cNvPr>
        <xdr:cNvSpPr/>
      </xdr:nvSpPr>
      <xdr:spPr>
        <a:xfrm>
          <a:off x="733425" y="238125"/>
          <a:ext cx="1209675"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C57868B-13A8-4524-8201-2E020DE2303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FC0E6FE-4B7F-4155-977B-6C7CF6EFE75B}"/>
            </a:ext>
          </a:extLst>
        </xdr:cNvPr>
        <xdr:cNvSpPr/>
      </xdr:nvSpPr>
      <xdr:spPr>
        <a:xfrm>
          <a:off x="710144" y="238125"/>
          <a:ext cx="158644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8</xdr:col>
      <xdr:colOff>625927</xdr:colOff>
      <xdr:row>30</xdr:row>
      <xdr:rowOff>40820</xdr:rowOff>
    </xdr:to>
    <xdr:graphicFrame macro="">
      <xdr:nvGraphicFramePr>
        <xdr:cNvPr id="3" name="Gráfico 2">
          <a:extLst>
            <a:ext uri="{FF2B5EF4-FFF2-40B4-BE49-F238E27FC236}">
              <a16:creationId xmlns:a16="http://schemas.microsoft.com/office/drawing/2014/main" id="{7C652CA2-4199-4A96-977C-3B0D83C7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572E3C2-A315-4012-A914-E6B6C8EB05F7}"/>
            </a:ext>
          </a:extLst>
        </xdr:cNvPr>
        <xdr:cNvSpPr/>
      </xdr:nvSpPr>
      <xdr:spPr>
        <a:xfrm>
          <a:off x="575582" y="176893"/>
          <a:ext cx="1628775" cy="34698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29</xdr:col>
      <xdr:colOff>229999</xdr:colOff>
      <xdr:row>15</xdr:row>
      <xdr:rowOff>31027</xdr:rowOff>
    </xdr:from>
    <xdr:to>
      <xdr:col>39</xdr:col>
      <xdr:colOff>705971</xdr:colOff>
      <xdr:row>31</xdr:row>
      <xdr:rowOff>1374960</xdr:rowOff>
    </xdr:to>
    <xdr:graphicFrame macro="">
      <xdr:nvGraphicFramePr>
        <xdr:cNvPr id="4" name="Gráfico 3">
          <a:extLst>
            <a:ext uri="{FF2B5EF4-FFF2-40B4-BE49-F238E27FC236}">
              <a16:creationId xmlns:a16="http://schemas.microsoft.com/office/drawing/2014/main" id="{2F9DA8A6-869C-4C71-B6CB-D16B1D07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203947</xdr:colOff>
      <xdr:row>52</xdr:row>
      <xdr:rowOff>339539</xdr:rowOff>
    </xdr:from>
    <xdr:to>
      <xdr:col>39</xdr:col>
      <xdr:colOff>705970</xdr:colOff>
      <xdr:row>69</xdr:row>
      <xdr:rowOff>847165</xdr:rowOff>
    </xdr:to>
    <xdr:graphicFrame macro="">
      <xdr:nvGraphicFramePr>
        <xdr:cNvPr id="5" name="Gráfico 4">
          <a:extLst>
            <a:ext uri="{FF2B5EF4-FFF2-40B4-BE49-F238E27FC236}">
              <a16:creationId xmlns:a16="http://schemas.microsoft.com/office/drawing/2014/main" id="{47521083-FD90-4620-9714-6BEB9B3F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192180</xdr:colOff>
      <xdr:row>92</xdr:row>
      <xdr:rowOff>170889</xdr:rowOff>
    </xdr:from>
    <xdr:to>
      <xdr:col>39</xdr:col>
      <xdr:colOff>683559</xdr:colOff>
      <xdr:row>109</xdr:row>
      <xdr:rowOff>627529</xdr:rowOff>
    </xdr:to>
    <xdr:graphicFrame macro="">
      <xdr:nvGraphicFramePr>
        <xdr:cNvPr id="6" name="Gráfico 5">
          <a:extLst>
            <a:ext uri="{FF2B5EF4-FFF2-40B4-BE49-F238E27FC236}">
              <a16:creationId xmlns:a16="http://schemas.microsoft.com/office/drawing/2014/main" id="{929DAE4F-1B98-46E7-933D-02F24E98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250602</xdr:colOff>
      <xdr:row>31</xdr:row>
      <xdr:rowOff>1490381</xdr:rowOff>
    </xdr:from>
    <xdr:to>
      <xdr:col>39</xdr:col>
      <xdr:colOff>705970</xdr:colOff>
      <xdr:row>47</xdr:row>
      <xdr:rowOff>2037</xdr:rowOff>
    </xdr:to>
    <xdr:graphicFrame macro="">
      <xdr:nvGraphicFramePr>
        <xdr:cNvPr id="9" name="Gráfico 8">
          <a:extLst>
            <a:ext uri="{FF2B5EF4-FFF2-40B4-BE49-F238E27FC236}">
              <a16:creationId xmlns:a16="http://schemas.microsoft.com/office/drawing/2014/main" id="{0F6C5F57-6458-4CE0-B9BC-92417A89F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205781</xdr:colOff>
      <xdr:row>69</xdr:row>
      <xdr:rowOff>1004454</xdr:rowOff>
    </xdr:from>
    <xdr:to>
      <xdr:col>39</xdr:col>
      <xdr:colOff>717176</xdr:colOff>
      <xdr:row>86</xdr:row>
      <xdr:rowOff>190499</xdr:rowOff>
    </xdr:to>
    <xdr:graphicFrame macro="">
      <xdr:nvGraphicFramePr>
        <xdr:cNvPr id="10" name="Gráfico 9">
          <a:extLst>
            <a:ext uri="{FF2B5EF4-FFF2-40B4-BE49-F238E27FC236}">
              <a16:creationId xmlns:a16="http://schemas.microsoft.com/office/drawing/2014/main" id="{E42BB335-A567-4C02-8D36-6BEE078D2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189482</xdr:colOff>
      <xdr:row>109</xdr:row>
      <xdr:rowOff>862853</xdr:rowOff>
    </xdr:from>
    <xdr:to>
      <xdr:col>39</xdr:col>
      <xdr:colOff>694764</xdr:colOff>
      <xdr:row>128</xdr:row>
      <xdr:rowOff>168088</xdr:rowOff>
    </xdr:to>
    <xdr:graphicFrame macro="">
      <xdr:nvGraphicFramePr>
        <xdr:cNvPr id="11" name="Gráfico 10">
          <a:extLst>
            <a:ext uri="{FF2B5EF4-FFF2-40B4-BE49-F238E27FC236}">
              <a16:creationId xmlns:a16="http://schemas.microsoft.com/office/drawing/2014/main" id="{4F7F650F-5085-48F5-A311-89C1D621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1665940</xdr:colOff>
      <xdr:row>71</xdr:row>
      <xdr:rowOff>74706</xdr:rowOff>
    </xdr:from>
    <xdr:to>
      <xdr:col>1</xdr:col>
      <xdr:colOff>1284941</xdr:colOff>
      <xdr:row>74</xdr:row>
      <xdr:rowOff>143978</xdr:rowOff>
    </xdr:to>
    <xdr:sp macro="" textlink="">
      <xdr:nvSpPr>
        <xdr:cNvPr id="15" name="Rectángulo: esquinas redondeadas 14">
          <a:hlinkClick xmlns:r="http://schemas.openxmlformats.org/officeDocument/2006/relationships" r:id="rId8"/>
          <a:extLst>
            <a:ext uri="{FF2B5EF4-FFF2-40B4-BE49-F238E27FC236}">
              <a16:creationId xmlns:a16="http://schemas.microsoft.com/office/drawing/2014/main" id="{8B83D8D3-3715-43A7-8EC2-52FFD9690EA5}"/>
            </a:ext>
          </a:extLst>
        </xdr:cNvPr>
        <xdr:cNvSpPr/>
      </xdr:nvSpPr>
      <xdr:spPr>
        <a:xfrm>
          <a:off x="1665940" y="20245294"/>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1687419</xdr:colOff>
      <xdr:row>34</xdr:row>
      <xdr:rowOff>43890</xdr:rowOff>
    </xdr:from>
    <xdr:to>
      <xdr:col>1</xdr:col>
      <xdr:colOff>1306420</xdr:colOff>
      <xdr:row>37</xdr:row>
      <xdr:rowOff>0</xdr:rowOff>
    </xdr:to>
    <xdr:sp macro="" textlink="">
      <xdr:nvSpPr>
        <xdr:cNvPr id="16" name="Rectángulo: esquinas redondeadas 15">
          <a:hlinkClick xmlns:r="http://schemas.openxmlformats.org/officeDocument/2006/relationships" r:id="rId8"/>
          <a:extLst>
            <a:ext uri="{FF2B5EF4-FFF2-40B4-BE49-F238E27FC236}">
              <a16:creationId xmlns:a16="http://schemas.microsoft.com/office/drawing/2014/main" id="{BCD8EB8A-1A07-422B-9A36-46626E7D50F6}"/>
            </a:ext>
          </a:extLst>
        </xdr:cNvPr>
        <xdr:cNvSpPr/>
      </xdr:nvSpPr>
      <xdr:spPr>
        <a:xfrm>
          <a:off x="1687419" y="10655861"/>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1689287</xdr:colOff>
      <xdr:row>111</xdr:row>
      <xdr:rowOff>35486</xdr:rowOff>
    </xdr:from>
    <xdr:to>
      <xdr:col>1</xdr:col>
      <xdr:colOff>1308288</xdr:colOff>
      <xdr:row>114</xdr:row>
      <xdr:rowOff>104758</xdr:rowOff>
    </xdr:to>
    <xdr:sp macro="" textlink="">
      <xdr:nvSpPr>
        <xdr:cNvPr id="17" name="Rectángulo: esquinas redondeadas 16">
          <a:hlinkClick xmlns:r="http://schemas.openxmlformats.org/officeDocument/2006/relationships" r:id="rId8"/>
          <a:extLst>
            <a:ext uri="{FF2B5EF4-FFF2-40B4-BE49-F238E27FC236}">
              <a16:creationId xmlns:a16="http://schemas.microsoft.com/office/drawing/2014/main" id="{5736D737-38BE-481F-9632-9A0585D8973D}"/>
            </a:ext>
          </a:extLst>
        </xdr:cNvPr>
        <xdr:cNvSpPr/>
      </xdr:nvSpPr>
      <xdr:spPr>
        <a:xfrm>
          <a:off x="1689287" y="29181986"/>
          <a:ext cx="2588560" cy="64077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0</xdr:row>
      <xdr:rowOff>238125</xdr:rowOff>
    </xdr:from>
    <xdr:to>
      <xdr:col>1</xdr:col>
      <xdr:colOff>1581150</xdr:colOff>
      <xdr:row>0</xdr:row>
      <xdr:rowOff>523875</xdr:rowOff>
    </xdr:to>
    <xdr:sp macro="" textlink="">
      <xdr:nvSpPr>
        <xdr:cNvPr id="4" name="Rectángulo: esquinas redondeadas 3">
          <a:hlinkClick xmlns:r="http://schemas.openxmlformats.org/officeDocument/2006/relationships" r:id="rId1"/>
          <a:extLst>
            <a:ext uri="{FF2B5EF4-FFF2-40B4-BE49-F238E27FC236}">
              <a16:creationId xmlns:a16="http://schemas.microsoft.com/office/drawing/2014/main" id="{0BD6CB56-49D1-41F8-A6A2-EEAEAE6F64D8}"/>
            </a:ext>
          </a:extLst>
        </xdr:cNvPr>
        <xdr:cNvSpPr/>
      </xdr:nvSpPr>
      <xdr:spPr>
        <a:xfrm>
          <a:off x="1409700" y="238125"/>
          <a:ext cx="14859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 a Proy. ventas</a:t>
          </a:r>
        </a:p>
      </xdr:txBody>
    </xdr:sp>
    <xdr:clientData/>
  </xdr:twoCellAnchor>
  <xdr:twoCellAnchor>
    <xdr:from>
      <xdr:col>0</xdr:col>
      <xdr:colOff>114300</xdr:colOff>
      <xdr:row>0</xdr:row>
      <xdr:rowOff>238125</xdr:rowOff>
    </xdr:from>
    <xdr:to>
      <xdr:col>0</xdr:col>
      <xdr:colOff>1228725</xdr:colOff>
      <xdr:row>0</xdr:row>
      <xdr:rowOff>523875</xdr:rowOff>
    </xdr:to>
    <xdr:sp macro="" textlink="">
      <xdr:nvSpPr>
        <xdr:cNvPr id="7" name="Rectángulo: esquinas redondeadas 6">
          <a:hlinkClick xmlns:r="http://schemas.openxmlformats.org/officeDocument/2006/relationships" r:id="rId2"/>
          <a:extLst>
            <a:ext uri="{FF2B5EF4-FFF2-40B4-BE49-F238E27FC236}">
              <a16:creationId xmlns:a16="http://schemas.microsoft.com/office/drawing/2014/main" id="{EE9074D6-8650-40CA-BBBF-8B6127FE5EE8}"/>
            </a:ext>
          </a:extLst>
        </xdr:cNvPr>
        <xdr:cNvSpPr/>
      </xdr:nvSpPr>
      <xdr:spPr>
        <a:xfrm>
          <a:off x="114300" y="238125"/>
          <a:ext cx="1114425"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17ECC99-AC21-4EF9-AAA0-096DD587B40D}"/>
            </a:ext>
          </a:extLst>
        </xdr:cNvPr>
        <xdr:cNvSpPr/>
      </xdr:nvSpPr>
      <xdr:spPr>
        <a:xfrm>
          <a:off x="752475" y="238125"/>
          <a:ext cx="118110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6</xdr:col>
      <xdr:colOff>331718</xdr:colOff>
      <xdr:row>4</xdr:row>
      <xdr:rowOff>50343</xdr:rowOff>
    </xdr:from>
    <xdr:to>
      <xdr:col>15</xdr:col>
      <xdr:colOff>653145</xdr:colOff>
      <xdr:row>25</xdr:row>
      <xdr:rowOff>54429</xdr:rowOff>
    </xdr:to>
    <xdr:graphicFrame macro="">
      <xdr:nvGraphicFramePr>
        <xdr:cNvPr id="4" name="Gráfico 3">
          <a:extLst>
            <a:ext uri="{FF2B5EF4-FFF2-40B4-BE49-F238E27FC236}">
              <a16:creationId xmlns:a16="http://schemas.microsoft.com/office/drawing/2014/main" id="{69832ACF-0F35-4E72-9ED4-3750225CB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734786</xdr:colOff>
      <xdr:row>27</xdr:row>
      <xdr:rowOff>111394</xdr:rowOff>
    </xdr:from>
    <xdr:to>
      <xdr:col>5</xdr:col>
      <xdr:colOff>575883</xdr:colOff>
      <xdr:row>54</xdr:row>
      <xdr:rowOff>122466</xdr:rowOff>
    </xdr:to>
    <xdr:graphicFrame macro="">
      <xdr:nvGraphicFramePr>
        <xdr:cNvPr id="5" name="Gráfico 4">
          <a:extLst>
            <a:ext uri="{FF2B5EF4-FFF2-40B4-BE49-F238E27FC236}">
              <a16:creationId xmlns:a16="http://schemas.microsoft.com/office/drawing/2014/main" id="{D789AC21-0B30-4AF6-A357-9CB0E79AF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317876</xdr:colOff>
      <xdr:row>27</xdr:row>
      <xdr:rowOff>111395</xdr:rowOff>
    </xdr:from>
    <xdr:to>
      <xdr:col>15</xdr:col>
      <xdr:colOff>639537</xdr:colOff>
      <xdr:row>54</xdr:row>
      <xdr:rowOff>95250</xdr:rowOff>
    </xdr:to>
    <xdr:graphicFrame macro="">
      <xdr:nvGraphicFramePr>
        <xdr:cNvPr id="6" name="Gráfico 5">
          <a:extLst>
            <a:ext uri="{FF2B5EF4-FFF2-40B4-BE49-F238E27FC236}">
              <a16:creationId xmlns:a16="http://schemas.microsoft.com/office/drawing/2014/main" id="{37AD291C-126F-49A7-89F7-F114102F5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682C863-661A-452B-9063-A603E1ADF416}"/>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7580633-A34A-4A44-A585-87E0792E7792}"/>
            </a:ext>
          </a:extLst>
        </xdr:cNvPr>
        <xdr:cNvSpPr/>
      </xdr:nvSpPr>
      <xdr:spPr>
        <a:xfrm>
          <a:off x="752475" y="238125"/>
          <a:ext cx="1181100"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33C79AE7-9846-4F41-8A4D-A53479BEFC57}"/>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1</xdr:col>
      <xdr:colOff>240847</xdr:colOff>
      <xdr:row>15</xdr:row>
      <xdr:rowOff>21091</xdr:rowOff>
    </xdr:from>
    <xdr:to>
      <xdr:col>5</xdr:col>
      <xdr:colOff>522515</xdr:colOff>
      <xdr:row>29</xdr:row>
      <xdr:rowOff>100012</xdr:rowOff>
    </xdr:to>
    <xdr:graphicFrame macro="">
      <xdr:nvGraphicFramePr>
        <xdr:cNvPr id="6" name="Gráfico 5">
          <a:extLst>
            <a:ext uri="{FF2B5EF4-FFF2-40B4-BE49-F238E27FC236}">
              <a16:creationId xmlns:a16="http://schemas.microsoft.com/office/drawing/2014/main" id="{4C10C708-52C2-4FAB-81F4-B8C2B1A7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119063</xdr:colOff>
      <xdr:row>15</xdr:row>
      <xdr:rowOff>15647</xdr:rowOff>
    </xdr:from>
    <xdr:to>
      <xdr:col>11</xdr:col>
      <xdr:colOff>604838</xdr:colOff>
      <xdr:row>29</xdr:row>
      <xdr:rowOff>91847</xdr:rowOff>
    </xdr:to>
    <xdr:graphicFrame macro="">
      <xdr:nvGraphicFramePr>
        <xdr:cNvPr id="8" name="Gráfico 7">
          <a:extLst>
            <a:ext uri="{FF2B5EF4-FFF2-40B4-BE49-F238E27FC236}">
              <a16:creationId xmlns:a16="http://schemas.microsoft.com/office/drawing/2014/main" id="{55872761-E8D1-425E-9C87-A7EDDAFF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drawing" Target="../drawings/drawing10.xml"/><Relationship Id="rId3" Type="http://schemas.openxmlformats.org/officeDocument/2006/relationships/hyperlink" Target="https://articulo.mercadolibre.com.ar/MLA-897091901-kit-logitech-teclado-mouse-mk235-inalambrico-_JM?searchVariation=68107696677" TargetMode="External"/><Relationship Id="rId7" Type="http://schemas.openxmlformats.org/officeDocument/2006/relationships/printerSettings" Target="../printerSettings/printerSettings11.bin"/><Relationship Id="rId2" Type="http://schemas.openxmlformats.org/officeDocument/2006/relationships/hyperlink" Target="https://www.mercadolibre.com.ar/silla-baut-tisera-ergonomica-negra-con-tapizado-de-cuero-sintetico-y-mesh/p/MLA15822970?pdp_filters=category:MLA30994" TargetMode="External"/><Relationship Id="rId1" Type="http://schemas.openxmlformats.org/officeDocument/2006/relationships/hyperlink" Target="https://trello.com/en/pricing" TargetMode="External"/><Relationship Id="rId6" Type="http://schemas.openxmlformats.org/officeDocument/2006/relationships/hyperlink" Target="https://articulo.mercadolibre.com.ar/MLA-915218637-notebook-thinkpad-l15-lenovo-156-core-i7-16gb-ssd256-free-_JM?searchVariation=81277176065" TargetMode="External"/><Relationship Id="rId5" Type="http://schemas.openxmlformats.org/officeDocument/2006/relationships/hyperlink" Target="https://articulo.mercadolibre.com.ar/MLA-924914456-notebook-lenovo-ryzen-3-ideapad-s340-8gb-1tb-10s-_JM?searchVariation=87591216226" TargetMode="External"/><Relationship Id="rId4" Type="http://schemas.openxmlformats.org/officeDocument/2006/relationships/hyperlink" Target="https://articulo.mercadolibre.com.ar/MLA-810734504-escritorio-oficina-hogar-moderno-minimalista-120x75-armado-_JM?searchVariation=47228789889"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hyperlink" Target="https://www.indec.gob.ar/indec/web/Nivel4-Tema-2-24-85" TargetMode="External"/><Relationship Id="rId1" Type="http://schemas.openxmlformats.org/officeDocument/2006/relationships/hyperlink" Target="https://propamba.wordpress.com/amba/que-es-el-amb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D26"/>
  <sheetViews>
    <sheetView zoomScale="80" zoomScaleNormal="80" workbookViewId="0">
      <selection activeCell="K18" sqref="K18"/>
    </sheetView>
  </sheetViews>
  <sheetFormatPr defaultColWidth="11.42578125" defaultRowHeight="15" x14ac:dyDescent="0.25"/>
  <cols>
    <col min="1" max="1" width="11.42578125" style="1"/>
    <col min="2" max="2" width="12.5703125" style="1" customWidth="1"/>
    <col min="3" max="3" width="18.5703125" style="1" customWidth="1"/>
    <col min="4" max="4" width="36" style="1" customWidth="1"/>
    <col min="5" max="16384" width="11.42578125" style="1"/>
  </cols>
  <sheetData>
    <row r="9" spans="3:4" ht="28.5" x14ac:dyDescent="0.45">
      <c r="C9" s="711" t="s">
        <v>0</v>
      </c>
      <c r="D9" s="711"/>
    </row>
    <row r="21" spans="3:4" ht="25.5" customHeight="1" thickBot="1" x14ac:dyDescent="0.3">
      <c r="C21" s="438" t="s">
        <v>295</v>
      </c>
      <c r="D21" s="439" t="s">
        <v>296</v>
      </c>
    </row>
    <row r="22" spans="3:4" ht="25.5" customHeight="1" thickTop="1" thickBot="1" x14ac:dyDescent="0.3">
      <c r="C22" s="440" t="s">
        <v>297</v>
      </c>
      <c r="D22" s="441">
        <v>77077</v>
      </c>
    </row>
    <row r="23" spans="3:4" ht="25.5" customHeight="1" thickTop="1" thickBot="1" x14ac:dyDescent="0.3">
      <c r="C23" s="440" t="s">
        <v>298</v>
      </c>
      <c r="D23" s="442" t="s">
        <v>299</v>
      </c>
    </row>
    <row r="24" spans="3:4" ht="25.5" customHeight="1" thickTop="1" thickBot="1" x14ac:dyDescent="0.3">
      <c r="C24" s="440" t="s">
        <v>300</v>
      </c>
      <c r="D24" s="442" t="s">
        <v>301</v>
      </c>
    </row>
    <row r="25" spans="3:4" ht="25.5" customHeight="1" thickTop="1" thickBot="1" x14ac:dyDescent="0.3">
      <c r="C25" s="440" t="s">
        <v>302</v>
      </c>
      <c r="D25" s="442" t="s">
        <v>303</v>
      </c>
    </row>
    <row r="26" spans="3:4" ht="25.5" customHeight="1" thickTop="1" x14ac:dyDescent="0.25">
      <c r="C26" s="443" t="s">
        <v>304</v>
      </c>
      <c r="D26" s="444" t="s">
        <v>305</v>
      </c>
    </row>
  </sheetData>
  <mergeCells count="1">
    <mergeCell ref="C9:D9"/>
  </mergeCells>
  <hyperlinks>
    <hyperlink ref="C26" r:id="rId1" display="mailto:cristiangentile1@gmail.com" xr:uid="{00000000-0004-0000-0000-000000000000}"/>
  </hyperlinks>
  <pageMargins left="0.7" right="0.7" top="0.75" bottom="0.75" header="0.3" footer="0.3"/>
  <pageSetup orientation="portrait" horizontalDpi="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4"/>
  <sheetViews>
    <sheetView zoomScale="90" zoomScaleNormal="90" workbookViewId="0">
      <pane ySplit="1" topLeftCell="A2" activePane="bottomLeft" state="frozen"/>
      <selection pane="bottomLeft" activeCell="C11" sqref="C11"/>
    </sheetView>
  </sheetViews>
  <sheetFormatPr defaultColWidth="11.42578125" defaultRowHeight="15" x14ac:dyDescent="0.25"/>
  <cols>
    <col min="1" max="1" width="2.85546875" style="1" customWidth="1"/>
    <col min="2" max="2" width="17.7109375" style="1" customWidth="1"/>
    <col min="3" max="3" width="17.140625" style="1" customWidth="1"/>
    <col min="4" max="4" width="17" style="1" customWidth="1"/>
    <col min="5" max="5" width="18.42578125" style="1" customWidth="1"/>
    <col min="6" max="8" width="11.42578125" style="1"/>
    <col min="9" max="9" width="15.5703125" style="1" customWidth="1"/>
    <col min="10" max="16384" width="11.42578125" style="1"/>
  </cols>
  <sheetData>
    <row r="1" spans="1:9" s="543" customFormat="1" ht="58.5" customHeight="1" thickTop="1" thickBot="1" x14ac:dyDescent="0.3">
      <c r="A1" s="542"/>
      <c r="G1" s="544" t="s">
        <v>7</v>
      </c>
      <c r="H1" s="572"/>
      <c r="I1" s="572"/>
    </row>
    <row r="2" spans="1:9" ht="16.5" thickTop="1" thickBot="1" x14ac:dyDescent="0.3"/>
    <row r="3" spans="1:9" ht="27" thickBot="1" x14ac:dyDescent="0.45">
      <c r="C3" s="824" t="s">
        <v>32</v>
      </c>
      <c r="D3" s="825"/>
      <c r="E3" s="826"/>
    </row>
    <row r="4" spans="1:9" x14ac:dyDescent="0.25">
      <c r="C4" s="418">
        <v>2022</v>
      </c>
      <c r="D4" s="419">
        <v>2023</v>
      </c>
      <c r="E4" s="420">
        <v>2024</v>
      </c>
    </row>
    <row r="5" spans="1:9" x14ac:dyDescent="0.25">
      <c r="C5" s="40">
        <f>'1️⃣ Hipótesis'!C24</f>
        <v>0.03</v>
      </c>
      <c r="D5" s="36">
        <f>'1️⃣ Hipótesis'!C25</f>
        <v>7.0000000000000007E-2</v>
      </c>
      <c r="E5" s="41">
        <f>'1️⃣ Hipótesis'!C26</f>
        <v>0.12</v>
      </c>
    </row>
    <row r="6" spans="1:9" ht="15.75" thickBot="1" x14ac:dyDescent="0.3">
      <c r="C6" s="42">
        <f>'1️⃣ Hipótesis'!D24</f>
        <v>18750000</v>
      </c>
      <c r="D6" s="43">
        <f>'1️⃣ Hipótesis'!D25</f>
        <v>43750000.000000007</v>
      </c>
      <c r="E6" s="44">
        <f>'1️⃣ Hipótesis'!D26</f>
        <v>75000000</v>
      </c>
    </row>
    <row r="7" spans="1:9" ht="15.75" thickBot="1" x14ac:dyDescent="0.3">
      <c r="C7" s="140"/>
      <c r="D7" s="140"/>
      <c r="E7" s="140"/>
    </row>
    <row r="8" spans="1:9" ht="27" thickBot="1" x14ac:dyDescent="0.45">
      <c r="C8" s="824" t="s">
        <v>149</v>
      </c>
      <c r="D8" s="825"/>
      <c r="E8" s="826"/>
    </row>
    <row r="9" spans="1:9" x14ac:dyDescent="0.25">
      <c r="C9" s="418">
        <v>2022</v>
      </c>
      <c r="D9" s="419">
        <v>2023</v>
      </c>
      <c r="E9" s="420">
        <v>2024</v>
      </c>
    </row>
    <row r="10" spans="1:9" x14ac:dyDescent="0.25">
      <c r="B10" s="571" t="s">
        <v>146</v>
      </c>
      <c r="C10" s="184">
        <f>'4️⃣ Costos fijos'!$G$5</f>
        <v>2828400</v>
      </c>
      <c r="D10" s="184">
        <f>'4️⃣ Costos fijos'!$H$5</f>
        <v>3292920</v>
      </c>
      <c r="E10" s="184">
        <f>'4️⃣ Costos fijos'!$I$5</f>
        <v>3962001.6000000006</v>
      </c>
    </row>
    <row r="11" spans="1:9" x14ac:dyDescent="0.25">
      <c r="B11" s="571" t="s">
        <v>147</v>
      </c>
      <c r="C11" s="184">
        <f>'5️⃣ Costos variables'!$H$6</f>
        <v>931100</v>
      </c>
      <c r="D11" s="184">
        <f>'5️⃣ Costos variables'!$I$6</f>
        <v>2879000</v>
      </c>
      <c r="E11" s="184">
        <f>'5️⃣ Costos variables'!$J$6</f>
        <v>6043550</v>
      </c>
    </row>
    <row r="12" spans="1:9" x14ac:dyDescent="0.25">
      <c r="B12" s="571" t="s">
        <v>148</v>
      </c>
      <c r="C12" s="184">
        <f>'6️⃣ Costos RRHH'!$H$6</f>
        <v>16346610.640000002</v>
      </c>
      <c r="D12" s="184">
        <f>'6️⃣ Costos RRHH'!$I$6</f>
        <v>29562208.922499999</v>
      </c>
      <c r="E12" s="184">
        <f>'6️⃣ Costos RRHH'!$J$6</f>
        <v>53106550.25</v>
      </c>
    </row>
    <row r="13" spans="1:9" x14ac:dyDescent="0.25">
      <c r="B13" s="571" t="s">
        <v>149</v>
      </c>
      <c r="C13" s="185">
        <f>SUM(C10:C12)</f>
        <v>20106110.640000001</v>
      </c>
      <c r="D13" s="185">
        <f>SUM(D10:D12)</f>
        <v>35734128.922499999</v>
      </c>
      <c r="E13" s="185">
        <f>SUM(E10:E12)</f>
        <v>63112101.850000001</v>
      </c>
    </row>
    <row r="14" spans="1:9" x14ac:dyDescent="0.25">
      <c r="B14" s="571" t="s">
        <v>150</v>
      </c>
      <c r="C14" s="184">
        <f>$C$6</f>
        <v>18750000</v>
      </c>
      <c r="D14" s="184">
        <f>$D$6</f>
        <v>43750000.000000007</v>
      </c>
      <c r="E14" s="184">
        <f>$E$6</f>
        <v>75000000</v>
      </c>
    </row>
  </sheetData>
  <mergeCells count="2">
    <mergeCell ref="C3:E3"/>
    <mergeCell ref="C8:E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55"/>
  <sheetViews>
    <sheetView zoomScaleNormal="100" workbookViewId="0">
      <pane ySplit="1" topLeftCell="A2" activePane="bottomLeft" state="frozen"/>
      <selection pane="bottomLeft" activeCell="F20" sqref="F20"/>
    </sheetView>
  </sheetViews>
  <sheetFormatPr defaultColWidth="11.42578125" defaultRowHeight="15" x14ac:dyDescent="0.25"/>
  <cols>
    <col min="1" max="1" width="11.42578125" style="1"/>
    <col min="2" max="2" width="48" style="1" customWidth="1"/>
    <col min="3" max="3" width="18.28515625" style="1" customWidth="1"/>
    <col min="4" max="4" width="19.140625" style="1" customWidth="1"/>
    <col min="5" max="5" width="14.5703125" style="1" customWidth="1"/>
    <col min="6" max="6" width="36.42578125" style="1" customWidth="1"/>
    <col min="7" max="7" width="16.28515625" style="1" customWidth="1"/>
    <col min="8" max="8" width="15.5703125" style="1" customWidth="1"/>
    <col min="9" max="9" width="15" style="1" customWidth="1"/>
    <col min="10" max="10" width="16.7109375" style="1" customWidth="1"/>
    <col min="11" max="16384" width="11.42578125" style="1"/>
  </cols>
  <sheetData>
    <row r="1" spans="1:10" s="543" customFormat="1" ht="58.5" customHeight="1" thickTop="1" thickBot="1" x14ac:dyDescent="0.3">
      <c r="A1" s="542"/>
      <c r="F1" s="544" t="s">
        <v>8</v>
      </c>
      <c r="G1" s="572"/>
      <c r="H1" s="572"/>
    </row>
    <row r="2" spans="1:10" ht="16.5" thickTop="1" thickBot="1" x14ac:dyDescent="0.3"/>
    <row r="3" spans="1:10" ht="27" thickBot="1" x14ac:dyDescent="0.45">
      <c r="B3" s="824" t="s">
        <v>32</v>
      </c>
      <c r="C3" s="825"/>
      <c r="D3" s="826"/>
      <c r="G3" s="985" t="s">
        <v>151</v>
      </c>
      <c r="H3" s="986"/>
      <c r="I3" s="986"/>
      <c r="J3" s="987"/>
    </row>
    <row r="4" spans="1:10" x14ac:dyDescent="0.25">
      <c r="B4" s="418">
        <v>2022</v>
      </c>
      <c r="C4" s="419">
        <v>2023</v>
      </c>
      <c r="D4" s="420">
        <v>2024</v>
      </c>
      <c r="G4" s="587" t="s">
        <v>152</v>
      </c>
      <c r="H4" s="588">
        <v>2022</v>
      </c>
      <c r="I4" s="588">
        <v>2023</v>
      </c>
      <c r="J4" s="589">
        <v>2024</v>
      </c>
    </row>
    <row r="5" spans="1:10" ht="15.75" thickBot="1" x14ac:dyDescent="0.3">
      <c r="B5" s="40">
        <f>'1️⃣ Hipótesis'!$C$24</f>
        <v>0.03</v>
      </c>
      <c r="C5" s="36">
        <f>'1️⃣ Hipótesis'!$C$25</f>
        <v>7.0000000000000007E-2</v>
      </c>
      <c r="D5" s="41">
        <f>'1️⃣ Hipótesis'!$C$26</f>
        <v>0.12</v>
      </c>
      <c r="G5" s="187">
        <f>$E$20</f>
        <v>1939500</v>
      </c>
      <c r="H5" s="188">
        <f>$E$31</f>
        <v>0</v>
      </c>
      <c r="I5" s="188">
        <f>$E$43</f>
        <v>1211500</v>
      </c>
      <c r="J5" s="189">
        <f>$E$55</f>
        <v>1749500</v>
      </c>
    </row>
    <row r="6" spans="1:10" ht="15.75" thickBot="1" x14ac:dyDescent="0.3">
      <c r="B6" s="42">
        <f>'1️⃣ Hipótesis'!$D$24</f>
        <v>18750000</v>
      </c>
      <c r="C6" s="43">
        <f>'1️⃣ Hipótesis'!$D$25</f>
        <v>43750000.000000007</v>
      </c>
      <c r="D6" s="44">
        <f>'1️⃣ Hipótesis'!$D$26</f>
        <v>75000000</v>
      </c>
    </row>
    <row r="8" spans="1:10" ht="15.75" thickBot="1" x14ac:dyDescent="0.3"/>
    <row r="9" spans="1:10" ht="27" thickBot="1" x14ac:dyDescent="0.45">
      <c r="B9" s="952" t="s">
        <v>153</v>
      </c>
      <c r="C9" s="953"/>
      <c r="D9" s="953"/>
      <c r="E9" s="953"/>
      <c r="F9" s="954"/>
    </row>
    <row r="10" spans="1:10" ht="16.5" thickBot="1" x14ac:dyDescent="0.3">
      <c r="B10" s="592" t="s">
        <v>57</v>
      </c>
      <c r="C10" s="593" t="s">
        <v>53</v>
      </c>
      <c r="D10" s="593" t="s">
        <v>154</v>
      </c>
      <c r="E10" s="593" t="s">
        <v>116</v>
      </c>
      <c r="F10" s="596" t="s">
        <v>155</v>
      </c>
    </row>
    <row r="11" spans="1:10" x14ac:dyDescent="0.25">
      <c r="B11" s="594" t="s">
        <v>350</v>
      </c>
      <c r="C11" s="595">
        <v>1</v>
      </c>
      <c r="D11" s="200">
        <f>'5️⃣ Costos variables'!$E$20</f>
        <v>29000</v>
      </c>
      <c r="E11" s="200">
        <f>C11*D11</f>
        <v>29000</v>
      </c>
      <c r="F11" s="597"/>
    </row>
    <row r="12" spans="1:10" x14ac:dyDescent="0.25">
      <c r="B12" s="190" t="s">
        <v>351</v>
      </c>
      <c r="C12" s="591">
        <v>1</v>
      </c>
      <c r="D12" s="186">
        <f>'5️⃣ Costos variables'!$E$33</f>
        <v>12000</v>
      </c>
      <c r="E12" s="186">
        <f t="shared" ref="E12:E19" si="0">C12*D12</f>
        <v>12000</v>
      </c>
      <c r="F12" s="598"/>
    </row>
    <row r="13" spans="1:10" x14ac:dyDescent="0.25">
      <c r="B13" s="190" t="s">
        <v>352</v>
      </c>
      <c r="C13" s="141">
        <v>11</v>
      </c>
      <c r="D13" s="186">
        <v>20000</v>
      </c>
      <c r="E13" s="186">
        <f t="shared" si="0"/>
        <v>220000</v>
      </c>
      <c r="F13" s="599" t="s">
        <v>357</v>
      </c>
    </row>
    <row r="14" spans="1:10" x14ac:dyDescent="0.25">
      <c r="B14" s="190" t="s">
        <v>353</v>
      </c>
      <c r="C14" s="141">
        <v>11</v>
      </c>
      <c r="D14" s="186">
        <v>15000</v>
      </c>
      <c r="E14" s="186">
        <f>C14*D14</f>
        <v>165000</v>
      </c>
      <c r="F14" s="601" t="s">
        <v>359</v>
      </c>
    </row>
    <row r="15" spans="1:10" x14ac:dyDescent="0.25">
      <c r="B15" s="190" t="s">
        <v>269</v>
      </c>
      <c r="C15" s="141">
        <v>11</v>
      </c>
      <c r="D15" s="186">
        <v>2500</v>
      </c>
      <c r="E15" s="186">
        <f>C15*D15</f>
        <v>27500</v>
      </c>
      <c r="F15" s="600" t="s">
        <v>358</v>
      </c>
    </row>
    <row r="16" spans="1:10" x14ac:dyDescent="0.25">
      <c r="B16" s="190" t="s">
        <v>354</v>
      </c>
      <c r="C16" s="141">
        <v>4</v>
      </c>
      <c r="D16" s="186">
        <v>95000</v>
      </c>
      <c r="E16" s="186">
        <f t="shared" si="0"/>
        <v>380000</v>
      </c>
      <c r="F16" s="600" t="s">
        <v>360</v>
      </c>
    </row>
    <row r="17" spans="2:8" x14ac:dyDescent="0.25">
      <c r="B17" s="190" t="s">
        <v>355</v>
      </c>
      <c r="C17" s="141">
        <v>6</v>
      </c>
      <c r="D17" s="186">
        <v>135000</v>
      </c>
      <c r="E17" s="186">
        <f t="shared" si="0"/>
        <v>810000</v>
      </c>
      <c r="F17" s="600" t="s">
        <v>361</v>
      </c>
    </row>
    <row r="18" spans="2:8" x14ac:dyDescent="0.25">
      <c r="B18" s="190" t="s">
        <v>349</v>
      </c>
      <c r="C18" s="141">
        <f>8*12</f>
        <v>96</v>
      </c>
      <c r="D18" s="186">
        <v>1000</v>
      </c>
      <c r="E18" s="186">
        <f t="shared" si="0"/>
        <v>96000</v>
      </c>
      <c r="F18" s="600" t="s">
        <v>362</v>
      </c>
      <c r="G18" s="1" t="s">
        <v>363</v>
      </c>
    </row>
    <row r="19" spans="2:8" ht="15.75" thickBot="1" x14ac:dyDescent="0.3">
      <c r="B19" s="193" t="s">
        <v>356</v>
      </c>
      <c r="C19" s="194">
        <v>1</v>
      </c>
      <c r="D19" s="188">
        <v>200000</v>
      </c>
      <c r="E19" s="188">
        <f t="shared" si="0"/>
        <v>200000</v>
      </c>
      <c r="F19" s="98"/>
    </row>
    <row r="20" spans="2:8" ht="15.75" thickBot="1" x14ac:dyDescent="0.3">
      <c r="B20" s="980" t="s">
        <v>19</v>
      </c>
      <c r="C20" s="981"/>
      <c r="D20" s="982"/>
      <c r="E20" s="196">
        <f>SUM(E11:E19)</f>
        <v>1939500</v>
      </c>
    </row>
    <row r="21" spans="2:8" ht="15.75" thickBot="1" x14ac:dyDescent="0.3"/>
    <row r="22" spans="2:8" ht="27" thickBot="1" x14ac:dyDescent="0.45">
      <c r="B22" s="824" t="s">
        <v>346</v>
      </c>
      <c r="C22" s="825"/>
      <c r="D22" s="825"/>
      <c r="E22" s="826"/>
      <c r="F22" s="197"/>
    </row>
    <row r="23" spans="2:8" ht="15.75" x14ac:dyDescent="0.25">
      <c r="B23" s="603" t="s">
        <v>57</v>
      </c>
      <c r="C23" s="604" t="s">
        <v>53</v>
      </c>
      <c r="D23" s="604" t="s">
        <v>154</v>
      </c>
      <c r="E23" s="605" t="s">
        <v>116</v>
      </c>
    </row>
    <row r="24" spans="2:8" x14ac:dyDescent="0.25">
      <c r="B24" s="190" t="s">
        <v>352</v>
      </c>
      <c r="C24" s="141">
        <v>0</v>
      </c>
      <c r="D24" s="186">
        <v>20000</v>
      </c>
      <c r="E24" s="198">
        <f t="shared" ref="E24" si="1">C24*D24</f>
        <v>0</v>
      </c>
    </row>
    <row r="25" spans="2:8" x14ac:dyDescent="0.25">
      <c r="B25" s="190" t="s">
        <v>353</v>
      </c>
      <c r="C25" s="141">
        <v>0</v>
      </c>
      <c r="D25" s="186">
        <v>15000</v>
      </c>
      <c r="E25" s="198">
        <f>C25*D25</f>
        <v>0</v>
      </c>
      <c r="G25" s="46"/>
      <c r="H25" s="46"/>
    </row>
    <row r="26" spans="2:8" x14ac:dyDescent="0.25">
      <c r="B26" s="190" t="s">
        <v>269</v>
      </c>
      <c r="C26" s="141">
        <v>0</v>
      </c>
      <c r="D26" s="186">
        <v>2500</v>
      </c>
      <c r="E26" s="198">
        <f>C26*D26</f>
        <v>0</v>
      </c>
      <c r="G26" s="46"/>
      <c r="H26" s="46"/>
    </row>
    <row r="27" spans="2:8" x14ac:dyDescent="0.25">
      <c r="B27" s="190" t="s">
        <v>354</v>
      </c>
      <c r="C27" s="141">
        <v>0</v>
      </c>
      <c r="D27" s="186">
        <v>95000</v>
      </c>
      <c r="E27" s="198">
        <f t="shared" ref="E27:E30" si="2">C27*D27</f>
        <v>0</v>
      </c>
      <c r="G27" s="983"/>
      <c r="H27" s="983"/>
    </row>
    <row r="28" spans="2:8" x14ac:dyDescent="0.25">
      <c r="B28" s="190" t="s">
        <v>355</v>
      </c>
      <c r="C28" s="141">
        <v>0</v>
      </c>
      <c r="D28" s="186">
        <v>135000</v>
      </c>
      <c r="E28" s="198">
        <f t="shared" si="2"/>
        <v>0</v>
      </c>
      <c r="G28" s="984"/>
      <c r="H28" s="984"/>
    </row>
    <row r="29" spans="2:8" x14ac:dyDescent="0.25">
      <c r="B29" s="190" t="s">
        <v>349</v>
      </c>
      <c r="C29" s="141">
        <v>0</v>
      </c>
      <c r="D29" s="186">
        <v>1000</v>
      </c>
      <c r="E29" s="198">
        <f t="shared" si="2"/>
        <v>0</v>
      </c>
      <c r="G29" s="983"/>
      <c r="H29" s="983"/>
    </row>
    <row r="30" spans="2:8" ht="15.75" thickBot="1" x14ac:dyDescent="0.3">
      <c r="B30" s="193" t="s">
        <v>356</v>
      </c>
      <c r="C30" s="194">
        <v>0</v>
      </c>
      <c r="D30" s="188">
        <v>200000</v>
      </c>
      <c r="E30" s="189">
        <f t="shared" si="2"/>
        <v>0</v>
      </c>
      <c r="G30" s="984"/>
      <c r="H30" s="984"/>
    </row>
    <row r="31" spans="2:8" ht="15.75" thickBot="1" x14ac:dyDescent="0.3">
      <c r="B31" s="980" t="s">
        <v>19</v>
      </c>
      <c r="C31" s="981"/>
      <c r="D31" s="982"/>
      <c r="E31" s="196">
        <f>SUM(E24:E30)</f>
        <v>0</v>
      </c>
      <c r="F31" s="602" t="s">
        <v>364</v>
      </c>
    </row>
    <row r="33" spans="2:5" ht="15.75" thickBot="1" x14ac:dyDescent="0.3"/>
    <row r="34" spans="2:5" ht="27" thickBot="1" x14ac:dyDescent="0.45">
      <c r="B34" s="824" t="s">
        <v>347</v>
      </c>
      <c r="C34" s="825"/>
      <c r="D34" s="825"/>
      <c r="E34" s="826"/>
    </row>
    <row r="35" spans="2:5" ht="15.75" x14ac:dyDescent="0.25">
      <c r="B35" s="584" t="s">
        <v>57</v>
      </c>
      <c r="C35" s="585" t="s">
        <v>53</v>
      </c>
      <c r="D35" s="585" t="s">
        <v>154</v>
      </c>
      <c r="E35" s="586" t="s">
        <v>116</v>
      </c>
    </row>
    <row r="36" spans="2:5" x14ac:dyDescent="0.25">
      <c r="B36" s="190" t="s">
        <v>352</v>
      </c>
      <c r="C36" s="141">
        <v>7</v>
      </c>
      <c r="D36" s="186">
        <v>20000</v>
      </c>
      <c r="E36" s="198">
        <f t="shared" ref="E36" si="3">C36*D36</f>
        <v>140000</v>
      </c>
    </row>
    <row r="37" spans="2:5" x14ac:dyDescent="0.25">
      <c r="B37" s="190" t="s">
        <v>353</v>
      </c>
      <c r="C37" s="141">
        <v>7</v>
      </c>
      <c r="D37" s="186">
        <v>15000</v>
      </c>
      <c r="E37" s="198">
        <f>C37*D37</f>
        <v>105000</v>
      </c>
    </row>
    <row r="38" spans="2:5" x14ac:dyDescent="0.25">
      <c r="B38" s="190" t="s">
        <v>269</v>
      </c>
      <c r="C38" s="141">
        <v>7</v>
      </c>
      <c r="D38" s="186">
        <v>2500</v>
      </c>
      <c r="E38" s="198">
        <f>C38*D38</f>
        <v>17500</v>
      </c>
    </row>
    <row r="39" spans="2:5" x14ac:dyDescent="0.25">
      <c r="B39" s="190" t="s">
        <v>354</v>
      </c>
      <c r="C39" s="141">
        <v>2</v>
      </c>
      <c r="D39" s="186">
        <v>95000</v>
      </c>
      <c r="E39" s="198">
        <f t="shared" ref="E39:E42" si="4">C39*D39</f>
        <v>190000</v>
      </c>
    </row>
    <row r="40" spans="2:5" x14ac:dyDescent="0.25">
      <c r="B40" s="190" t="s">
        <v>355</v>
      </c>
      <c r="C40" s="141">
        <v>5</v>
      </c>
      <c r="D40" s="186">
        <v>135000</v>
      </c>
      <c r="E40" s="198">
        <f t="shared" si="4"/>
        <v>675000</v>
      </c>
    </row>
    <row r="41" spans="2:5" x14ac:dyDescent="0.25">
      <c r="B41" s="190" t="s">
        <v>349</v>
      </c>
      <c r="C41" s="141">
        <f>7*12</f>
        <v>84</v>
      </c>
      <c r="D41" s="186">
        <v>1000</v>
      </c>
      <c r="E41" s="198">
        <f t="shared" si="4"/>
        <v>84000</v>
      </c>
    </row>
    <row r="42" spans="2:5" ht="15.75" thickBot="1" x14ac:dyDescent="0.3">
      <c r="B42" s="193" t="s">
        <v>356</v>
      </c>
      <c r="C42" s="194">
        <v>0</v>
      </c>
      <c r="D42" s="188">
        <v>200000</v>
      </c>
      <c r="E42" s="189">
        <f t="shared" si="4"/>
        <v>0</v>
      </c>
    </row>
    <row r="43" spans="2:5" ht="15.75" thickBot="1" x14ac:dyDescent="0.3">
      <c r="B43" s="980" t="s">
        <v>19</v>
      </c>
      <c r="C43" s="981"/>
      <c r="D43" s="982"/>
      <c r="E43" s="195">
        <f>SUM(E36:E42)</f>
        <v>1211500</v>
      </c>
    </row>
    <row r="45" spans="2:5" ht="15.75" thickBot="1" x14ac:dyDescent="0.3"/>
    <row r="46" spans="2:5" ht="27" thickBot="1" x14ac:dyDescent="0.45">
      <c r="B46" s="824" t="s">
        <v>348</v>
      </c>
      <c r="C46" s="825"/>
      <c r="D46" s="825"/>
      <c r="E46" s="826"/>
    </row>
    <row r="47" spans="2:5" ht="15.75" x14ac:dyDescent="0.25">
      <c r="B47" s="584" t="s">
        <v>57</v>
      </c>
      <c r="C47" s="585" t="s">
        <v>53</v>
      </c>
      <c r="D47" s="585" t="s">
        <v>154</v>
      </c>
      <c r="E47" s="586" t="s">
        <v>116</v>
      </c>
    </row>
    <row r="48" spans="2:5" x14ac:dyDescent="0.25">
      <c r="B48" s="190" t="s">
        <v>352</v>
      </c>
      <c r="C48" s="141">
        <v>11</v>
      </c>
      <c r="D48" s="186">
        <v>20000</v>
      </c>
      <c r="E48" s="198">
        <f t="shared" ref="E48" si="5">C48*D48</f>
        <v>220000</v>
      </c>
    </row>
    <row r="49" spans="2:5" x14ac:dyDescent="0.25">
      <c r="B49" s="190" t="s">
        <v>353</v>
      </c>
      <c r="C49" s="141">
        <v>11</v>
      </c>
      <c r="D49" s="186">
        <v>15000</v>
      </c>
      <c r="E49" s="198">
        <f>C49*D49</f>
        <v>165000</v>
      </c>
    </row>
    <row r="50" spans="2:5" x14ac:dyDescent="0.25">
      <c r="B50" s="190" t="s">
        <v>269</v>
      </c>
      <c r="C50" s="141">
        <v>11</v>
      </c>
      <c r="D50" s="186">
        <v>2500</v>
      </c>
      <c r="E50" s="198">
        <f>C50*D50</f>
        <v>27500</v>
      </c>
    </row>
    <row r="51" spans="2:5" x14ac:dyDescent="0.25">
      <c r="B51" s="190" t="s">
        <v>354</v>
      </c>
      <c r="C51" s="141">
        <v>7</v>
      </c>
      <c r="D51" s="186">
        <v>95000</v>
      </c>
      <c r="E51" s="198">
        <f t="shared" ref="E51:E54" si="6">C51*D51</f>
        <v>665000</v>
      </c>
    </row>
    <row r="52" spans="2:5" x14ac:dyDescent="0.25">
      <c r="B52" s="190" t="s">
        <v>355</v>
      </c>
      <c r="C52" s="141">
        <v>4</v>
      </c>
      <c r="D52" s="186">
        <v>135000</v>
      </c>
      <c r="E52" s="198">
        <f t="shared" si="6"/>
        <v>540000</v>
      </c>
    </row>
    <row r="53" spans="2:5" x14ac:dyDescent="0.25">
      <c r="B53" s="190" t="s">
        <v>349</v>
      </c>
      <c r="C53" s="141">
        <f>11*12</f>
        <v>132</v>
      </c>
      <c r="D53" s="186">
        <v>1000</v>
      </c>
      <c r="E53" s="198">
        <f t="shared" si="6"/>
        <v>132000</v>
      </c>
    </row>
    <row r="54" spans="2:5" ht="15.75" thickBot="1" x14ac:dyDescent="0.3">
      <c r="B54" s="193" t="s">
        <v>356</v>
      </c>
      <c r="C54" s="194">
        <v>0</v>
      </c>
      <c r="D54" s="188">
        <v>200000</v>
      </c>
      <c r="E54" s="189">
        <f t="shared" si="6"/>
        <v>0</v>
      </c>
    </row>
    <row r="55" spans="2:5" ht="15.75" thickBot="1" x14ac:dyDescent="0.3">
      <c r="B55" s="980" t="s">
        <v>19</v>
      </c>
      <c r="C55" s="981"/>
      <c r="D55" s="982"/>
      <c r="E55" s="195">
        <f>SUM(E48:E54)</f>
        <v>1749500</v>
      </c>
    </row>
  </sheetData>
  <mergeCells count="14">
    <mergeCell ref="B22:E22"/>
    <mergeCell ref="B34:E34"/>
    <mergeCell ref="B43:D43"/>
    <mergeCell ref="B3:D3"/>
    <mergeCell ref="G3:J3"/>
    <mergeCell ref="B20:D20"/>
    <mergeCell ref="B9:F9"/>
    <mergeCell ref="B46:E46"/>
    <mergeCell ref="B55:D55"/>
    <mergeCell ref="G27:H27"/>
    <mergeCell ref="G28:H28"/>
    <mergeCell ref="G29:H29"/>
    <mergeCell ref="G30:H30"/>
    <mergeCell ref="B31:D31"/>
  </mergeCells>
  <hyperlinks>
    <hyperlink ref="F18" r:id="rId1" display="Licencia Standard Trello" xr:uid="{8858D08C-F7D9-4EFB-ACED-959F3CE57171}"/>
    <hyperlink ref="F13" r:id="rId2" location="searchVariation=MLA15822970&amp;position=4&amp;search_layout=grid&amp;type=product&amp;tracking_id=61939409-4c98-431e-b97e-2d97e53bdd8d" xr:uid="{C3C5616D-2A0D-4CCC-9B70-9A2D8D573CFD}"/>
    <hyperlink ref="F15" r:id="rId3" location="searchVariation=68107696677&amp;position=14&amp;search_layout=stack&amp;type=item&amp;tracking_id=00e30834-f250-44bf-94ff-ed7d1028bcd6" xr:uid="{41546D09-D686-4B4C-806F-D5ED97DAEAC5}"/>
    <hyperlink ref="F14" r:id="rId4" location="searchVariation=47228789889&amp;position=34&amp;search_layout=grid&amp;type=item&amp;tracking_id=1011ac6b-2a2a-49c7-8596-397a710a4932" display="Escritorio minimalista" xr:uid="{005FF9E7-A58F-453E-AA70-C11A35A83D9A}"/>
    <hyperlink ref="F16" r:id="rId5" location="searchVariation=87591216226&amp;position=12&amp;search_layout=stack&amp;type=item&amp;tracking_id=9f6d2b66-5891-4a2e-a78d-8dd1653305fb" xr:uid="{609C94ED-936C-41DD-A267-258F69E854BC}"/>
    <hyperlink ref="F17" r:id="rId6" location="searchVariation=81277176065&amp;position=26&amp;search_layout=stack&amp;type=item&amp;tracking_id=97834c96-e7d4-4f5d-9a99-5a864b816c66" xr:uid="{B7F2988D-4371-4FCE-AA1F-29B95DB8395F}"/>
  </hyperlinks>
  <pageMargins left="0.7" right="0.7" top="0.75" bottom="0.75" header="0.3" footer="0.3"/>
  <pageSetup orientation="portrait" r:id="rId7"/>
  <drawing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6"/>
  <sheetViews>
    <sheetView zoomScale="80" zoomScaleNormal="80" workbookViewId="0">
      <pane ySplit="1" topLeftCell="A2" activePane="bottomLeft" state="frozen"/>
      <selection pane="bottomLeft" activeCell="C28" sqref="C28"/>
    </sheetView>
  </sheetViews>
  <sheetFormatPr defaultColWidth="11.42578125" defaultRowHeight="15" x14ac:dyDescent="0.25"/>
  <cols>
    <col min="1" max="1" width="11.42578125" style="1"/>
    <col min="2" max="2" width="22" style="1" customWidth="1"/>
    <col min="3" max="3" width="43.7109375" style="1" customWidth="1"/>
    <col min="4" max="4" width="15.28515625" style="1" bestFit="1" customWidth="1"/>
    <col min="5" max="5" width="22.140625" style="1" customWidth="1"/>
    <col min="6" max="6" width="17.5703125" style="1" customWidth="1"/>
    <col min="7" max="7" width="14.42578125" style="1" customWidth="1"/>
    <col min="8" max="8" width="11.42578125" style="1"/>
    <col min="9" max="9" width="15.28515625" style="1" customWidth="1"/>
    <col min="10" max="10" width="14.140625" style="1" bestFit="1" customWidth="1"/>
    <col min="11" max="11" width="15.28515625" style="1" customWidth="1"/>
    <col min="12" max="13" width="16.28515625" style="1" bestFit="1" customWidth="1"/>
    <col min="14" max="16384" width="11.42578125" style="1"/>
  </cols>
  <sheetData>
    <row r="1" spans="1:13" s="543" customFormat="1" ht="58.5" customHeight="1" thickTop="1" thickBot="1" x14ac:dyDescent="0.3">
      <c r="A1" s="542"/>
      <c r="G1" s="544" t="s">
        <v>9</v>
      </c>
      <c r="H1" s="572"/>
    </row>
    <row r="2" spans="1:13" ht="16.5" thickTop="1" thickBot="1" x14ac:dyDescent="0.3"/>
    <row r="3" spans="1:13" ht="27" thickBot="1" x14ac:dyDescent="0.45">
      <c r="B3" s="824" t="s">
        <v>32</v>
      </c>
      <c r="C3" s="825"/>
      <c r="D3" s="826"/>
      <c r="E3" s="35"/>
      <c r="I3" s="824" t="s">
        <v>9</v>
      </c>
      <c r="J3" s="825"/>
      <c r="K3" s="826"/>
    </row>
    <row r="4" spans="1:13" x14ac:dyDescent="0.25">
      <c r="B4" s="418">
        <v>2022</v>
      </c>
      <c r="C4" s="419">
        <v>2023</v>
      </c>
      <c r="D4" s="420">
        <v>2024</v>
      </c>
      <c r="E4" s="72"/>
      <c r="I4" s="418">
        <v>2022</v>
      </c>
      <c r="J4" s="419">
        <v>2023</v>
      </c>
      <c r="K4" s="420">
        <v>2024</v>
      </c>
    </row>
    <row r="5" spans="1:13" ht="15.75" thickBot="1" x14ac:dyDescent="0.3">
      <c r="B5" s="40">
        <f>'1️⃣ Hipótesis'!$C$24</f>
        <v>0.03</v>
      </c>
      <c r="C5" s="36">
        <f>'1️⃣ Hipótesis'!$C$25</f>
        <v>7.0000000000000007E-2</v>
      </c>
      <c r="D5" s="41">
        <f>'1️⃣ Hipótesis'!$C$26</f>
        <v>0.12</v>
      </c>
      <c r="E5" s="143"/>
      <c r="I5" s="187">
        <f>$K$26</f>
        <v>444333.33333333337</v>
      </c>
      <c r="J5" s="188">
        <f>$L$26</f>
        <v>763000</v>
      </c>
      <c r="K5" s="189">
        <f>$M$26</f>
        <v>1212333.3333333333</v>
      </c>
    </row>
    <row r="6" spans="1:13" ht="15.75" thickBot="1" x14ac:dyDescent="0.3">
      <c r="B6" s="42">
        <f>'1️⃣ Hipótesis'!$D$24</f>
        <v>18750000</v>
      </c>
      <c r="C6" s="43">
        <f>'1️⃣ Hipótesis'!D25</f>
        <v>43750000.000000007</v>
      </c>
      <c r="D6" s="44">
        <f>'1️⃣ Hipótesis'!D26</f>
        <v>75000000</v>
      </c>
      <c r="E6" s="140"/>
    </row>
    <row r="7" spans="1:13" ht="15.75" thickBot="1" x14ac:dyDescent="0.3"/>
    <row r="8" spans="1:13" ht="27" thickBot="1" x14ac:dyDescent="0.45">
      <c r="B8" s="1006" t="s">
        <v>9</v>
      </c>
      <c r="C8" s="1007"/>
      <c r="D8" s="1007"/>
      <c r="E8" s="1007"/>
      <c r="F8" s="1007"/>
      <c r="G8" s="1007"/>
      <c r="H8" s="1007"/>
      <c r="I8" s="1007"/>
      <c r="J8" s="1007"/>
      <c r="K8" s="1007"/>
      <c r="L8" s="1007"/>
      <c r="M8" s="1008"/>
    </row>
    <row r="9" spans="1:13" x14ac:dyDescent="0.25">
      <c r="B9" s="1002" t="s">
        <v>158</v>
      </c>
      <c r="C9" s="1003" t="s">
        <v>57</v>
      </c>
      <c r="D9" s="1003" t="s">
        <v>53</v>
      </c>
      <c r="E9" s="997" t="s">
        <v>154</v>
      </c>
      <c r="F9" s="995" t="s">
        <v>160</v>
      </c>
      <c r="G9" s="1002" t="s">
        <v>161</v>
      </c>
      <c r="H9" s="1003"/>
      <c r="I9" s="1003"/>
      <c r="J9" s="1004"/>
      <c r="K9" s="1005" t="s">
        <v>157</v>
      </c>
      <c r="L9" s="1003"/>
      <c r="M9" s="1004"/>
    </row>
    <row r="10" spans="1:13" ht="15.75" thickBot="1" x14ac:dyDescent="0.3">
      <c r="B10" s="1009"/>
      <c r="C10" s="1010"/>
      <c r="D10" s="1010"/>
      <c r="E10" s="998"/>
      <c r="F10" s="996"/>
      <c r="G10" s="606" t="s">
        <v>159</v>
      </c>
      <c r="H10" s="559">
        <v>2022</v>
      </c>
      <c r="I10" s="559">
        <v>2023</v>
      </c>
      <c r="J10" s="607">
        <v>2024</v>
      </c>
      <c r="K10" s="500">
        <v>2022</v>
      </c>
      <c r="L10" s="501">
        <v>2023</v>
      </c>
      <c r="M10" s="499">
        <v>2024</v>
      </c>
    </row>
    <row r="11" spans="1:13" x14ac:dyDescent="0.25">
      <c r="B11" s="999" t="s">
        <v>162</v>
      </c>
      <c r="C11" s="608" t="s">
        <v>365</v>
      </c>
      <c r="D11" s="199">
        <v>4</v>
      </c>
      <c r="E11" s="200">
        <v>95000</v>
      </c>
      <c r="F11" s="609">
        <v>3</v>
      </c>
      <c r="G11" s="638">
        <f t="shared" ref="G11:G20" si="0">D11*E11</f>
        <v>380000</v>
      </c>
      <c r="H11" s="614">
        <v>0</v>
      </c>
      <c r="I11" s="614">
        <v>0</v>
      </c>
      <c r="J11" s="619">
        <v>0</v>
      </c>
      <c r="K11" s="636">
        <f>$G$11/$F$11</f>
        <v>126666.66666666667</v>
      </c>
      <c r="L11" s="637">
        <f>$G$11/$F$11</f>
        <v>126666.66666666667</v>
      </c>
      <c r="M11" s="628">
        <f>$G$11/$F$11</f>
        <v>126666.66666666667</v>
      </c>
    </row>
    <row r="12" spans="1:13" x14ac:dyDescent="0.25">
      <c r="B12" s="1000"/>
      <c r="C12" s="590" t="s">
        <v>365</v>
      </c>
      <c r="D12" s="141">
        <v>2</v>
      </c>
      <c r="E12" s="186">
        <f>E11</f>
        <v>95000</v>
      </c>
      <c r="F12" s="610">
        <v>3</v>
      </c>
      <c r="G12" s="615">
        <v>0</v>
      </c>
      <c r="H12" s="616">
        <v>0</v>
      </c>
      <c r="I12" s="640">
        <f>D12*E12</f>
        <v>190000</v>
      </c>
      <c r="J12" s="620">
        <v>0</v>
      </c>
      <c r="K12" s="624">
        <v>0</v>
      </c>
      <c r="L12" s="633">
        <f>$I$12/$F$12</f>
        <v>63333.333333333336</v>
      </c>
      <c r="M12" s="629">
        <f>$I$12/$F$12</f>
        <v>63333.333333333336</v>
      </c>
    </row>
    <row r="13" spans="1:13" x14ac:dyDescent="0.25">
      <c r="B13" s="1000"/>
      <c r="C13" s="590" t="s">
        <v>365</v>
      </c>
      <c r="D13" s="141">
        <v>7</v>
      </c>
      <c r="E13" s="186">
        <f>E12</f>
        <v>95000</v>
      </c>
      <c r="F13" s="610">
        <v>3</v>
      </c>
      <c r="G13" s="615">
        <v>0</v>
      </c>
      <c r="H13" s="616">
        <v>0</v>
      </c>
      <c r="I13" s="616">
        <v>0</v>
      </c>
      <c r="J13" s="641">
        <f>D13*E13</f>
        <v>665000</v>
      </c>
      <c r="K13" s="624">
        <v>0</v>
      </c>
      <c r="L13" s="627">
        <v>0</v>
      </c>
      <c r="M13" s="629">
        <f>J13/F13</f>
        <v>221666.66666666666</v>
      </c>
    </row>
    <row r="14" spans="1:13" x14ac:dyDescent="0.25">
      <c r="B14" s="1000"/>
      <c r="C14" s="590" t="s">
        <v>366</v>
      </c>
      <c r="D14" s="141">
        <v>6</v>
      </c>
      <c r="E14" s="186">
        <v>135000</v>
      </c>
      <c r="F14" s="610">
        <v>3</v>
      </c>
      <c r="G14" s="639">
        <f t="shared" si="0"/>
        <v>810000</v>
      </c>
      <c r="H14" s="616">
        <v>0</v>
      </c>
      <c r="I14" s="616">
        <v>0</v>
      </c>
      <c r="J14" s="620">
        <v>0</v>
      </c>
      <c r="K14" s="632">
        <f>$G$14/$F$14</f>
        <v>270000</v>
      </c>
      <c r="L14" s="633">
        <f>$G$14/$F$14</f>
        <v>270000</v>
      </c>
      <c r="M14" s="629">
        <f>$G$14/$F$14</f>
        <v>270000</v>
      </c>
    </row>
    <row r="15" spans="1:13" x14ac:dyDescent="0.25">
      <c r="B15" s="1000"/>
      <c r="C15" s="590" t="s">
        <v>366</v>
      </c>
      <c r="D15" s="141">
        <v>5</v>
      </c>
      <c r="E15" s="186">
        <f t="shared" ref="E15:E25" si="1">E14</f>
        <v>135000</v>
      </c>
      <c r="F15" s="610">
        <v>3</v>
      </c>
      <c r="G15" s="615">
        <v>0</v>
      </c>
      <c r="H15" s="616">
        <v>0</v>
      </c>
      <c r="I15" s="640">
        <f>D15*E15</f>
        <v>675000</v>
      </c>
      <c r="J15" s="620">
        <v>0</v>
      </c>
      <c r="K15" s="624">
        <v>0</v>
      </c>
      <c r="L15" s="633">
        <f>$I$15/$F$15</f>
        <v>225000</v>
      </c>
      <c r="M15" s="629">
        <f>$I$15/$F$15</f>
        <v>225000</v>
      </c>
    </row>
    <row r="16" spans="1:13" x14ac:dyDescent="0.25">
      <c r="B16" s="1000"/>
      <c r="C16" s="590" t="s">
        <v>366</v>
      </c>
      <c r="D16" s="141">
        <v>4</v>
      </c>
      <c r="E16" s="186">
        <f t="shared" si="1"/>
        <v>135000</v>
      </c>
      <c r="F16" s="610">
        <v>3</v>
      </c>
      <c r="G16" s="615">
        <v>0</v>
      </c>
      <c r="H16" s="616">
        <v>0</v>
      </c>
      <c r="I16" s="616">
        <v>0</v>
      </c>
      <c r="J16" s="641">
        <f>D16*E16</f>
        <v>540000</v>
      </c>
      <c r="K16" s="624">
        <v>0</v>
      </c>
      <c r="L16" s="627">
        <v>0</v>
      </c>
      <c r="M16" s="629">
        <f>J16/F16</f>
        <v>180000</v>
      </c>
    </row>
    <row r="17" spans="2:13" x14ac:dyDescent="0.25">
      <c r="B17" s="1000"/>
      <c r="C17" s="590" t="s">
        <v>269</v>
      </c>
      <c r="D17" s="141">
        <v>11</v>
      </c>
      <c r="E17" s="186">
        <v>2500</v>
      </c>
      <c r="F17" s="610">
        <v>3</v>
      </c>
      <c r="G17" s="639">
        <f t="shared" si="0"/>
        <v>27500</v>
      </c>
      <c r="H17" s="616">
        <v>0</v>
      </c>
      <c r="I17" s="616">
        <v>0</v>
      </c>
      <c r="J17" s="620">
        <v>0</v>
      </c>
      <c r="K17" s="632">
        <f>$G$17/$F$17</f>
        <v>9166.6666666666661</v>
      </c>
      <c r="L17" s="633">
        <f>$G$17/$F$17</f>
        <v>9166.6666666666661</v>
      </c>
      <c r="M17" s="629">
        <f>$G$17/$F$17</f>
        <v>9166.6666666666661</v>
      </c>
    </row>
    <row r="18" spans="2:13" x14ac:dyDescent="0.25">
      <c r="B18" s="1000"/>
      <c r="C18" s="590" t="s">
        <v>269</v>
      </c>
      <c r="D18" s="141">
        <v>7</v>
      </c>
      <c r="E18" s="186">
        <f t="shared" si="1"/>
        <v>2500</v>
      </c>
      <c r="F18" s="610">
        <v>3</v>
      </c>
      <c r="G18" s="615">
        <v>0</v>
      </c>
      <c r="H18" s="616">
        <v>0</v>
      </c>
      <c r="I18" s="640">
        <f>D18*E18</f>
        <v>17500</v>
      </c>
      <c r="J18" s="620">
        <v>0</v>
      </c>
      <c r="K18" s="624">
        <v>0</v>
      </c>
      <c r="L18" s="633">
        <f>$I$18/$F$18</f>
        <v>5833.333333333333</v>
      </c>
      <c r="M18" s="629">
        <f>$I$18/$F$18</f>
        <v>5833.333333333333</v>
      </c>
    </row>
    <row r="19" spans="2:13" ht="15.75" thickBot="1" x14ac:dyDescent="0.3">
      <c r="B19" s="1001"/>
      <c r="C19" s="611" t="s">
        <v>269</v>
      </c>
      <c r="D19" s="194">
        <v>11</v>
      </c>
      <c r="E19" s="188">
        <f t="shared" si="1"/>
        <v>2500</v>
      </c>
      <c r="F19" s="612">
        <v>3</v>
      </c>
      <c r="G19" s="618">
        <v>0</v>
      </c>
      <c r="H19" s="617">
        <v>0</v>
      </c>
      <c r="I19" s="616">
        <v>0</v>
      </c>
      <c r="J19" s="641">
        <f>D19*E19</f>
        <v>27500</v>
      </c>
      <c r="K19" s="625">
        <v>0</v>
      </c>
      <c r="L19" s="626">
        <v>0</v>
      </c>
      <c r="M19" s="630">
        <f>J19/F19</f>
        <v>9166.6666666666661</v>
      </c>
    </row>
    <row r="20" spans="2:13" x14ac:dyDescent="0.25">
      <c r="B20" s="988" t="s">
        <v>163</v>
      </c>
      <c r="C20" s="608" t="s">
        <v>367</v>
      </c>
      <c r="D20" s="199">
        <v>11</v>
      </c>
      <c r="E20" s="200">
        <v>20000</v>
      </c>
      <c r="F20" s="609">
        <v>10</v>
      </c>
      <c r="G20" s="638">
        <f t="shared" si="0"/>
        <v>220000</v>
      </c>
      <c r="H20" s="614">
        <v>0</v>
      </c>
      <c r="I20" s="614">
        <v>0</v>
      </c>
      <c r="J20" s="619">
        <v>0</v>
      </c>
      <c r="K20" s="634">
        <f>$G$20/$F$20</f>
        <v>22000</v>
      </c>
      <c r="L20" s="635">
        <f>$G$20/$F$20</f>
        <v>22000</v>
      </c>
      <c r="M20" s="631">
        <f>$G$20/$F$20</f>
        <v>22000</v>
      </c>
    </row>
    <row r="21" spans="2:13" x14ac:dyDescent="0.25">
      <c r="B21" s="989"/>
      <c r="C21" s="590" t="s">
        <v>367</v>
      </c>
      <c r="D21" s="141">
        <v>7</v>
      </c>
      <c r="E21" s="186">
        <f t="shared" si="1"/>
        <v>20000</v>
      </c>
      <c r="F21" s="610">
        <v>10</v>
      </c>
      <c r="G21" s="615">
        <v>0</v>
      </c>
      <c r="H21" s="616">
        <v>0</v>
      </c>
      <c r="I21" s="640">
        <f>D21*E21</f>
        <v>140000</v>
      </c>
      <c r="J21" s="620">
        <v>0</v>
      </c>
      <c r="K21" s="624">
        <v>0</v>
      </c>
      <c r="L21" s="633">
        <f>$I$21/$F$21</f>
        <v>14000</v>
      </c>
      <c r="M21" s="629">
        <f>$I$21/$F$21</f>
        <v>14000</v>
      </c>
    </row>
    <row r="22" spans="2:13" x14ac:dyDescent="0.25">
      <c r="B22" s="989"/>
      <c r="C22" s="590" t="s">
        <v>367</v>
      </c>
      <c r="D22" s="141">
        <v>11</v>
      </c>
      <c r="E22" s="186">
        <f t="shared" si="1"/>
        <v>20000</v>
      </c>
      <c r="F22" s="610">
        <v>10</v>
      </c>
      <c r="G22" s="615">
        <v>0</v>
      </c>
      <c r="H22" s="616">
        <v>0</v>
      </c>
      <c r="I22" s="616">
        <v>0</v>
      </c>
      <c r="J22" s="641">
        <f>D22*E22</f>
        <v>220000</v>
      </c>
      <c r="K22" s="624">
        <v>0</v>
      </c>
      <c r="L22" s="627">
        <v>0</v>
      </c>
      <c r="M22" s="629">
        <f>J22/F22</f>
        <v>22000</v>
      </c>
    </row>
    <row r="23" spans="2:13" x14ac:dyDescent="0.25">
      <c r="B23" s="989"/>
      <c r="C23" s="590" t="s">
        <v>156</v>
      </c>
      <c r="D23" s="141">
        <v>11</v>
      </c>
      <c r="E23" s="186">
        <v>15000</v>
      </c>
      <c r="F23" s="610">
        <v>10</v>
      </c>
      <c r="G23" s="639">
        <f>D23*E23</f>
        <v>165000</v>
      </c>
      <c r="H23" s="616">
        <v>0</v>
      </c>
      <c r="I23" s="616">
        <v>0</v>
      </c>
      <c r="J23" s="620">
        <v>0</v>
      </c>
      <c r="K23" s="632">
        <f>$G$23/$F$23</f>
        <v>16500</v>
      </c>
      <c r="L23" s="633">
        <f>$G$23/$F$23</f>
        <v>16500</v>
      </c>
      <c r="M23" s="629">
        <f>$G$23/$F$23</f>
        <v>16500</v>
      </c>
    </row>
    <row r="24" spans="2:13" x14ac:dyDescent="0.25">
      <c r="B24" s="989"/>
      <c r="C24" s="590" t="s">
        <v>156</v>
      </c>
      <c r="D24" s="141">
        <v>7</v>
      </c>
      <c r="E24" s="186">
        <f t="shared" si="1"/>
        <v>15000</v>
      </c>
      <c r="F24" s="610">
        <v>10</v>
      </c>
      <c r="G24" s="615">
        <v>0</v>
      </c>
      <c r="H24" s="616">
        <v>0</v>
      </c>
      <c r="I24" s="640">
        <f>D24*E24</f>
        <v>105000</v>
      </c>
      <c r="J24" s="620">
        <v>0</v>
      </c>
      <c r="K24" s="624">
        <v>0</v>
      </c>
      <c r="L24" s="633">
        <f>$I$24/$F$24</f>
        <v>10500</v>
      </c>
      <c r="M24" s="629">
        <f>$I$24/$F$24</f>
        <v>10500</v>
      </c>
    </row>
    <row r="25" spans="2:13" ht="15.75" thickBot="1" x14ac:dyDescent="0.3">
      <c r="B25" s="990"/>
      <c r="C25" s="611" t="s">
        <v>156</v>
      </c>
      <c r="D25" s="613">
        <v>11</v>
      </c>
      <c r="E25" s="188">
        <f t="shared" si="1"/>
        <v>15000</v>
      </c>
      <c r="F25" s="612">
        <v>10</v>
      </c>
      <c r="G25" s="615">
        <v>0</v>
      </c>
      <c r="H25" s="616">
        <v>0</v>
      </c>
      <c r="I25" s="616">
        <v>0</v>
      </c>
      <c r="J25" s="641">
        <f>D25*E25</f>
        <v>165000</v>
      </c>
      <c r="K25" s="625">
        <v>0</v>
      </c>
      <c r="L25" s="626">
        <v>0</v>
      </c>
      <c r="M25" s="630">
        <f>J25/F25</f>
        <v>16500</v>
      </c>
    </row>
    <row r="26" spans="2:13" ht="16.5" thickBot="1" x14ac:dyDescent="0.3">
      <c r="B26" s="991" t="s">
        <v>145</v>
      </c>
      <c r="C26" s="992"/>
      <c r="D26" s="992"/>
      <c r="E26" s="992"/>
      <c r="F26" s="992"/>
      <c r="G26" s="993"/>
      <c r="H26" s="993"/>
      <c r="I26" s="993"/>
      <c r="J26" s="994"/>
      <c r="K26" s="621">
        <f>SUM(K11:K25)</f>
        <v>444333.33333333337</v>
      </c>
      <c r="L26" s="622">
        <f>SUM(L11:L25)</f>
        <v>763000</v>
      </c>
      <c r="M26" s="623">
        <f>SUM(M11:M25)</f>
        <v>1212333.3333333333</v>
      </c>
    </row>
  </sheetData>
  <mergeCells count="13">
    <mergeCell ref="B3:D3"/>
    <mergeCell ref="I3:K3"/>
    <mergeCell ref="G9:J9"/>
    <mergeCell ref="K9:M9"/>
    <mergeCell ref="B8:M8"/>
    <mergeCell ref="B9:B10"/>
    <mergeCell ref="C9:C10"/>
    <mergeCell ref="D9:D10"/>
    <mergeCell ref="B20:B25"/>
    <mergeCell ref="B26:J26"/>
    <mergeCell ref="F9:F10"/>
    <mergeCell ref="E9:E10"/>
    <mergeCell ref="B11:B19"/>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38"/>
  <sheetViews>
    <sheetView zoomScaleNormal="100" workbookViewId="0">
      <pane ySplit="1" topLeftCell="A2" activePane="bottomLeft" state="frozen"/>
      <selection pane="bottomLeft" activeCell="J28" sqref="J28"/>
    </sheetView>
  </sheetViews>
  <sheetFormatPr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6.140625" style="1" customWidth="1"/>
    <col min="10" max="10" width="17.7109375" style="1" customWidth="1"/>
    <col min="11" max="12" width="15.28515625" style="1" bestFit="1" customWidth="1"/>
    <col min="13" max="13" width="30.140625" style="1" customWidth="1"/>
    <col min="14" max="16384" width="11.42578125" style="1"/>
  </cols>
  <sheetData>
    <row r="1" spans="1:13" s="645" customFormat="1" ht="58.5" customHeight="1" thickBot="1" x14ac:dyDescent="0.3">
      <c r="A1" s="644"/>
      <c r="E1" s="646" t="s">
        <v>13</v>
      </c>
      <c r="F1" s="647"/>
      <c r="G1" s="647"/>
    </row>
    <row r="2" spans="1:13" ht="15.75" thickBot="1" x14ac:dyDescent="0.3"/>
    <row r="3" spans="1:13" ht="27" thickBot="1" x14ac:dyDescent="0.45">
      <c r="H3" s="83"/>
      <c r="J3" s="429"/>
      <c r="K3" s="1014" t="s">
        <v>32</v>
      </c>
      <c r="L3" s="1015"/>
      <c r="M3" s="1016"/>
    </row>
    <row r="4" spans="1:13" x14ac:dyDescent="0.25">
      <c r="H4" s="72"/>
      <c r="J4" s="429"/>
      <c r="K4" s="654">
        <v>2022</v>
      </c>
      <c r="L4" s="583">
        <v>2023</v>
      </c>
      <c r="M4" s="655">
        <v>2024</v>
      </c>
    </row>
    <row r="5" spans="1:13" x14ac:dyDescent="0.25">
      <c r="H5" s="140"/>
      <c r="J5" s="429"/>
      <c r="K5" s="410">
        <f>'1️⃣ Hipótesis'!$C$24</f>
        <v>0.03</v>
      </c>
      <c r="L5" s="411">
        <f>'1️⃣ Hipótesis'!$C$25</f>
        <v>7.0000000000000007E-2</v>
      </c>
      <c r="M5" s="412">
        <f>'1️⃣ Hipótesis'!$C$26</f>
        <v>0.12</v>
      </c>
    </row>
    <row r="6" spans="1:13" ht="15.75" thickBot="1" x14ac:dyDescent="0.3">
      <c r="H6" s="46"/>
      <c r="J6" s="429"/>
      <c r="K6" s="317">
        <f>'1️⃣ Hipótesis'!$D$24</f>
        <v>18750000</v>
      </c>
      <c r="L6" s="318">
        <f>'1️⃣ Hipótesis'!$D$25</f>
        <v>43750000.000000007</v>
      </c>
      <c r="M6" s="319">
        <f>'1️⃣ Hipótesis'!$D$26</f>
        <v>75000000</v>
      </c>
    </row>
    <row r="7" spans="1:13" ht="15.75" thickBot="1" x14ac:dyDescent="0.3">
      <c r="H7" s="46"/>
      <c r="J7" s="429"/>
      <c r="K7" s="429"/>
      <c r="L7" s="429"/>
      <c r="M7" s="429"/>
    </row>
    <row r="8" spans="1:13" ht="27" thickBot="1" x14ac:dyDescent="0.45">
      <c r="H8" s="83"/>
      <c r="J8" s="429"/>
      <c r="K8" s="1014" t="s">
        <v>193</v>
      </c>
      <c r="L8" s="1015"/>
      <c r="M8" s="1016"/>
    </row>
    <row r="9" spans="1:13" ht="15.75" thickBot="1" x14ac:dyDescent="0.3">
      <c r="H9" s="72"/>
      <c r="J9" s="429"/>
      <c r="K9" s="654">
        <v>2022</v>
      </c>
      <c r="L9" s="583">
        <v>2023</v>
      </c>
      <c r="M9" s="655">
        <v>2024</v>
      </c>
    </row>
    <row r="10" spans="1:13" ht="27" thickBot="1" x14ac:dyDescent="0.3">
      <c r="B10" s="1027" t="s">
        <v>13</v>
      </c>
      <c r="C10" s="1028"/>
      <c r="D10" s="1028"/>
      <c r="E10" s="1028"/>
      <c r="F10" s="1028"/>
      <c r="G10" s="1029"/>
      <c r="H10" s="140"/>
      <c r="J10" s="651" t="s">
        <v>164</v>
      </c>
      <c r="K10" s="648">
        <f>'4️⃣ Costos fijos'!$G$5</f>
        <v>2828400</v>
      </c>
      <c r="L10" s="649">
        <f>'4️⃣ Costos fijos'!$H$5</f>
        <v>3292920</v>
      </c>
      <c r="M10" s="650">
        <f>'4️⃣ Costos fijos'!$I$5</f>
        <v>3962001.6000000006</v>
      </c>
    </row>
    <row r="11" spans="1:13" ht="15.75" thickBot="1" x14ac:dyDescent="0.3">
      <c r="B11" s="1030" t="s">
        <v>177</v>
      </c>
      <c r="C11" s="1031"/>
      <c r="D11" s="659" t="s">
        <v>178</v>
      </c>
      <c r="E11" s="659">
        <v>2022</v>
      </c>
      <c r="F11" s="431">
        <v>2023</v>
      </c>
      <c r="G11" s="660">
        <v>2024</v>
      </c>
      <c r="H11" s="46"/>
      <c r="J11" s="651" t="s">
        <v>147</v>
      </c>
      <c r="K11" s="648">
        <f>'5️⃣ Costos variables'!$H$6</f>
        <v>931100</v>
      </c>
      <c r="L11" s="649">
        <f>'5️⃣ Costos variables'!$I$6</f>
        <v>2879000</v>
      </c>
      <c r="M11" s="650">
        <f>'5️⃣ Costos variables'!$J$6</f>
        <v>6043550</v>
      </c>
    </row>
    <row r="12" spans="1:13" ht="15.75" thickBot="1" x14ac:dyDescent="0.3">
      <c r="B12" s="1022" t="s">
        <v>37</v>
      </c>
      <c r="C12" s="1023"/>
      <c r="D12" s="661" t="s">
        <v>165</v>
      </c>
      <c r="E12" s="662">
        <f>+'3️⃣ Mod. ingresos'!C25</f>
        <v>18555000</v>
      </c>
      <c r="F12" s="662">
        <f>+'3️⃣ Mod. ingresos'!D25</f>
        <v>43670000</v>
      </c>
      <c r="G12" s="663">
        <f>+'3️⃣ Mod. ingresos'!E25</f>
        <v>75475000</v>
      </c>
      <c r="J12" s="651" t="s">
        <v>148</v>
      </c>
      <c r="K12" s="317">
        <f>'6️⃣ Costos RRHH'!$H$6</f>
        <v>16346610.640000002</v>
      </c>
      <c r="L12" s="318">
        <f>'6️⃣ Costos RRHH'!$I$6</f>
        <v>29562208.922499999</v>
      </c>
      <c r="M12" s="319">
        <f>'6️⃣ Costos RRHH'!$J$6</f>
        <v>53106550.25</v>
      </c>
    </row>
    <row r="13" spans="1:13" ht="15.75" thickBot="1" x14ac:dyDescent="0.3">
      <c r="B13" s="989" t="s">
        <v>166</v>
      </c>
      <c r="C13" s="664" t="s">
        <v>164</v>
      </c>
      <c r="D13" s="665" t="s">
        <v>165</v>
      </c>
      <c r="E13" s="666">
        <f t="shared" ref="E13:G15" si="0">K10</f>
        <v>2828400</v>
      </c>
      <c r="F13" s="666">
        <f t="shared" si="0"/>
        <v>3292920</v>
      </c>
      <c r="G13" s="667">
        <f t="shared" si="0"/>
        <v>3962001.6000000006</v>
      </c>
      <c r="J13" s="429"/>
      <c r="K13" s="429"/>
      <c r="L13" s="429"/>
      <c r="M13" s="429"/>
    </row>
    <row r="14" spans="1:13" ht="27" thickBot="1" x14ac:dyDescent="0.3">
      <c r="B14" s="989"/>
      <c r="C14" s="664" t="s">
        <v>147</v>
      </c>
      <c r="D14" s="665" t="s">
        <v>165</v>
      </c>
      <c r="E14" s="666">
        <f t="shared" si="0"/>
        <v>931100</v>
      </c>
      <c r="F14" s="666">
        <f t="shared" si="0"/>
        <v>2879000</v>
      </c>
      <c r="G14" s="667">
        <f t="shared" si="0"/>
        <v>6043550</v>
      </c>
      <c r="J14" s="429"/>
      <c r="K14" s="1014" t="s">
        <v>9</v>
      </c>
      <c r="L14" s="1015"/>
      <c r="M14" s="1016"/>
    </row>
    <row r="15" spans="1:13" ht="15.75" thickBot="1" x14ac:dyDescent="0.3">
      <c r="B15" s="1024"/>
      <c r="C15" s="668" t="s">
        <v>148</v>
      </c>
      <c r="D15" s="669" t="s">
        <v>165</v>
      </c>
      <c r="E15" s="670">
        <f t="shared" si="0"/>
        <v>16346610.640000002</v>
      </c>
      <c r="F15" s="670">
        <f t="shared" si="0"/>
        <v>29562208.922499999</v>
      </c>
      <c r="G15" s="671">
        <f t="shared" si="0"/>
        <v>53106550.25</v>
      </c>
      <c r="J15" s="429"/>
      <c r="K15" s="654">
        <v>2022</v>
      </c>
      <c r="L15" s="583">
        <v>2023</v>
      </c>
      <c r="M15" s="655">
        <v>2024</v>
      </c>
    </row>
    <row r="16" spans="1:13" ht="15.75" thickBot="1" x14ac:dyDescent="0.3">
      <c r="B16" s="1012" t="s">
        <v>167</v>
      </c>
      <c r="C16" s="1013"/>
      <c r="D16" s="672" t="s">
        <v>165</v>
      </c>
      <c r="E16" s="673">
        <f>E12-E13-E14-E15</f>
        <v>-1551110.6400000025</v>
      </c>
      <c r="F16" s="673">
        <f>F12-F13-F14-F15</f>
        <v>7935871.0775000006</v>
      </c>
      <c r="G16" s="674">
        <f>G12-G13-G14-G15</f>
        <v>12362898.150000006</v>
      </c>
      <c r="J16" s="429"/>
      <c r="K16" s="656">
        <f>'9️⃣ Amortizaciones'!$I$5</f>
        <v>444333.33333333337</v>
      </c>
      <c r="L16" s="657">
        <f>'9️⃣ Amortizaciones'!$J$5</f>
        <v>763000</v>
      </c>
      <c r="M16" s="658">
        <f>'9️⃣ Amortizaciones'!$K$5</f>
        <v>1212333.3333333333</v>
      </c>
    </row>
    <row r="17" spans="2:13" ht="15.75" thickBot="1" x14ac:dyDescent="0.3">
      <c r="B17" s="1022" t="s">
        <v>168</v>
      </c>
      <c r="C17" s="1023"/>
      <c r="D17" s="661" t="s">
        <v>165</v>
      </c>
      <c r="E17" s="662">
        <f>E12*0.03</f>
        <v>556650</v>
      </c>
      <c r="F17" s="662">
        <f>F12*0.03</f>
        <v>1310100</v>
      </c>
      <c r="G17" s="663">
        <f>G12*0.03</f>
        <v>2264250</v>
      </c>
      <c r="J17" s="429"/>
      <c r="K17" s="429"/>
      <c r="L17" s="429"/>
      <c r="M17" s="429"/>
    </row>
    <row r="18" spans="2:13" ht="26.25" x14ac:dyDescent="0.25">
      <c r="B18" s="1025" t="s">
        <v>169</v>
      </c>
      <c r="C18" s="1026"/>
      <c r="D18" s="665"/>
      <c r="E18" s="666">
        <f>E16-E17-K16</f>
        <v>-2552093.9733333359</v>
      </c>
      <c r="F18" s="666">
        <f>F16-F17-L16</f>
        <v>5862771.0775000006</v>
      </c>
      <c r="G18" s="667">
        <f>G16-G17-M16</f>
        <v>8886314.816666672</v>
      </c>
      <c r="J18" s="1019" t="s">
        <v>151</v>
      </c>
      <c r="K18" s="1020"/>
      <c r="L18" s="1020"/>
      <c r="M18" s="1021"/>
    </row>
    <row r="19" spans="2:13" ht="15.75" thickBot="1" x14ac:dyDescent="0.3">
      <c r="B19" s="1034" t="s">
        <v>170</v>
      </c>
      <c r="C19" s="1035"/>
      <c r="D19" s="669" t="s">
        <v>165</v>
      </c>
      <c r="E19" s="670">
        <v>0</v>
      </c>
      <c r="F19" s="670">
        <v>0</v>
      </c>
      <c r="G19" s="671">
        <f>F18*0.35</f>
        <v>2051969.8771250001</v>
      </c>
      <c r="J19" s="654" t="s">
        <v>152</v>
      </c>
      <c r="K19" s="583">
        <v>2022</v>
      </c>
      <c r="L19" s="583">
        <v>2023</v>
      </c>
      <c r="M19" s="655">
        <v>2024</v>
      </c>
    </row>
    <row r="20" spans="2:13" ht="15.75" thickBot="1" x14ac:dyDescent="0.3">
      <c r="B20" s="1012" t="s">
        <v>171</v>
      </c>
      <c r="C20" s="1013"/>
      <c r="D20" s="672" t="s">
        <v>165</v>
      </c>
      <c r="E20" s="673">
        <f>E16-E17-E19</f>
        <v>-2107760.6400000025</v>
      </c>
      <c r="F20" s="673">
        <f>F16-F17-F19</f>
        <v>6625771.0775000006</v>
      </c>
      <c r="G20" s="674">
        <f>G16-G17-G19</f>
        <v>8046678.2728750054</v>
      </c>
      <c r="J20" s="656">
        <f>'8️⃣ Mod. inversión'!$G$5</f>
        <v>1939500</v>
      </c>
      <c r="K20" s="657">
        <f>'8️⃣ Mod. inversión'!$H$5</f>
        <v>0</v>
      </c>
      <c r="L20" s="657">
        <f>'8️⃣ Mod. inversión'!$I$5</f>
        <v>1211500</v>
      </c>
      <c r="M20" s="658">
        <f>'8️⃣ Mod. inversión'!$J$5</f>
        <v>1749500</v>
      </c>
    </row>
    <row r="21" spans="2:13" ht="15.75" thickBot="1" x14ac:dyDescent="0.3">
      <c r="B21" s="1032" t="s">
        <v>172</v>
      </c>
      <c r="C21" s="1033"/>
      <c r="D21" s="675">
        <f>-J20</f>
        <v>-1939500</v>
      </c>
      <c r="E21" s="676">
        <f>-K20</f>
        <v>0</v>
      </c>
      <c r="F21" s="676">
        <f>-L20</f>
        <v>-1211500</v>
      </c>
      <c r="G21" s="677">
        <f>-M20</f>
        <v>-1749500</v>
      </c>
    </row>
    <row r="22" spans="2:13" ht="15.75" thickBot="1" x14ac:dyDescent="0.3">
      <c r="B22" s="1017" t="s">
        <v>173</v>
      </c>
      <c r="C22" s="1018"/>
      <c r="D22" s="678">
        <f>D21</f>
        <v>-1939500</v>
      </c>
      <c r="E22" s="673">
        <f>E20+E21</f>
        <v>-2107760.6400000025</v>
      </c>
      <c r="F22" s="673">
        <f>F20+F21</f>
        <v>5414271.0775000006</v>
      </c>
      <c r="G22" s="674">
        <f>G20+G21</f>
        <v>6297178.2728750054</v>
      </c>
    </row>
    <row r="25" spans="2:13" ht="15.75" thickBot="1" x14ac:dyDescent="0.3"/>
    <row r="26" spans="2:13" x14ac:dyDescent="0.25">
      <c r="B26" s="1011" t="s">
        <v>370</v>
      </c>
      <c r="C26" s="1011"/>
      <c r="D26" s="1011"/>
      <c r="F26" s="204" t="s">
        <v>174</v>
      </c>
      <c r="G26" s="266">
        <v>0.6</v>
      </c>
    </row>
    <row r="27" spans="2:13" x14ac:dyDescent="0.25">
      <c r="B27" s="1011"/>
      <c r="C27" s="1011"/>
      <c r="D27" s="1011"/>
      <c r="F27" s="205" t="s">
        <v>175</v>
      </c>
      <c r="G27" s="206">
        <f>NPV(G26,D22:G22)</f>
        <v>247185.17432785011</v>
      </c>
    </row>
    <row r="28" spans="2:13" ht="15.75" thickBot="1" x14ac:dyDescent="0.3">
      <c r="B28" s="1011"/>
      <c r="C28" s="1011"/>
      <c r="D28" s="1011"/>
      <c r="F28" s="207" t="s">
        <v>176</v>
      </c>
      <c r="G28" s="267">
        <f>IRR(D22:G22,G26)</f>
        <v>0.69357767391960112</v>
      </c>
    </row>
    <row r="29" spans="2:13" x14ac:dyDescent="0.25">
      <c r="B29" s="1011"/>
      <c r="C29" s="1011"/>
      <c r="D29" s="1011"/>
    </row>
    <row r="30" spans="2:13" x14ac:dyDescent="0.25">
      <c r="B30" s="1011"/>
      <c r="C30" s="1011"/>
      <c r="D30" s="1011"/>
    </row>
    <row r="31" spans="2:13" ht="0.6" customHeight="1" x14ac:dyDescent="0.25">
      <c r="B31" s="1011"/>
      <c r="C31" s="1011"/>
      <c r="D31" s="1011"/>
      <c r="I31" s="208"/>
    </row>
    <row r="32" spans="2:13" x14ac:dyDescent="0.25">
      <c r="B32" s="1011"/>
      <c r="C32" s="1011"/>
      <c r="D32" s="1011"/>
      <c r="I32" s="208"/>
    </row>
    <row r="33" spans="2:9" x14ac:dyDescent="0.25">
      <c r="B33" s="1011"/>
      <c r="C33" s="1011"/>
      <c r="D33" s="1011"/>
    </row>
    <row r="34" spans="2:9" x14ac:dyDescent="0.25">
      <c r="B34" s="1011"/>
      <c r="C34" s="1011"/>
      <c r="D34" s="1011"/>
    </row>
    <row r="35" spans="2:9" x14ac:dyDescent="0.25">
      <c r="B35" s="1011"/>
      <c r="C35" s="1011"/>
      <c r="D35" s="1011"/>
    </row>
    <row r="36" spans="2:9" x14ac:dyDescent="0.25">
      <c r="B36" s="1011"/>
      <c r="C36" s="1011"/>
      <c r="D36" s="1011"/>
      <c r="E36" s="38"/>
      <c r="F36" s="38"/>
      <c r="G36" s="38"/>
      <c r="I36" s="39"/>
    </row>
    <row r="37" spans="2:9" x14ac:dyDescent="0.25">
      <c r="B37" s="1011"/>
      <c r="C37" s="1011"/>
      <c r="D37" s="1011"/>
      <c r="I37" s="39"/>
    </row>
    <row r="38" spans="2:9" x14ac:dyDescent="0.25">
      <c r="B38" s="1011"/>
      <c r="C38" s="1011"/>
      <c r="D38" s="1011"/>
      <c r="H38" s="203"/>
    </row>
  </sheetData>
  <mergeCells count="16">
    <mergeCell ref="B26:D38"/>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22"/>
  <sheetViews>
    <sheetView zoomScale="70" zoomScaleNormal="70" workbookViewId="0">
      <pane xSplit="2" ySplit="5" topLeftCell="C6" activePane="bottomRight" state="frozen"/>
      <selection pane="topRight" activeCell="C1" sqref="C1"/>
      <selection pane="bottomLeft" activeCell="A6" sqref="A6"/>
      <selection pane="bottomRight" activeCell="J14" sqref="J14"/>
    </sheetView>
  </sheetViews>
  <sheetFormatPr defaultColWidth="11.42578125" defaultRowHeight="15" x14ac:dyDescent="0.25"/>
  <cols>
    <col min="1" max="1" width="11.42578125" style="1"/>
    <col min="2" max="2" width="12.28515625" style="1" customWidth="1"/>
    <col min="3" max="3" width="59.7109375" style="1" customWidth="1"/>
    <col min="4" max="4" width="52.7109375" style="1" customWidth="1"/>
    <col min="5" max="5" width="53.7109375" style="1" customWidth="1"/>
    <col min="6" max="6" width="16.28515625" style="1" customWidth="1"/>
    <col min="7" max="7" width="11.42578125" style="1"/>
    <col min="8" max="8" width="15.5703125" style="1" customWidth="1"/>
    <col min="9" max="16384" width="11.42578125" style="1"/>
  </cols>
  <sheetData>
    <row r="1" spans="1:8" s="681" customFormat="1" ht="58.5" customHeight="1" thickBot="1" x14ac:dyDescent="0.3">
      <c r="A1" s="680"/>
      <c r="D1" s="682" t="s">
        <v>11</v>
      </c>
      <c r="E1" s="683"/>
      <c r="G1" s="684"/>
      <c r="H1" s="684"/>
    </row>
    <row r="3" spans="1:8" ht="15.75" thickBot="1" x14ac:dyDescent="0.3"/>
    <row r="4" spans="1:8" ht="26.25" x14ac:dyDescent="0.25">
      <c r="B4" s="1036" t="s">
        <v>11</v>
      </c>
      <c r="C4" s="1037"/>
      <c r="D4" s="1037"/>
      <c r="E4" s="1037"/>
      <c r="F4" s="1037"/>
      <c r="G4" s="1038"/>
    </row>
    <row r="5" spans="1:8" s="429" customFormat="1" ht="18.75" customHeight="1" x14ac:dyDescent="0.25">
      <c r="B5" s="690" t="s">
        <v>192</v>
      </c>
      <c r="C5" s="689" t="s">
        <v>179</v>
      </c>
      <c r="D5" s="689" t="s">
        <v>180</v>
      </c>
      <c r="E5" s="689" t="s">
        <v>181</v>
      </c>
      <c r="F5" s="688" t="s">
        <v>182</v>
      </c>
      <c r="G5" s="687" t="s">
        <v>183</v>
      </c>
      <c r="H5" s="686"/>
    </row>
    <row r="6" spans="1:8" ht="60" customHeight="1" x14ac:dyDescent="0.25">
      <c r="B6" s="690">
        <v>1</v>
      </c>
      <c r="C6" s="691" t="s">
        <v>205</v>
      </c>
      <c r="D6" s="696" t="s">
        <v>389</v>
      </c>
      <c r="E6" s="696" t="s">
        <v>407</v>
      </c>
      <c r="F6" s="692" t="s">
        <v>185</v>
      </c>
      <c r="G6" s="693" t="s">
        <v>184</v>
      </c>
      <c r="H6" s="244"/>
    </row>
    <row r="7" spans="1:8" ht="46.5" customHeight="1" x14ac:dyDescent="0.25">
      <c r="B7" s="690">
        <v>2</v>
      </c>
      <c r="C7" s="209" t="s">
        <v>390</v>
      </c>
      <c r="D7" s="209" t="s">
        <v>391</v>
      </c>
      <c r="E7" s="209" t="s">
        <v>396</v>
      </c>
      <c r="F7" s="92" t="s">
        <v>373</v>
      </c>
      <c r="G7" s="97" t="s">
        <v>187</v>
      </c>
      <c r="H7" s="244"/>
    </row>
    <row r="8" spans="1:8" ht="57.75" customHeight="1" x14ac:dyDescent="0.25">
      <c r="B8" s="690">
        <v>3</v>
      </c>
      <c r="C8" s="209" t="s">
        <v>392</v>
      </c>
      <c r="D8" s="209" t="s">
        <v>393</v>
      </c>
      <c r="E8" s="209" t="s">
        <v>394</v>
      </c>
      <c r="F8" s="92" t="s">
        <v>373</v>
      </c>
      <c r="G8" s="97" t="s">
        <v>187</v>
      </c>
      <c r="H8" s="244"/>
    </row>
    <row r="9" spans="1:8" ht="35.25" customHeight="1" x14ac:dyDescent="0.25">
      <c r="B9" s="690">
        <v>4</v>
      </c>
      <c r="C9" s="691" t="s">
        <v>194</v>
      </c>
      <c r="D9" s="691" t="s">
        <v>195</v>
      </c>
      <c r="E9" s="691" t="s">
        <v>411</v>
      </c>
      <c r="F9" s="692" t="s">
        <v>185</v>
      </c>
      <c r="G9" s="693" t="s">
        <v>189</v>
      </c>
      <c r="H9" s="46"/>
    </row>
    <row r="10" spans="1:8" ht="35.25" customHeight="1" x14ac:dyDescent="0.25">
      <c r="B10" s="690">
        <v>5</v>
      </c>
      <c r="C10" s="209" t="s">
        <v>190</v>
      </c>
      <c r="D10" s="209" t="s">
        <v>209</v>
      </c>
      <c r="E10" s="209" t="s">
        <v>395</v>
      </c>
      <c r="F10" s="92" t="s">
        <v>185</v>
      </c>
      <c r="G10" s="97" t="s">
        <v>189</v>
      </c>
      <c r="H10" s="46"/>
    </row>
    <row r="11" spans="1:8" ht="36.75" customHeight="1" x14ac:dyDescent="0.25">
      <c r="B11" s="690">
        <v>6</v>
      </c>
      <c r="C11" s="209" t="s">
        <v>196</v>
      </c>
      <c r="D11" s="210" t="s">
        <v>397</v>
      </c>
      <c r="E11" s="210" t="s">
        <v>398</v>
      </c>
      <c r="F11" s="92" t="s">
        <v>185</v>
      </c>
      <c r="G11" s="97" t="s">
        <v>187</v>
      </c>
      <c r="H11" s="46"/>
    </row>
    <row r="12" spans="1:8" ht="51.75" customHeight="1" x14ac:dyDescent="0.25">
      <c r="B12" s="690">
        <v>7</v>
      </c>
      <c r="C12" s="209" t="s">
        <v>197</v>
      </c>
      <c r="D12" s="210" t="s">
        <v>387</v>
      </c>
      <c r="E12" s="210" t="s">
        <v>388</v>
      </c>
      <c r="F12" s="92" t="s">
        <v>188</v>
      </c>
      <c r="G12" s="97" t="s">
        <v>187</v>
      </c>
      <c r="H12" s="46"/>
    </row>
    <row r="13" spans="1:8" ht="30" x14ac:dyDescent="0.25">
      <c r="B13" s="690">
        <v>8</v>
      </c>
      <c r="C13" s="209" t="s">
        <v>198</v>
      </c>
      <c r="D13" s="209" t="s">
        <v>399</v>
      </c>
      <c r="E13" s="209" t="s">
        <v>400</v>
      </c>
      <c r="F13" s="92" t="s">
        <v>188</v>
      </c>
      <c r="G13" s="97" t="s">
        <v>187</v>
      </c>
      <c r="H13" s="46"/>
    </row>
    <row r="14" spans="1:8" ht="35.25" customHeight="1" x14ac:dyDescent="0.25">
      <c r="B14" s="690">
        <v>9</v>
      </c>
      <c r="C14" s="694" t="s">
        <v>371</v>
      </c>
      <c r="D14" s="694" t="s">
        <v>372</v>
      </c>
      <c r="E14" s="695" t="s">
        <v>412</v>
      </c>
      <c r="F14" s="692" t="s">
        <v>373</v>
      </c>
      <c r="G14" s="693" t="s">
        <v>187</v>
      </c>
      <c r="H14" s="46"/>
    </row>
    <row r="15" spans="1:8" ht="30" x14ac:dyDescent="0.25">
      <c r="B15" s="690">
        <v>10</v>
      </c>
      <c r="C15" s="209" t="s">
        <v>374</v>
      </c>
      <c r="D15" s="209" t="s">
        <v>375</v>
      </c>
      <c r="E15" s="209" t="s">
        <v>376</v>
      </c>
      <c r="F15" s="92" t="s">
        <v>188</v>
      </c>
      <c r="G15" s="97" t="s">
        <v>189</v>
      </c>
      <c r="H15" s="244"/>
    </row>
    <row r="16" spans="1:8" ht="55.5" customHeight="1" x14ac:dyDescent="0.25">
      <c r="B16" s="690">
        <v>11</v>
      </c>
      <c r="C16" s="429" t="s">
        <v>380</v>
      </c>
      <c r="D16" s="209" t="s">
        <v>381</v>
      </c>
      <c r="E16" s="209" t="s">
        <v>401</v>
      </c>
      <c r="F16" s="92" t="s">
        <v>185</v>
      </c>
      <c r="G16" s="97" t="s">
        <v>189</v>
      </c>
      <c r="H16" s="46"/>
    </row>
    <row r="17" spans="2:8" ht="30" x14ac:dyDescent="0.25">
      <c r="B17" s="690">
        <v>12</v>
      </c>
      <c r="C17" s="209" t="s">
        <v>379</v>
      </c>
      <c r="D17" s="209" t="s">
        <v>378</v>
      </c>
      <c r="E17" s="209" t="s">
        <v>403</v>
      </c>
      <c r="F17" s="92" t="s">
        <v>188</v>
      </c>
      <c r="G17" s="97" t="s">
        <v>189</v>
      </c>
      <c r="H17" s="46"/>
    </row>
    <row r="18" spans="2:8" ht="30" x14ac:dyDescent="0.25">
      <c r="B18" s="690">
        <v>13</v>
      </c>
      <c r="C18" s="209" t="s">
        <v>382</v>
      </c>
      <c r="D18" s="209" t="s">
        <v>404</v>
      </c>
      <c r="E18" s="209" t="s">
        <v>405</v>
      </c>
      <c r="F18" s="92" t="s">
        <v>188</v>
      </c>
      <c r="G18" s="97" t="s">
        <v>187</v>
      </c>
      <c r="H18" s="46"/>
    </row>
    <row r="19" spans="2:8" ht="30" x14ac:dyDescent="0.25">
      <c r="B19" s="690">
        <v>14</v>
      </c>
      <c r="C19" s="209" t="s">
        <v>377</v>
      </c>
      <c r="D19" s="209" t="s">
        <v>386</v>
      </c>
      <c r="E19" s="209" t="s">
        <v>402</v>
      </c>
      <c r="F19" s="92" t="s">
        <v>188</v>
      </c>
      <c r="G19" s="97" t="s">
        <v>189</v>
      </c>
      <c r="H19" s="244"/>
    </row>
    <row r="20" spans="2:8" ht="45.75" thickBot="1" x14ac:dyDescent="0.3">
      <c r="B20" s="685">
        <v>15</v>
      </c>
      <c r="C20" s="245" t="s">
        <v>383</v>
      </c>
      <c r="D20" s="245" t="s">
        <v>384</v>
      </c>
      <c r="E20" s="245" t="s">
        <v>385</v>
      </c>
      <c r="F20" s="94" t="s">
        <v>185</v>
      </c>
      <c r="G20" s="98" t="s">
        <v>189</v>
      </c>
      <c r="H20" s="46"/>
    </row>
    <row r="21" spans="2:8" x14ac:dyDescent="0.25">
      <c r="H21" s="46"/>
    </row>
    <row r="22" spans="2:8" x14ac:dyDescent="0.25">
      <c r="H22" s="46"/>
    </row>
  </sheetData>
  <mergeCells count="1">
    <mergeCell ref="B4:G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77"/>
  <sheetViews>
    <sheetView zoomScale="85" zoomScaleNormal="85" workbookViewId="0">
      <pane ySplit="1" topLeftCell="A2" activePane="bottomLeft" state="frozen"/>
      <selection pane="bottomLeft" activeCell="P31" sqref="P31"/>
    </sheetView>
  </sheetViews>
  <sheetFormatPr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681" customFormat="1" ht="58.5" customHeight="1" thickBot="1" x14ac:dyDescent="0.3">
      <c r="A1" s="680"/>
      <c r="G1" s="1039" t="s">
        <v>200</v>
      </c>
      <c r="H1" s="1040"/>
      <c r="I1" s="1040"/>
    </row>
    <row r="2" spans="1:38" ht="20.25" customHeight="1" thickBot="1" x14ac:dyDescent="0.3">
      <c r="G2" s="230"/>
      <c r="H2" s="231"/>
      <c r="I2" s="231"/>
    </row>
    <row r="3" spans="1:38" ht="15.75" thickBot="1" x14ac:dyDescent="0.3">
      <c r="B3" s="232"/>
      <c r="C3" s="233"/>
      <c r="D3" s="233"/>
      <c r="E3" s="233"/>
      <c r="F3" s="233"/>
      <c r="G3" s="233"/>
      <c r="H3" s="233"/>
      <c r="I3" s="233"/>
      <c r="J3" s="233"/>
      <c r="K3" s="233"/>
      <c r="L3" s="234"/>
    </row>
    <row r="4" spans="1:38" ht="15.75" thickBot="1" x14ac:dyDescent="0.3">
      <c r="B4" s="235"/>
      <c r="C4" s="1046" t="s">
        <v>199</v>
      </c>
      <c r="D4" s="1047"/>
      <c r="E4" s="1047"/>
      <c r="F4" s="1047"/>
      <c r="G4" s="1047"/>
      <c r="H4" s="1047"/>
      <c r="I4" s="1047"/>
      <c r="J4" s="1047"/>
      <c r="K4" s="1048"/>
      <c r="L4" s="236"/>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row>
    <row r="5" spans="1:38" ht="15.75" thickBot="1" x14ac:dyDescent="0.3">
      <c r="B5" s="235"/>
      <c r="C5" s="237"/>
      <c r="D5" s="237"/>
      <c r="E5" s="237"/>
      <c r="F5" s="237"/>
      <c r="G5" s="237"/>
      <c r="H5" s="237"/>
      <c r="I5" s="237"/>
      <c r="J5" s="237"/>
      <c r="K5" s="237"/>
      <c r="L5" s="236"/>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row>
    <row r="6" spans="1:38" ht="30.75" customHeight="1" thickBot="1" x14ac:dyDescent="0.3">
      <c r="B6" s="235"/>
      <c r="C6" s="46"/>
      <c r="D6" s="46"/>
      <c r="E6" s="46"/>
      <c r="F6" s="1059" t="s">
        <v>32</v>
      </c>
      <c r="G6" s="1060"/>
      <c r="H6" s="1061"/>
      <c r="I6" s="237"/>
      <c r="J6" s="237"/>
      <c r="K6" s="433" t="s">
        <v>406</v>
      </c>
      <c r="L6" s="236"/>
      <c r="M6" s="103"/>
      <c r="N6" s="103"/>
      <c r="O6" s="103"/>
      <c r="P6" s="103"/>
      <c r="Q6" s="103"/>
      <c r="R6" s="103"/>
      <c r="S6" s="103"/>
      <c r="T6" s="103"/>
      <c r="U6" s="103"/>
      <c r="V6" s="103"/>
      <c r="W6" s="103"/>
      <c r="X6" s="103"/>
      <c r="Y6" s="103"/>
      <c r="Z6" s="103"/>
      <c r="AA6" s="103"/>
      <c r="AB6" s="103"/>
      <c r="AC6" s="103"/>
      <c r="AD6" s="103"/>
      <c r="AE6" s="103"/>
      <c r="AF6" s="103"/>
      <c r="AG6" s="103"/>
      <c r="AH6" s="103"/>
      <c r="AI6" s="103"/>
      <c r="AJ6" s="103"/>
      <c r="AK6" s="103"/>
      <c r="AL6" s="103"/>
    </row>
    <row r="7" spans="1:38" x14ac:dyDescent="0.25">
      <c r="B7" s="235"/>
      <c r="E7" s="46"/>
      <c r="F7" s="679">
        <v>2022</v>
      </c>
      <c r="G7" s="679">
        <v>2023</v>
      </c>
      <c r="H7" s="679">
        <v>2024</v>
      </c>
      <c r="I7" s="237"/>
      <c r="J7" s="237"/>
      <c r="K7" s="914" t="s">
        <v>205</v>
      </c>
      <c r="L7" s="236"/>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row>
    <row r="8" spans="1:38" x14ac:dyDescent="0.25">
      <c r="B8" s="235"/>
      <c r="E8" s="46"/>
      <c r="F8" s="705">
        <f>'🔟 Presupuesto financiero'!K5</f>
        <v>0.03</v>
      </c>
      <c r="G8" s="705">
        <f>'🔟 Presupuesto financiero'!L5</f>
        <v>7.0000000000000007E-2</v>
      </c>
      <c r="H8" s="705">
        <f>'🔟 Presupuesto financiero'!M5</f>
        <v>0.12</v>
      </c>
      <c r="I8" s="237"/>
      <c r="J8" s="237"/>
      <c r="K8" s="1043"/>
      <c r="L8" s="236"/>
      <c r="M8" s="103"/>
      <c r="N8" s="103"/>
      <c r="O8" s="103"/>
      <c r="P8" s="103"/>
      <c r="Q8" s="103"/>
      <c r="R8" s="103"/>
      <c r="S8" s="103"/>
      <c r="T8" s="103"/>
      <c r="U8" s="103"/>
      <c r="V8" s="103"/>
      <c r="W8" s="103"/>
      <c r="X8" s="103"/>
      <c r="Y8" s="103"/>
      <c r="Z8" s="103"/>
      <c r="AA8" s="103"/>
      <c r="AB8" s="103"/>
      <c r="AC8" s="103"/>
      <c r="AD8" s="103"/>
      <c r="AE8" s="103"/>
      <c r="AF8" s="103"/>
      <c r="AG8" s="103"/>
      <c r="AH8" s="103"/>
      <c r="AI8" s="103"/>
      <c r="AJ8" s="103"/>
      <c r="AK8" s="103"/>
      <c r="AL8" s="103"/>
    </row>
    <row r="9" spans="1:38" ht="15.75" thickBot="1" x14ac:dyDescent="0.3">
      <c r="B9" s="235"/>
      <c r="E9" s="697" t="s">
        <v>206</v>
      </c>
      <c r="F9" s="698">
        <f>'1️⃣ Hipótesis'!$D$24</f>
        <v>18750000</v>
      </c>
      <c r="G9" s="698">
        <f>'1️⃣ Hipótesis'!$D$25</f>
        <v>43750000.000000007</v>
      </c>
      <c r="H9" s="698">
        <f>'1️⃣ Hipótesis'!$D$26</f>
        <v>75000000</v>
      </c>
      <c r="I9" s="237"/>
      <c r="J9" s="237"/>
      <c r="K9" s="1044"/>
      <c r="L9" s="236"/>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row>
    <row r="10" spans="1:38" ht="15.75" thickBot="1" x14ac:dyDescent="0.3">
      <c r="B10" s="235"/>
      <c r="C10" s="46"/>
      <c r="D10" s="46"/>
      <c r="E10" s="697" t="s">
        <v>164</v>
      </c>
      <c r="F10" s="214">
        <f>'🔟 Presupuesto financiero'!K10</f>
        <v>2828400</v>
      </c>
      <c r="G10" s="214">
        <f>'🔟 Presupuesto financiero'!L10</f>
        <v>3292920</v>
      </c>
      <c r="H10" s="214">
        <f>'🔟 Presupuesto financiero'!M10</f>
        <v>3962001.6000000006</v>
      </c>
      <c r="I10" s="237"/>
      <c r="J10" s="237"/>
      <c r="K10" s="433" t="s">
        <v>180</v>
      </c>
      <c r="L10" s="236"/>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row>
    <row r="11" spans="1:38" x14ac:dyDescent="0.25">
      <c r="B11" s="235"/>
      <c r="C11" s="46"/>
      <c r="D11" s="46"/>
      <c r="E11" s="697" t="s">
        <v>147</v>
      </c>
      <c r="F11" s="214">
        <f>'🔟 Presupuesto financiero'!K11</f>
        <v>931100</v>
      </c>
      <c r="G11" s="214">
        <f>'🔟 Presupuesto financiero'!L11</f>
        <v>2879000</v>
      </c>
      <c r="H11" s="214">
        <f>'🔟 Presupuesto financiero'!M11</f>
        <v>6043550</v>
      </c>
      <c r="I11" s="237"/>
      <c r="J11" s="237"/>
      <c r="K11" s="1045" t="s">
        <v>389</v>
      </c>
      <c r="L11" s="236"/>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row>
    <row r="12" spans="1:38" x14ac:dyDescent="0.25">
      <c r="B12" s="235"/>
      <c r="C12" s="46"/>
      <c r="D12" s="46"/>
      <c r="E12" s="697" t="s">
        <v>204</v>
      </c>
      <c r="F12" s="214">
        <f>'🔟 Presupuesto financiero'!K12</f>
        <v>16346610.640000002</v>
      </c>
      <c r="G12" s="214">
        <f>'🔟 Presupuesto financiero'!L12</f>
        <v>29562208.922499999</v>
      </c>
      <c r="H12" s="214">
        <f>'🔟 Presupuesto financiero'!M12</f>
        <v>53106550.25</v>
      </c>
      <c r="I12" s="237"/>
      <c r="J12" s="237"/>
      <c r="K12" s="1043"/>
      <c r="L12" s="236"/>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row>
    <row r="13" spans="1:38" ht="15.75" thickBot="1" x14ac:dyDescent="0.3">
      <c r="B13" s="235"/>
      <c r="C13" s="46"/>
      <c r="D13" s="46"/>
      <c r="E13" s="46"/>
      <c r="F13" s="46"/>
      <c r="G13" s="46"/>
      <c r="H13" s="46"/>
      <c r="I13" s="237"/>
      <c r="J13" s="237"/>
      <c r="K13" s="1044"/>
      <c r="L13" s="236"/>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row>
    <row r="14" spans="1:38" ht="16.5" customHeight="1" thickBot="1" x14ac:dyDescent="0.3">
      <c r="B14" s="235"/>
      <c r="C14" s="1049" t="s">
        <v>213</v>
      </c>
      <c r="D14" s="1050"/>
      <c r="E14" s="46"/>
      <c r="F14" s="1056" t="s">
        <v>157</v>
      </c>
      <c r="G14" s="1057"/>
      <c r="H14" s="1058"/>
      <c r="I14" s="237"/>
      <c r="J14" s="237"/>
      <c r="K14" s="433" t="s">
        <v>181</v>
      </c>
      <c r="L14" s="236"/>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row>
    <row r="15" spans="1:38" ht="15.75" customHeight="1" x14ac:dyDescent="0.25">
      <c r="B15" s="235"/>
      <c r="C15" s="92">
        <v>2023</v>
      </c>
      <c r="D15" s="92">
        <v>2024</v>
      </c>
      <c r="E15" s="46"/>
      <c r="F15" s="679">
        <v>2022</v>
      </c>
      <c r="G15" s="679">
        <v>2023</v>
      </c>
      <c r="H15" s="679">
        <v>2024</v>
      </c>
      <c r="I15" s="237"/>
      <c r="J15" s="237"/>
      <c r="K15" s="1051" t="s">
        <v>413</v>
      </c>
      <c r="L15" s="236"/>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row>
    <row r="16" spans="1:38" ht="15.75" thickBot="1" x14ac:dyDescent="0.3">
      <c r="B16" s="235"/>
      <c r="C16" s="710">
        <v>0.9</v>
      </c>
      <c r="D16" s="710">
        <v>0.9</v>
      </c>
      <c r="E16" s="228"/>
      <c r="F16" s="214">
        <f>'🔟 Presupuesto financiero'!K16</f>
        <v>444333.33333333337</v>
      </c>
      <c r="G16" s="214">
        <f>'🔟 Presupuesto financiero'!L16</f>
        <v>763000</v>
      </c>
      <c r="H16" s="214">
        <f>'🔟 Presupuesto financiero'!M16</f>
        <v>1212333.3333333333</v>
      </c>
      <c r="I16" s="237"/>
      <c r="J16" s="237"/>
      <c r="K16" s="1052"/>
      <c r="L16" s="236"/>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row>
    <row r="17" spans="2:38" x14ac:dyDescent="0.25">
      <c r="B17" s="235"/>
      <c r="C17" s="46"/>
      <c r="D17" s="46"/>
      <c r="E17" s="228"/>
      <c r="F17" s="38"/>
      <c r="G17" s="38"/>
      <c r="H17" s="38"/>
      <c r="I17" s="237"/>
      <c r="J17" s="237"/>
      <c r="K17" s="237"/>
      <c r="L17" s="236"/>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row>
    <row r="18" spans="2:38" x14ac:dyDescent="0.25">
      <c r="B18" s="235"/>
      <c r="C18" s="46"/>
      <c r="D18" s="46"/>
      <c r="E18" s="1056" t="s">
        <v>151</v>
      </c>
      <c r="F18" s="1057"/>
      <c r="G18" s="1057"/>
      <c r="H18" s="1058"/>
      <c r="I18" s="237"/>
      <c r="J18" s="237"/>
      <c r="K18" s="237"/>
      <c r="L18" s="236"/>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row>
    <row r="19" spans="2:38" x14ac:dyDescent="0.25">
      <c r="B19" s="235"/>
      <c r="C19" s="46"/>
      <c r="D19" s="46"/>
      <c r="E19" s="704" t="s">
        <v>152</v>
      </c>
      <c r="F19" s="679">
        <v>2022</v>
      </c>
      <c r="G19" s="679">
        <v>2023</v>
      </c>
      <c r="H19" s="679">
        <v>2024</v>
      </c>
      <c r="I19" s="237"/>
      <c r="J19" s="237"/>
      <c r="K19" s="237"/>
      <c r="L19" s="236"/>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row>
    <row r="20" spans="2:38" x14ac:dyDescent="0.25">
      <c r="B20" s="235"/>
      <c r="C20" s="46"/>
      <c r="D20" s="46"/>
      <c r="E20" s="214">
        <f>'🔟 Presupuesto financiero'!J20</f>
        <v>1939500</v>
      </c>
      <c r="F20" s="214">
        <f>'🔟 Presupuesto financiero'!K20</f>
        <v>0</v>
      </c>
      <c r="G20" s="214">
        <f>'🔟 Presupuesto financiero'!L20</f>
        <v>1211500</v>
      </c>
      <c r="H20" s="214">
        <f>'🔟 Presupuesto financiero'!M20</f>
        <v>1749500</v>
      </c>
      <c r="I20" s="237"/>
      <c r="J20" s="237"/>
      <c r="K20" s="237"/>
      <c r="L20" s="236"/>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row>
    <row r="21" spans="2:38" x14ac:dyDescent="0.25">
      <c r="B21" s="235"/>
      <c r="C21" s="46"/>
      <c r="D21" s="46"/>
      <c r="E21" s="46"/>
      <c r="F21" s="46"/>
      <c r="G21" s="46"/>
      <c r="H21" s="46"/>
      <c r="I21" s="237"/>
      <c r="J21" s="237"/>
      <c r="K21" s="237"/>
      <c r="L21" s="236"/>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row>
    <row r="22" spans="2:38" x14ac:dyDescent="0.25">
      <c r="B22" s="235"/>
      <c r="C22" s="46"/>
      <c r="D22" s="46"/>
      <c r="E22" s="419" t="s">
        <v>178</v>
      </c>
      <c r="F22" s="679">
        <v>2022</v>
      </c>
      <c r="G22" s="679">
        <v>2023</v>
      </c>
      <c r="H22" s="679">
        <v>2024</v>
      </c>
      <c r="I22" s="237"/>
      <c r="J22" s="237"/>
      <c r="K22" s="237"/>
      <c r="L22" s="236"/>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row>
    <row r="23" spans="2:38" x14ac:dyDescent="0.25">
      <c r="B23" s="235"/>
      <c r="C23" s="699" t="s">
        <v>37</v>
      </c>
      <c r="D23" s="700"/>
      <c r="E23" s="222" t="s">
        <v>165</v>
      </c>
      <c r="F23" s="223">
        <f t="shared" ref="F23:G26" si="0">F9</f>
        <v>18750000</v>
      </c>
      <c r="G23" s="246">
        <f>G9*C16</f>
        <v>39375000.000000007</v>
      </c>
      <c r="H23" s="246">
        <f>H9*$D$16</f>
        <v>67500000</v>
      </c>
      <c r="I23" s="237"/>
      <c r="J23" s="237"/>
      <c r="K23" s="237"/>
      <c r="L23" s="236"/>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row>
    <row r="24" spans="2:38" x14ac:dyDescent="0.25">
      <c r="B24" s="235"/>
      <c r="C24" s="1053" t="s">
        <v>166</v>
      </c>
      <c r="D24" s="697" t="s">
        <v>201</v>
      </c>
      <c r="E24" s="222" t="s">
        <v>165</v>
      </c>
      <c r="F24" s="223">
        <f t="shared" si="0"/>
        <v>2828400</v>
      </c>
      <c r="G24" s="223">
        <f t="shared" si="0"/>
        <v>3292920</v>
      </c>
      <c r="H24" s="223">
        <f>H10</f>
        <v>3962001.6000000006</v>
      </c>
      <c r="I24" s="237"/>
      <c r="J24" s="237"/>
      <c r="K24" s="237"/>
      <c r="L24" s="236"/>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row>
    <row r="25" spans="2:38" x14ac:dyDescent="0.25">
      <c r="B25" s="235"/>
      <c r="C25" s="1054"/>
      <c r="D25" s="697" t="s">
        <v>202</v>
      </c>
      <c r="E25" s="222" t="s">
        <v>165</v>
      </c>
      <c r="F25" s="223">
        <f t="shared" si="0"/>
        <v>931100</v>
      </c>
      <c r="G25" s="246">
        <f>G11*C16</f>
        <v>2591100</v>
      </c>
      <c r="H25" s="246">
        <f>H11*D16</f>
        <v>5439195</v>
      </c>
      <c r="I25" s="237"/>
      <c r="J25" s="237"/>
      <c r="K25" s="237"/>
      <c r="L25" s="236"/>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row>
    <row r="26" spans="2:38" x14ac:dyDescent="0.25">
      <c r="B26" s="235"/>
      <c r="C26" s="1055"/>
      <c r="D26" s="697" t="s">
        <v>203</v>
      </c>
      <c r="E26" s="222" t="s">
        <v>165</v>
      </c>
      <c r="F26" s="223">
        <f t="shared" si="0"/>
        <v>16346610.640000002</v>
      </c>
      <c r="G26" s="223">
        <f t="shared" si="0"/>
        <v>29562208.922499999</v>
      </c>
      <c r="H26" s="223">
        <f>H12</f>
        <v>53106550.25</v>
      </c>
      <c r="I26" s="237"/>
      <c r="J26" s="237"/>
      <c r="K26" s="237"/>
      <c r="L26" s="236"/>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row>
    <row r="27" spans="2:38" x14ac:dyDescent="0.25">
      <c r="B27" s="235"/>
      <c r="C27" s="709" t="s">
        <v>167</v>
      </c>
      <c r="D27" s="706"/>
      <c r="E27" s="707" t="s">
        <v>165</v>
      </c>
      <c r="F27" s="708">
        <f>F23-F24-F25-F26</f>
        <v>-1356110.6400000025</v>
      </c>
      <c r="G27" s="708">
        <f>G23-G24-G25-G26</f>
        <v>3928771.077500008</v>
      </c>
      <c r="H27" s="708">
        <f>H23-H24-H25-H26</f>
        <v>4992253.1499999985</v>
      </c>
      <c r="I27" s="237"/>
      <c r="J27" s="237"/>
      <c r="K27" s="237"/>
      <c r="L27" s="236"/>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row>
    <row r="28" spans="2:38" x14ac:dyDescent="0.25">
      <c r="B28" s="235"/>
      <c r="C28" s="701" t="s">
        <v>168</v>
      </c>
      <c r="D28" s="702"/>
      <c r="E28" s="92" t="s">
        <v>165</v>
      </c>
      <c r="F28" s="223">
        <f>F23*0.03</f>
        <v>562500</v>
      </c>
      <c r="G28" s="223">
        <f>G23*0.03</f>
        <v>1181250.0000000002</v>
      </c>
      <c r="H28" s="223">
        <f>H23*0.03</f>
        <v>2025000</v>
      </c>
      <c r="I28" s="237"/>
      <c r="J28" s="237"/>
      <c r="K28" s="237"/>
      <c r="L28" s="236"/>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row>
    <row r="29" spans="2:38" x14ac:dyDescent="0.25">
      <c r="B29" s="235"/>
      <c r="C29" s="1041" t="s">
        <v>169</v>
      </c>
      <c r="D29" s="1042"/>
      <c r="E29" s="92"/>
      <c r="F29" s="223">
        <f>F27-F28</f>
        <v>-1918610.6400000025</v>
      </c>
      <c r="G29" s="223">
        <f>G27-G28-G16</f>
        <v>1984521.077500008</v>
      </c>
      <c r="H29" s="223">
        <f>H27-H28-H16</f>
        <v>1754919.8166666653</v>
      </c>
      <c r="I29" s="237"/>
      <c r="J29" s="237"/>
      <c r="K29" s="237"/>
      <c r="L29" s="236"/>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row>
    <row r="30" spans="2:38" x14ac:dyDescent="0.25">
      <c r="B30" s="235"/>
      <c r="C30" s="701" t="s">
        <v>170</v>
      </c>
      <c r="D30" s="702"/>
      <c r="E30" s="92" t="s">
        <v>165</v>
      </c>
      <c r="F30" s="223">
        <v>0</v>
      </c>
      <c r="G30" s="223">
        <v>0</v>
      </c>
      <c r="H30" s="223">
        <f>0.35*G29</f>
        <v>694582.37712500279</v>
      </c>
      <c r="I30" s="237"/>
      <c r="J30" s="237"/>
      <c r="K30" s="237"/>
      <c r="L30" s="236"/>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row>
    <row r="31" spans="2:38" x14ac:dyDescent="0.25">
      <c r="B31" s="235"/>
      <c r="C31" s="709" t="s">
        <v>171</v>
      </c>
      <c r="D31" s="706"/>
      <c r="E31" s="707" t="s">
        <v>165</v>
      </c>
      <c r="F31" s="708">
        <f>F27-F28-F30</f>
        <v>-1918610.6400000025</v>
      </c>
      <c r="G31" s="708">
        <f>G27-G28-G30</f>
        <v>2747521.077500008</v>
      </c>
      <c r="H31" s="708">
        <f>H27-H28-H30</f>
        <v>2272670.7728749956</v>
      </c>
      <c r="I31" s="237"/>
      <c r="J31" s="237"/>
      <c r="K31" s="237"/>
      <c r="L31" s="236"/>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row>
    <row r="32" spans="2:38" x14ac:dyDescent="0.25">
      <c r="B32" s="235"/>
      <c r="C32" s="701" t="s">
        <v>172</v>
      </c>
      <c r="D32" s="702"/>
      <c r="E32" s="223">
        <f>-E20</f>
        <v>-1939500</v>
      </c>
      <c r="F32" s="223">
        <f>-F20</f>
        <v>0</v>
      </c>
      <c r="G32" s="223">
        <f>-G20</f>
        <v>-1211500</v>
      </c>
      <c r="H32" s="223">
        <f>-H20</f>
        <v>-1749500</v>
      </c>
      <c r="I32" s="237"/>
      <c r="J32" s="237"/>
      <c r="K32" s="237"/>
      <c r="L32" s="236"/>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row>
    <row r="33" spans="2:38" x14ac:dyDescent="0.25">
      <c r="B33" s="235"/>
      <c r="C33" s="709" t="s">
        <v>173</v>
      </c>
      <c r="D33" s="706"/>
      <c r="E33" s="708">
        <f>E32</f>
        <v>-1939500</v>
      </c>
      <c r="F33" s="708">
        <f>F31+F32</f>
        <v>-1918610.6400000025</v>
      </c>
      <c r="G33" s="708">
        <f>G31+G32</f>
        <v>1536021.077500008</v>
      </c>
      <c r="H33" s="708">
        <f>H31+H32</f>
        <v>523170.7728749956</v>
      </c>
      <c r="I33" s="237"/>
      <c r="J33" s="237"/>
      <c r="K33" s="237"/>
      <c r="L33" s="236"/>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row>
    <row r="34" spans="2:38" x14ac:dyDescent="0.25">
      <c r="B34" s="235"/>
      <c r="C34" s="46"/>
      <c r="D34" s="46"/>
      <c r="E34" s="46"/>
      <c r="F34" s="46"/>
      <c r="G34" s="46"/>
      <c r="H34" s="46"/>
      <c r="I34" s="237"/>
      <c r="J34" s="237"/>
      <c r="K34" s="237"/>
      <c r="L34" s="236"/>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row>
    <row r="35" spans="2:38" x14ac:dyDescent="0.25">
      <c r="B35" s="235"/>
      <c r="C35" s="46"/>
      <c r="D35" s="46"/>
      <c r="E35" s="46"/>
      <c r="F35" s="46"/>
      <c r="G35" s="703" t="s">
        <v>174</v>
      </c>
      <c r="H35" s="241">
        <v>0.6</v>
      </c>
      <c r="I35" s="237"/>
      <c r="J35" s="237"/>
      <c r="K35" s="237"/>
      <c r="L35" s="236"/>
      <c r="M35" s="103"/>
      <c r="N35" s="103"/>
      <c r="O35" s="103"/>
      <c r="P35" s="103"/>
      <c r="Q35" s="103"/>
      <c r="R35" s="103"/>
      <c r="S35" s="103"/>
      <c r="T35" s="103"/>
      <c r="U35" s="103"/>
      <c r="V35" s="103"/>
      <c r="W35" s="103"/>
      <c r="X35" s="103"/>
      <c r="Y35" s="103"/>
      <c r="Z35" s="103"/>
      <c r="AA35" s="103"/>
      <c r="AB35" s="103"/>
      <c r="AC35" s="103"/>
      <c r="AD35" s="103"/>
      <c r="AE35" s="103"/>
      <c r="AF35" s="103"/>
      <c r="AG35" s="103"/>
      <c r="AH35" s="103"/>
      <c r="AI35" s="103"/>
      <c r="AJ35" s="103"/>
      <c r="AK35" s="103"/>
      <c r="AL35" s="103"/>
    </row>
    <row r="36" spans="2:38" x14ac:dyDescent="0.25">
      <c r="B36" s="235"/>
      <c r="C36" s="46"/>
      <c r="D36" s="46"/>
      <c r="E36" s="46"/>
      <c r="F36" s="46"/>
      <c r="G36" s="703" t="s">
        <v>175</v>
      </c>
      <c r="H36" s="242">
        <f>NPV(H35,E33:H33)</f>
        <v>-1506810.1107063289</v>
      </c>
      <c r="I36" s="237"/>
      <c r="J36" s="237"/>
      <c r="K36" s="237"/>
      <c r="L36" s="236"/>
      <c r="M36" s="103"/>
      <c r="N36" s="103"/>
      <c r="O36" s="103"/>
      <c r="P36" s="103"/>
      <c r="Q36" s="103"/>
      <c r="R36" s="103"/>
      <c r="S36" s="103"/>
      <c r="T36" s="103"/>
      <c r="U36" s="103"/>
      <c r="V36" s="103"/>
      <c r="W36" s="103"/>
      <c r="X36" s="103"/>
      <c r="Y36" s="103"/>
      <c r="Z36" s="103"/>
      <c r="AA36" s="103"/>
      <c r="AB36" s="103"/>
      <c r="AC36" s="103"/>
      <c r="AD36" s="103"/>
      <c r="AE36" s="103"/>
      <c r="AF36" s="103"/>
      <c r="AG36" s="103"/>
      <c r="AH36" s="103"/>
      <c r="AI36" s="103"/>
      <c r="AJ36" s="103"/>
      <c r="AK36" s="103"/>
      <c r="AL36" s="103"/>
    </row>
    <row r="37" spans="2:38" x14ac:dyDescent="0.25">
      <c r="B37" s="235"/>
      <c r="C37" s="46"/>
      <c r="D37" s="46"/>
      <c r="E37" s="46"/>
      <c r="F37" s="46"/>
      <c r="G37" s="703" t="s">
        <v>176</v>
      </c>
      <c r="H37" s="243">
        <f>IRR(E33:H33,H35)</f>
        <v>-0.30174964883282596</v>
      </c>
      <c r="I37" s="237"/>
      <c r="J37" s="237"/>
      <c r="K37" s="237"/>
      <c r="L37" s="236"/>
      <c r="M37" s="103"/>
      <c r="N37" s="103"/>
      <c r="O37" s="103"/>
      <c r="P37" s="103"/>
      <c r="Q37" s="103"/>
      <c r="R37" s="103"/>
      <c r="S37" s="103"/>
      <c r="T37" s="103"/>
      <c r="U37" s="103"/>
      <c r="V37" s="103"/>
      <c r="W37" s="103"/>
      <c r="X37" s="103"/>
      <c r="Y37" s="103"/>
      <c r="Z37" s="103"/>
      <c r="AA37" s="103"/>
      <c r="AB37" s="103"/>
      <c r="AC37" s="103"/>
      <c r="AD37" s="103"/>
      <c r="AE37" s="103"/>
      <c r="AF37" s="103"/>
      <c r="AG37" s="103"/>
      <c r="AH37" s="103"/>
      <c r="AI37" s="103"/>
      <c r="AJ37" s="103"/>
      <c r="AK37" s="103"/>
      <c r="AL37" s="103"/>
    </row>
    <row r="38" spans="2:38" ht="15.75" thickBot="1" x14ac:dyDescent="0.3">
      <c r="B38" s="238"/>
      <c r="C38" s="192"/>
      <c r="D38" s="192"/>
      <c r="E38" s="192"/>
      <c r="F38" s="192"/>
      <c r="G38" s="192"/>
      <c r="H38" s="192"/>
      <c r="I38" s="239"/>
      <c r="J38" s="239"/>
      <c r="K38" s="239"/>
      <c r="L38" s="240"/>
      <c r="M38" s="103"/>
      <c r="N38" s="103"/>
      <c r="O38" s="103"/>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row>
    <row r="39" spans="2:38" x14ac:dyDescent="0.25">
      <c r="B39" s="103"/>
      <c r="I39" s="103"/>
      <c r="J39" s="103"/>
      <c r="K39" s="103"/>
      <c r="L39" s="103"/>
      <c r="M39" s="103"/>
      <c r="N39" s="103"/>
      <c r="O39" s="103"/>
      <c r="P39" s="103"/>
      <c r="Q39" s="103"/>
      <c r="R39" s="103"/>
      <c r="S39" s="103"/>
      <c r="T39" s="103"/>
      <c r="U39" s="103"/>
      <c r="V39" s="103"/>
      <c r="W39" s="103"/>
      <c r="X39" s="103"/>
      <c r="Y39" s="103"/>
      <c r="Z39" s="103"/>
      <c r="AA39" s="103"/>
      <c r="AB39" s="103"/>
      <c r="AC39" s="103"/>
      <c r="AD39" s="103"/>
      <c r="AE39" s="103"/>
      <c r="AF39" s="103"/>
      <c r="AG39" s="103"/>
      <c r="AH39" s="103"/>
      <c r="AI39" s="103"/>
      <c r="AJ39" s="103"/>
      <c r="AK39" s="103"/>
      <c r="AL39" s="103"/>
    </row>
    <row r="40" spans="2:38" x14ac:dyDescent="0.25">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row>
    <row r="41" spans="2:38" x14ac:dyDescent="0.25">
      <c r="M41" s="103"/>
      <c r="N41" s="103"/>
      <c r="O41" s="103"/>
      <c r="P41" s="103"/>
      <c r="Q41" s="103"/>
      <c r="R41" s="103"/>
      <c r="S41" s="103"/>
      <c r="T41" s="103"/>
      <c r="U41" s="103"/>
      <c r="V41" s="103"/>
      <c r="W41" s="103"/>
      <c r="X41" s="103"/>
      <c r="Y41" s="103"/>
      <c r="Z41" s="103"/>
      <c r="AA41" s="103"/>
      <c r="AB41" s="103"/>
      <c r="AC41" s="103"/>
      <c r="AD41" s="103"/>
      <c r="AE41" s="103"/>
      <c r="AF41" s="103"/>
      <c r="AG41" s="103"/>
      <c r="AH41" s="103"/>
      <c r="AI41" s="103"/>
      <c r="AJ41" s="103"/>
      <c r="AK41" s="103"/>
      <c r="AL41" s="103"/>
    </row>
    <row r="42" spans="2:38" x14ac:dyDescent="0.25">
      <c r="M42" s="103"/>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row>
    <row r="77" spans="2:12" x14ac:dyDescent="0.25">
      <c r="B77" s="46"/>
      <c r="C77" s="46"/>
      <c r="D77" s="46"/>
      <c r="E77" s="46"/>
      <c r="F77" s="46"/>
      <c r="G77" s="46"/>
      <c r="H77" s="46"/>
      <c r="I77" s="46"/>
      <c r="J77" s="46"/>
      <c r="K77" s="46"/>
      <c r="L77" s="46"/>
    </row>
  </sheetData>
  <mergeCells count="11">
    <mergeCell ref="G1:I1"/>
    <mergeCell ref="C29:D29"/>
    <mergeCell ref="K7:K9"/>
    <mergeCell ref="K11:K13"/>
    <mergeCell ref="C4:K4"/>
    <mergeCell ref="C14:D14"/>
    <mergeCell ref="K15:K16"/>
    <mergeCell ref="C24:C26"/>
    <mergeCell ref="E18:H18"/>
    <mergeCell ref="F14:H14"/>
    <mergeCell ref="F6:H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38"/>
  <sheetViews>
    <sheetView zoomScale="85" zoomScaleNormal="85" workbookViewId="0">
      <pane ySplit="1" topLeftCell="A2" activePane="bottomLeft" state="frozen"/>
      <selection pane="bottomLeft" activeCell="K33" sqref="K33"/>
    </sheetView>
  </sheetViews>
  <sheetFormatPr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2" s="681" customFormat="1" ht="58.5" customHeight="1" thickBot="1" x14ac:dyDescent="0.3">
      <c r="A1" s="680"/>
      <c r="G1" s="1039" t="s">
        <v>186</v>
      </c>
      <c r="H1" s="1040"/>
      <c r="I1" s="1040"/>
    </row>
    <row r="2" spans="1:12" ht="15.75" thickBot="1" x14ac:dyDescent="0.3"/>
    <row r="3" spans="1:12" ht="15.75" thickBot="1" x14ac:dyDescent="0.3">
      <c r="B3" s="232"/>
      <c r="C3" s="233"/>
      <c r="D3" s="233"/>
      <c r="E3" s="233"/>
      <c r="F3" s="233"/>
      <c r="G3" s="233"/>
      <c r="H3" s="233"/>
      <c r="I3" s="233"/>
      <c r="J3" s="233"/>
      <c r="K3" s="233"/>
      <c r="L3" s="234"/>
    </row>
    <row r="4" spans="1:12" ht="15.75" thickBot="1" x14ac:dyDescent="0.3">
      <c r="B4" s="235"/>
      <c r="C4" s="1046" t="s">
        <v>207</v>
      </c>
      <c r="D4" s="1047"/>
      <c r="E4" s="1047"/>
      <c r="F4" s="1047"/>
      <c r="G4" s="1047"/>
      <c r="H4" s="1047"/>
      <c r="I4" s="1047"/>
      <c r="J4" s="1047"/>
      <c r="K4" s="1048"/>
      <c r="L4" s="236"/>
    </row>
    <row r="5" spans="1:12" ht="15.75" thickBot="1" x14ac:dyDescent="0.3">
      <c r="B5" s="235"/>
      <c r="C5" s="237"/>
      <c r="D5" s="237"/>
      <c r="E5" s="237"/>
      <c r="F5" s="237"/>
      <c r="G5" s="237"/>
      <c r="H5" s="237"/>
      <c r="I5" s="237"/>
      <c r="J5" s="237"/>
      <c r="K5" s="237"/>
      <c r="L5" s="236"/>
    </row>
    <row r="6" spans="1:12" ht="17.25" customHeight="1" thickBot="1" x14ac:dyDescent="0.3">
      <c r="B6" s="235"/>
      <c r="C6" s="46"/>
      <c r="D6" s="46"/>
      <c r="E6" s="46"/>
      <c r="F6" s="1059" t="s">
        <v>32</v>
      </c>
      <c r="G6" s="1060"/>
      <c r="H6" s="1061"/>
      <c r="I6" s="237"/>
      <c r="J6" s="237"/>
      <c r="K6" s="433" t="s">
        <v>408</v>
      </c>
      <c r="L6" s="236"/>
    </row>
    <row r="7" spans="1:12" ht="15" customHeight="1" x14ac:dyDescent="0.25">
      <c r="B7" s="235"/>
      <c r="E7" s="46"/>
      <c r="F7" s="679">
        <v>2022</v>
      </c>
      <c r="G7" s="679">
        <v>2023</v>
      </c>
      <c r="H7" s="679">
        <v>2024</v>
      </c>
      <c r="I7" s="237"/>
      <c r="J7" s="237"/>
      <c r="K7" s="914" t="s">
        <v>194</v>
      </c>
      <c r="L7" s="236"/>
    </row>
    <row r="8" spans="1:12" x14ac:dyDescent="0.25">
      <c r="B8" s="235"/>
      <c r="E8" s="46"/>
      <c r="F8" s="705">
        <f>'🔟 Presupuesto financiero'!K5</f>
        <v>0.03</v>
      </c>
      <c r="G8" s="705">
        <f>'🔟 Presupuesto financiero'!L5</f>
        <v>7.0000000000000007E-2</v>
      </c>
      <c r="H8" s="705">
        <f>'🔟 Presupuesto financiero'!M5</f>
        <v>0.12</v>
      </c>
      <c r="I8" s="237"/>
      <c r="J8" s="237"/>
      <c r="K8" s="1043"/>
      <c r="L8" s="236"/>
    </row>
    <row r="9" spans="1:12" ht="15.75" thickBot="1" x14ac:dyDescent="0.3">
      <c r="B9" s="235"/>
      <c r="E9" s="697" t="s">
        <v>206</v>
      </c>
      <c r="F9" s="698">
        <f>'1️⃣ Hipótesis'!$D$24</f>
        <v>18750000</v>
      </c>
      <c r="G9" s="698">
        <f>'1️⃣ Hipótesis'!$D$25</f>
        <v>43750000.000000007</v>
      </c>
      <c r="H9" s="698">
        <f>'1️⃣ Hipótesis'!$D$26</f>
        <v>75000000</v>
      </c>
      <c r="I9" s="237"/>
      <c r="J9" s="237"/>
      <c r="K9" s="1044"/>
      <c r="L9" s="236"/>
    </row>
    <row r="10" spans="1:12" ht="15.75" thickBot="1" x14ac:dyDescent="0.3">
      <c r="B10" s="235"/>
      <c r="C10" s="46"/>
      <c r="D10" s="46"/>
      <c r="E10" s="697" t="s">
        <v>164</v>
      </c>
      <c r="F10" s="214">
        <f>'🔟 Presupuesto financiero'!K10</f>
        <v>2828400</v>
      </c>
      <c r="G10" s="214">
        <f>'🔟 Presupuesto financiero'!L10</f>
        <v>3292920</v>
      </c>
      <c r="H10" s="214">
        <f>'🔟 Presupuesto financiero'!M10</f>
        <v>3962001.6000000006</v>
      </c>
      <c r="I10" s="237"/>
      <c r="J10" s="237"/>
      <c r="K10" s="433" t="s">
        <v>180</v>
      </c>
      <c r="L10" s="236"/>
    </row>
    <row r="11" spans="1:12" ht="15" customHeight="1" x14ac:dyDescent="0.25">
      <c r="B11" s="235"/>
      <c r="C11" s="46"/>
      <c r="D11" s="46"/>
      <c r="E11" s="697" t="s">
        <v>147</v>
      </c>
      <c r="F11" s="214">
        <f>'🔟 Presupuesto financiero'!K11</f>
        <v>931100</v>
      </c>
      <c r="G11" s="214">
        <f>'🔟 Presupuesto financiero'!L11</f>
        <v>2879000</v>
      </c>
      <c r="H11" s="214">
        <f>'🔟 Presupuesto financiero'!M11</f>
        <v>6043550</v>
      </c>
      <c r="I11" s="237"/>
      <c r="J11" s="237"/>
      <c r="K11" s="1045" t="s">
        <v>195</v>
      </c>
      <c r="L11" s="236"/>
    </row>
    <row r="12" spans="1:12" x14ac:dyDescent="0.25">
      <c r="B12" s="235"/>
      <c r="C12" s="46"/>
      <c r="D12" s="46"/>
      <c r="E12" s="697" t="s">
        <v>204</v>
      </c>
      <c r="F12" s="214">
        <f>'🔟 Presupuesto financiero'!K12</f>
        <v>16346610.640000002</v>
      </c>
      <c r="G12" s="214">
        <f>'🔟 Presupuesto financiero'!L12</f>
        <v>29562208.922499999</v>
      </c>
      <c r="H12" s="214">
        <f>'🔟 Presupuesto financiero'!M12</f>
        <v>53106550.25</v>
      </c>
      <c r="I12" s="237"/>
      <c r="J12" s="237"/>
      <c r="K12" s="1043"/>
      <c r="L12" s="236"/>
    </row>
    <row r="13" spans="1:12" ht="15.75" thickBot="1" x14ac:dyDescent="0.3">
      <c r="B13" s="235"/>
      <c r="C13" s="46"/>
      <c r="D13" s="46"/>
      <c r="E13" s="46"/>
      <c r="F13" s="46"/>
      <c r="G13" s="46"/>
      <c r="H13" s="46"/>
      <c r="I13" s="237"/>
      <c r="J13" s="237"/>
      <c r="K13" s="1044"/>
      <c r="L13" s="236"/>
    </row>
    <row r="14" spans="1:12" ht="15.75" thickBot="1" x14ac:dyDescent="0.3">
      <c r="B14" s="235"/>
      <c r="C14" s="1049" t="s">
        <v>213</v>
      </c>
      <c r="D14" s="1050"/>
      <c r="E14" s="46"/>
      <c r="F14" s="1056" t="s">
        <v>157</v>
      </c>
      <c r="G14" s="1057"/>
      <c r="H14" s="1058"/>
      <c r="I14" s="237"/>
      <c r="J14" s="237"/>
      <c r="K14" s="433" t="s">
        <v>181</v>
      </c>
      <c r="L14" s="236"/>
    </row>
    <row r="15" spans="1:12" ht="30.75" customHeight="1" x14ac:dyDescent="0.25">
      <c r="B15" s="235"/>
      <c r="C15" s="1062" t="s">
        <v>410</v>
      </c>
      <c r="D15" s="1063"/>
      <c r="E15" s="46"/>
      <c r="F15" s="679">
        <v>2022</v>
      </c>
      <c r="G15" s="679">
        <v>2023</v>
      </c>
      <c r="H15" s="679">
        <v>2024</v>
      </c>
      <c r="I15" s="237"/>
      <c r="J15" s="237"/>
      <c r="K15" s="1051" t="s">
        <v>411</v>
      </c>
      <c r="L15" s="236"/>
    </row>
    <row r="16" spans="1:12" ht="15.75" thickBot="1" x14ac:dyDescent="0.3">
      <c r="B16" s="235"/>
      <c r="C16" s="1064">
        <v>1.4</v>
      </c>
      <c r="D16" s="1065"/>
      <c r="E16" s="228"/>
      <c r="F16" s="214">
        <f>'🔟 Presupuesto financiero'!K16</f>
        <v>444333.33333333337</v>
      </c>
      <c r="G16" s="214">
        <f>'🔟 Presupuesto financiero'!L16</f>
        <v>763000</v>
      </c>
      <c r="H16" s="214">
        <f>'🔟 Presupuesto financiero'!M16</f>
        <v>1212333.3333333333</v>
      </c>
      <c r="I16" s="237"/>
      <c r="J16" s="237"/>
      <c r="K16" s="1052"/>
      <c r="L16" s="236"/>
    </row>
    <row r="17" spans="2:12" x14ac:dyDescent="0.25">
      <c r="B17" s="235"/>
      <c r="C17" s="46"/>
      <c r="D17" s="46"/>
      <c r="E17" s="228"/>
      <c r="F17" s="38"/>
      <c r="G17" s="38"/>
      <c r="H17" s="38"/>
      <c r="I17" s="237"/>
      <c r="J17" s="237"/>
      <c r="K17" s="237"/>
      <c r="L17" s="236"/>
    </row>
    <row r="18" spans="2:12" x14ac:dyDescent="0.25">
      <c r="B18" s="235"/>
      <c r="C18" s="46"/>
      <c r="D18" s="46"/>
      <c r="E18" s="1056" t="s">
        <v>151</v>
      </c>
      <c r="F18" s="1057"/>
      <c r="G18" s="1057"/>
      <c r="H18" s="1058"/>
      <c r="I18" s="237"/>
      <c r="J18" s="237"/>
      <c r="K18" s="237"/>
      <c r="L18" s="236"/>
    </row>
    <row r="19" spans="2:12" x14ac:dyDescent="0.25">
      <c r="B19" s="235"/>
      <c r="C19" s="46"/>
      <c r="D19" s="46"/>
      <c r="E19" s="704" t="s">
        <v>152</v>
      </c>
      <c r="F19" s="679">
        <v>2022</v>
      </c>
      <c r="G19" s="679">
        <v>2023</v>
      </c>
      <c r="H19" s="679">
        <v>2024</v>
      </c>
      <c r="I19" s="237"/>
      <c r="J19" s="237"/>
      <c r="K19" s="237"/>
      <c r="L19" s="236"/>
    </row>
    <row r="20" spans="2:12" x14ac:dyDescent="0.25">
      <c r="B20" s="235"/>
      <c r="C20" s="46"/>
      <c r="D20" s="46"/>
      <c r="E20" s="214">
        <f>'🔟 Presupuesto financiero'!J20</f>
        <v>1939500</v>
      </c>
      <c r="F20" s="214">
        <f>'🔟 Presupuesto financiero'!K20</f>
        <v>0</v>
      </c>
      <c r="G20" s="214">
        <f>'🔟 Presupuesto financiero'!L20</f>
        <v>1211500</v>
      </c>
      <c r="H20" s="214">
        <f>'🔟 Presupuesto financiero'!M20</f>
        <v>1749500</v>
      </c>
      <c r="I20" s="237"/>
      <c r="J20" s="237"/>
      <c r="K20" s="237"/>
      <c r="L20" s="236"/>
    </row>
    <row r="21" spans="2:12" x14ac:dyDescent="0.25">
      <c r="B21" s="235"/>
      <c r="C21" s="46"/>
      <c r="D21" s="46"/>
      <c r="E21" s="46"/>
      <c r="F21" s="46"/>
      <c r="G21" s="46"/>
      <c r="H21" s="46"/>
      <c r="I21" s="237"/>
      <c r="J21" s="237"/>
      <c r="K21" s="237"/>
      <c r="L21" s="236"/>
    </row>
    <row r="22" spans="2:12" x14ac:dyDescent="0.25">
      <c r="B22" s="235"/>
      <c r="C22" s="46"/>
      <c r="D22" s="46"/>
      <c r="E22" s="419" t="s">
        <v>178</v>
      </c>
      <c r="F22" s="679">
        <v>2022</v>
      </c>
      <c r="G22" s="679">
        <v>2023</v>
      </c>
      <c r="H22" s="679">
        <v>2024</v>
      </c>
      <c r="I22" s="237"/>
      <c r="J22" s="237"/>
      <c r="K22" s="237"/>
      <c r="L22" s="236"/>
    </row>
    <row r="23" spans="2:12" x14ac:dyDescent="0.25">
      <c r="B23" s="235"/>
      <c r="C23" s="699" t="s">
        <v>37</v>
      </c>
      <c r="D23" s="700"/>
      <c r="E23" s="222" t="s">
        <v>165</v>
      </c>
      <c r="F23" s="223">
        <f t="shared" ref="F23:G26" si="0">F9</f>
        <v>18750000</v>
      </c>
      <c r="G23" s="649">
        <f>G9</f>
        <v>43750000.000000007</v>
      </c>
      <c r="H23" s="649">
        <f>H9</f>
        <v>75000000</v>
      </c>
      <c r="I23" s="237"/>
      <c r="J23" s="237"/>
      <c r="K23" s="237"/>
      <c r="L23" s="236"/>
    </row>
    <row r="24" spans="2:12" x14ac:dyDescent="0.25">
      <c r="B24" s="235"/>
      <c r="C24" s="1053" t="s">
        <v>166</v>
      </c>
      <c r="D24" s="697" t="s">
        <v>201</v>
      </c>
      <c r="E24" s="222" t="s">
        <v>165</v>
      </c>
      <c r="F24" s="246">
        <f>F10*C16</f>
        <v>3959759.9999999995</v>
      </c>
      <c r="G24" s="246">
        <f>G10*C16</f>
        <v>4610088</v>
      </c>
      <c r="H24" s="246">
        <f>H10*C16</f>
        <v>5546802.2400000002</v>
      </c>
      <c r="I24" s="237"/>
      <c r="J24" s="237"/>
      <c r="K24" s="237"/>
      <c r="L24" s="236"/>
    </row>
    <row r="25" spans="2:12" x14ac:dyDescent="0.25">
      <c r="B25" s="235"/>
      <c r="C25" s="1054"/>
      <c r="D25" s="697" t="s">
        <v>202</v>
      </c>
      <c r="E25" s="222" t="s">
        <v>165</v>
      </c>
      <c r="F25" s="246">
        <f>F11*C16</f>
        <v>1303540</v>
      </c>
      <c r="G25" s="246">
        <f>G11*C16</f>
        <v>4030599.9999999995</v>
      </c>
      <c r="H25" s="246">
        <f>H11*C16</f>
        <v>8460970</v>
      </c>
      <c r="I25" s="237"/>
      <c r="J25" s="237"/>
      <c r="K25" s="237"/>
      <c r="L25" s="236"/>
    </row>
    <row r="26" spans="2:12" x14ac:dyDescent="0.25">
      <c r="B26" s="235"/>
      <c r="C26" s="1055"/>
      <c r="D26" s="697" t="s">
        <v>203</v>
      </c>
      <c r="E26" s="222" t="s">
        <v>165</v>
      </c>
      <c r="F26" s="223">
        <f t="shared" si="0"/>
        <v>16346610.640000002</v>
      </c>
      <c r="G26" s="223">
        <f t="shared" si="0"/>
        <v>29562208.922499999</v>
      </c>
      <c r="H26" s="223">
        <f>H12</f>
        <v>53106550.25</v>
      </c>
      <c r="I26" s="237"/>
      <c r="J26" s="237"/>
      <c r="K26" s="237"/>
      <c r="L26" s="236"/>
    </row>
    <row r="27" spans="2:12" x14ac:dyDescent="0.25">
      <c r="B27" s="235"/>
      <c r="C27" s="709" t="s">
        <v>167</v>
      </c>
      <c r="D27" s="706"/>
      <c r="E27" s="707" t="s">
        <v>165</v>
      </c>
      <c r="F27" s="708">
        <f>F23-F24-F25-F26</f>
        <v>-2859910.6400000025</v>
      </c>
      <c r="G27" s="708">
        <f>G23-G24-G25-G26</f>
        <v>5547103.077500008</v>
      </c>
      <c r="H27" s="708">
        <f>H23-H24-H25-H26</f>
        <v>7885677.5100000054</v>
      </c>
      <c r="I27" s="237"/>
      <c r="J27" s="237"/>
      <c r="K27" s="237"/>
      <c r="L27" s="236"/>
    </row>
    <row r="28" spans="2:12" x14ac:dyDescent="0.25">
      <c r="B28" s="235"/>
      <c r="C28" s="701" t="s">
        <v>168</v>
      </c>
      <c r="D28" s="702"/>
      <c r="E28" s="92" t="s">
        <v>165</v>
      </c>
      <c r="F28" s="223">
        <f>F23*0.03</f>
        <v>562500</v>
      </c>
      <c r="G28" s="223">
        <f>G23*0.03</f>
        <v>1312500.0000000002</v>
      </c>
      <c r="H28" s="223">
        <f>H23*0.03</f>
        <v>2250000</v>
      </c>
      <c r="I28" s="237"/>
      <c r="J28" s="237"/>
      <c r="K28" s="237"/>
      <c r="L28" s="236"/>
    </row>
    <row r="29" spans="2:12" x14ac:dyDescent="0.25">
      <c r="B29" s="235"/>
      <c r="C29" s="1041" t="s">
        <v>169</v>
      </c>
      <c r="D29" s="1042"/>
      <c r="E29" s="92"/>
      <c r="F29" s="223">
        <f>F27-F28</f>
        <v>-3422410.6400000025</v>
      </c>
      <c r="G29" s="223">
        <f>G27-G28-G16</f>
        <v>3471603.077500008</v>
      </c>
      <c r="H29" s="223">
        <f>H27-H28-H16</f>
        <v>4423344.1766666723</v>
      </c>
      <c r="I29" s="237"/>
      <c r="J29" s="237"/>
      <c r="K29" s="237"/>
      <c r="L29" s="236"/>
    </row>
    <row r="30" spans="2:12" x14ac:dyDescent="0.25">
      <c r="B30" s="235"/>
      <c r="C30" s="701" t="s">
        <v>170</v>
      </c>
      <c r="D30" s="702"/>
      <c r="E30" s="92" t="s">
        <v>165</v>
      </c>
      <c r="F30" s="223">
        <v>0</v>
      </c>
      <c r="G30" s="223">
        <v>0</v>
      </c>
      <c r="H30" s="223">
        <f>0.35*G29</f>
        <v>1215061.0771250026</v>
      </c>
      <c r="I30" s="237"/>
      <c r="J30" s="237"/>
      <c r="K30" s="237"/>
      <c r="L30" s="236"/>
    </row>
    <row r="31" spans="2:12" x14ac:dyDescent="0.25">
      <c r="B31" s="235"/>
      <c r="C31" s="709" t="s">
        <v>171</v>
      </c>
      <c r="D31" s="706"/>
      <c r="E31" s="707" t="s">
        <v>165</v>
      </c>
      <c r="F31" s="708">
        <f>F27-F28-F30</f>
        <v>-3422410.6400000025</v>
      </c>
      <c r="G31" s="708">
        <f>G27-G28-G30</f>
        <v>4234603.077500008</v>
      </c>
      <c r="H31" s="708">
        <f>H27-H28-H30</f>
        <v>4420616.4328750027</v>
      </c>
      <c r="I31" s="237"/>
      <c r="J31" s="237"/>
      <c r="K31" s="237"/>
      <c r="L31" s="236"/>
    </row>
    <row r="32" spans="2:12" x14ac:dyDescent="0.25">
      <c r="B32" s="235"/>
      <c r="C32" s="701" t="s">
        <v>172</v>
      </c>
      <c r="D32" s="702"/>
      <c r="E32" s="223">
        <f>-E20</f>
        <v>-1939500</v>
      </c>
      <c r="F32" s="223">
        <f>-F20</f>
        <v>0</v>
      </c>
      <c r="G32" s="223">
        <f>-G20</f>
        <v>-1211500</v>
      </c>
      <c r="H32" s="223">
        <f>-H20</f>
        <v>-1749500</v>
      </c>
      <c r="I32" s="237"/>
      <c r="J32" s="237"/>
      <c r="K32" s="237"/>
      <c r="L32" s="236"/>
    </row>
    <row r="33" spans="2:12" x14ac:dyDescent="0.25">
      <c r="B33" s="235"/>
      <c r="C33" s="709" t="s">
        <v>173</v>
      </c>
      <c r="D33" s="706"/>
      <c r="E33" s="708">
        <f>E32</f>
        <v>-1939500</v>
      </c>
      <c r="F33" s="708">
        <f>F31+F32</f>
        <v>-3422410.6400000025</v>
      </c>
      <c r="G33" s="708">
        <f>G31+G32</f>
        <v>3023103.077500008</v>
      </c>
      <c r="H33" s="708">
        <f>H31+H32</f>
        <v>2671116.4328750027</v>
      </c>
      <c r="I33" s="237"/>
      <c r="J33" s="237"/>
      <c r="K33" s="237"/>
      <c r="L33" s="236"/>
    </row>
    <row r="34" spans="2:12" x14ac:dyDescent="0.25">
      <c r="B34" s="235"/>
      <c r="C34" s="46"/>
      <c r="D34" s="46"/>
      <c r="E34" s="46"/>
      <c r="F34" s="46"/>
      <c r="G34" s="46"/>
      <c r="H34" s="46"/>
      <c r="I34" s="237"/>
      <c r="J34" s="237"/>
      <c r="K34" s="237"/>
      <c r="L34" s="236"/>
    </row>
    <row r="35" spans="2:12" x14ac:dyDescent="0.25">
      <c r="B35" s="235"/>
      <c r="C35" s="46"/>
      <c r="D35" s="46"/>
      <c r="E35" s="46"/>
      <c r="F35" s="46"/>
      <c r="G35" s="703" t="s">
        <v>174</v>
      </c>
      <c r="H35" s="241">
        <v>0.6</v>
      </c>
      <c r="I35" s="237"/>
      <c r="J35" s="237"/>
      <c r="K35" s="237"/>
      <c r="L35" s="236"/>
    </row>
    <row r="36" spans="2:12" x14ac:dyDescent="0.25">
      <c r="B36" s="235"/>
      <c r="C36" s="46"/>
      <c r="D36" s="46"/>
      <c r="E36" s="46"/>
      <c r="F36" s="46"/>
      <c r="G36" s="703" t="s">
        <v>175</v>
      </c>
      <c r="H36" s="242">
        <f>NPV(H35,E33:H33)</f>
        <v>-1403424.3593635545</v>
      </c>
      <c r="I36" s="237"/>
      <c r="J36" s="237"/>
      <c r="K36" s="237"/>
      <c r="L36" s="236"/>
    </row>
    <row r="37" spans="2:12" x14ac:dyDescent="0.25">
      <c r="B37" s="235"/>
      <c r="C37" s="46"/>
      <c r="D37" s="46"/>
      <c r="E37" s="46"/>
      <c r="F37" s="46"/>
      <c r="G37" s="703" t="s">
        <v>176</v>
      </c>
      <c r="H37" s="243">
        <f>IRR(E33:H33,H35)</f>
        <v>3.3394595350429768E-2</v>
      </c>
      <c r="I37" s="237"/>
      <c r="J37" s="237"/>
      <c r="K37" s="237"/>
      <c r="L37" s="236"/>
    </row>
    <row r="38" spans="2:12" ht="15.75" thickBot="1" x14ac:dyDescent="0.3">
      <c r="B38" s="238"/>
      <c r="C38" s="192"/>
      <c r="D38" s="192"/>
      <c r="E38" s="192"/>
      <c r="F38" s="192"/>
      <c r="G38" s="192"/>
      <c r="H38" s="192"/>
      <c r="I38" s="239"/>
      <c r="J38" s="239"/>
      <c r="K38" s="239"/>
      <c r="L38" s="240"/>
    </row>
  </sheetData>
  <mergeCells count="13">
    <mergeCell ref="G1:I1"/>
    <mergeCell ref="C14:D14"/>
    <mergeCell ref="F14:H14"/>
    <mergeCell ref="K15:K16"/>
    <mergeCell ref="E18:H18"/>
    <mergeCell ref="C24:C26"/>
    <mergeCell ref="C15:D15"/>
    <mergeCell ref="C16:D16"/>
    <mergeCell ref="C29:D29"/>
    <mergeCell ref="C4:K4"/>
    <mergeCell ref="K7:K9"/>
    <mergeCell ref="K11:K13"/>
    <mergeCell ref="F6:H6"/>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38"/>
  <sheetViews>
    <sheetView zoomScale="90" zoomScaleNormal="90" workbookViewId="0">
      <pane ySplit="1" topLeftCell="A2" activePane="bottomLeft" state="frozen"/>
      <selection pane="bottomLeft" activeCell="O27" sqref="O27"/>
    </sheetView>
  </sheetViews>
  <sheetFormatPr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2" s="681" customFormat="1" ht="58.5" customHeight="1" thickBot="1" x14ac:dyDescent="0.3">
      <c r="A1" s="680"/>
      <c r="G1" s="1039" t="s">
        <v>191</v>
      </c>
      <c r="H1" s="1040"/>
      <c r="I1" s="1040"/>
    </row>
    <row r="2" spans="1:12" ht="15.75" thickBot="1" x14ac:dyDescent="0.3"/>
    <row r="3" spans="1:12" ht="15.75" thickBot="1" x14ac:dyDescent="0.3">
      <c r="B3" s="232"/>
      <c r="C3" s="233"/>
      <c r="D3" s="233"/>
      <c r="E3" s="233"/>
      <c r="F3" s="233"/>
      <c r="G3" s="233"/>
      <c r="H3" s="233"/>
      <c r="I3" s="233"/>
      <c r="J3" s="233"/>
      <c r="K3" s="233"/>
      <c r="L3" s="234"/>
    </row>
    <row r="4" spans="1:12" ht="15.75" thickBot="1" x14ac:dyDescent="0.3">
      <c r="B4" s="235"/>
      <c r="C4" s="1046" t="s">
        <v>208</v>
      </c>
      <c r="D4" s="1047"/>
      <c r="E4" s="1047"/>
      <c r="F4" s="1047"/>
      <c r="G4" s="1047"/>
      <c r="H4" s="1047"/>
      <c r="I4" s="1047"/>
      <c r="J4" s="1047"/>
      <c r="K4" s="1048"/>
      <c r="L4" s="236"/>
    </row>
    <row r="5" spans="1:12" ht="15.75" thickBot="1" x14ac:dyDescent="0.3">
      <c r="B5" s="235"/>
      <c r="C5" s="237"/>
      <c r="D5" s="237"/>
      <c r="E5" s="237"/>
      <c r="F5" s="237"/>
      <c r="G5" s="237"/>
      <c r="H5" s="237"/>
      <c r="I5" s="237"/>
      <c r="J5" s="237"/>
      <c r="K5" s="237"/>
      <c r="L5" s="236"/>
    </row>
    <row r="6" spans="1:12" ht="15.75" customHeight="1" thickBot="1" x14ac:dyDescent="0.3">
      <c r="B6" s="235"/>
      <c r="C6" s="46"/>
      <c r="D6" s="46"/>
      <c r="E6" s="46"/>
      <c r="F6" s="1059" t="s">
        <v>32</v>
      </c>
      <c r="G6" s="1060"/>
      <c r="H6" s="1061"/>
      <c r="I6" s="237"/>
      <c r="J6" s="237"/>
      <c r="K6" s="433" t="s">
        <v>409</v>
      </c>
      <c r="L6" s="236"/>
    </row>
    <row r="7" spans="1:12" x14ac:dyDescent="0.25">
      <c r="B7" s="235"/>
      <c r="E7" s="46"/>
      <c r="F7" s="679">
        <v>2022</v>
      </c>
      <c r="G7" s="679">
        <v>2023</v>
      </c>
      <c r="H7" s="679">
        <v>2024</v>
      </c>
      <c r="I7" s="237"/>
      <c r="J7" s="237"/>
      <c r="K7" s="914" t="s">
        <v>371</v>
      </c>
      <c r="L7" s="236"/>
    </row>
    <row r="8" spans="1:12" x14ac:dyDescent="0.25">
      <c r="B8" s="235"/>
      <c r="E8" s="46"/>
      <c r="F8" s="705">
        <f>'🔟 Presupuesto financiero'!K5</f>
        <v>0.03</v>
      </c>
      <c r="G8" s="705">
        <f>'🔟 Presupuesto financiero'!L5</f>
        <v>7.0000000000000007E-2</v>
      </c>
      <c r="H8" s="705">
        <f>'🔟 Presupuesto financiero'!M5</f>
        <v>0.12</v>
      </c>
      <c r="I8" s="237"/>
      <c r="J8" s="237"/>
      <c r="K8" s="1043"/>
      <c r="L8" s="236"/>
    </row>
    <row r="9" spans="1:12" ht="15.75" thickBot="1" x14ac:dyDescent="0.3">
      <c r="B9" s="235"/>
      <c r="E9" s="697" t="s">
        <v>206</v>
      </c>
      <c r="F9" s="698">
        <f>'1️⃣ Hipótesis'!$D$24</f>
        <v>18750000</v>
      </c>
      <c r="G9" s="698">
        <f>'1️⃣ Hipótesis'!$D$25</f>
        <v>43750000.000000007</v>
      </c>
      <c r="H9" s="698">
        <f>'1️⃣ Hipótesis'!$D$26</f>
        <v>75000000</v>
      </c>
      <c r="I9" s="237"/>
      <c r="J9" s="237"/>
      <c r="K9" s="1044"/>
      <c r="L9" s="236"/>
    </row>
    <row r="10" spans="1:12" ht="15.75" thickBot="1" x14ac:dyDescent="0.3">
      <c r="B10" s="235"/>
      <c r="C10" s="46"/>
      <c r="D10" s="46"/>
      <c r="E10" s="697" t="s">
        <v>164</v>
      </c>
      <c r="F10" s="214">
        <f>'🔟 Presupuesto financiero'!K10</f>
        <v>2828400</v>
      </c>
      <c r="G10" s="214">
        <f>'🔟 Presupuesto financiero'!L10</f>
        <v>3292920</v>
      </c>
      <c r="H10" s="214">
        <f>'🔟 Presupuesto financiero'!M10</f>
        <v>3962001.6000000006</v>
      </c>
      <c r="I10" s="237"/>
      <c r="J10" s="237"/>
      <c r="K10" s="433" t="s">
        <v>180</v>
      </c>
      <c r="L10" s="236"/>
    </row>
    <row r="11" spans="1:12" x14ac:dyDescent="0.25">
      <c r="B11" s="235"/>
      <c r="C11" s="46"/>
      <c r="D11" s="46"/>
      <c r="E11" s="697" t="s">
        <v>147</v>
      </c>
      <c r="F11" s="214">
        <f>'🔟 Presupuesto financiero'!K11</f>
        <v>931100</v>
      </c>
      <c r="G11" s="214">
        <f>'🔟 Presupuesto financiero'!L11</f>
        <v>2879000</v>
      </c>
      <c r="H11" s="214">
        <f>'🔟 Presupuesto financiero'!M11</f>
        <v>6043550</v>
      </c>
      <c r="I11" s="237"/>
      <c r="J11" s="237"/>
      <c r="K11" s="1045" t="s">
        <v>372</v>
      </c>
      <c r="L11" s="236"/>
    </row>
    <row r="12" spans="1:12" x14ac:dyDescent="0.25">
      <c r="B12" s="235"/>
      <c r="C12" s="46"/>
      <c r="D12" s="46"/>
      <c r="E12" s="697" t="s">
        <v>204</v>
      </c>
      <c r="F12" s="214">
        <f>'🔟 Presupuesto financiero'!K12</f>
        <v>16346610.640000002</v>
      </c>
      <c r="G12" s="214">
        <f>'🔟 Presupuesto financiero'!L12</f>
        <v>29562208.922499999</v>
      </c>
      <c r="H12" s="214">
        <f>'🔟 Presupuesto financiero'!M12</f>
        <v>53106550.25</v>
      </c>
      <c r="I12" s="237"/>
      <c r="J12" s="237"/>
      <c r="K12" s="1043"/>
      <c r="L12" s="236"/>
    </row>
    <row r="13" spans="1:12" ht="15.75" thickBot="1" x14ac:dyDescent="0.3">
      <c r="B13" s="235"/>
      <c r="C13" s="46"/>
      <c r="D13" s="46"/>
      <c r="E13" s="46"/>
      <c r="F13" s="46"/>
      <c r="G13" s="46"/>
      <c r="H13" s="46"/>
      <c r="I13" s="237"/>
      <c r="J13" s="237"/>
      <c r="K13" s="1044"/>
      <c r="L13" s="236"/>
    </row>
    <row r="14" spans="1:12" ht="15.75" thickBot="1" x14ac:dyDescent="0.3">
      <c r="B14" s="235"/>
      <c r="C14" s="1049" t="s">
        <v>213</v>
      </c>
      <c r="D14" s="1050"/>
      <c r="E14" s="46"/>
      <c r="F14" s="1056" t="s">
        <v>157</v>
      </c>
      <c r="G14" s="1057"/>
      <c r="H14" s="1058"/>
      <c r="I14" s="237"/>
      <c r="J14" s="237"/>
      <c r="K14" s="433" t="s">
        <v>181</v>
      </c>
      <c r="L14" s="236"/>
    </row>
    <row r="15" spans="1:12" ht="20.25" customHeight="1" x14ac:dyDescent="0.25">
      <c r="B15" s="235"/>
      <c r="C15" s="1062" t="s">
        <v>410</v>
      </c>
      <c r="D15" s="1063"/>
      <c r="E15" s="46"/>
      <c r="F15" s="679">
        <v>2022</v>
      </c>
      <c r="G15" s="679">
        <v>2023</v>
      </c>
      <c r="H15" s="679">
        <v>2024</v>
      </c>
      <c r="I15" s="237"/>
      <c r="J15" s="237"/>
      <c r="K15" s="1051" t="s">
        <v>412</v>
      </c>
      <c r="L15" s="236"/>
    </row>
    <row r="16" spans="1:12" ht="15.75" thickBot="1" x14ac:dyDescent="0.3">
      <c r="B16" s="235"/>
      <c r="C16" s="1066">
        <v>1.35</v>
      </c>
      <c r="D16" s="1067"/>
      <c r="E16" s="228"/>
      <c r="F16" s="214">
        <f>'🔟 Presupuesto financiero'!K16</f>
        <v>444333.33333333337</v>
      </c>
      <c r="G16" s="214">
        <f>'🔟 Presupuesto financiero'!L16</f>
        <v>763000</v>
      </c>
      <c r="H16" s="214">
        <f>'🔟 Presupuesto financiero'!M16</f>
        <v>1212333.3333333333</v>
      </c>
      <c r="I16" s="237"/>
      <c r="J16" s="237"/>
      <c r="K16" s="1052"/>
      <c r="L16" s="236"/>
    </row>
    <row r="17" spans="2:12" x14ac:dyDescent="0.25">
      <c r="B17" s="235"/>
      <c r="C17" s="46"/>
      <c r="D17" s="46"/>
      <c r="E17" s="228"/>
      <c r="F17" s="38"/>
      <c r="G17" s="38"/>
      <c r="H17" s="38"/>
      <c r="I17" s="237"/>
      <c r="J17" s="237"/>
      <c r="K17" s="237"/>
      <c r="L17" s="236"/>
    </row>
    <row r="18" spans="2:12" x14ac:dyDescent="0.25">
      <c r="B18" s="235"/>
      <c r="C18" s="46"/>
      <c r="D18" s="46"/>
      <c r="E18" s="1056" t="s">
        <v>151</v>
      </c>
      <c r="F18" s="1057"/>
      <c r="G18" s="1057"/>
      <c r="H18" s="1058"/>
      <c r="I18" s="237"/>
      <c r="J18" s="237"/>
      <c r="K18" s="237"/>
      <c r="L18" s="236"/>
    </row>
    <row r="19" spans="2:12" x14ac:dyDescent="0.25">
      <c r="B19" s="235"/>
      <c r="C19" s="46"/>
      <c r="D19" s="46"/>
      <c r="E19" s="704" t="s">
        <v>152</v>
      </c>
      <c r="F19" s="679">
        <v>2022</v>
      </c>
      <c r="G19" s="679">
        <v>2023</v>
      </c>
      <c r="H19" s="679">
        <v>2024</v>
      </c>
      <c r="I19" s="237"/>
      <c r="J19" s="237"/>
      <c r="K19" s="237"/>
      <c r="L19" s="236"/>
    </row>
    <row r="20" spans="2:12" x14ac:dyDescent="0.25">
      <c r="B20" s="235"/>
      <c r="C20" s="46"/>
      <c r="D20" s="46"/>
      <c r="E20" s="214">
        <f>'🔟 Presupuesto financiero'!J20</f>
        <v>1939500</v>
      </c>
      <c r="F20" s="214">
        <f>'🔟 Presupuesto financiero'!K20</f>
        <v>0</v>
      </c>
      <c r="G20" s="214">
        <f>'🔟 Presupuesto financiero'!L20</f>
        <v>1211500</v>
      </c>
      <c r="H20" s="214">
        <f>'🔟 Presupuesto financiero'!M20</f>
        <v>1749500</v>
      </c>
      <c r="I20" s="237"/>
      <c r="J20" s="237"/>
      <c r="K20" s="237"/>
      <c r="L20" s="236"/>
    </row>
    <row r="21" spans="2:12" x14ac:dyDescent="0.25">
      <c r="B21" s="235"/>
      <c r="C21" s="46"/>
      <c r="D21" s="46"/>
      <c r="E21" s="46"/>
      <c r="F21" s="46"/>
      <c r="G21" s="46"/>
      <c r="H21" s="46"/>
      <c r="I21" s="237"/>
      <c r="J21" s="237"/>
      <c r="K21" s="237"/>
      <c r="L21" s="236"/>
    </row>
    <row r="22" spans="2:12" x14ac:dyDescent="0.25">
      <c r="B22" s="235"/>
      <c r="C22" s="46"/>
      <c r="D22" s="46"/>
      <c r="E22" s="419" t="s">
        <v>178</v>
      </c>
      <c r="F22" s="679">
        <v>2022</v>
      </c>
      <c r="G22" s="679">
        <v>2023</v>
      </c>
      <c r="H22" s="679">
        <v>2024</v>
      </c>
      <c r="I22" s="237"/>
      <c r="J22" s="237"/>
      <c r="K22" s="237"/>
      <c r="L22" s="236"/>
    </row>
    <row r="23" spans="2:12" x14ac:dyDescent="0.25">
      <c r="B23" s="235"/>
      <c r="C23" s="699" t="s">
        <v>37</v>
      </c>
      <c r="D23" s="700"/>
      <c r="E23" s="222" t="s">
        <v>165</v>
      </c>
      <c r="F23" s="223">
        <f t="shared" ref="F23:G26" si="0">F9</f>
        <v>18750000</v>
      </c>
      <c r="G23" s="649">
        <f>G9</f>
        <v>43750000.000000007</v>
      </c>
      <c r="H23" s="649">
        <f>H9</f>
        <v>75000000</v>
      </c>
      <c r="I23" s="237"/>
      <c r="J23" s="237"/>
      <c r="K23" s="237"/>
      <c r="L23" s="236"/>
    </row>
    <row r="24" spans="2:12" x14ac:dyDescent="0.25">
      <c r="B24" s="235"/>
      <c r="C24" s="1053" t="s">
        <v>166</v>
      </c>
      <c r="D24" s="697" t="s">
        <v>201</v>
      </c>
      <c r="E24" s="222" t="s">
        <v>165</v>
      </c>
      <c r="F24" s="223">
        <f t="shared" si="0"/>
        <v>2828400</v>
      </c>
      <c r="G24" s="649">
        <f t="shared" si="0"/>
        <v>3292920</v>
      </c>
      <c r="H24" s="649">
        <f>H10</f>
        <v>3962001.6000000006</v>
      </c>
      <c r="I24" s="237"/>
      <c r="J24" s="237"/>
      <c r="K24" s="237"/>
      <c r="L24" s="236"/>
    </row>
    <row r="25" spans="2:12" x14ac:dyDescent="0.25">
      <c r="B25" s="235"/>
      <c r="C25" s="1054"/>
      <c r="D25" s="697" t="s">
        <v>202</v>
      </c>
      <c r="E25" s="222" t="s">
        <v>165</v>
      </c>
      <c r="F25" s="246">
        <f>F11*C16</f>
        <v>1256985</v>
      </c>
      <c r="G25" s="246">
        <f>G11*C16</f>
        <v>3886650.0000000005</v>
      </c>
      <c r="H25" s="246">
        <f>H11*C16</f>
        <v>8158792.5000000009</v>
      </c>
      <c r="I25" s="237"/>
      <c r="J25" s="237"/>
      <c r="K25" s="237"/>
      <c r="L25" s="236"/>
    </row>
    <row r="26" spans="2:12" x14ac:dyDescent="0.25">
      <c r="B26" s="235"/>
      <c r="C26" s="1055"/>
      <c r="D26" s="697" t="s">
        <v>203</v>
      </c>
      <c r="E26" s="222" t="s">
        <v>165</v>
      </c>
      <c r="F26" s="223">
        <f t="shared" si="0"/>
        <v>16346610.640000002</v>
      </c>
      <c r="G26" s="223">
        <f t="shared" si="0"/>
        <v>29562208.922499999</v>
      </c>
      <c r="H26" s="223">
        <f>H12</f>
        <v>53106550.25</v>
      </c>
      <c r="I26" s="237"/>
      <c r="J26" s="237"/>
      <c r="K26" s="237"/>
      <c r="L26" s="236"/>
    </row>
    <row r="27" spans="2:12" x14ac:dyDescent="0.25">
      <c r="B27" s="235"/>
      <c r="C27" s="709" t="s">
        <v>167</v>
      </c>
      <c r="D27" s="706"/>
      <c r="E27" s="707" t="s">
        <v>165</v>
      </c>
      <c r="F27" s="708">
        <f>F23-F24-F25-F26</f>
        <v>-1681995.6400000025</v>
      </c>
      <c r="G27" s="708">
        <f>G23-G24-G25-G26</f>
        <v>7008221.077500008</v>
      </c>
      <c r="H27" s="708">
        <f>H23-H24-H25-H26</f>
        <v>9772655.650000006</v>
      </c>
      <c r="I27" s="237"/>
      <c r="J27" s="237"/>
      <c r="K27" s="237"/>
      <c r="L27" s="236"/>
    </row>
    <row r="28" spans="2:12" x14ac:dyDescent="0.25">
      <c r="B28" s="235"/>
      <c r="C28" s="701" t="s">
        <v>168</v>
      </c>
      <c r="D28" s="702"/>
      <c r="E28" s="92" t="s">
        <v>165</v>
      </c>
      <c r="F28" s="223">
        <f>F23*0.03</f>
        <v>562500</v>
      </c>
      <c r="G28" s="223">
        <f>G23*0.03</f>
        <v>1312500.0000000002</v>
      </c>
      <c r="H28" s="223">
        <f>H23*0.03</f>
        <v>2250000</v>
      </c>
      <c r="I28" s="237"/>
      <c r="J28" s="237"/>
      <c r="K28" s="237"/>
      <c r="L28" s="236"/>
    </row>
    <row r="29" spans="2:12" x14ac:dyDescent="0.25">
      <c r="B29" s="235"/>
      <c r="C29" s="1041" t="s">
        <v>169</v>
      </c>
      <c r="D29" s="1042"/>
      <c r="E29" s="92"/>
      <c r="F29" s="223">
        <f>F27-F28</f>
        <v>-2244495.6400000025</v>
      </c>
      <c r="G29" s="223">
        <f>G27-G28-G16</f>
        <v>4932721.077500008</v>
      </c>
      <c r="H29" s="223">
        <f>H27-H28-H16</f>
        <v>6310322.3166666729</v>
      </c>
      <c r="I29" s="237"/>
      <c r="J29" s="237"/>
      <c r="K29" s="237"/>
      <c r="L29" s="236"/>
    </row>
    <row r="30" spans="2:12" x14ac:dyDescent="0.25">
      <c r="B30" s="235"/>
      <c r="C30" s="701" t="s">
        <v>170</v>
      </c>
      <c r="D30" s="702"/>
      <c r="E30" s="92" t="s">
        <v>165</v>
      </c>
      <c r="F30" s="223">
        <v>0</v>
      </c>
      <c r="G30" s="223">
        <v>0</v>
      </c>
      <c r="H30" s="223">
        <f>0.35*G29</f>
        <v>1726452.3771250027</v>
      </c>
      <c r="I30" s="237"/>
      <c r="J30" s="237"/>
      <c r="K30" s="237"/>
      <c r="L30" s="236"/>
    </row>
    <row r="31" spans="2:12" x14ac:dyDescent="0.25">
      <c r="B31" s="235"/>
      <c r="C31" s="709" t="s">
        <v>171</v>
      </c>
      <c r="D31" s="706"/>
      <c r="E31" s="707" t="s">
        <v>165</v>
      </c>
      <c r="F31" s="708">
        <f>F27-F28-F30</f>
        <v>-2244495.6400000025</v>
      </c>
      <c r="G31" s="708">
        <f>G27-G28-G30</f>
        <v>5695721.077500008</v>
      </c>
      <c r="H31" s="708">
        <f>H27-H28-H30</f>
        <v>5796203.2728750035</v>
      </c>
      <c r="I31" s="237"/>
      <c r="J31" s="237"/>
      <c r="K31" s="237"/>
      <c r="L31" s="236"/>
    </row>
    <row r="32" spans="2:12" x14ac:dyDescent="0.25">
      <c r="B32" s="235"/>
      <c r="C32" s="701" t="s">
        <v>172</v>
      </c>
      <c r="D32" s="702"/>
      <c r="E32" s="223">
        <f>-E20</f>
        <v>-1939500</v>
      </c>
      <c r="F32" s="223">
        <f>-F20</f>
        <v>0</v>
      </c>
      <c r="G32" s="223">
        <f>-G20</f>
        <v>-1211500</v>
      </c>
      <c r="H32" s="223">
        <f>-H20</f>
        <v>-1749500</v>
      </c>
      <c r="I32" s="237"/>
      <c r="J32" s="237"/>
      <c r="K32" s="237"/>
      <c r="L32" s="236"/>
    </row>
    <row r="33" spans="2:12" x14ac:dyDescent="0.25">
      <c r="B33" s="235"/>
      <c r="C33" s="709" t="s">
        <v>173</v>
      </c>
      <c r="D33" s="706"/>
      <c r="E33" s="708">
        <f>E32</f>
        <v>-1939500</v>
      </c>
      <c r="F33" s="708">
        <f>F31+F32</f>
        <v>-2244495.6400000025</v>
      </c>
      <c r="G33" s="708">
        <f>G31+G32</f>
        <v>4484221.077500008</v>
      </c>
      <c r="H33" s="708">
        <f>H31+H32</f>
        <v>4046703.2728750035</v>
      </c>
      <c r="I33" s="237"/>
      <c r="J33" s="237"/>
      <c r="K33" s="237"/>
      <c r="L33" s="236"/>
    </row>
    <row r="34" spans="2:12" x14ac:dyDescent="0.25">
      <c r="B34" s="235"/>
      <c r="C34" s="46"/>
      <c r="D34" s="46"/>
      <c r="E34" s="46"/>
      <c r="F34" s="46"/>
      <c r="G34" s="46"/>
      <c r="H34" s="46"/>
      <c r="I34" s="237"/>
      <c r="J34" s="237"/>
      <c r="K34" s="237"/>
      <c r="L34" s="236"/>
    </row>
    <row r="35" spans="2:12" x14ac:dyDescent="0.25">
      <c r="B35" s="235"/>
      <c r="C35" s="46"/>
      <c r="D35" s="46"/>
      <c r="E35" s="46"/>
      <c r="F35" s="46"/>
      <c r="G35" s="703" t="s">
        <v>174</v>
      </c>
      <c r="H35" s="241">
        <v>0.6</v>
      </c>
      <c r="I35" s="237"/>
      <c r="J35" s="237"/>
      <c r="K35" s="237"/>
      <c r="L35" s="236"/>
    </row>
    <row r="36" spans="2:12" x14ac:dyDescent="0.25">
      <c r="B36" s="235"/>
      <c r="C36" s="46"/>
      <c r="D36" s="46"/>
      <c r="E36" s="46"/>
      <c r="F36" s="46"/>
      <c r="G36" s="703" t="s">
        <v>175</v>
      </c>
      <c r="H36" s="242">
        <f>NPV(H35,E33:H33)</f>
        <v>-376685.15648269519</v>
      </c>
      <c r="I36" s="237"/>
      <c r="J36" s="237"/>
      <c r="K36" s="237"/>
      <c r="L36" s="236"/>
    </row>
    <row r="37" spans="2:12" x14ac:dyDescent="0.25">
      <c r="B37" s="235"/>
      <c r="C37" s="46"/>
      <c r="D37" s="46"/>
      <c r="E37" s="46"/>
      <c r="F37" s="46"/>
      <c r="G37" s="703" t="s">
        <v>176</v>
      </c>
      <c r="H37" s="243">
        <f>IRR(E33:H33,H35)</f>
        <v>0.44415063358480178</v>
      </c>
      <c r="I37" s="237"/>
      <c r="J37" s="237"/>
      <c r="K37" s="237"/>
      <c r="L37" s="236"/>
    </row>
    <row r="38" spans="2:12" ht="15.75" thickBot="1" x14ac:dyDescent="0.3">
      <c r="B38" s="238"/>
      <c r="C38" s="192"/>
      <c r="D38" s="192"/>
      <c r="E38" s="192"/>
      <c r="F38" s="192"/>
      <c r="G38" s="192"/>
      <c r="H38" s="192"/>
      <c r="I38" s="239"/>
      <c r="J38" s="239"/>
      <c r="K38" s="239"/>
      <c r="L38" s="240"/>
    </row>
  </sheetData>
  <mergeCells count="13">
    <mergeCell ref="G1:I1"/>
    <mergeCell ref="F14:H14"/>
    <mergeCell ref="C15:D15"/>
    <mergeCell ref="K15:K16"/>
    <mergeCell ref="C16:D16"/>
    <mergeCell ref="C29:D29"/>
    <mergeCell ref="F6:H6"/>
    <mergeCell ref="C14:D14"/>
    <mergeCell ref="C24:C26"/>
    <mergeCell ref="C4:K4"/>
    <mergeCell ref="K7:K9"/>
    <mergeCell ref="K11:K13"/>
    <mergeCell ref="E18:H18"/>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42"/>
  <sheetViews>
    <sheetView tabSelected="1" zoomScale="70" zoomScaleNormal="70" workbookViewId="0">
      <pane ySplit="1" topLeftCell="A2" activePane="bottomLeft" state="frozen"/>
      <selection pane="bottomLeft" activeCell="Q39" sqref="Q39"/>
    </sheetView>
  </sheetViews>
  <sheetFormatPr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0.42578125" style="1" customWidth="1"/>
    <col min="8" max="8" width="24.28515625" style="1" bestFit="1" customWidth="1"/>
    <col min="9" max="9" width="16.7109375" style="1" bestFit="1" customWidth="1"/>
    <col min="10" max="11" width="20.28515625" style="1" bestFit="1" customWidth="1"/>
    <col min="12" max="12" width="6.28515625" style="1" customWidth="1"/>
    <col min="13" max="13" width="34.140625" style="1" customWidth="1"/>
    <col min="14" max="14" width="28.42578125" style="1" customWidth="1"/>
    <col min="15" max="16384" width="11.42578125" style="1"/>
  </cols>
  <sheetData>
    <row r="1" spans="1:15" s="262" customFormat="1" ht="58.5" customHeight="1" x14ac:dyDescent="0.25">
      <c r="A1" s="263"/>
      <c r="B1" s="263"/>
      <c r="C1" s="263"/>
      <c r="D1" s="263"/>
      <c r="E1" s="263"/>
      <c r="F1" s="264" t="s">
        <v>12</v>
      </c>
      <c r="G1" s="265"/>
      <c r="H1" s="265"/>
      <c r="I1" s="263"/>
      <c r="J1" s="263"/>
      <c r="K1" s="263"/>
      <c r="L1" s="263"/>
      <c r="M1" s="263"/>
      <c r="N1" s="263"/>
      <c r="O1" s="263"/>
    </row>
    <row r="2" spans="1:15" ht="15.75" thickBot="1" x14ac:dyDescent="0.3"/>
    <row r="3" spans="1:15" ht="21.75" thickBot="1" x14ac:dyDescent="0.4">
      <c r="C3" s="1071" t="s">
        <v>216</v>
      </c>
      <c r="D3" s="1072"/>
      <c r="E3" s="1072"/>
      <c r="F3" s="1072"/>
      <c r="G3" s="1072"/>
      <c r="H3" s="1072"/>
      <c r="I3" s="1072"/>
      <c r="J3" s="1072"/>
      <c r="K3" s="1072"/>
      <c r="L3" s="1072"/>
      <c r="M3" s="1072"/>
      <c r="N3" s="1073"/>
    </row>
    <row r="4" spans="1:15" ht="15.75" thickBot="1" x14ac:dyDescent="0.3"/>
    <row r="5" spans="1:15" ht="15.75" customHeight="1" thickBot="1" x14ac:dyDescent="0.3">
      <c r="C5" s="118" t="s">
        <v>214</v>
      </c>
      <c r="F5" s="46"/>
      <c r="G5" s="46"/>
      <c r="H5" s="46"/>
      <c r="I5" s="1090" t="s">
        <v>32</v>
      </c>
      <c r="J5" s="1091"/>
      <c r="K5" s="1092"/>
    </row>
    <row r="6" spans="1:15" x14ac:dyDescent="0.25">
      <c r="C6" s="1087" t="s">
        <v>210</v>
      </c>
      <c r="H6" s="46"/>
      <c r="I6" s="215">
        <v>2019</v>
      </c>
      <c r="J6" s="215">
        <v>2020</v>
      </c>
      <c r="K6" s="215">
        <v>2021</v>
      </c>
    </row>
    <row r="7" spans="1:15" x14ac:dyDescent="0.25">
      <c r="C7" s="1088"/>
      <c r="H7" s="46"/>
      <c r="I7" s="213">
        <f>'4️⃣ Escenario 3'!F8</f>
        <v>0.03</v>
      </c>
      <c r="J7" s="213">
        <f>'4️⃣ Escenario 3'!G8</f>
        <v>7.0000000000000007E-2</v>
      </c>
      <c r="K7" s="213">
        <f>'4️⃣ Escenario 3'!H8</f>
        <v>0.12</v>
      </c>
    </row>
    <row r="8" spans="1:15" ht="15.75" thickBot="1" x14ac:dyDescent="0.3">
      <c r="C8" s="1089"/>
      <c r="H8" s="219" t="s">
        <v>206</v>
      </c>
      <c r="I8" s="227">
        <f>'4️⃣ Escenario 3'!F9</f>
        <v>18750000</v>
      </c>
      <c r="J8" s="227">
        <f>'4️⃣ Escenario 3'!G9</f>
        <v>43750000.000000007</v>
      </c>
      <c r="K8" s="227">
        <f>'4️⃣ Escenario 3'!H9</f>
        <v>75000000</v>
      </c>
    </row>
    <row r="9" spans="1:15" ht="15.75" thickBot="1" x14ac:dyDescent="0.3">
      <c r="C9" s="118" t="s">
        <v>180</v>
      </c>
      <c r="F9" s="46"/>
      <c r="G9" s="46"/>
      <c r="H9" s="219" t="s">
        <v>164</v>
      </c>
      <c r="I9" s="214">
        <f>'4️⃣ Escenario 3'!F10</f>
        <v>2828400</v>
      </c>
      <c r="J9" s="214">
        <f>'4️⃣ Escenario 3'!G10</f>
        <v>3292920</v>
      </c>
      <c r="K9" s="214">
        <f>'4️⃣ Escenario 3'!H10</f>
        <v>3962001.6000000006</v>
      </c>
    </row>
    <row r="10" spans="1:15" x14ac:dyDescent="0.25">
      <c r="C10" s="1087" t="s">
        <v>211</v>
      </c>
      <c r="F10" s="46"/>
      <c r="G10" s="46"/>
      <c r="H10" s="219" t="s">
        <v>147</v>
      </c>
      <c r="I10" s="214">
        <f>'4️⃣ Escenario 3'!F11</f>
        <v>931100</v>
      </c>
      <c r="J10" s="214">
        <f>'4️⃣ Escenario 3'!G11</f>
        <v>2879000</v>
      </c>
      <c r="K10" s="214">
        <f>'4️⃣ Escenario 3'!H11</f>
        <v>6043550</v>
      </c>
    </row>
    <row r="11" spans="1:15" x14ac:dyDescent="0.25">
      <c r="C11" s="1088"/>
      <c r="F11" s="46"/>
      <c r="G11" s="46"/>
      <c r="H11" s="219" t="s">
        <v>204</v>
      </c>
      <c r="I11" s="214">
        <f>'4️⃣ Escenario 3'!F12</f>
        <v>16346610.640000002</v>
      </c>
      <c r="J11" s="214">
        <f>'4️⃣ Escenario 3'!G12</f>
        <v>29562208.922499999</v>
      </c>
      <c r="K11" s="214">
        <f>'4️⃣ Escenario 3'!H12</f>
        <v>53106550.25</v>
      </c>
    </row>
    <row r="12" spans="1:15" ht="15.75" thickBot="1" x14ac:dyDescent="0.3">
      <c r="C12" s="1089"/>
      <c r="F12" s="46"/>
      <c r="G12" s="46"/>
      <c r="H12" s="46"/>
      <c r="I12" s="46"/>
      <c r="J12" s="46"/>
      <c r="K12" s="46"/>
    </row>
    <row r="13" spans="1:15" ht="15.75" thickBot="1" x14ac:dyDescent="0.3">
      <c r="C13" s="118" t="s">
        <v>181</v>
      </c>
      <c r="H13" s="46"/>
      <c r="I13" s="226" t="s">
        <v>157</v>
      </c>
      <c r="J13" s="211"/>
      <c r="K13" s="212"/>
    </row>
    <row r="14" spans="1:15" ht="19.5" customHeight="1" thickBot="1" x14ac:dyDescent="0.3">
      <c r="C14" s="229" t="s">
        <v>212</v>
      </c>
      <c r="H14" s="46"/>
      <c r="I14" s="144">
        <v>2019</v>
      </c>
      <c r="J14" s="144">
        <v>2020</v>
      </c>
      <c r="K14" s="144">
        <v>2021</v>
      </c>
    </row>
    <row r="15" spans="1:15" x14ac:dyDescent="0.25">
      <c r="H15" s="228"/>
      <c r="I15" s="214">
        <f>'4️⃣ Escenario 3'!F16</f>
        <v>444333.33333333337</v>
      </c>
      <c r="J15" s="214">
        <f>'4️⃣ Escenario 3'!G16</f>
        <v>763000</v>
      </c>
      <c r="K15" s="214">
        <f>'4️⃣ Escenario 3'!H16</f>
        <v>1212333.3333333333</v>
      </c>
    </row>
    <row r="16" spans="1:15" ht="15.75" thickBot="1" x14ac:dyDescent="0.3">
      <c r="C16" s="46"/>
      <c r="F16" s="46"/>
      <c r="G16" s="46"/>
      <c r="H16" s="228"/>
      <c r="I16" s="38"/>
      <c r="J16" s="38"/>
      <c r="K16" s="38"/>
    </row>
    <row r="17" spans="3:14" ht="15.75" thickBot="1" x14ac:dyDescent="0.3">
      <c r="C17" s="257" t="s">
        <v>215</v>
      </c>
      <c r="F17" s="46"/>
      <c r="G17" s="46"/>
      <c r="H17" s="226" t="s">
        <v>151</v>
      </c>
      <c r="I17" s="211"/>
      <c r="J17" s="211"/>
      <c r="K17" s="212"/>
    </row>
    <row r="18" spans="3:14" ht="15" customHeight="1" x14ac:dyDescent="0.25">
      <c r="C18" s="1078" t="s">
        <v>223</v>
      </c>
      <c r="F18" s="46"/>
      <c r="G18" s="46"/>
      <c r="H18" s="215" t="s">
        <v>152</v>
      </c>
      <c r="I18" s="215">
        <v>2019</v>
      </c>
      <c r="J18" s="215">
        <v>2020</v>
      </c>
      <c r="K18" s="215">
        <v>2021</v>
      </c>
    </row>
    <row r="19" spans="3:14" ht="30" customHeight="1" x14ac:dyDescent="0.25">
      <c r="C19" s="1079"/>
      <c r="F19" s="46"/>
      <c r="G19" s="46"/>
      <c r="H19" s="214">
        <f>'4️⃣ Escenario 3'!E20</f>
        <v>1939500</v>
      </c>
      <c r="I19" s="214">
        <f>'4️⃣ Escenario 3'!F20</f>
        <v>0</v>
      </c>
      <c r="J19" s="214">
        <f>'4️⃣ Escenario 3'!G20</f>
        <v>1211500</v>
      </c>
      <c r="K19" s="214">
        <f>'4️⃣ Escenario 3'!H20</f>
        <v>1749500</v>
      </c>
    </row>
    <row r="20" spans="3:14" x14ac:dyDescent="0.25">
      <c r="C20" s="1079"/>
      <c r="F20" s="46"/>
      <c r="G20" s="46"/>
      <c r="H20" s="46"/>
      <c r="I20" s="46"/>
      <c r="J20" s="46"/>
      <c r="K20" s="46"/>
    </row>
    <row r="21" spans="3:14" x14ac:dyDescent="0.25">
      <c r="C21" s="1079"/>
      <c r="F21" s="46"/>
      <c r="G21" s="46"/>
      <c r="H21" s="216" t="s">
        <v>178</v>
      </c>
      <c r="I21" s="216">
        <v>2019</v>
      </c>
      <c r="J21" s="216">
        <v>2020</v>
      </c>
      <c r="K21" s="216">
        <v>2021</v>
      </c>
      <c r="M21" s="1076" t="s">
        <v>218</v>
      </c>
      <c r="N21" s="1077"/>
    </row>
    <row r="22" spans="3:14" x14ac:dyDescent="0.25">
      <c r="C22" s="1079"/>
      <c r="F22" s="217" t="s">
        <v>37</v>
      </c>
      <c r="G22" s="218"/>
      <c r="H22" s="222" t="s">
        <v>165</v>
      </c>
      <c r="I22" s="223">
        <f>I8</f>
        <v>18750000</v>
      </c>
      <c r="J22" s="246">
        <f>J8*M23</f>
        <v>39375000.000000007</v>
      </c>
      <c r="K22" s="246">
        <f>K8*N23</f>
        <v>69000000</v>
      </c>
      <c r="M22" s="215">
        <v>2020</v>
      </c>
      <c r="N22" s="215">
        <v>2021</v>
      </c>
    </row>
    <row r="23" spans="3:14" x14ac:dyDescent="0.25">
      <c r="C23" s="1079"/>
      <c r="F23" s="1093" t="s">
        <v>166</v>
      </c>
      <c r="G23" s="219" t="s">
        <v>201</v>
      </c>
      <c r="H23" s="222" t="s">
        <v>165</v>
      </c>
      <c r="I23" s="223">
        <f>I9</f>
        <v>2828400</v>
      </c>
      <c r="J23" s="223">
        <f>J9</f>
        <v>3292920</v>
      </c>
      <c r="K23" s="223">
        <f>K9</f>
        <v>3962001.6000000006</v>
      </c>
      <c r="M23" s="247">
        <v>0.9</v>
      </c>
      <c r="N23" s="247">
        <v>0.92</v>
      </c>
    </row>
    <row r="24" spans="3:14" x14ac:dyDescent="0.25">
      <c r="C24" s="1079"/>
      <c r="F24" s="1094"/>
      <c r="G24" s="219" t="s">
        <v>202</v>
      </c>
      <c r="H24" s="222" t="s">
        <v>165</v>
      </c>
      <c r="I24" s="223">
        <f>I10</f>
        <v>931100</v>
      </c>
      <c r="J24" s="246">
        <f>J10*M23</f>
        <v>2591100</v>
      </c>
      <c r="K24" s="246">
        <f>K10*N23</f>
        <v>5560066</v>
      </c>
    </row>
    <row r="25" spans="3:14" x14ac:dyDescent="0.25">
      <c r="C25" s="1079"/>
      <c r="F25" s="1095"/>
      <c r="G25" s="219" t="s">
        <v>203</v>
      </c>
      <c r="H25" s="222" t="s">
        <v>165</v>
      </c>
      <c r="I25" s="223">
        <f>I11</f>
        <v>16346610.640000002</v>
      </c>
      <c r="J25" s="259">
        <f>J11-N30</f>
        <v>29012550.112500001</v>
      </c>
      <c r="K25" s="260">
        <f>K11-N31</f>
        <v>51309471.159999996</v>
      </c>
    </row>
    <row r="26" spans="3:14" x14ac:dyDescent="0.25">
      <c r="C26" s="1079"/>
      <c r="F26" s="220" t="s">
        <v>167</v>
      </c>
      <c r="G26" s="221"/>
      <c r="H26" s="224" t="s">
        <v>165</v>
      </c>
      <c r="I26" s="225">
        <f>I22-I23-I24-I25</f>
        <v>-1356110.6400000025</v>
      </c>
      <c r="J26" s="225">
        <f>J22-J23-J24-J25</f>
        <v>4478429.8875000067</v>
      </c>
      <c r="K26" s="225">
        <f>K22-K23-K24-K25</f>
        <v>8168461.2400000021</v>
      </c>
    </row>
    <row r="27" spans="3:14" x14ac:dyDescent="0.25">
      <c r="C27" s="1079"/>
      <c r="F27" s="220" t="s">
        <v>168</v>
      </c>
      <c r="G27" s="221"/>
      <c r="H27" s="92" t="s">
        <v>165</v>
      </c>
      <c r="I27" s="223">
        <f>I22*0.03</f>
        <v>562500</v>
      </c>
      <c r="J27" s="223">
        <f>J22*0.03</f>
        <v>1181250.0000000002</v>
      </c>
      <c r="K27" s="223">
        <f>K22*0.03</f>
        <v>2070000</v>
      </c>
    </row>
    <row r="28" spans="3:14" x14ac:dyDescent="0.25">
      <c r="C28" s="1079"/>
      <c r="F28" s="1096" t="s">
        <v>169</v>
      </c>
      <c r="G28" s="1097"/>
      <c r="H28" s="92"/>
      <c r="I28" s="223">
        <f>I26-I27</f>
        <v>-1918610.6400000025</v>
      </c>
      <c r="J28" s="223">
        <f>J26-J27-J15</f>
        <v>2534179.8875000067</v>
      </c>
      <c r="K28" s="223">
        <f>K26-K27-K15</f>
        <v>4886127.9066666691</v>
      </c>
      <c r="M28" s="1076" t="s">
        <v>219</v>
      </c>
      <c r="N28" s="1077"/>
    </row>
    <row r="29" spans="3:14" x14ac:dyDescent="0.25">
      <c r="C29" s="1079"/>
      <c r="F29" s="220" t="s">
        <v>170</v>
      </c>
      <c r="G29" s="221"/>
      <c r="H29" s="92" t="s">
        <v>165</v>
      </c>
      <c r="I29" s="223">
        <v>0</v>
      </c>
      <c r="J29" s="223">
        <v>0</v>
      </c>
      <c r="K29" s="223">
        <f>0.35*J28</f>
        <v>886962.96062500228</v>
      </c>
      <c r="M29" s="254" t="s">
        <v>220</v>
      </c>
      <c r="N29" s="258">
        <v>1234590</v>
      </c>
    </row>
    <row r="30" spans="3:14" x14ac:dyDescent="0.25">
      <c r="C30" s="1079"/>
      <c r="F30" s="220" t="s">
        <v>171</v>
      </c>
      <c r="G30" s="221"/>
      <c r="H30" s="224" t="s">
        <v>165</v>
      </c>
      <c r="I30" s="225">
        <f>I26-I27-I29</f>
        <v>-1918610.6400000025</v>
      </c>
      <c r="J30" s="225">
        <f>J26-J27-J29</f>
        <v>3297179.8875000067</v>
      </c>
      <c r="K30" s="225">
        <f>K26-K27-K29</f>
        <v>5211498.2793749999</v>
      </c>
      <c r="M30" s="255" t="s">
        <v>222</v>
      </c>
      <c r="N30" s="259">
        <f>549658.81</f>
        <v>549658.81000000006</v>
      </c>
    </row>
    <row r="31" spans="3:14" x14ac:dyDescent="0.25">
      <c r="C31" s="1079"/>
      <c r="F31" s="220" t="s">
        <v>172</v>
      </c>
      <c r="G31" s="221"/>
      <c r="H31" s="223">
        <f>-H19</f>
        <v>-1939500</v>
      </c>
      <c r="I31" s="223">
        <f>-I19</f>
        <v>0</v>
      </c>
      <c r="J31" s="223">
        <f>-J19</f>
        <v>-1211500</v>
      </c>
      <c r="K31" s="258">
        <f>-K19+N29</f>
        <v>-514910</v>
      </c>
      <c r="M31" s="255" t="s">
        <v>221</v>
      </c>
      <c r="N31" s="260">
        <f>634277.41+824488.21+338313.47</f>
        <v>1797079.09</v>
      </c>
    </row>
    <row r="32" spans="3:14" x14ac:dyDescent="0.25">
      <c r="C32" s="1079"/>
      <c r="F32" s="220" t="s">
        <v>173</v>
      </c>
      <c r="G32" s="221"/>
      <c r="H32" s="225">
        <f>H31</f>
        <v>-1939500</v>
      </c>
      <c r="I32" s="225">
        <f>I30+I31</f>
        <v>-1918610.6400000025</v>
      </c>
      <c r="J32" s="225">
        <f>J30+J31</f>
        <v>2085679.8875000067</v>
      </c>
      <c r="K32" s="225">
        <f>K30+K31</f>
        <v>4696588.2793749999</v>
      </c>
    </row>
    <row r="33" spans="3:14" ht="15.75" thickBot="1" x14ac:dyDescent="0.3">
      <c r="C33" s="1079"/>
      <c r="F33" s="46"/>
      <c r="G33" s="46"/>
      <c r="H33" s="46"/>
      <c r="I33" s="46"/>
      <c r="J33" s="46"/>
      <c r="K33" s="46"/>
      <c r="N33" s="256"/>
    </row>
    <row r="34" spans="3:14" ht="15.75" thickBot="1" x14ac:dyDescent="0.3">
      <c r="C34" s="1079"/>
      <c r="F34" s="46"/>
      <c r="G34" s="1074" t="s">
        <v>191</v>
      </c>
      <c r="H34" s="1075"/>
      <c r="I34" s="46"/>
      <c r="J34" s="1074" t="s">
        <v>217</v>
      </c>
      <c r="K34" s="1075"/>
    </row>
    <row r="35" spans="3:14" x14ac:dyDescent="0.25">
      <c r="C35" s="1079"/>
      <c r="F35" s="46"/>
      <c r="G35" s="248" t="s">
        <v>174</v>
      </c>
      <c r="H35" s="249">
        <v>0.6</v>
      </c>
      <c r="I35" s="46"/>
      <c r="J35" s="248" t="s">
        <v>174</v>
      </c>
      <c r="K35" s="249">
        <v>0.6</v>
      </c>
    </row>
    <row r="36" spans="3:14" x14ac:dyDescent="0.25">
      <c r="C36" s="1079"/>
      <c r="F36" s="46"/>
      <c r="G36" s="250" t="s">
        <v>175</v>
      </c>
      <c r="H36" s="251"/>
      <c r="I36" s="46"/>
      <c r="J36" s="250" t="s">
        <v>175</v>
      </c>
      <c r="K36" s="251"/>
    </row>
    <row r="37" spans="3:14" ht="15.75" thickBot="1" x14ac:dyDescent="0.3">
      <c r="C37" s="1079"/>
      <c r="G37" s="252" t="s">
        <v>176</v>
      </c>
      <c r="H37" s="253"/>
      <c r="J37" s="252" t="s">
        <v>176</v>
      </c>
      <c r="K37" s="253"/>
    </row>
    <row r="38" spans="3:14" x14ac:dyDescent="0.25">
      <c r="C38" s="1079"/>
    </row>
    <row r="39" spans="3:14" ht="15.75" thickBot="1" x14ac:dyDescent="0.3">
      <c r="C39" s="1080"/>
    </row>
    <row r="40" spans="3:14" ht="15" customHeight="1" x14ac:dyDescent="0.25">
      <c r="G40" s="1081" t="s">
        <v>98</v>
      </c>
      <c r="H40" s="1082"/>
      <c r="I40" s="1082"/>
      <c r="J40" s="1082"/>
      <c r="K40" s="1083"/>
    </row>
    <row r="41" spans="3:14" ht="3" customHeight="1" thickBot="1" x14ac:dyDescent="0.3">
      <c r="G41" s="1084"/>
      <c r="H41" s="1085"/>
      <c r="I41" s="1085"/>
      <c r="J41" s="1085"/>
      <c r="K41" s="1086"/>
    </row>
    <row r="42" spans="3:14" ht="69.75" customHeight="1" thickBot="1" x14ac:dyDescent="0.3">
      <c r="G42" s="1068" t="s">
        <v>224</v>
      </c>
      <c r="H42" s="1069"/>
      <c r="I42" s="1069"/>
      <c r="J42" s="1069"/>
      <c r="K42" s="1070"/>
    </row>
  </sheetData>
  <mergeCells count="13">
    <mergeCell ref="G42:K42"/>
    <mergeCell ref="C3:N3"/>
    <mergeCell ref="G34:H34"/>
    <mergeCell ref="J34:K34"/>
    <mergeCell ref="M28:N28"/>
    <mergeCell ref="C18:C39"/>
    <mergeCell ref="G40:K41"/>
    <mergeCell ref="C6:C8"/>
    <mergeCell ref="C10:C12"/>
    <mergeCell ref="I5:K5"/>
    <mergeCell ref="M21:N21"/>
    <mergeCell ref="F23:F25"/>
    <mergeCell ref="F28:G28"/>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19"/>
  <sheetViews>
    <sheetView workbookViewId="0">
      <selection activeCell="D6" sqref="D6"/>
    </sheetView>
  </sheetViews>
  <sheetFormatPr defaultColWidth="11.42578125"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row r="1" spans="1:10" ht="33.75" customHeight="1" x14ac:dyDescent="0.25">
      <c r="B1" s="19"/>
      <c r="C1" s="15" t="s">
        <v>17</v>
      </c>
      <c r="D1" s="7"/>
      <c r="E1" s="4"/>
    </row>
    <row r="2" spans="1:10" x14ac:dyDescent="0.25">
      <c r="B2" s="13" t="s">
        <v>16</v>
      </c>
      <c r="C2" s="20">
        <v>3072029</v>
      </c>
      <c r="D2" s="6"/>
      <c r="E2" s="5"/>
      <c r="H2" s="8">
        <v>2019</v>
      </c>
      <c r="I2" s="9">
        <v>3072029</v>
      </c>
      <c r="J2" s="10"/>
    </row>
    <row r="3" spans="1:10" x14ac:dyDescent="0.25">
      <c r="B3" s="18" t="s">
        <v>18</v>
      </c>
      <c r="C3" s="14">
        <v>44938712</v>
      </c>
      <c r="D3" s="6"/>
      <c r="E3" s="5"/>
      <c r="H3" s="11">
        <v>2019</v>
      </c>
      <c r="I3" s="12">
        <v>17370144</v>
      </c>
      <c r="J3" s="10"/>
    </row>
    <row r="4" spans="1:10" x14ac:dyDescent="0.25">
      <c r="B4" s="13" t="s">
        <v>24</v>
      </c>
      <c r="C4" s="14">
        <f>C3*32/100</f>
        <v>14380387.84</v>
      </c>
      <c r="E4" s="5"/>
      <c r="H4" s="8">
        <v>2019</v>
      </c>
      <c r="I4" s="9">
        <v>44938712</v>
      </c>
      <c r="J4" s="10">
        <f>I4*32/100</f>
        <v>14380387.84</v>
      </c>
    </row>
    <row r="5" spans="1:10" x14ac:dyDescent="0.25">
      <c r="B5" s="16" t="s">
        <v>19</v>
      </c>
      <c r="C5" s="17">
        <f>C4+C2</f>
        <v>17452416.84</v>
      </c>
    </row>
    <row r="6" spans="1:10" x14ac:dyDescent="0.25">
      <c r="B6" s="4"/>
    </row>
    <row r="7" spans="1:10" x14ac:dyDescent="0.25">
      <c r="A7" t="s">
        <v>21</v>
      </c>
      <c r="B7" s="4" t="s">
        <v>20</v>
      </c>
    </row>
    <row r="8" spans="1:10" x14ac:dyDescent="0.25">
      <c r="A8" t="s">
        <v>23</v>
      </c>
      <c r="B8" s="4" t="s">
        <v>22</v>
      </c>
    </row>
    <row r="11" spans="1:10" ht="15.75" thickBot="1" x14ac:dyDescent="0.3">
      <c r="B11" s="1"/>
      <c r="C11" s="1"/>
      <c r="D11" s="1"/>
      <c r="E11" s="1"/>
      <c r="F11" s="1"/>
      <c r="G11" s="1"/>
      <c r="H11" s="1"/>
      <c r="I11" s="1"/>
      <c r="J11" s="1"/>
    </row>
    <row r="12" spans="1:10" ht="27" thickBot="1" x14ac:dyDescent="0.45">
      <c r="B12" s="1098" t="s">
        <v>15</v>
      </c>
      <c r="C12" s="1099"/>
      <c r="D12" s="1099"/>
      <c r="E12" s="1099"/>
      <c r="F12" s="1099"/>
      <c r="G12" s="1099"/>
      <c r="H12" s="1099"/>
      <c r="I12" s="1099"/>
      <c r="J12" s="1100"/>
    </row>
    <row r="13" spans="1:10" ht="18.75" x14ac:dyDescent="0.25">
      <c r="B13" s="1101" t="s">
        <v>31</v>
      </c>
      <c r="C13" s="1102"/>
      <c r="D13" s="1102"/>
      <c r="E13" s="1102"/>
      <c r="F13" s="1102"/>
      <c r="G13" s="1102"/>
      <c r="H13" s="1102"/>
      <c r="I13" s="1102"/>
      <c r="J13" s="1103"/>
    </row>
    <row r="14" spans="1:10" x14ac:dyDescent="0.25">
      <c r="B14" s="1"/>
      <c r="C14" s="1"/>
      <c r="D14" s="1"/>
      <c r="E14" s="1"/>
      <c r="F14" s="1"/>
      <c r="G14" s="1"/>
      <c r="H14" s="1"/>
      <c r="I14" s="1"/>
      <c r="J14" s="1"/>
    </row>
    <row r="15" spans="1:10" x14ac:dyDescent="0.25">
      <c r="B15" s="19"/>
      <c r="C15" s="22" t="s">
        <v>26</v>
      </c>
      <c r="D15" s="1"/>
      <c r="E15" s="1"/>
      <c r="F15" s="1"/>
      <c r="G15" s="1"/>
      <c r="H15" s="1"/>
      <c r="I15" s="1"/>
      <c r="J15" s="1"/>
    </row>
    <row r="16" spans="1:10" x14ac:dyDescent="0.25">
      <c r="B16" s="32" t="s">
        <v>16</v>
      </c>
      <c r="C16" s="23">
        <v>3072029</v>
      </c>
      <c r="D16" s="1"/>
      <c r="E16" s="1"/>
      <c r="F16" s="1"/>
      <c r="G16" s="1"/>
      <c r="H16" s="1"/>
      <c r="I16" s="1"/>
      <c r="J16" s="1"/>
    </row>
    <row r="17" spans="2:10" x14ac:dyDescent="0.25">
      <c r="B17" s="33" t="s">
        <v>18</v>
      </c>
      <c r="C17" s="24">
        <v>44938712</v>
      </c>
      <c r="D17" s="1"/>
      <c r="E17" s="1"/>
      <c r="F17" s="1"/>
      <c r="G17" s="1"/>
      <c r="H17" s="1"/>
      <c r="I17" s="1"/>
      <c r="J17" s="1"/>
    </row>
    <row r="18" spans="2:10" x14ac:dyDescent="0.25">
      <c r="B18" s="32" t="s">
        <v>24</v>
      </c>
      <c r="C18" s="24">
        <f>ROUND(C17*32/100,0)</f>
        <v>14380388</v>
      </c>
      <c r="D18" s="1"/>
      <c r="E18" s="1"/>
      <c r="F18" s="1"/>
      <c r="G18" s="1"/>
      <c r="H18" s="1"/>
      <c r="I18" s="1"/>
      <c r="J18" s="1"/>
    </row>
    <row r="19" spans="2:10" x14ac:dyDescent="0.25">
      <c r="B19" s="34" t="s">
        <v>27</v>
      </c>
      <c r="C19" s="25">
        <f>C18+C16</f>
        <v>17452417</v>
      </c>
      <c r="D19" s="1" t="s">
        <v>25</v>
      </c>
      <c r="E19" s="1"/>
      <c r="F19" s="1"/>
      <c r="G19" s="1"/>
      <c r="H19" s="1"/>
      <c r="I19" s="1"/>
      <c r="J19" s="1"/>
    </row>
  </sheetData>
  <mergeCells count="2">
    <mergeCell ref="B12:J12"/>
    <mergeCell ref="B13:J13"/>
  </mergeCells>
  <hyperlinks>
    <hyperlink ref="B7" r:id="rId1" xr:uid="{00000000-0004-0000-1200-000000000000}"/>
    <hyperlink ref="B8"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C1:F18"/>
  <sheetViews>
    <sheetView workbookViewId="0"/>
  </sheetViews>
  <sheetFormatPr defaultColWidth="11.42578125" defaultRowHeight="15" x14ac:dyDescent="0.25"/>
  <cols>
    <col min="1" max="1" width="11.42578125" style="262"/>
    <col min="2" max="2" width="13" style="262" customWidth="1"/>
    <col min="3" max="3" width="4.85546875" style="262" customWidth="1"/>
    <col min="4" max="4" width="39.140625" style="262" customWidth="1"/>
    <col min="5" max="16384" width="11.42578125" style="262"/>
  </cols>
  <sheetData>
    <row r="1" spans="3:6" ht="15.75" thickBot="1" x14ac:dyDescent="0.3">
      <c r="D1" s="261"/>
    </row>
    <row r="2" spans="3:6" ht="27.75" customHeight="1" thickTop="1" thickBot="1" x14ac:dyDescent="0.3">
      <c r="C2" s="712" t="s">
        <v>14</v>
      </c>
      <c r="D2" s="713"/>
    </row>
    <row r="3" spans="3:6" ht="16.5" thickTop="1" thickBot="1" x14ac:dyDescent="0.3">
      <c r="C3" s="510"/>
    </row>
    <row r="4" spans="3:6" ht="18.75" x14ac:dyDescent="0.25">
      <c r="C4" s="642">
        <v>1</v>
      </c>
      <c r="D4" s="643" t="s">
        <v>1</v>
      </c>
    </row>
    <row r="5" spans="3:6" ht="18.75" x14ac:dyDescent="0.25">
      <c r="C5" s="511">
        <v>2</v>
      </c>
      <c r="D5" s="512" t="s">
        <v>2</v>
      </c>
    </row>
    <row r="6" spans="3:6" ht="18.75" x14ac:dyDescent="0.25">
      <c r="C6" s="511">
        <v>3</v>
      </c>
      <c r="D6" s="512" t="s">
        <v>3</v>
      </c>
    </row>
    <row r="7" spans="3:6" ht="18.75" x14ac:dyDescent="0.25">
      <c r="C7" s="511">
        <v>4</v>
      </c>
      <c r="D7" s="512" t="s">
        <v>4</v>
      </c>
    </row>
    <row r="8" spans="3:6" ht="18.75" x14ac:dyDescent="0.25">
      <c r="C8" s="511">
        <v>5</v>
      </c>
      <c r="D8" s="512" t="s">
        <v>5</v>
      </c>
    </row>
    <row r="9" spans="3:6" ht="18.75" x14ac:dyDescent="0.25">
      <c r="C9" s="511">
        <v>6</v>
      </c>
      <c r="D9" s="512" t="s">
        <v>6</v>
      </c>
    </row>
    <row r="10" spans="3:6" ht="18.75" x14ac:dyDescent="0.25">
      <c r="C10" s="511">
        <v>7</v>
      </c>
      <c r="D10" s="512" t="s">
        <v>7</v>
      </c>
    </row>
    <row r="11" spans="3:6" ht="18.75" x14ac:dyDescent="0.25">
      <c r="C11" s="511">
        <v>8</v>
      </c>
      <c r="D11" s="512" t="s">
        <v>8</v>
      </c>
    </row>
    <row r="12" spans="3:6" ht="18.75" x14ac:dyDescent="0.25">
      <c r="C12" s="511">
        <v>9</v>
      </c>
      <c r="D12" s="512" t="s">
        <v>9</v>
      </c>
    </row>
    <row r="13" spans="3:6" ht="18.75" x14ac:dyDescent="0.25">
      <c r="C13" s="511">
        <v>10</v>
      </c>
      <c r="D13" s="512" t="s">
        <v>10</v>
      </c>
    </row>
    <row r="14" spans="3:6" ht="18.75" x14ac:dyDescent="0.25">
      <c r="C14" s="511">
        <v>11</v>
      </c>
      <c r="D14" s="512" t="s">
        <v>11</v>
      </c>
    </row>
    <row r="15" spans="3:6" ht="18.75" x14ac:dyDescent="0.25">
      <c r="C15" s="511">
        <v>12</v>
      </c>
      <c r="D15" s="512" t="s">
        <v>200</v>
      </c>
      <c r="F15" s="509"/>
    </row>
    <row r="16" spans="3:6" ht="18.75" x14ac:dyDescent="0.25">
      <c r="C16" s="511">
        <v>13</v>
      </c>
      <c r="D16" s="512" t="s">
        <v>186</v>
      </c>
    </row>
    <row r="17" spans="3:4" ht="18.75" x14ac:dyDescent="0.25">
      <c r="C17" s="511">
        <v>14</v>
      </c>
      <c r="D17" s="512" t="s">
        <v>191</v>
      </c>
    </row>
    <row r="18" spans="3:4" ht="19.5" thickBot="1" x14ac:dyDescent="0.3">
      <c r="C18" s="513">
        <v>15</v>
      </c>
      <c r="D18" s="514" t="s">
        <v>12</v>
      </c>
    </row>
  </sheetData>
  <mergeCells count="1">
    <mergeCell ref="C2:D2"/>
  </mergeCells>
  <hyperlinks>
    <hyperlink ref="D4" location="'1️⃣ Hipótesis'!A1" display="Hipótesis" xr:uid="{00000000-0004-0000-0100-000000000000}"/>
    <hyperlink ref="D5" location="'2️⃣ Proy. ventas'!A1" display="Proyección de ventas" xr:uid="{00000000-0004-0000-0100-000001000000}"/>
    <hyperlink ref="D6" location="'3️⃣ Mod. ingresos'!A1" display="Modelo de ingresos" xr:uid="{00000000-0004-0000-0100-000002000000}"/>
    <hyperlink ref="D7" location="'4️⃣ Costos fijos'!A1" display="Estructura de costos fijos" xr:uid="{00000000-0004-0000-0100-000003000000}"/>
    <hyperlink ref="D8" location="'5️⃣ Costos variables'!A1" display="Estructura de costos variables" xr:uid="{00000000-0004-0000-0100-000004000000}"/>
    <hyperlink ref="D9" location="'6️⃣ Costos RRHH'!A1" display="Estructura de costos de RRHH" xr:uid="{00000000-0004-0000-0100-000005000000}"/>
    <hyperlink ref="D10" location="'7️⃣ Mod. egresos'!A1" display="Modelo de egresos" xr:uid="{00000000-0004-0000-0100-000006000000}"/>
    <hyperlink ref="D11" location="'8️⃣ Mod. inversión'!A1" display="Modelo de inversión" xr:uid="{00000000-0004-0000-0100-000007000000}"/>
    <hyperlink ref="D12" location="'9️⃣ Amortizaciones'!A1" display="Amortizaciones" xr:uid="{00000000-0004-0000-0100-000008000000}"/>
    <hyperlink ref="D13" location="'🔟 Presupuesto financiero'!A1" display="Presupuesto Financiero" xr:uid="{00000000-0004-0000-0100-000009000000}"/>
    <hyperlink ref="D14" location="'Matriz Riesgo'!A1" display="Matriz de riesgos" xr:uid="{00000000-0004-0000-0100-00000A000000}"/>
    <hyperlink ref="D15" location="'Escenario 1'!A1" display="Escenario 1" xr:uid="{00000000-0004-0000-0100-00000B000000}"/>
    <hyperlink ref="D18" location="'Plan de Contingencia'!A1" display="Plan de contingencia" xr:uid="{00000000-0004-0000-0100-00000C000000}"/>
    <hyperlink ref="D16" location="'Escenario 2'!A1" display="Escenario 2" xr:uid="{00000000-0004-0000-0100-00000D000000}"/>
    <hyperlink ref="D17" location="'Escenario 3'!A1" display="Escenario 3" xr:uid="{00000000-0004-0000-0100-00000E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M65"/>
  <sheetViews>
    <sheetView zoomScale="80" zoomScaleNormal="80" workbookViewId="0">
      <pane ySplit="1" topLeftCell="A44" activePane="bottomLeft" state="frozen"/>
      <selection pane="bottomLeft" activeCell="D75" sqref="D75"/>
    </sheetView>
  </sheetViews>
  <sheetFormatPr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21.5703125" style="1" customWidth="1"/>
    <col min="7" max="7" width="11.42578125" style="1"/>
    <col min="8" max="8" width="11.5703125" style="1" customWidth="1"/>
    <col min="9" max="9" width="9.42578125" style="1" customWidth="1"/>
    <col min="10" max="12" width="11.42578125" style="1"/>
    <col min="13" max="13" width="8.85546875" style="1" customWidth="1"/>
    <col min="14" max="14" width="43.5703125" style="1" bestFit="1" customWidth="1"/>
    <col min="15" max="16384" width="11.42578125" style="1"/>
  </cols>
  <sheetData>
    <row r="1" spans="1:10" s="271" customFormat="1" ht="58.5" customHeight="1" thickTop="1" thickBot="1" x14ac:dyDescent="0.3">
      <c r="A1" s="270"/>
      <c r="E1" s="272" t="s">
        <v>1</v>
      </c>
      <c r="F1" s="273"/>
      <c r="G1" s="273"/>
    </row>
    <row r="2" spans="1:10" ht="16.5" thickTop="1" thickBot="1" x14ac:dyDescent="0.3">
      <c r="C2" s="3"/>
    </row>
    <row r="3" spans="1:10" ht="27" thickBot="1" x14ac:dyDescent="0.45">
      <c r="B3" s="714" t="s">
        <v>64</v>
      </c>
      <c r="C3" s="715"/>
      <c r="D3" s="715"/>
      <c r="E3" s="715"/>
      <c r="F3" s="715"/>
      <c r="G3" s="715"/>
      <c r="H3" s="715"/>
      <c r="I3" s="716"/>
    </row>
    <row r="4" spans="1:10" ht="54.75" customHeight="1" x14ac:dyDescent="0.25">
      <c r="B4" s="730" t="s">
        <v>229</v>
      </c>
      <c r="C4" s="731"/>
      <c r="D4" s="731"/>
      <c r="E4" s="731"/>
      <c r="F4" s="731"/>
      <c r="G4" s="731"/>
      <c r="H4" s="731"/>
      <c r="I4" s="732"/>
      <c r="J4" s="2"/>
    </row>
    <row r="5" spans="1:10" ht="46.5" customHeight="1" x14ac:dyDescent="0.25">
      <c r="B5" s="736" t="s">
        <v>230</v>
      </c>
      <c r="C5" s="737"/>
      <c r="D5" s="737"/>
      <c r="E5" s="737"/>
      <c r="F5" s="737"/>
      <c r="G5" s="737"/>
      <c r="H5" s="737"/>
      <c r="I5" s="738"/>
    </row>
    <row r="6" spans="1:10" ht="15.75" thickBot="1" x14ac:dyDescent="0.3"/>
    <row r="7" spans="1:10" ht="27" thickBot="1" x14ac:dyDescent="0.45">
      <c r="B7" s="714" t="s">
        <v>65</v>
      </c>
      <c r="C7" s="715"/>
      <c r="D7" s="715"/>
      <c r="E7" s="715"/>
      <c r="F7" s="715"/>
      <c r="G7" s="715"/>
      <c r="H7" s="715"/>
      <c r="I7" s="716"/>
    </row>
    <row r="8" spans="1:10" ht="85.5" customHeight="1" x14ac:dyDescent="0.25">
      <c r="B8" s="733" t="s">
        <v>231</v>
      </c>
      <c r="C8" s="734"/>
      <c r="D8" s="734"/>
      <c r="E8" s="734"/>
      <c r="F8" s="734"/>
      <c r="G8" s="734"/>
      <c r="H8" s="734"/>
      <c r="I8" s="735"/>
    </row>
    <row r="9" spans="1:10" ht="18.75" x14ac:dyDescent="0.25">
      <c r="B9" s="59"/>
      <c r="C9" s="59"/>
      <c r="D9" s="59"/>
      <c r="E9" s="59"/>
      <c r="F9" s="59"/>
      <c r="G9" s="59"/>
      <c r="H9" s="59"/>
      <c r="I9" s="59"/>
    </row>
    <row r="10" spans="1:10" ht="18.75" x14ac:dyDescent="0.25">
      <c r="B10" s="59"/>
      <c r="C10" s="59"/>
      <c r="D10" s="59"/>
      <c r="E10" s="59"/>
      <c r="F10" s="59"/>
      <c r="G10" s="59"/>
      <c r="H10" s="59"/>
      <c r="I10" s="59"/>
    </row>
    <row r="11" spans="1:10" ht="18.75" x14ac:dyDescent="0.25">
      <c r="B11" s="278" t="s">
        <v>225</v>
      </c>
      <c r="C11" s="278" t="s">
        <v>226</v>
      </c>
      <c r="D11" s="278" t="s">
        <v>35</v>
      </c>
      <c r="E11" s="59"/>
      <c r="F11" s="59"/>
      <c r="G11" s="59"/>
      <c r="H11" s="59"/>
      <c r="I11" s="59"/>
    </row>
    <row r="12" spans="1:10" ht="21" customHeight="1" x14ac:dyDescent="0.25">
      <c r="B12" s="279">
        <v>250</v>
      </c>
      <c r="C12" s="280">
        <v>2500000</v>
      </c>
      <c r="D12" s="281">
        <f>B12*C12</f>
        <v>625000000</v>
      </c>
      <c r="E12" s="59"/>
      <c r="F12" s="59"/>
      <c r="G12" s="59"/>
      <c r="H12" s="59"/>
      <c r="I12" s="59"/>
    </row>
    <row r="13" spans="1:10" ht="12" customHeight="1" x14ac:dyDescent="0.25">
      <c r="B13" s="59"/>
      <c r="C13" s="59"/>
      <c r="D13" s="59"/>
      <c r="E13" s="59"/>
      <c r="F13" s="59"/>
      <c r="G13" s="59"/>
      <c r="H13" s="59"/>
      <c r="I13" s="59"/>
    </row>
    <row r="14" spans="1:10" ht="12.75" customHeight="1" thickBot="1" x14ac:dyDescent="0.3"/>
    <row r="15" spans="1:10" ht="27" thickBot="1" x14ac:dyDescent="0.45">
      <c r="B15" s="714" t="s">
        <v>66</v>
      </c>
      <c r="C15" s="715"/>
      <c r="D15" s="715"/>
      <c r="E15" s="715"/>
      <c r="F15" s="715"/>
      <c r="G15" s="715"/>
      <c r="H15" s="715"/>
      <c r="I15" s="716"/>
    </row>
    <row r="16" spans="1:10" ht="63.75" customHeight="1" x14ac:dyDescent="0.25">
      <c r="B16" s="733" t="s">
        <v>255</v>
      </c>
      <c r="C16" s="734"/>
      <c r="D16" s="734"/>
      <c r="E16" s="734"/>
      <c r="F16" s="734"/>
      <c r="G16" s="734"/>
      <c r="H16" s="734"/>
      <c r="I16" s="735"/>
    </row>
    <row r="17" spans="2:13" ht="15.75" x14ac:dyDescent="0.25">
      <c r="B17" s="21"/>
      <c r="C17" s="21"/>
      <c r="D17" s="21"/>
      <c r="E17" s="21"/>
      <c r="F17" s="21"/>
      <c r="G17" s="21"/>
      <c r="H17" s="21"/>
      <c r="I17" s="21"/>
      <c r="J17" s="21"/>
      <c r="K17" s="21"/>
      <c r="L17" s="21"/>
      <c r="M17" s="21"/>
    </row>
    <row r="18" spans="2:13" ht="15.75" x14ac:dyDescent="0.25">
      <c r="E18" s="21"/>
      <c r="F18" s="21"/>
      <c r="G18" s="21"/>
      <c r="H18" s="21"/>
      <c r="I18" s="21"/>
      <c r="J18" s="21"/>
      <c r="K18" s="21"/>
      <c r="L18" s="21"/>
      <c r="M18" s="21"/>
    </row>
    <row r="19" spans="2:13" ht="15.75" x14ac:dyDescent="0.25">
      <c r="E19" s="21"/>
      <c r="F19" s="21"/>
      <c r="G19" s="21"/>
      <c r="H19" s="21"/>
      <c r="I19" s="21"/>
      <c r="J19" s="21"/>
      <c r="K19" s="21"/>
      <c r="L19" s="21"/>
      <c r="M19" s="21"/>
    </row>
    <row r="20" spans="2:13" ht="15.75" x14ac:dyDescent="0.25">
      <c r="D20" s="21"/>
      <c r="E20" s="21"/>
      <c r="F20" s="21"/>
      <c r="G20" s="21"/>
      <c r="H20" s="21"/>
      <c r="I20" s="21"/>
      <c r="J20" s="21"/>
      <c r="K20" s="21"/>
      <c r="L20" s="21"/>
      <c r="M20" s="21"/>
    </row>
    <row r="21" spans="2:13" ht="15.75" x14ac:dyDescent="0.25">
      <c r="B21" s="21"/>
      <c r="C21" s="21"/>
      <c r="D21" s="21"/>
      <c r="E21" s="21"/>
      <c r="F21" s="21"/>
      <c r="G21" s="21"/>
      <c r="H21" s="21"/>
      <c r="I21" s="21"/>
      <c r="J21" s="21"/>
      <c r="K21" s="21"/>
      <c r="L21" s="21"/>
      <c r="M21" s="21"/>
    </row>
    <row r="22" spans="2:13" ht="26.25" customHeight="1" x14ac:dyDescent="0.4">
      <c r="B22" s="717" t="s">
        <v>62</v>
      </c>
      <c r="C22" s="717"/>
      <c r="D22" s="717"/>
      <c r="E22" s="21"/>
      <c r="F22" s="21"/>
      <c r="G22" s="21"/>
      <c r="H22" s="21"/>
      <c r="I22" s="21"/>
      <c r="J22" s="21"/>
      <c r="K22" s="21"/>
      <c r="L22" s="21"/>
      <c r="M22" s="21"/>
    </row>
    <row r="23" spans="2:13" ht="18.75" x14ac:dyDescent="0.25">
      <c r="B23" s="274" t="s">
        <v>33</v>
      </c>
      <c r="C23" s="274" t="s">
        <v>34</v>
      </c>
      <c r="D23" s="274" t="s">
        <v>19</v>
      </c>
      <c r="E23" s="21"/>
      <c r="F23" s="21"/>
      <c r="G23" s="21"/>
      <c r="H23" s="21"/>
      <c r="I23" s="21"/>
      <c r="J23" s="21"/>
      <c r="K23" s="21"/>
      <c r="L23" s="21"/>
      <c r="M23" s="21"/>
    </row>
    <row r="24" spans="2:13" ht="15.75" x14ac:dyDescent="0.25">
      <c r="B24" s="275">
        <v>2022</v>
      </c>
      <c r="C24" s="276">
        <v>0.03</v>
      </c>
      <c r="D24" s="277">
        <f>C24*$D$12</f>
        <v>18750000</v>
      </c>
      <c r="E24" s="21"/>
      <c r="F24" s="21"/>
      <c r="G24" s="21"/>
      <c r="H24" s="21"/>
      <c r="I24" s="21"/>
      <c r="J24" s="21"/>
      <c r="K24" s="21"/>
      <c r="L24" s="21"/>
      <c r="M24" s="21"/>
    </row>
    <row r="25" spans="2:13" ht="15.75" x14ac:dyDescent="0.25">
      <c r="B25" s="275">
        <v>2023</v>
      </c>
      <c r="C25" s="276">
        <v>7.0000000000000007E-2</v>
      </c>
      <c r="D25" s="277">
        <f>C25*$D$12</f>
        <v>43750000.000000007</v>
      </c>
      <c r="E25" s="21"/>
      <c r="F25" s="21"/>
      <c r="G25" s="21"/>
      <c r="H25" s="21"/>
      <c r="I25" s="21"/>
      <c r="J25" s="21"/>
      <c r="K25" s="21"/>
      <c r="L25" s="21"/>
      <c r="M25" s="21"/>
    </row>
    <row r="26" spans="2:13" ht="15.75" x14ac:dyDescent="0.25">
      <c r="B26" s="275">
        <v>2024</v>
      </c>
      <c r="C26" s="276">
        <v>0.12</v>
      </c>
      <c r="D26" s="277">
        <f>C26*$D$12</f>
        <v>75000000</v>
      </c>
      <c r="E26" s="21"/>
      <c r="F26" s="21"/>
      <c r="G26" s="21"/>
      <c r="H26" s="21"/>
      <c r="I26" s="21"/>
      <c r="J26" s="21"/>
      <c r="K26" s="21"/>
      <c r="L26" s="21"/>
      <c r="M26" s="21"/>
    </row>
    <row r="27" spans="2:13" ht="15.75" x14ac:dyDescent="0.25">
      <c r="B27" s="21"/>
      <c r="C27" s="47"/>
      <c r="D27" s="48"/>
      <c r="E27" s="21"/>
      <c r="F27" s="21"/>
      <c r="G27" s="21"/>
      <c r="H27" s="21"/>
      <c r="I27" s="21"/>
      <c r="J27" s="21"/>
      <c r="K27" s="21"/>
      <c r="L27" s="21"/>
      <c r="M27" s="21"/>
    </row>
    <row r="28" spans="2:13" ht="15.75" x14ac:dyDescent="0.25">
      <c r="B28" s="21"/>
      <c r="C28" s="47"/>
      <c r="D28" s="48"/>
      <c r="E28" s="21"/>
      <c r="F28" s="21"/>
      <c r="G28" s="21"/>
      <c r="H28" s="21"/>
      <c r="I28" s="21"/>
      <c r="J28" s="21"/>
      <c r="K28" s="21"/>
      <c r="L28" s="21"/>
      <c r="M28" s="21"/>
    </row>
    <row r="29" spans="2:13" ht="15.75" x14ac:dyDescent="0.25">
      <c r="B29" s="21"/>
      <c r="C29" s="47"/>
      <c r="D29" s="48"/>
      <c r="E29" s="21"/>
      <c r="F29" s="21"/>
      <c r="G29" s="21"/>
      <c r="H29" s="21"/>
      <c r="I29" s="21"/>
      <c r="J29" s="21"/>
      <c r="K29" s="21"/>
      <c r="L29" s="21"/>
      <c r="M29" s="21"/>
    </row>
    <row r="30" spans="2:13" ht="15.75" x14ac:dyDescent="0.25">
      <c r="B30" s="21"/>
      <c r="C30" s="47"/>
      <c r="D30" s="48"/>
      <c r="E30" s="21"/>
      <c r="F30" s="21"/>
      <c r="G30" s="21"/>
      <c r="H30" s="21"/>
      <c r="I30" s="21"/>
      <c r="J30" s="21"/>
      <c r="K30" s="21"/>
      <c r="L30" s="21"/>
      <c r="M30" s="21"/>
    </row>
    <row r="31" spans="2:13" ht="15.75" x14ac:dyDescent="0.25">
      <c r="B31" s="21"/>
      <c r="C31" s="47"/>
      <c r="D31" s="48"/>
      <c r="E31" s="21"/>
      <c r="F31" s="21"/>
      <c r="G31" s="21"/>
      <c r="H31" s="21"/>
      <c r="I31" s="21"/>
      <c r="J31" s="21"/>
      <c r="K31" s="21"/>
      <c r="L31" s="21"/>
      <c r="M31" s="21"/>
    </row>
    <row r="32" spans="2:13" ht="16.5" thickBot="1" x14ac:dyDescent="0.3">
      <c r="B32" s="21"/>
      <c r="C32" s="21"/>
      <c r="D32" s="21"/>
      <c r="E32" s="21"/>
      <c r="F32" s="21"/>
      <c r="H32" s="21"/>
      <c r="I32" s="21"/>
      <c r="J32" s="21"/>
      <c r="K32" s="21"/>
      <c r="L32" s="21"/>
      <c r="M32" s="21"/>
    </row>
    <row r="33" spans="1:13" ht="27" thickBot="1" x14ac:dyDescent="0.45">
      <c r="B33" s="714" t="s">
        <v>67</v>
      </c>
      <c r="C33" s="715"/>
      <c r="D33" s="715"/>
      <c r="E33" s="714"/>
      <c r="F33" s="716"/>
      <c r="H33" s="52"/>
      <c r="I33" s="52"/>
      <c r="J33" s="52"/>
      <c r="K33" s="52"/>
      <c r="L33" s="52"/>
      <c r="M33" s="52"/>
    </row>
    <row r="34" spans="1:13" ht="27" thickBot="1" x14ac:dyDescent="0.45">
      <c r="A34" s="46"/>
      <c r="B34" s="35"/>
      <c r="C34" s="35"/>
      <c r="D34" s="35"/>
      <c r="E34" s="35"/>
      <c r="F34" s="35"/>
      <c r="G34" s="46"/>
      <c r="H34" s="52"/>
      <c r="I34" s="52"/>
      <c r="J34" s="52"/>
      <c r="K34" s="52"/>
      <c r="L34" s="52"/>
      <c r="M34" s="52"/>
    </row>
    <row r="35" spans="1:13" ht="27" thickBot="1" x14ac:dyDescent="0.45">
      <c r="B35" s="714" t="s">
        <v>306</v>
      </c>
      <c r="C35" s="715"/>
      <c r="D35" s="715"/>
      <c r="E35" s="744"/>
      <c r="F35" s="745"/>
    </row>
    <row r="36" spans="1:13" ht="20.25" customHeight="1" x14ac:dyDescent="0.25">
      <c r="B36" s="26"/>
      <c r="C36" s="718" t="s">
        <v>307</v>
      </c>
      <c r="D36" s="719"/>
      <c r="E36" s="719"/>
      <c r="F36" s="720"/>
    </row>
    <row r="37" spans="1:13" ht="15" hidden="1" customHeight="1" x14ac:dyDescent="0.25">
      <c r="B37" s="26"/>
      <c r="C37" s="721"/>
      <c r="D37" s="722"/>
      <c r="E37" s="722"/>
      <c r="F37" s="723"/>
    </row>
    <row r="38" spans="1:13" ht="15.75" thickBot="1" x14ac:dyDescent="0.3">
      <c r="B38" s="26"/>
      <c r="C38" s="724"/>
      <c r="D38" s="725"/>
      <c r="E38" s="725"/>
      <c r="F38" s="726"/>
    </row>
    <row r="39" spans="1:13" ht="16.5" thickBot="1" x14ac:dyDescent="0.3">
      <c r="B39" s="26"/>
      <c r="C39" s="750" t="s">
        <v>232</v>
      </c>
      <c r="D39" s="751"/>
      <c r="E39" s="750" t="s">
        <v>233</v>
      </c>
      <c r="F39" s="751"/>
    </row>
    <row r="40" spans="1:13" ht="28.5" customHeight="1" x14ac:dyDescent="0.25">
      <c r="B40" s="727" t="s">
        <v>308</v>
      </c>
      <c r="C40" s="746" t="s">
        <v>234</v>
      </c>
      <c r="D40" s="747"/>
      <c r="E40" s="752" t="s">
        <v>246</v>
      </c>
      <c r="F40" s="753"/>
    </row>
    <row r="41" spans="1:13" ht="15" customHeight="1" x14ac:dyDescent="0.25">
      <c r="B41" s="728"/>
      <c r="C41" s="739"/>
      <c r="D41" s="740"/>
      <c r="E41" s="754"/>
      <c r="F41" s="755"/>
    </row>
    <row r="42" spans="1:13" ht="19.5" customHeight="1" x14ac:dyDescent="0.25">
      <c r="B42" s="728"/>
      <c r="C42" s="739"/>
      <c r="D42" s="740"/>
      <c r="E42" s="754"/>
      <c r="F42" s="755"/>
    </row>
    <row r="43" spans="1:13" ht="15" customHeight="1" x14ac:dyDescent="0.25">
      <c r="B43" s="728"/>
      <c r="C43" s="739" t="s">
        <v>235</v>
      </c>
      <c r="D43" s="740"/>
      <c r="E43" s="754" t="s">
        <v>247</v>
      </c>
      <c r="F43" s="755"/>
    </row>
    <row r="44" spans="1:13" ht="15" customHeight="1" x14ac:dyDescent="0.25">
      <c r="B44" s="728"/>
      <c r="C44" s="739"/>
      <c r="D44" s="740"/>
      <c r="E44" s="754"/>
      <c r="F44" s="755"/>
    </row>
    <row r="45" spans="1:13" ht="30" customHeight="1" x14ac:dyDescent="0.25">
      <c r="B45" s="728"/>
      <c r="C45" s="739"/>
      <c r="D45" s="740"/>
      <c r="E45" s="754"/>
      <c r="F45" s="755"/>
    </row>
    <row r="46" spans="1:13" ht="15" customHeight="1" x14ac:dyDescent="0.25">
      <c r="B46" s="728"/>
      <c r="C46" s="739" t="s">
        <v>236</v>
      </c>
      <c r="D46" s="740"/>
      <c r="E46" s="754" t="s">
        <v>248</v>
      </c>
      <c r="F46" s="755"/>
    </row>
    <row r="47" spans="1:13" ht="15" customHeight="1" x14ac:dyDescent="0.25">
      <c r="B47" s="728"/>
      <c r="C47" s="739"/>
      <c r="D47" s="740"/>
      <c r="E47" s="754"/>
      <c r="F47" s="755"/>
    </row>
    <row r="48" spans="1:13" ht="24" customHeight="1" x14ac:dyDescent="0.25">
      <c r="B48" s="728"/>
      <c r="C48" s="739"/>
      <c r="D48" s="740"/>
      <c r="E48" s="754"/>
      <c r="F48" s="755"/>
    </row>
    <row r="49" spans="2:6" ht="15" customHeight="1" x14ac:dyDescent="0.25">
      <c r="B49" s="728"/>
      <c r="C49" s="739" t="s">
        <v>237</v>
      </c>
      <c r="D49" s="740"/>
      <c r="E49" s="756" t="s">
        <v>249</v>
      </c>
      <c r="F49" s="757"/>
    </row>
    <row r="50" spans="2:6" ht="15" customHeight="1" x14ac:dyDescent="0.25">
      <c r="B50" s="728"/>
      <c r="C50" s="739"/>
      <c r="D50" s="740"/>
      <c r="E50" s="758"/>
      <c r="F50" s="759"/>
    </row>
    <row r="51" spans="2:6" ht="15.75" customHeight="1" x14ac:dyDescent="0.25">
      <c r="B51" s="728"/>
      <c r="C51" s="739"/>
      <c r="D51" s="740"/>
      <c r="E51" s="758"/>
      <c r="F51" s="759"/>
    </row>
    <row r="52" spans="2:6" ht="15" customHeight="1" x14ac:dyDescent="0.25">
      <c r="B52" s="728"/>
      <c r="C52" s="739"/>
      <c r="D52" s="740"/>
      <c r="E52" s="758"/>
      <c r="F52" s="759"/>
    </row>
    <row r="53" spans="2:6" ht="5.25" customHeight="1" thickBot="1" x14ac:dyDescent="0.3">
      <c r="B53" s="729"/>
      <c r="C53" s="748"/>
      <c r="D53" s="749"/>
      <c r="E53" s="760"/>
      <c r="F53" s="761"/>
    </row>
    <row r="55" spans="2:6" ht="15.75" thickBot="1" x14ac:dyDescent="0.3"/>
    <row r="56" spans="2:6" ht="27" thickBot="1" x14ac:dyDescent="0.45">
      <c r="B56" s="741" t="s">
        <v>28</v>
      </c>
      <c r="C56" s="742"/>
      <c r="D56" s="743"/>
    </row>
    <row r="57" spans="2:6" ht="18" customHeight="1" thickBot="1" x14ac:dyDescent="0.3">
      <c r="B57" s="282" t="s">
        <v>309</v>
      </c>
      <c r="C57" s="282" t="s">
        <v>30</v>
      </c>
      <c r="D57" s="282" t="s">
        <v>36</v>
      </c>
    </row>
    <row r="58" spans="2:6" ht="18" customHeight="1" x14ac:dyDescent="0.25">
      <c r="B58" s="283" t="s">
        <v>241</v>
      </c>
      <c r="C58" s="284">
        <v>2000000</v>
      </c>
      <c r="D58" s="293" t="s">
        <v>165</v>
      </c>
    </row>
    <row r="59" spans="2:6" ht="18" customHeight="1" x14ac:dyDescent="0.25">
      <c r="B59" s="283" t="s">
        <v>238</v>
      </c>
      <c r="C59" s="284">
        <v>2300000</v>
      </c>
      <c r="D59" s="293" t="s">
        <v>165</v>
      </c>
    </row>
    <row r="60" spans="2:6" ht="18" customHeight="1" x14ac:dyDescent="0.25">
      <c r="B60" s="283" t="s">
        <v>239</v>
      </c>
      <c r="C60" s="284">
        <v>2400000</v>
      </c>
      <c r="D60" s="293" t="s">
        <v>165</v>
      </c>
    </row>
    <row r="61" spans="2:6" ht="18" customHeight="1" thickBot="1" x14ac:dyDescent="0.3">
      <c r="B61" s="285" t="s">
        <v>240</v>
      </c>
      <c r="C61" s="286">
        <v>2500000</v>
      </c>
      <c r="D61" s="293" t="s">
        <v>165</v>
      </c>
    </row>
    <row r="62" spans="2:6" ht="18" customHeight="1" x14ac:dyDescent="0.25">
      <c r="B62" s="287" t="s">
        <v>242</v>
      </c>
      <c r="C62" s="288">
        <v>50000</v>
      </c>
      <c r="D62" s="294" t="s">
        <v>165</v>
      </c>
    </row>
    <row r="63" spans="2:6" ht="18" customHeight="1" x14ac:dyDescent="0.25">
      <c r="B63" s="289" t="s">
        <v>243</v>
      </c>
      <c r="C63" s="290">
        <v>60000</v>
      </c>
      <c r="D63" s="295" t="s">
        <v>165</v>
      </c>
    </row>
    <row r="64" spans="2:6" ht="18" customHeight="1" x14ac:dyDescent="0.25">
      <c r="B64" s="289" t="s">
        <v>244</v>
      </c>
      <c r="C64" s="290">
        <v>75000</v>
      </c>
      <c r="D64" s="295" t="s">
        <v>165</v>
      </c>
    </row>
    <row r="65" spans="2:4" ht="18" customHeight="1" thickBot="1" x14ac:dyDescent="0.3">
      <c r="B65" s="291" t="s">
        <v>245</v>
      </c>
      <c r="C65" s="292">
        <v>100000</v>
      </c>
      <c r="D65" s="296" t="s">
        <v>165</v>
      </c>
    </row>
  </sheetData>
  <mergeCells count="25">
    <mergeCell ref="B56:D56"/>
    <mergeCell ref="B15:I15"/>
    <mergeCell ref="B16:I16"/>
    <mergeCell ref="B33:D33"/>
    <mergeCell ref="E33:F33"/>
    <mergeCell ref="B35:D35"/>
    <mergeCell ref="E35:F35"/>
    <mergeCell ref="C40:D42"/>
    <mergeCell ref="C46:D48"/>
    <mergeCell ref="C49:D53"/>
    <mergeCell ref="C39:D39"/>
    <mergeCell ref="E40:F42"/>
    <mergeCell ref="E43:F45"/>
    <mergeCell ref="E46:F48"/>
    <mergeCell ref="E39:F39"/>
    <mergeCell ref="E49:F53"/>
    <mergeCell ref="B3:I3"/>
    <mergeCell ref="B22:D22"/>
    <mergeCell ref="C36:F38"/>
    <mergeCell ref="B40:B53"/>
    <mergeCell ref="B4:I4"/>
    <mergeCell ref="B7:I7"/>
    <mergeCell ref="B8:I8"/>
    <mergeCell ref="B5:I5"/>
    <mergeCell ref="C43:D4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W129"/>
  <sheetViews>
    <sheetView zoomScale="70" zoomScaleNormal="70" workbookViewId="0">
      <pane xSplit="2" ySplit="1" topLeftCell="R92" activePane="bottomRight" state="frozen"/>
      <selection pane="topRight" activeCell="C1" sqref="C1"/>
      <selection pane="bottomLeft" activeCell="A2" sqref="A2"/>
      <selection pane="bottomRight" activeCell="AC109" sqref="AC109"/>
    </sheetView>
  </sheetViews>
  <sheetFormatPr defaultColWidth="11.42578125" defaultRowHeight="15" x14ac:dyDescent="0.25"/>
  <cols>
    <col min="1" max="1" width="44.5703125" style="1" customWidth="1"/>
    <col min="2" max="2" width="20.5703125" style="1" customWidth="1"/>
    <col min="3" max="3" width="19" style="1" bestFit="1" customWidth="1"/>
    <col min="4" max="4" width="37.28515625" style="1" customWidth="1"/>
    <col min="5" max="5" width="15.5703125" style="1" customWidth="1"/>
    <col min="6" max="6" width="23" style="1" bestFit="1" customWidth="1"/>
    <col min="7" max="7" width="16" style="1" bestFit="1" customWidth="1"/>
    <col min="8" max="8" width="22.42578125" style="1" bestFit="1" customWidth="1"/>
    <col min="9" max="9" width="19.5703125" style="1" customWidth="1"/>
    <col min="10" max="10" width="23" style="1" bestFit="1" customWidth="1"/>
    <col min="11" max="11" width="16" style="1" bestFit="1" customWidth="1"/>
    <col min="12" max="12" width="22.42578125" style="1" bestFit="1" customWidth="1"/>
    <col min="13" max="13" width="16.5703125" style="1" bestFit="1" customWidth="1"/>
    <col min="14" max="14" width="22.28515625" style="1" bestFit="1" customWidth="1"/>
    <col min="15" max="15" width="17.28515625" style="1" bestFit="1" customWidth="1"/>
    <col min="16" max="16" width="24.85546875" style="1" customWidth="1"/>
    <col min="17" max="17" width="16" style="1" bestFit="1" customWidth="1"/>
    <col min="18" max="18" width="24.5703125" style="1" customWidth="1"/>
    <col min="19" max="19" width="16.28515625" style="1" bestFit="1" customWidth="1"/>
    <col min="20" max="20" width="24.28515625" style="1" customWidth="1"/>
    <col min="21" max="21" width="16" style="1" bestFit="1" customWidth="1"/>
    <col min="22" max="22" width="22.28515625" style="1" customWidth="1"/>
    <col min="23" max="23" width="19.42578125" style="1" customWidth="1"/>
    <col min="24" max="24" width="24.140625" style="1" customWidth="1"/>
    <col min="25" max="25" width="16.5703125" style="1" customWidth="1"/>
    <col min="26" max="26" width="21.28515625" style="1" customWidth="1"/>
    <col min="27" max="27" width="19" style="1" customWidth="1"/>
    <col min="28" max="28" width="24" style="1" customWidth="1"/>
    <col min="29" max="29" width="18.7109375" style="1" bestFit="1" customWidth="1"/>
    <col min="30" max="16384" width="11.42578125" style="1"/>
  </cols>
  <sheetData>
    <row r="1" spans="1:179" s="415" customFormat="1" ht="58.5" customHeight="1" thickTop="1" thickBot="1" x14ac:dyDescent="0.3">
      <c r="A1" s="413"/>
      <c r="B1" s="414" t="s">
        <v>2</v>
      </c>
      <c r="G1" s="416"/>
      <c r="H1" s="416"/>
      <c r="I1" s="416"/>
      <c r="J1" s="416"/>
    </row>
    <row r="2" spans="1:179" ht="15.75" thickTop="1" x14ac:dyDescent="0.25"/>
    <row r="4" spans="1:179" ht="15.75" thickBot="1" x14ac:dyDescent="0.3">
      <c r="A4" s="27"/>
      <c r="B4" s="27"/>
      <c r="C4" s="27"/>
      <c r="D4" s="27"/>
      <c r="E4" s="27"/>
      <c r="F4" s="27"/>
      <c r="G4" s="30"/>
      <c r="H4" s="30"/>
      <c r="I4" s="30"/>
      <c r="J4" s="30"/>
      <c r="K4" s="30"/>
      <c r="L4" s="30"/>
      <c r="M4" s="30"/>
      <c r="N4" s="30"/>
      <c r="O4" s="30"/>
      <c r="P4" s="30"/>
      <c r="Q4" s="30"/>
      <c r="R4" s="30"/>
      <c r="S4" s="30"/>
      <c r="T4" s="30"/>
      <c r="U4" s="30"/>
      <c r="V4" s="30"/>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row>
    <row r="5" spans="1:179" s="46" customFormat="1" ht="27" thickBot="1" x14ac:dyDescent="0.45">
      <c r="A5" s="28"/>
      <c r="B5" s="793" t="s">
        <v>32</v>
      </c>
      <c r="C5" s="794"/>
      <c r="D5" s="795"/>
      <c r="E5" s="1"/>
      <c r="F5" s="1"/>
      <c r="G5" s="793" t="s">
        <v>55</v>
      </c>
      <c r="H5" s="794"/>
      <c r="I5" s="794"/>
      <c r="J5" s="794"/>
      <c r="K5" s="794"/>
      <c r="L5" s="795"/>
      <c r="M5" s="35"/>
      <c r="N5" s="35"/>
      <c r="O5" s="35"/>
      <c r="P5" s="35"/>
      <c r="Q5" s="35"/>
      <c r="R5" s="35"/>
      <c r="S5" s="35"/>
      <c r="T5" s="35"/>
      <c r="U5" s="35"/>
      <c r="AJ5" s="30"/>
      <c r="AK5" s="30"/>
      <c r="AL5" s="30"/>
      <c r="AM5" s="30"/>
      <c r="AN5" s="30"/>
      <c r="AO5" s="30"/>
      <c r="AP5" s="30"/>
      <c r="AQ5" s="30"/>
      <c r="AR5" s="30"/>
      <c r="AS5" s="30"/>
      <c r="AT5" s="30"/>
      <c r="AU5" s="30"/>
      <c r="AV5" s="30"/>
      <c r="AW5" s="30"/>
    </row>
    <row r="6" spans="1:179" s="46" customFormat="1" ht="30" customHeight="1" thickBot="1" x14ac:dyDescent="0.3">
      <c r="A6" s="29"/>
      <c r="B6" s="313">
        <v>2022</v>
      </c>
      <c r="C6" s="313">
        <v>2023</v>
      </c>
      <c r="D6" s="313">
        <v>2024</v>
      </c>
      <c r="E6" s="1"/>
      <c r="F6" s="1"/>
      <c r="G6" s="774" t="s">
        <v>259</v>
      </c>
      <c r="H6" s="775"/>
      <c r="I6" s="775"/>
      <c r="J6" s="775"/>
      <c r="K6" s="775"/>
      <c r="L6" s="776"/>
      <c r="M6" s="45"/>
      <c r="N6" s="45"/>
      <c r="O6" s="45"/>
      <c r="P6" s="45"/>
      <c r="Q6" s="45"/>
      <c r="R6" s="45"/>
      <c r="S6" s="45"/>
      <c r="T6" s="45"/>
      <c r="U6" s="45"/>
      <c r="AJ6" s="30"/>
      <c r="AK6" s="30"/>
      <c r="AL6" s="30"/>
      <c r="AM6" s="30"/>
      <c r="AN6" s="30"/>
      <c r="AO6" s="30"/>
      <c r="AP6" s="30"/>
      <c r="AQ6" s="30"/>
      <c r="AR6" s="30"/>
      <c r="AS6" s="30"/>
      <c r="AT6" s="30"/>
      <c r="AU6" s="30"/>
      <c r="AV6" s="30"/>
      <c r="AW6" s="30"/>
    </row>
    <row r="7" spans="1:179" s="46" customFormat="1" ht="21" customHeight="1" x14ac:dyDescent="0.25">
      <c r="A7" s="29"/>
      <c r="B7" s="314">
        <f>'1️⃣ Hipótesis'!C24</f>
        <v>0.03</v>
      </c>
      <c r="C7" s="315">
        <f>'1️⃣ Hipótesis'!C25</f>
        <v>7.0000000000000007E-2</v>
      </c>
      <c r="D7" s="316">
        <f>'1️⃣ Hipótesis'!C26</f>
        <v>0.12</v>
      </c>
      <c r="E7" s="1"/>
      <c r="F7" s="1"/>
      <c r="G7" s="777"/>
      <c r="H7" s="778"/>
      <c r="I7" s="778"/>
      <c r="J7" s="778"/>
      <c r="K7" s="778"/>
      <c r="L7" s="779"/>
      <c r="M7" s="45"/>
      <c r="N7" s="45"/>
      <c r="O7" s="45"/>
      <c r="P7" s="45"/>
      <c r="Q7" s="45"/>
      <c r="R7" s="45"/>
      <c r="S7" s="45"/>
      <c r="T7" s="45"/>
      <c r="U7" s="45"/>
      <c r="AJ7" s="30"/>
      <c r="AK7" s="30"/>
      <c r="AL7" s="30"/>
      <c r="AM7" s="30"/>
      <c r="AN7" s="30"/>
      <c r="AO7" s="30"/>
      <c r="AP7" s="30"/>
      <c r="AQ7" s="30"/>
      <c r="AR7" s="30"/>
      <c r="AS7" s="30"/>
      <c r="AT7" s="30"/>
      <c r="AU7" s="30"/>
      <c r="AV7" s="30"/>
      <c r="AW7" s="30"/>
    </row>
    <row r="8" spans="1:179" s="46" customFormat="1" ht="21" customHeight="1" thickBot="1" x14ac:dyDescent="0.3">
      <c r="A8" s="29"/>
      <c r="B8" s="317">
        <f>'1️⃣ Hipótesis'!D24</f>
        <v>18750000</v>
      </c>
      <c r="C8" s="318">
        <f>'1️⃣ Hipótesis'!D25</f>
        <v>43750000.000000007</v>
      </c>
      <c r="D8" s="319">
        <f>'1️⃣ Hipótesis'!D26</f>
        <v>75000000</v>
      </c>
      <c r="E8" s="1"/>
      <c r="F8" s="1"/>
      <c r="G8" s="777"/>
      <c r="H8" s="778"/>
      <c r="I8" s="778"/>
      <c r="J8" s="778"/>
      <c r="K8" s="778"/>
      <c r="L8" s="779"/>
      <c r="M8" s="45"/>
      <c r="N8" s="45"/>
      <c r="O8" s="45"/>
      <c r="P8" s="45"/>
      <c r="Q8" s="45"/>
      <c r="R8" s="45"/>
      <c r="S8" s="45"/>
      <c r="T8" s="45"/>
      <c r="U8" s="45"/>
      <c r="AJ8" s="30"/>
      <c r="AK8" s="30"/>
      <c r="AL8" s="30"/>
      <c r="AM8" s="30"/>
      <c r="AN8" s="30"/>
      <c r="AO8" s="30"/>
      <c r="AP8" s="30"/>
      <c r="AQ8" s="30"/>
      <c r="AR8" s="30"/>
      <c r="AS8" s="30"/>
      <c r="AT8" s="30"/>
      <c r="AU8" s="30"/>
      <c r="AV8" s="30"/>
      <c r="AW8" s="30"/>
    </row>
    <row r="9" spans="1:179" s="46" customFormat="1" x14ac:dyDescent="0.25">
      <c r="A9" s="27"/>
      <c r="B9" s="27"/>
      <c r="C9" s="27"/>
      <c r="D9" s="27"/>
      <c r="E9" s="1"/>
      <c r="F9" s="1"/>
      <c r="G9" s="777"/>
      <c r="H9" s="778"/>
      <c r="I9" s="778"/>
      <c r="J9" s="778"/>
      <c r="K9" s="778"/>
      <c r="L9" s="779"/>
      <c r="M9" s="45"/>
      <c r="N9" s="45"/>
      <c r="O9" s="45"/>
      <c r="P9" s="45"/>
      <c r="Q9" s="45"/>
      <c r="R9" s="45"/>
      <c r="S9" s="45"/>
      <c r="T9" s="45"/>
      <c r="U9" s="45"/>
      <c r="AJ9" s="30"/>
      <c r="AK9" s="30"/>
      <c r="AL9" s="30"/>
      <c r="AM9" s="30"/>
      <c r="AN9" s="30"/>
      <c r="AO9" s="30"/>
      <c r="AP9" s="30"/>
      <c r="AQ9" s="30"/>
      <c r="AR9" s="30"/>
      <c r="AS9" s="30"/>
      <c r="AT9" s="30"/>
      <c r="AU9" s="30"/>
      <c r="AV9" s="30"/>
      <c r="AW9" s="30"/>
    </row>
    <row r="10" spans="1:179" s="46" customFormat="1" x14ac:dyDescent="0.25">
      <c r="A10" s="27" t="s">
        <v>50</v>
      </c>
      <c r="B10" s="27"/>
      <c r="C10" s="27"/>
      <c r="D10" s="27"/>
      <c r="E10" s="1"/>
      <c r="F10" s="1"/>
      <c r="G10" s="777"/>
      <c r="H10" s="778"/>
      <c r="I10" s="778"/>
      <c r="J10" s="778"/>
      <c r="K10" s="778"/>
      <c r="L10" s="779"/>
      <c r="M10" s="45"/>
      <c r="N10" s="45"/>
      <c r="O10" s="45"/>
      <c r="P10" s="45"/>
      <c r="Q10" s="45"/>
      <c r="R10" s="45"/>
      <c r="S10" s="45"/>
      <c r="T10" s="45"/>
      <c r="U10" s="45"/>
      <c r="AJ10" s="30"/>
      <c r="AK10" s="30"/>
      <c r="AL10" s="30"/>
      <c r="AM10" s="30"/>
      <c r="AN10" s="30"/>
      <c r="AO10" s="30"/>
      <c r="AP10" s="30"/>
      <c r="AQ10" s="30"/>
      <c r="AR10" s="30"/>
      <c r="AS10" s="30"/>
      <c r="AT10" s="30"/>
      <c r="AU10" s="30"/>
      <c r="AV10" s="30"/>
      <c r="AW10" s="30"/>
    </row>
    <row r="11" spans="1:179" s="46" customFormat="1" x14ac:dyDescent="0.25">
      <c r="A11" s="27"/>
      <c r="B11" s="27"/>
      <c r="C11" s="27"/>
      <c r="D11" s="27"/>
      <c r="E11" s="1"/>
      <c r="F11" s="1"/>
      <c r="G11" s="777"/>
      <c r="H11" s="778"/>
      <c r="I11" s="778"/>
      <c r="J11" s="778"/>
      <c r="K11" s="778"/>
      <c r="L11" s="779"/>
      <c r="M11" s="45"/>
      <c r="N11" s="45"/>
      <c r="O11" s="45"/>
      <c r="P11" s="45"/>
      <c r="Q11" s="45"/>
      <c r="R11" s="45"/>
      <c r="S11" s="45"/>
      <c r="T11" s="45"/>
      <c r="U11" s="45"/>
      <c r="AJ11" s="30"/>
      <c r="AK11" s="30"/>
      <c r="AL11" s="30"/>
      <c r="AM11" s="30"/>
      <c r="AN11" s="30"/>
      <c r="AO11" s="30"/>
      <c r="AP11" s="30"/>
      <c r="AQ11" s="30"/>
      <c r="AR11" s="30"/>
      <c r="AS11" s="30"/>
      <c r="AT11" s="30"/>
      <c r="AU11" s="30"/>
      <c r="AV11" s="30"/>
      <c r="AW11" s="30"/>
    </row>
    <row r="12" spans="1:179" s="46" customFormat="1" ht="64.5" customHeight="1" thickBot="1" x14ac:dyDescent="0.3">
      <c r="A12" s="27"/>
      <c r="B12" s="27"/>
      <c r="C12" s="27"/>
      <c r="D12" s="27"/>
      <c r="E12" s="27"/>
      <c r="F12" s="27"/>
      <c r="G12" s="780"/>
      <c r="H12" s="781"/>
      <c r="I12" s="781"/>
      <c r="J12" s="781"/>
      <c r="K12" s="781"/>
      <c r="L12" s="782"/>
      <c r="M12" s="45"/>
      <c r="N12" s="45"/>
      <c r="O12" s="45"/>
      <c r="P12" s="45"/>
      <c r="Q12" s="45"/>
      <c r="R12" s="45"/>
      <c r="S12" s="45"/>
      <c r="T12" s="45"/>
      <c r="U12" s="45"/>
      <c r="AJ12" s="30"/>
      <c r="AK12" s="30"/>
      <c r="AL12" s="30"/>
      <c r="AM12" s="30"/>
      <c r="AN12" s="30"/>
      <c r="AO12" s="30"/>
      <c r="AP12" s="30"/>
      <c r="AQ12" s="30"/>
      <c r="AR12" s="30"/>
      <c r="AS12" s="30"/>
      <c r="AT12" s="30"/>
      <c r="AU12" s="30"/>
      <c r="AV12" s="30"/>
      <c r="AW12" s="30"/>
    </row>
    <row r="13" spans="1:179" x14ac:dyDescent="0.25">
      <c r="A13" s="27"/>
      <c r="B13" s="27"/>
      <c r="C13" s="27"/>
      <c r="D13" s="27"/>
      <c r="E13" s="27"/>
      <c r="F13" s="27"/>
      <c r="G13" s="30"/>
      <c r="H13" s="30"/>
      <c r="I13" s="30"/>
      <c r="J13" s="30"/>
      <c r="K13" s="30"/>
      <c r="L13" s="30"/>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row>
    <row r="14" spans="1:179" ht="15.75" thickBot="1" x14ac:dyDescent="0.3">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row>
    <row r="15" spans="1:179" s="312" customFormat="1" ht="27" thickBot="1" x14ac:dyDescent="0.45">
      <c r="A15" s="824" t="s">
        <v>250</v>
      </c>
      <c r="B15" s="825"/>
      <c r="C15" s="825"/>
      <c r="D15" s="825"/>
      <c r="E15" s="825"/>
      <c r="F15" s="825"/>
      <c r="G15" s="825"/>
      <c r="H15" s="825"/>
      <c r="I15" s="825"/>
      <c r="J15" s="825"/>
      <c r="K15" s="825"/>
      <c r="L15" s="825"/>
      <c r="M15" s="825"/>
      <c r="N15" s="825"/>
      <c r="O15" s="825"/>
      <c r="P15" s="825"/>
      <c r="Q15" s="825"/>
      <c r="R15" s="825"/>
      <c r="S15" s="825"/>
      <c r="T15" s="825"/>
      <c r="U15" s="825"/>
      <c r="V15" s="825"/>
      <c r="W15" s="825"/>
      <c r="X15" s="825"/>
      <c r="Y15" s="825"/>
      <c r="Z15" s="825"/>
      <c r="AA15" s="825"/>
      <c r="AB15" s="825"/>
      <c r="AC15" s="336"/>
      <c r="AD15" s="337"/>
      <c r="AE15" s="337"/>
      <c r="AF15" s="337"/>
      <c r="AG15" s="337"/>
      <c r="AH15" s="337"/>
      <c r="AI15" s="337"/>
      <c r="AJ15" s="337"/>
      <c r="AK15" s="337"/>
      <c r="AL15" s="337"/>
      <c r="AM15" s="337"/>
      <c r="AN15" s="337"/>
      <c r="AO15" s="337"/>
      <c r="AP15" s="337"/>
      <c r="AQ15" s="337"/>
      <c r="AR15" s="337"/>
      <c r="AS15" s="337"/>
      <c r="AT15" s="337"/>
      <c r="AU15" s="337"/>
      <c r="AV15" s="337"/>
      <c r="AW15" s="337"/>
      <c r="AX15" s="338"/>
      <c r="AY15" s="338"/>
      <c r="AZ15" s="338"/>
      <c r="BA15" s="338"/>
      <c r="BB15" s="338"/>
      <c r="BC15" s="338"/>
      <c r="BD15" s="338"/>
      <c r="BE15" s="338"/>
      <c r="BF15" s="338"/>
      <c r="BG15" s="338"/>
      <c r="BH15" s="338"/>
      <c r="BI15" s="338"/>
      <c r="BJ15" s="338"/>
      <c r="BK15" s="338"/>
      <c r="BL15" s="338"/>
      <c r="BM15" s="338"/>
      <c r="BN15" s="338"/>
      <c r="BO15" s="338"/>
      <c r="BP15" s="338"/>
      <c r="BQ15" s="338"/>
      <c r="BR15" s="338"/>
      <c r="BS15" s="338"/>
      <c r="BT15" s="338"/>
      <c r="BU15" s="338"/>
      <c r="BV15" s="338"/>
      <c r="BW15" s="338"/>
      <c r="BX15" s="338"/>
      <c r="BY15" s="338"/>
      <c r="BZ15" s="338"/>
      <c r="CA15" s="338"/>
      <c r="CB15" s="338"/>
      <c r="CC15" s="338"/>
      <c r="CD15" s="338"/>
      <c r="CE15" s="338"/>
      <c r="CF15" s="338"/>
      <c r="CG15" s="338"/>
      <c r="CH15" s="338"/>
      <c r="CI15" s="338"/>
      <c r="CJ15" s="338"/>
      <c r="CK15" s="338"/>
      <c r="CL15" s="338"/>
      <c r="CM15" s="338"/>
      <c r="CN15" s="338"/>
      <c r="CO15" s="338"/>
      <c r="CP15" s="338"/>
      <c r="CQ15" s="338"/>
      <c r="CR15" s="338"/>
      <c r="CS15" s="338"/>
      <c r="CT15" s="338"/>
      <c r="CU15" s="338"/>
      <c r="CV15" s="338"/>
      <c r="CW15" s="338"/>
      <c r="CX15" s="338"/>
      <c r="CY15" s="338"/>
      <c r="CZ15" s="338"/>
      <c r="DA15" s="338"/>
      <c r="DB15" s="338"/>
      <c r="DC15" s="338"/>
      <c r="DD15" s="338"/>
      <c r="DE15" s="338"/>
      <c r="DF15" s="338"/>
      <c r="DG15" s="338"/>
      <c r="DH15" s="338"/>
      <c r="DI15" s="338"/>
      <c r="DJ15" s="338"/>
      <c r="DK15" s="338"/>
      <c r="DL15" s="338"/>
      <c r="DM15" s="338"/>
      <c r="DN15" s="338"/>
      <c r="DO15" s="338"/>
      <c r="DP15" s="338"/>
      <c r="DQ15" s="338"/>
      <c r="DR15" s="338"/>
      <c r="DS15" s="338"/>
      <c r="DT15" s="338"/>
      <c r="DU15" s="338"/>
      <c r="DV15" s="338"/>
      <c r="DW15" s="338"/>
      <c r="DX15" s="338"/>
      <c r="DY15" s="338"/>
      <c r="DZ15" s="338"/>
      <c r="EA15" s="338"/>
      <c r="EB15" s="338"/>
      <c r="EC15" s="338"/>
      <c r="ED15" s="338"/>
      <c r="EE15" s="338"/>
      <c r="EF15" s="338"/>
      <c r="EG15" s="338"/>
      <c r="EH15" s="338"/>
      <c r="EI15" s="338"/>
      <c r="EJ15" s="338"/>
      <c r="EK15" s="338"/>
      <c r="EL15" s="338"/>
      <c r="EM15" s="338"/>
      <c r="EN15" s="338"/>
      <c r="EO15" s="338"/>
      <c r="EP15" s="338"/>
      <c r="EQ15" s="338"/>
      <c r="ER15" s="338"/>
      <c r="ES15" s="338"/>
      <c r="ET15" s="338"/>
      <c r="EU15" s="338"/>
      <c r="EV15" s="338"/>
      <c r="EW15" s="338"/>
      <c r="EX15" s="338"/>
      <c r="EY15" s="338"/>
      <c r="EZ15" s="338"/>
      <c r="FA15" s="338"/>
      <c r="FB15" s="338"/>
      <c r="FC15" s="338"/>
      <c r="FD15" s="338"/>
      <c r="FE15" s="338"/>
      <c r="FF15" s="338"/>
      <c r="FG15" s="338"/>
      <c r="FH15" s="338"/>
      <c r="FI15" s="338"/>
      <c r="FJ15" s="338"/>
      <c r="FK15" s="338"/>
      <c r="FL15" s="338"/>
      <c r="FM15" s="338"/>
      <c r="FN15" s="339"/>
      <c r="FO15" s="339"/>
      <c r="FP15" s="339"/>
      <c r="FQ15" s="339"/>
      <c r="FR15" s="339"/>
      <c r="FS15" s="339"/>
      <c r="FT15" s="339"/>
      <c r="FU15" s="339"/>
      <c r="FV15" s="339"/>
      <c r="FW15" s="339"/>
    </row>
    <row r="16" spans="1:179" s="269" customFormat="1" x14ac:dyDescent="0.25">
      <c r="A16" s="815" t="s">
        <v>29</v>
      </c>
      <c r="B16" s="815" t="s">
        <v>30</v>
      </c>
      <c r="C16" s="808" t="s">
        <v>54</v>
      </c>
      <c r="D16" s="809"/>
      <c r="E16" s="766" t="s">
        <v>38</v>
      </c>
      <c r="F16" s="767"/>
      <c r="G16" s="810" t="s">
        <v>39</v>
      </c>
      <c r="H16" s="767"/>
      <c r="I16" s="790" t="s">
        <v>40</v>
      </c>
      <c r="J16" s="789"/>
      <c r="K16" s="766" t="s">
        <v>41</v>
      </c>
      <c r="L16" s="767"/>
      <c r="M16" s="790" t="s">
        <v>42</v>
      </c>
      <c r="N16" s="789"/>
      <c r="O16" s="766" t="s">
        <v>43</v>
      </c>
      <c r="P16" s="810"/>
      <c r="Q16" s="766" t="s">
        <v>44</v>
      </c>
      <c r="R16" s="767"/>
      <c r="S16" s="810" t="s">
        <v>45</v>
      </c>
      <c r="T16" s="810"/>
      <c r="U16" s="766" t="s">
        <v>46</v>
      </c>
      <c r="V16" s="767"/>
      <c r="W16" s="810" t="s">
        <v>47</v>
      </c>
      <c r="X16" s="767"/>
      <c r="Y16" s="766" t="s">
        <v>48</v>
      </c>
      <c r="Z16" s="810"/>
      <c r="AA16" s="766" t="s">
        <v>49</v>
      </c>
      <c r="AB16" s="767"/>
      <c r="AC16" s="336"/>
      <c r="AD16" s="337"/>
      <c r="AE16" s="337"/>
      <c r="AF16" s="337"/>
      <c r="AG16" s="337"/>
      <c r="AH16" s="337"/>
      <c r="AI16" s="337"/>
      <c r="AJ16" s="337"/>
      <c r="AK16" s="337"/>
      <c r="AL16" s="337"/>
      <c r="AM16" s="337"/>
      <c r="AN16" s="337"/>
      <c r="AO16" s="337"/>
      <c r="AP16" s="337"/>
      <c r="AQ16" s="337"/>
      <c r="AR16" s="337"/>
      <c r="AS16" s="337"/>
      <c r="AT16" s="337"/>
      <c r="AU16" s="337"/>
      <c r="AV16" s="337"/>
      <c r="AW16" s="337"/>
      <c r="AX16" s="338"/>
      <c r="AY16" s="338"/>
      <c r="AZ16" s="338"/>
      <c r="BA16" s="338"/>
      <c r="BB16" s="338"/>
      <c r="BC16" s="338"/>
      <c r="BD16" s="338"/>
      <c r="BE16" s="338"/>
      <c r="BF16" s="338"/>
      <c r="BG16" s="338"/>
      <c r="BH16" s="338"/>
      <c r="BI16" s="338"/>
      <c r="BJ16" s="338"/>
      <c r="BK16" s="338"/>
      <c r="BL16" s="338"/>
      <c r="BM16" s="338"/>
      <c r="BN16" s="338"/>
      <c r="BO16" s="338"/>
      <c r="BP16" s="338"/>
      <c r="BQ16" s="338"/>
      <c r="BR16" s="338"/>
      <c r="BS16" s="338"/>
      <c r="BT16" s="338"/>
      <c r="BU16" s="338"/>
      <c r="BV16" s="338"/>
      <c r="BW16" s="338"/>
      <c r="BX16" s="338"/>
      <c r="BY16" s="338"/>
      <c r="BZ16" s="338"/>
      <c r="CA16" s="338"/>
      <c r="CB16" s="338"/>
      <c r="CC16" s="338"/>
      <c r="CD16" s="338"/>
      <c r="CE16" s="338"/>
      <c r="CF16" s="338"/>
      <c r="CG16" s="338"/>
      <c r="CH16" s="338"/>
      <c r="CI16" s="338"/>
      <c r="CJ16" s="338"/>
      <c r="CK16" s="338"/>
      <c r="CL16" s="338"/>
      <c r="CM16" s="338"/>
      <c r="CN16" s="338"/>
      <c r="CO16" s="338"/>
      <c r="CP16" s="338"/>
      <c r="CQ16" s="338"/>
      <c r="CR16" s="338"/>
      <c r="CS16" s="338"/>
      <c r="CT16" s="338"/>
      <c r="CU16" s="338"/>
      <c r="CV16" s="338"/>
      <c r="CW16" s="338"/>
      <c r="CX16" s="338"/>
      <c r="CY16" s="338"/>
      <c r="CZ16" s="338"/>
      <c r="DA16" s="338"/>
      <c r="DB16" s="338"/>
      <c r="DC16" s="338"/>
      <c r="DD16" s="338"/>
      <c r="DE16" s="338"/>
      <c r="DF16" s="338"/>
      <c r="DG16" s="338"/>
      <c r="DH16" s="338"/>
      <c r="DI16" s="338"/>
      <c r="DJ16" s="338"/>
      <c r="DK16" s="338"/>
      <c r="DL16" s="338"/>
      <c r="DM16" s="338"/>
      <c r="DN16" s="338"/>
      <c r="DO16" s="338"/>
      <c r="DP16" s="338"/>
      <c r="DQ16" s="338"/>
      <c r="DR16" s="338"/>
      <c r="DS16" s="338"/>
      <c r="DT16" s="338"/>
      <c r="DU16" s="338"/>
      <c r="DV16" s="338"/>
      <c r="DW16" s="338"/>
      <c r="DX16" s="338"/>
      <c r="DY16" s="338"/>
      <c r="DZ16" s="338"/>
      <c r="EA16" s="338"/>
      <c r="EB16" s="338"/>
      <c r="EC16" s="338"/>
      <c r="ED16" s="338"/>
      <c r="EE16" s="338"/>
      <c r="EF16" s="338"/>
      <c r="EG16" s="338"/>
      <c r="EH16" s="338"/>
      <c r="EI16" s="338"/>
      <c r="EJ16" s="338"/>
      <c r="EK16" s="338"/>
      <c r="EL16" s="338"/>
      <c r="EM16" s="338"/>
      <c r="EN16" s="338"/>
      <c r="EO16" s="338"/>
      <c r="EP16" s="338"/>
      <c r="EQ16" s="338"/>
      <c r="ER16" s="338"/>
      <c r="ES16" s="338"/>
      <c r="ET16" s="338"/>
      <c r="EU16" s="338"/>
      <c r="EV16" s="338"/>
      <c r="EW16" s="338"/>
      <c r="EX16" s="338"/>
      <c r="EY16" s="338"/>
      <c r="EZ16" s="338"/>
      <c r="FA16" s="338"/>
      <c r="FB16" s="338"/>
      <c r="FC16" s="338"/>
      <c r="FD16" s="338"/>
      <c r="FE16" s="338"/>
      <c r="FF16" s="338"/>
      <c r="FG16" s="338"/>
      <c r="FH16" s="338"/>
      <c r="FI16" s="338"/>
      <c r="FJ16" s="338"/>
      <c r="FK16" s="338"/>
      <c r="FL16" s="338"/>
      <c r="FM16" s="338"/>
      <c r="FN16" s="340"/>
      <c r="FO16" s="340"/>
      <c r="FP16" s="340"/>
      <c r="FQ16" s="340"/>
      <c r="FR16" s="340"/>
      <c r="FS16" s="340"/>
      <c r="FT16" s="340"/>
      <c r="FU16" s="340"/>
      <c r="FV16" s="340"/>
      <c r="FW16" s="340"/>
    </row>
    <row r="17" spans="1:179" x14ac:dyDescent="0.25">
      <c r="A17" s="800"/>
      <c r="B17" s="800"/>
      <c r="C17" s="803" t="s">
        <v>53</v>
      </c>
      <c r="D17" s="816" t="s">
        <v>37</v>
      </c>
      <c r="E17" s="770">
        <f>F27/$D$27</f>
        <v>0.11048234977095123</v>
      </c>
      <c r="F17" s="771"/>
      <c r="G17" s="770">
        <f>H27/$D$27</f>
        <v>2.6946914578280788E-3</v>
      </c>
      <c r="H17" s="771"/>
      <c r="I17" s="770">
        <f>J27/$D$27</f>
        <v>0.11317704122877931</v>
      </c>
      <c r="J17" s="771"/>
      <c r="K17" s="770">
        <f>L27/$D$27</f>
        <v>5.3893829156561575E-3</v>
      </c>
      <c r="L17" s="771"/>
      <c r="M17" s="770">
        <f>N27/$D$27</f>
        <v>0.14335758555645378</v>
      </c>
      <c r="N17" s="771"/>
      <c r="O17" s="770">
        <f>P27/$D$27</f>
        <v>8.6230126650498513E-3</v>
      </c>
      <c r="P17" s="771"/>
      <c r="Q17" s="770">
        <f>R27/$D$27</f>
        <v>0.13527351118296954</v>
      </c>
      <c r="R17" s="771"/>
      <c r="S17" s="770">
        <f>T27/$D$27</f>
        <v>0.14928590676367556</v>
      </c>
      <c r="T17" s="771"/>
      <c r="U17" s="770">
        <f>V27/$D$27</f>
        <v>1.4551333872271624E-2</v>
      </c>
      <c r="V17" s="771"/>
      <c r="W17" s="770">
        <f>X27/$D$27</f>
        <v>0.14928590676367556</v>
      </c>
      <c r="X17" s="771"/>
      <c r="Y17" s="770">
        <f>Z27/$D$27</f>
        <v>1.9940716787927783E-2</v>
      </c>
      <c r="Z17" s="771"/>
      <c r="AA17" s="770">
        <f>AB27/$D$27</f>
        <v>0.14793856103476152</v>
      </c>
      <c r="AB17" s="771"/>
      <c r="AC17" s="336"/>
      <c r="AD17" s="337"/>
      <c r="AE17" s="337"/>
      <c r="AF17" s="337"/>
      <c r="AG17" s="337"/>
      <c r="AH17" s="337"/>
      <c r="AI17" s="337"/>
      <c r="AJ17" s="337"/>
      <c r="AK17" s="337"/>
      <c r="AL17" s="337"/>
      <c r="AM17" s="337"/>
      <c r="AN17" s="337"/>
      <c r="AO17" s="337"/>
      <c r="AP17" s="337"/>
      <c r="AQ17" s="337"/>
      <c r="AR17" s="337"/>
      <c r="AS17" s="337"/>
      <c r="AT17" s="337"/>
      <c r="AU17" s="337"/>
      <c r="AV17" s="337"/>
      <c r="AW17" s="337"/>
      <c r="AX17" s="338"/>
      <c r="AY17" s="338"/>
      <c r="AZ17" s="338"/>
      <c r="BA17" s="338"/>
      <c r="BB17" s="338"/>
      <c r="BC17" s="338"/>
      <c r="BD17" s="338"/>
      <c r="BE17" s="338"/>
      <c r="BF17" s="338"/>
      <c r="BG17" s="338"/>
      <c r="BH17" s="338"/>
      <c r="BI17" s="338"/>
      <c r="BJ17" s="338"/>
      <c r="BK17" s="338"/>
      <c r="BL17" s="338"/>
      <c r="BM17" s="338"/>
      <c r="BN17" s="338"/>
      <c r="BO17" s="338"/>
      <c r="BP17" s="338"/>
      <c r="BQ17" s="338"/>
      <c r="BR17" s="338"/>
      <c r="BS17" s="338"/>
      <c r="BT17" s="338"/>
      <c r="BU17" s="338"/>
      <c r="BV17" s="338"/>
      <c r="BW17" s="338"/>
      <c r="BX17" s="338"/>
      <c r="BY17" s="338"/>
      <c r="BZ17" s="338"/>
      <c r="CA17" s="338"/>
      <c r="CB17" s="338"/>
      <c r="CC17" s="338"/>
      <c r="CD17" s="338"/>
      <c r="CE17" s="338"/>
      <c r="CF17" s="338"/>
      <c r="CG17" s="338"/>
      <c r="CH17" s="338"/>
      <c r="CI17" s="338"/>
      <c r="CJ17" s="338"/>
      <c r="CK17" s="338"/>
      <c r="CL17" s="338"/>
      <c r="CM17" s="338"/>
      <c r="CN17" s="338"/>
      <c r="CO17" s="338"/>
      <c r="CP17" s="338"/>
      <c r="CQ17" s="338"/>
      <c r="CR17" s="338"/>
      <c r="CS17" s="338"/>
      <c r="CT17" s="338"/>
      <c r="CU17" s="338"/>
      <c r="CV17" s="338"/>
      <c r="CW17" s="338"/>
      <c r="CX17" s="338"/>
      <c r="CY17" s="338"/>
      <c r="CZ17" s="338"/>
      <c r="DA17" s="338"/>
      <c r="DB17" s="338"/>
      <c r="DC17" s="338"/>
      <c r="DD17" s="338"/>
      <c r="DE17" s="338"/>
      <c r="DF17" s="338"/>
      <c r="DG17" s="338"/>
      <c r="DH17" s="338"/>
      <c r="DI17" s="338"/>
      <c r="DJ17" s="338"/>
      <c r="DK17" s="338"/>
      <c r="DL17" s="338"/>
      <c r="DM17" s="338"/>
      <c r="DN17" s="338"/>
      <c r="DO17" s="338"/>
      <c r="DP17" s="338"/>
      <c r="DQ17" s="338"/>
      <c r="DR17" s="338"/>
      <c r="DS17" s="338"/>
      <c r="DT17" s="338"/>
      <c r="DU17" s="338"/>
      <c r="DV17" s="338"/>
      <c r="DW17" s="338"/>
      <c r="DX17" s="338"/>
      <c r="DY17" s="338"/>
      <c r="DZ17" s="338"/>
      <c r="EA17" s="338"/>
      <c r="EB17" s="338"/>
      <c r="EC17" s="338"/>
      <c r="ED17" s="338"/>
      <c r="EE17" s="338"/>
      <c r="EF17" s="338"/>
      <c r="EG17" s="338"/>
      <c r="EH17" s="338"/>
      <c r="EI17" s="338"/>
      <c r="EJ17" s="338"/>
      <c r="EK17" s="338"/>
      <c r="EL17" s="338"/>
      <c r="EM17" s="338"/>
      <c r="EN17" s="338"/>
      <c r="EO17" s="338"/>
      <c r="EP17" s="338"/>
      <c r="EQ17" s="338"/>
      <c r="ER17" s="338"/>
      <c r="ES17" s="338"/>
      <c r="ET17" s="338"/>
      <c r="EU17" s="338"/>
      <c r="EV17" s="338"/>
      <c r="EW17" s="338"/>
      <c r="EX17" s="338"/>
      <c r="EY17" s="338"/>
      <c r="EZ17" s="338"/>
      <c r="FA17" s="338"/>
      <c r="FB17" s="338"/>
      <c r="FC17" s="338"/>
      <c r="FD17" s="338"/>
      <c r="FE17" s="338"/>
      <c r="FF17" s="338"/>
      <c r="FG17" s="338"/>
      <c r="FH17" s="338"/>
      <c r="FI17" s="338"/>
      <c r="FJ17" s="338"/>
      <c r="FK17" s="338"/>
      <c r="FL17" s="338"/>
      <c r="FM17" s="338"/>
      <c r="FN17" s="341"/>
      <c r="FO17" s="341"/>
      <c r="FP17" s="341"/>
      <c r="FQ17" s="341"/>
      <c r="FR17" s="341"/>
      <c r="FS17" s="341"/>
      <c r="FT17" s="341"/>
      <c r="FU17" s="341"/>
      <c r="FV17" s="341"/>
      <c r="FW17" s="341"/>
    </row>
    <row r="18" spans="1:179" s="269" customFormat="1" ht="15.75" customHeight="1" thickBot="1" x14ac:dyDescent="0.3">
      <c r="A18" s="816"/>
      <c r="B18" s="816"/>
      <c r="C18" s="847"/>
      <c r="D18" s="848"/>
      <c r="E18" s="357" t="s">
        <v>53</v>
      </c>
      <c r="F18" s="358" t="s">
        <v>37</v>
      </c>
      <c r="G18" s="462" t="s">
        <v>53</v>
      </c>
      <c r="H18" s="468" t="s">
        <v>37</v>
      </c>
      <c r="I18" s="357" t="s">
        <v>53</v>
      </c>
      <c r="J18" s="358" t="s">
        <v>37</v>
      </c>
      <c r="K18" s="462" t="s">
        <v>53</v>
      </c>
      <c r="L18" s="468" t="s">
        <v>37</v>
      </c>
      <c r="M18" s="357" t="s">
        <v>53</v>
      </c>
      <c r="N18" s="358" t="s">
        <v>37</v>
      </c>
      <c r="O18" s="462" t="s">
        <v>53</v>
      </c>
      <c r="P18" s="468" t="s">
        <v>37</v>
      </c>
      <c r="Q18" s="357" t="s">
        <v>53</v>
      </c>
      <c r="R18" s="358" t="s">
        <v>37</v>
      </c>
      <c r="S18" s="462" t="s">
        <v>53</v>
      </c>
      <c r="T18" s="468" t="s">
        <v>37</v>
      </c>
      <c r="U18" s="357" t="s">
        <v>53</v>
      </c>
      <c r="V18" s="358" t="s">
        <v>37</v>
      </c>
      <c r="W18" s="462" t="s">
        <v>53</v>
      </c>
      <c r="X18" s="358" t="s">
        <v>37</v>
      </c>
      <c r="Y18" s="357" t="s">
        <v>53</v>
      </c>
      <c r="Z18" s="468" t="s">
        <v>37</v>
      </c>
      <c r="AA18" s="357" t="s">
        <v>53</v>
      </c>
      <c r="AB18" s="358" t="s">
        <v>37</v>
      </c>
      <c r="AC18" s="336"/>
      <c r="AD18" s="337"/>
      <c r="AE18" s="337"/>
      <c r="AF18" s="337"/>
      <c r="AG18" s="337"/>
      <c r="AH18" s="337"/>
      <c r="AI18" s="337"/>
      <c r="AJ18" s="337"/>
      <c r="AK18" s="337"/>
      <c r="AL18" s="337"/>
      <c r="AM18" s="337"/>
      <c r="AN18" s="337"/>
      <c r="AO18" s="337"/>
      <c r="AP18" s="337"/>
      <c r="AQ18" s="337"/>
      <c r="AR18" s="337"/>
      <c r="AS18" s="337"/>
      <c r="AT18" s="337"/>
      <c r="AU18" s="337"/>
      <c r="AV18" s="337"/>
      <c r="AW18" s="337"/>
      <c r="AX18" s="338"/>
      <c r="AY18" s="338"/>
      <c r="AZ18" s="338"/>
      <c r="BA18" s="338"/>
      <c r="BB18" s="338"/>
      <c r="BC18" s="338"/>
      <c r="BD18" s="338"/>
      <c r="BE18" s="338"/>
      <c r="BF18" s="338"/>
      <c r="BG18" s="338"/>
      <c r="BH18" s="338"/>
      <c r="BI18" s="338"/>
      <c r="BJ18" s="338"/>
      <c r="BK18" s="338"/>
      <c r="BL18" s="338"/>
      <c r="BM18" s="338"/>
      <c r="BN18" s="338"/>
      <c r="BO18" s="338"/>
      <c r="BP18" s="338"/>
      <c r="BQ18" s="338"/>
      <c r="BR18" s="338"/>
      <c r="BS18" s="338"/>
      <c r="BT18" s="338"/>
      <c r="BU18" s="338"/>
      <c r="BV18" s="338"/>
      <c r="BW18" s="338"/>
      <c r="BX18" s="338"/>
      <c r="BY18" s="338"/>
      <c r="BZ18" s="338"/>
      <c r="CA18" s="338"/>
      <c r="CB18" s="338"/>
      <c r="CC18" s="338"/>
      <c r="CD18" s="338"/>
      <c r="CE18" s="338"/>
      <c r="CF18" s="338"/>
      <c r="CG18" s="338"/>
      <c r="CH18" s="338"/>
      <c r="CI18" s="338"/>
      <c r="CJ18" s="338"/>
      <c r="CK18" s="338"/>
      <c r="CL18" s="338"/>
      <c r="CM18" s="338"/>
      <c r="CN18" s="338"/>
      <c r="CO18" s="338"/>
      <c r="CP18" s="338"/>
      <c r="CQ18" s="338"/>
      <c r="CR18" s="338"/>
      <c r="CS18" s="338"/>
      <c r="CT18" s="338"/>
      <c r="CU18" s="338"/>
      <c r="CV18" s="338"/>
      <c r="CW18" s="338"/>
      <c r="CX18" s="338"/>
      <c r="CY18" s="338"/>
      <c r="CZ18" s="338"/>
      <c r="DA18" s="338"/>
      <c r="DB18" s="338"/>
      <c r="DC18" s="338"/>
      <c r="DD18" s="338"/>
      <c r="DE18" s="338"/>
      <c r="DF18" s="338"/>
      <c r="DG18" s="338"/>
      <c r="DH18" s="338"/>
      <c r="DI18" s="338"/>
      <c r="DJ18" s="338"/>
      <c r="DK18" s="338"/>
      <c r="DL18" s="338"/>
      <c r="DM18" s="338"/>
      <c r="DN18" s="338"/>
      <c r="DO18" s="338"/>
      <c r="DP18" s="338"/>
      <c r="DQ18" s="338"/>
      <c r="DR18" s="338"/>
      <c r="DS18" s="338"/>
      <c r="DT18" s="338"/>
      <c r="DU18" s="338"/>
      <c r="DV18" s="338"/>
      <c r="DW18" s="338"/>
      <c r="DX18" s="338"/>
      <c r="DY18" s="338"/>
      <c r="DZ18" s="338"/>
      <c r="EA18" s="338"/>
      <c r="EB18" s="338"/>
      <c r="EC18" s="338"/>
      <c r="ED18" s="338"/>
      <c r="EE18" s="338"/>
      <c r="EF18" s="338"/>
      <c r="EG18" s="338"/>
      <c r="EH18" s="338"/>
      <c r="EI18" s="338"/>
      <c r="EJ18" s="338"/>
      <c r="EK18" s="338"/>
      <c r="EL18" s="338"/>
      <c r="EM18" s="338"/>
      <c r="EN18" s="338"/>
      <c r="EO18" s="338"/>
      <c r="EP18" s="338"/>
      <c r="EQ18" s="338"/>
      <c r="ER18" s="338"/>
      <c r="ES18" s="338"/>
      <c r="ET18" s="338"/>
      <c r="EU18" s="338"/>
      <c r="EV18" s="338"/>
      <c r="EW18" s="338"/>
      <c r="EX18" s="338"/>
      <c r="EY18" s="338"/>
      <c r="EZ18" s="338"/>
      <c r="FA18" s="338"/>
      <c r="FB18" s="338"/>
      <c r="FC18" s="338"/>
      <c r="FD18" s="338"/>
      <c r="FE18" s="338"/>
      <c r="FF18" s="338"/>
      <c r="FG18" s="338"/>
      <c r="FH18" s="338"/>
      <c r="FI18" s="338"/>
      <c r="FJ18" s="338"/>
      <c r="FK18" s="338"/>
      <c r="FL18" s="338"/>
      <c r="FM18" s="338"/>
      <c r="FN18" s="340"/>
      <c r="FO18" s="340"/>
      <c r="FP18" s="340"/>
      <c r="FQ18" s="340"/>
      <c r="FR18" s="340"/>
      <c r="FS18" s="340"/>
      <c r="FT18" s="340"/>
      <c r="FU18" s="340"/>
      <c r="FV18" s="340"/>
      <c r="FW18" s="340"/>
    </row>
    <row r="19" spans="1:179" s="305" customFormat="1" ht="15.75" x14ac:dyDescent="0.25">
      <c r="A19" s="297" t="str">
        <f>'1️⃣ Hipótesis'!B58</f>
        <v>Portal básico</v>
      </c>
      <c r="B19" s="298">
        <f>'1️⃣ Hipótesis'!C58</f>
        <v>2000000</v>
      </c>
      <c r="C19" s="1113">
        <f t="shared" ref="C19:C22" si="0">SUM(E19,G19,I19,K19,M19,O19,Q19,S19,U19,W19,Y19,AA19)</f>
        <v>2</v>
      </c>
      <c r="D19" s="1109">
        <f>B19*C19</f>
        <v>4000000</v>
      </c>
      <c r="E19" s="465">
        <v>1</v>
      </c>
      <c r="F19" s="459">
        <f>E19*$B19</f>
        <v>2000000</v>
      </c>
      <c r="G19" s="463"/>
      <c r="H19" s="469">
        <f>G19*$B19</f>
        <v>0</v>
      </c>
      <c r="I19" s="465">
        <v>1</v>
      </c>
      <c r="J19" s="459">
        <f>I19*$B19</f>
        <v>2000000</v>
      </c>
      <c r="K19" s="463"/>
      <c r="L19" s="469">
        <f>K19*$B19</f>
        <v>0</v>
      </c>
      <c r="M19" s="465"/>
      <c r="N19" s="459">
        <f>M19*$B19</f>
        <v>0</v>
      </c>
      <c r="O19" s="463"/>
      <c r="P19" s="469">
        <f>O19*$B19</f>
        <v>0</v>
      </c>
      <c r="Q19" s="465"/>
      <c r="R19" s="459">
        <f>Q19*$B19</f>
        <v>0</v>
      </c>
      <c r="S19" s="463"/>
      <c r="T19" s="469">
        <f>S19*$B19</f>
        <v>0</v>
      </c>
      <c r="U19" s="465"/>
      <c r="V19" s="459">
        <f>U19*$B19</f>
        <v>0</v>
      </c>
      <c r="W19" s="463"/>
      <c r="X19" s="459">
        <f>W19*$D19</f>
        <v>0</v>
      </c>
      <c r="Y19" s="461"/>
      <c r="Z19" s="469">
        <f>Y19*$B19</f>
        <v>0</v>
      </c>
      <c r="AA19" s="465"/>
      <c r="AB19" s="459">
        <f>AA19*$B19</f>
        <v>0</v>
      </c>
      <c r="AC19" s="342"/>
      <c r="AD19" s="338"/>
      <c r="AE19" s="338"/>
      <c r="AF19" s="338"/>
      <c r="AG19" s="338"/>
      <c r="AH19" s="338"/>
      <c r="AI19" s="338"/>
      <c r="AJ19" s="338"/>
      <c r="AK19" s="338"/>
      <c r="AL19" s="338"/>
      <c r="AM19" s="338"/>
      <c r="AN19" s="338"/>
      <c r="AO19" s="338"/>
      <c r="AP19" s="338"/>
      <c r="AQ19" s="338"/>
      <c r="AR19" s="338"/>
      <c r="AS19" s="338"/>
      <c r="AT19" s="338"/>
      <c r="AU19" s="338"/>
      <c r="AV19" s="338"/>
      <c r="AW19" s="338"/>
      <c r="AX19" s="338"/>
      <c r="AY19" s="338"/>
      <c r="AZ19" s="338"/>
      <c r="BA19" s="338"/>
      <c r="BB19" s="338"/>
      <c r="BC19" s="338"/>
      <c r="BD19" s="338"/>
      <c r="BE19" s="338"/>
      <c r="BF19" s="338"/>
      <c r="BG19" s="338"/>
      <c r="BH19" s="338"/>
      <c r="BI19" s="338"/>
      <c r="BJ19" s="338"/>
      <c r="BK19" s="338"/>
      <c r="BL19" s="338"/>
      <c r="BM19" s="338"/>
      <c r="BN19" s="338"/>
      <c r="BO19" s="338"/>
      <c r="BP19" s="338"/>
      <c r="BQ19" s="338"/>
      <c r="BR19" s="338"/>
      <c r="BS19" s="338"/>
      <c r="BT19" s="338"/>
      <c r="BU19" s="338"/>
      <c r="BV19" s="338"/>
      <c r="BW19" s="338"/>
      <c r="BX19" s="338"/>
      <c r="BY19" s="338"/>
      <c r="BZ19" s="338"/>
      <c r="CA19" s="338"/>
      <c r="CB19" s="338"/>
      <c r="CC19" s="338"/>
      <c r="CD19" s="338"/>
      <c r="CE19" s="338"/>
      <c r="CF19" s="338"/>
      <c r="CG19" s="338"/>
      <c r="CH19" s="338"/>
      <c r="CI19" s="338"/>
      <c r="CJ19" s="338"/>
      <c r="CK19" s="338"/>
      <c r="CL19" s="338"/>
      <c r="CM19" s="338"/>
      <c r="CN19" s="338"/>
      <c r="CO19" s="338"/>
      <c r="CP19" s="338"/>
      <c r="CQ19" s="338"/>
      <c r="CR19" s="338"/>
      <c r="CS19" s="338"/>
      <c r="CT19" s="338"/>
      <c r="CU19" s="338"/>
      <c r="CV19" s="338"/>
      <c r="CW19" s="338"/>
      <c r="CX19" s="338"/>
      <c r="CY19" s="338"/>
      <c r="CZ19" s="338"/>
      <c r="DA19" s="338"/>
      <c r="DB19" s="338"/>
      <c r="DC19" s="338"/>
      <c r="DD19" s="338"/>
      <c r="DE19" s="338"/>
      <c r="DF19" s="338"/>
      <c r="DG19" s="338"/>
      <c r="DH19" s="338"/>
      <c r="DI19" s="338"/>
      <c r="DJ19" s="338"/>
      <c r="DK19" s="338"/>
      <c r="DL19" s="338"/>
      <c r="DM19" s="338"/>
      <c r="DN19" s="338"/>
      <c r="DO19" s="338"/>
      <c r="DP19" s="338"/>
      <c r="DQ19" s="338"/>
      <c r="DR19" s="338"/>
      <c r="DS19" s="338"/>
      <c r="DT19" s="338"/>
      <c r="DU19" s="338"/>
      <c r="DV19" s="338"/>
      <c r="DW19" s="338"/>
      <c r="DX19" s="338"/>
      <c r="DY19" s="338"/>
      <c r="DZ19" s="338"/>
      <c r="EA19" s="338"/>
      <c r="EB19" s="338"/>
      <c r="EC19" s="338"/>
      <c r="ED19" s="338"/>
      <c r="EE19" s="338"/>
      <c r="EF19" s="338"/>
      <c r="EG19" s="338"/>
      <c r="EH19" s="338"/>
      <c r="EI19" s="338"/>
      <c r="EJ19" s="338"/>
      <c r="EK19" s="338"/>
      <c r="EL19" s="338"/>
      <c r="EM19" s="338"/>
      <c r="EN19" s="338"/>
      <c r="EO19" s="338"/>
      <c r="EP19" s="338"/>
      <c r="EQ19" s="338"/>
      <c r="ER19" s="338"/>
      <c r="ES19" s="338"/>
      <c r="ET19" s="338"/>
      <c r="EU19" s="338"/>
      <c r="EV19" s="338"/>
      <c r="EW19" s="338"/>
      <c r="EX19" s="338"/>
      <c r="EY19" s="338"/>
      <c r="EZ19" s="338"/>
      <c r="FA19" s="338"/>
      <c r="FB19" s="338"/>
      <c r="FC19" s="338"/>
      <c r="FD19" s="338"/>
      <c r="FE19" s="338"/>
      <c r="FF19" s="338"/>
      <c r="FG19" s="338"/>
      <c r="FH19" s="338"/>
      <c r="FI19" s="338"/>
      <c r="FJ19" s="338"/>
      <c r="FK19" s="338"/>
      <c r="FL19" s="338"/>
      <c r="FM19" s="338"/>
      <c r="FN19" s="343"/>
      <c r="FO19" s="343"/>
      <c r="FP19" s="343"/>
      <c r="FQ19" s="343"/>
      <c r="FR19" s="343"/>
      <c r="FS19" s="343"/>
      <c r="FT19" s="343"/>
      <c r="FU19" s="343"/>
      <c r="FV19" s="343"/>
      <c r="FW19" s="343"/>
    </row>
    <row r="20" spans="1:179" s="303" customFormat="1" ht="15.75" x14ac:dyDescent="0.25">
      <c r="A20" s="306" t="str">
        <f>'1️⃣ Hipótesis'!B59</f>
        <v>Portal aprendizaje</v>
      </c>
      <c r="B20" s="299">
        <f>'1️⃣ Hipótesis'!C59</f>
        <v>2300000</v>
      </c>
      <c r="C20" s="1114">
        <f t="shared" si="0"/>
        <v>2</v>
      </c>
      <c r="D20" s="1110">
        <f t="shared" ref="D20:D26" si="1">B20*C20</f>
        <v>4600000</v>
      </c>
      <c r="E20" s="457"/>
      <c r="F20" s="369">
        <f t="shared" ref="F20:H26" si="2">E20*$B20</f>
        <v>0</v>
      </c>
      <c r="G20" s="454"/>
      <c r="H20" s="299">
        <f t="shared" si="2"/>
        <v>0</v>
      </c>
      <c r="I20" s="457"/>
      <c r="J20" s="369">
        <f t="shared" ref="J20:L20" si="3">I20*$B20</f>
        <v>0</v>
      </c>
      <c r="K20" s="454"/>
      <c r="L20" s="299">
        <f t="shared" si="3"/>
        <v>0</v>
      </c>
      <c r="M20" s="457"/>
      <c r="N20" s="369">
        <f t="shared" ref="N20" si="4">M20*$B20</f>
        <v>0</v>
      </c>
      <c r="O20" s="454"/>
      <c r="P20" s="299">
        <f t="shared" ref="P20" si="5">O20*$B20</f>
        <v>0</v>
      </c>
      <c r="Q20" s="457">
        <v>1</v>
      </c>
      <c r="R20" s="369">
        <f t="shared" ref="R20" si="6">Q20*$B20</f>
        <v>2300000</v>
      </c>
      <c r="S20" s="454"/>
      <c r="T20" s="299">
        <f t="shared" ref="T20:T26" si="7">S20*$B20</f>
        <v>0</v>
      </c>
      <c r="U20" s="457"/>
      <c r="V20" s="369">
        <f t="shared" ref="V20:X26" si="8">U20*$B20</f>
        <v>0</v>
      </c>
      <c r="W20" s="454"/>
      <c r="X20" s="369">
        <f t="shared" ref="X20" si="9">W20*$D20</f>
        <v>0</v>
      </c>
      <c r="Y20" s="302"/>
      <c r="Z20" s="299">
        <f t="shared" ref="X20:AB26" si="10">Y20*$B20</f>
        <v>0</v>
      </c>
      <c r="AA20" s="457">
        <v>1</v>
      </c>
      <c r="AB20" s="369">
        <f t="shared" si="10"/>
        <v>2300000</v>
      </c>
      <c r="AC20" s="342"/>
      <c r="AD20" s="338"/>
      <c r="AE20" s="338"/>
      <c r="AF20" s="338"/>
      <c r="AG20" s="338"/>
      <c r="AH20" s="338"/>
      <c r="AI20" s="338"/>
      <c r="AJ20" s="338"/>
      <c r="AK20" s="338"/>
      <c r="AL20" s="338"/>
      <c r="AM20" s="338"/>
      <c r="AN20" s="338"/>
      <c r="AO20" s="338"/>
      <c r="AP20" s="338"/>
      <c r="AQ20" s="338"/>
      <c r="AR20" s="338"/>
      <c r="AS20" s="338"/>
      <c r="AT20" s="338"/>
      <c r="AU20" s="338"/>
      <c r="AV20" s="338"/>
      <c r="AW20" s="338"/>
      <c r="AX20" s="338"/>
      <c r="AY20" s="338"/>
      <c r="AZ20" s="338"/>
      <c r="BA20" s="338"/>
      <c r="BB20" s="338"/>
      <c r="BC20" s="338"/>
      <c r="BD20" s="338"/>
      <c r="BE20" s="338"/>
      <c r="BF20" s="338"/>
      <c r="BG20" s="338"/>
      <c r="BH20" s="338"/>
      <c r="BI20" s="338"/>
      <c r="BJ20" s="338"/>
      <c r="BK20" s="338"/>
      <c r="BL20" s="338"/>
      <c r="BM20" s="338"/>
      <c r="BN20" s="338"/>
      <c r="BO20" s="338"/>
      <c r="BP20" s="338"/>
      <c r="BQ20" s="338"/>
      <c r="BR20" s="338"/>
      <c r="BS20" s="338"/>
      <c r="BT20" s="338"/>
      <c r="BU20" s="338"/>
      <c r="BV20" s="338"/>
      <c r="BW20" s="338"/>
      <c r="BX20" s="338"/>
      <c r="BY20" s="338"/>
      <c r="BZ20" s="338"/>
      <c r="CA20" s="338"/>
      <c r="CB20" s="338"/>
      <c r="CC20" s="338"/>
      <c r="CD20" s="338"/>
      <c r="CE20" s="338"/>
      <c r="CF20" s="338"/>
      <c r="CG20" s="338"/>
      <c r="CH20" s="338"/>
      <c r="CI20" s="338"/>
      <c r="CJ20" s="338"/>
      <c r="CK20" s="338"/>
      <c r="CL20" s="338"/>
      <c r="CM20" s="338"/>
      <c r="CN20" s="338"/>
      <c r="CO20" s="338"/>
      <c r="CP20" s="338"/>
      <c r="CQ20" s="338"/>
      <c r="CR20" s="338"/>
      <c r="CS20" s="338"/>
      <c r="CT20" s="338"/>
      <c r="CU20" s="338"/>
      <c r="CV20" s="338"/>
      <c r="CW20" s="338"/>
      <c r="CX20" s="338"/>
      <c r="CY20" s="338"/>
      <c r="CZ20" s="338"/>
      <c r="DA20" s="338"/>
      <c r="DB20" s="338"/>
      <c r="DC20" s="338"/>
      <c r="DD20" s="338"/>
      <c r="DE20" s="338"/>
      <c r="DF20" s="338"/>
      <c r="DG20" s="338"/>
      <c r="DH20" s="338"/>
      <c r="DI20" s="338"/>
      <c r="DJ20" s="338"/>
      <c r="DK20" s="338"/>
      <c r="DL20" s="338"/>
      <c r="DM20" s="338"/>
      <c r="DN20" s="338"/>
      <c r="DO20" s="338"/>
      <c r="DP20" s="338"/>
      <c r="DQ20" s="338"/>
      <c r="DR20" s="338"/>
      <c r="DS20" s="338"/>
      <c r="DT20" s="338"/>
      <c r="DU20" s="338"/>
      <c r="DV20" s="338"/>
      <c r="DW20" s="338"/>
      <c r="DX20" s="338"/>
      <c r="DY20" s="338"/>
      <c r="DZ20" s="338"/>
      <c r="EA20" s="338"/>
      <c r="EB20" s="338"/>
      <c r="EC20" s="338"/>
      <c r="ED20" s="338"/>
      <c r="EE20" s="338"/>
      <c r="EF20" s="338"/>
      <c r="EG20" s="338"/>
      <c r="EH20" s="338"/>
      <c r="EI20" s="338"/>
      <c r="EJ20" s="338"/>
      <c r="EK20" s="338"/>
      <c r="EL20" s="338"/>
      <c r="EM20" s="338"/>
      <c r="EN20" s="338"/>
      <c r="EO20" s="338"/>
      <c r="EP20" s="338"/>
      <c r="EQ20" s="338"/>
      <c r="ER20" s="338"/>
      <c r="ES20" s="338"/>
      <c r="ET20" s="338"/>
      <c r="EU20" s="338"/>
      <c r="EV20" s="338"/>
      <c r="EW20" s="338"/>
      <c r="EX20" s="338"/>
      <c r="EY20" s="338"/>
      <c r="EZ20" s="338"/>
      <c r="FA20" s="338"/>
      <c r="FB20" s="338"/>
      <c r="FC20" s="338"/>
      <c r="FD20" s="338"/>
      <c r="FE20" s="338"/>
      <c r="FF20" s="338"/>
      <c r="FG20" s="338"/>
      <c r="FH20" s="338"/>
      <c r="FI20" s="338"/>
      <c r="FJ20" s="338"/>
      <c r="FK20" s="338"/>
      <c r="FL20" s="338"/>
      <c r="FM20" s="338"/>
      <c r="FN20" s="343"/>
      <c r="FO20" s="343"/>
      <c r="FP20" s="343"/>
      <c r="FQ20" s="343"/>
      <c r="FR20" s="343"/>
      <c r="FS20" s="343"/>
      <c r="FT20" s="343"/>
      <c r="FU20" s="343"/>
      <c r="FV20" s="343"/>
      <c r="FW20" s="343"/>
    </row>
    <row r="21" spans="1:179" s="303" customFormat="1" ht="15.75" x14ac:dyDescent="0.25">
      <c r="A21" s="306" t="str">
        <f>'1️⃣ Hipótesis'!B60</f>
        <v>Portal sugerencia</v>
      </c>
      <c r="B21" s="299">
        <f>'1️⃣ Hipótesis'!C60</f>
        <v>2400000</v>
      </c>
      <c r="C21" s="1114">
        <f t="shared" si="0"/>
        <v>1</v>
      </c>
      <c r="D21" s="1110">
        <f t="shared" si="1"/>
        <v>2400000</v>
      </c>
      <c r="E21" s="457"/>
      <c r="F21" s="369">
        <f t="shared" si="2"/>
        <v>0</v>
      </c>
      <c r="G21" s="454"/>
      <c r="H21" s="299">
        <f t="shared" si="2"/>
        <v>0</v>
      </c>
      <c r="I21" s="457"/>
      <c r="J21" s="369">
        <f t="shared" ref="J21:L21" si="11">I21*$B21</f>
        <v>0</v>
      </c>
      <c r="K21" s="454"/>
      <c r="L21" s="299">
        <f t="shared" si="11"/>
        <v>0</v>
      </c>
      <c r="M21" s="457"/>
      <c r="N21" s="369">
        <f t="shared" ref="N21" si="12">M21*$B21</f>
        <v>0</v>
      </c>
      <c r="O21" s="454"/>
      <c r="P21" s="299">
        <f t="shared" ref="P21" si="13">O21*$B21</f>
        <v>0</v>
      </c>
      <c r="Q21" s="457"/>
      <c r="R21" s="369">
        <f t="shared" ref="R21" si="14">Q21*$B21</f>
        <v>0</v>
      </c>
      <c r="S21" s="454"/>
      <c r="T21" s="299">
        <f t="shared" si="7"/>
        <v>0</v>
      </c>
      <c r="U21" s="457"/>
      <c r="V21" s="369">
        <f t="shared" si="8"/>
        <v>0</v>
      </c>
      <c r="W21" s="454">
        <v>1</v>
      </c>
      <c r="X21" s="369">
        <f t="shared" ref="X21" si="15">W21*$D21</f>
        <v>2400000</v>
      </c>
      <c r="Y21" s="302"/>
      <c r="Z21" s="299">
        <f t="shared" si="10"/>
        <v>0</v>
      </c>
      <c r="AA21" s="457"/>
      <c r="AB21" s="369">
        <f t="shared" si="10"/>
        <v>0</v>
      </c>
      <c r="AC21" s="342"/>
      <c r="AD21" s="338"/>
      <c r="AE21" s="338"/>
      <c r="AF21" s="338"/>
      <c r="AG21" s="338"/>
      <c r="AH21" s="338"/>
      <c r="AI21" s="338"/>
      <c r="AJ21" s="338"/>
      <c r="AK21" s="338"/>
      <c r="AL21" s="338"/>
      <c r="AM21" s="338"/>
      <c r="AN21" s="338"/>
      <c r="AO21" s="338"/>
      <c r="AP21" s="338"/>
      <c r="AQ21" s="338"/>
      <c r="AR21" s="338"/>
      <c r="AS21" s="338"/>
      <c r="AT21" s="338"/>
      <c r="AU21" s="338"/>
      <c r="AV21" s="338"/>
      <c r="AW21" s="338"/>
      <c r="AX21" s="338"/>
      <c r="AY21" s="338"/>
      <c r="AZ21" s="338"/>
      <c r="BA21" s="338"/>
      <c r="BB21" s="338"/>
      <c r="BC21" s="338"/>
      <c r="BD21" s="338"/>
      <c r="BE21" s="338"/>
      <c r="BF21" s="338"/>
      <c r="BG21" s="338"/>
      <c r="BH21" s="338"/>
      <c r="BI21" s="338"/>
      <c r="BJ21" s="338"/>
      <c r="BK21" s="338"/>
      <c r="BL21" s="338"/>
      <c r="BM21" s="338"/>
      <c r="BN21" s="338"/>
      <c r="BO21" s="338"/>
      <c r="BP21" s="338"/>
      <c r="BQ21" s="338"/>
      <c r="BR21" s="338"/>
      <c r="BS21" s="338"/>
      <c r="BT21" s="338"/>
      <c r="BU21" s="338"/>
      <c r="BV21" s="338"/>
      <c r="BW21" s="338"/>
      <c r="BX21" s="338"/>
      <c r="BY21" s="338"/>
      <c r="BZ21" s="338"/>
      <c r="CA21" s="338"/>
      <c r="CB21" s="338"/>
      <c r="CC21" s="338"/>
      <c r="CD21" s="338"/>
      <c r="CE21" s="338"/>
      <c r="CF21" s="338"/>
      <c r="CG21" s="338"/>
      <c r="CH21" s="338"/>
      <c r="CI21" s="338"/>
      <c r="CJ21" s="338"/>
      <c r="CK21" s="338"/>
      <c r="CL21" s="338"/>
      <c r="CM21" s="338"/>
      <c r="CN21" s="338"/>
      <c r="CO21" s="338"/>
      <c r="CP21" s="338"/>
      <c r="CQ21" s="338"/>
      <c r="CR21" s="338"/>
      <c r="CS21" s="338"/>
      <c r="CT21" s="338"/>
      <c r="CU21" s="338"/>
      <c r="CV21" s="338"/>
      <c r="CW21" s="338"/>
      <c r="CX21" s="338"/>
      <c r="CY21" s="338"/>
      <c r="CZ21" s="338"/>
      <c r="DA21" s="338"/>
      <c r="DB21" s="338"/>
      <c r="DC21" s="338"/>
      <c r="DD21" s="338"/>
      <c r="DE21" s="338"/>
      <c r="DF21" s="338"/>
      <c r="DG21" s="338"/>
      <c r="DH21" s="338"/>
      <c r="DI21" s="338"/>
      <c r="DJ21" s="338"/>
      <c r="DK21" s="338"/>
      <c r="DL21" s="338"/>
      <c r="DM21" s="338"/>
      <c r="DN21" s="338"/>
      <c r="DO21" s="338"/>
      <c r="DP21" s="338"/>
      <c r="DQ21" s="338"/>
      <c r="DR21" s="338"/>
      <c r="DS21" s="338"/>
      <c r="DT21" s="338"/>
      <c r="DU21" s="338"/>
      <c r="DV21" s="338"/>
      <c r="DW21" s="338"/>
      <c r="DX21" s="338"/>
      <c r="DY21" s="338"/>
      <c r="DZ21" s="338"/>
      <c r="EA21" s="338"/>
      <c r="EB21" s="338"/>
      <c r="EC21" s="338"/>
      <c r="ED21" s="338"/>
      <c r="EE21" s="338"/>
      <c r="EF21" s="338"/>
      <c r="EG21" s="338"/>
      <c r="EH21" s="338"/>
      <c r="EI21" s="338"/>
      <c r="EJ21" s="338"/>
      <c r="EK21" s="338"/>
      <c r="EL21" s="338"/>
      <c r="EM21" s="338"/>
      <c r="EN21" s="338"/>
      <c r="EO21" s="338"/>
      <c r="EP21" s="338"/>
      <c r="EQ21" s="338"/>
      <c r="ER21" s="338"/>
      <c r="ES21" s="338"/>
      <c r="ET21" s="338"/>
      <c r="EU21" s="338"/>
      <c r="EV21" s="338"/>
      <c r="EW21" s="338"/>
      <c r="EX21" s="338"/>
      <c r="EY21" s="338"/>
      <c r="EZ21" s="338"/>
      <c r="FA21" s="338"/>
      <c r="FB21" s="338"/>
      <c r="FC21" s="338"/>
      <c r="FD21" s="338"/>
      <c r="FE21" s="338"/>
      <c r="FF21" s="338"/>
      <c r="FG21" s="338"/>
      <c r="FH21" s="338"/>
      <c r="FI21" s="338"/>
      <c r="FJ21" s="338"/>
      <c r="FK21" s="338"/>
      <c r="FL21" s="338"/>
      <c r="FM21" s="338"/>
      <c r="FN21" s="343"/>
      <c r="FO21" s="343"/>
      <c r="FP21" s="343"/>
      <c r="FQ21" s="343"/>
      <c r="FR21" s="343"/>
      <c r="FS21" s="343"/>
      <c r="FT21" s="343"/>
      <c r="FU21" s="343"/>
      <c r="FV21" s="343"/>
      <c r="FW21" s="343"/>
    </row>
    <row r="22" spans="1:179" s="309" customFormat="1" ht="16.5" thickBot="1" x14ac:dyDescent="0.3">
      <c r="A22" s="307" t="str">
        <f>'1️⃣ Hipótesis'!B61</f>
        <v>Portal experto</v>
      </c>
      <c r="B22" s="300">
        <f>'1️⃣ Hipótesis'!C61</f>
        <v>2500000</v>
      </c>
      <c r="C22" s="1115">
        <f t="shared" si="0"/>
        <v>2</v>
      </c>
      <c r="D22" s="1111">
        <f t="shared" si="1"/>
        <v>5000000</v>
      </c>
      <c r="E22" s="466"/>
      <c r="F22" s="467">
        <f t="shared" si="2"/>
        <v>0</v>
      </c>
      <c r="G22" s="464"/>
      <c r="H22" s="470">
        <f t="shared" si="2"/>
        <v>0</v>
      </c>
      <c r="I22" s="466"/>
      <c r="J22" s="467">
        <f t="shared" ref="J22:L23" si="16">I22*$B22</f>
        <v>0</v>
      </c>
      <c r="K22" s="464"/>
      <c r="L22" s="470">
        <f t="shared" si="16"/>
        <v>0</v>
      </c>
      <c r="M22" s="466">
        <v>1</v>
      </c>
      <c r="N22" s="467">
        <f t="shared" ref="N22:N23" si="17">M22*$B22</f>
        <v>2500000</v>
      </c>
      <c r="O22" s="464"/>
      <c r="P22" s="470">
        <f t="shared" ref="P22:P23" si="18">O22*$B22</f>
        <v>0</v>
      </c>
      <c r="Q22" s="466"/>
      <c r="R22" s="467">
        <f t="shared" ref="R22:R23" si="19">Q22*$B22</f>
        <v>0</v>
      </c>
      <c r="S22" s="464">
        <v>1</v>
      </c>
      <c r="T22" s="470">
        <f t="shared" si="7"/>
        <v>2500000</v>
      </c>
      <c r="U22" s="466"/>
      <c r="V22" s="467">
        <f t="shared" si="8"/>
        <v>0</v>
      </c>
      <c r="W22" s="455"/>
      <c r="X22" s="370">
        <f t="shared" ref="X22" si="20">W22*$D22</f>
        <v>0</v>
      </c>
      <c r="Y22" s="450"/>
      <c r="Z22" s="470">
        <f t="shared" si="10"/>
        <v>0</v>
      </c>
      <c r="AA22" s="466"/>
      <c r="AB22" s="467">
        <f t="shared" si="10"/>
        <v>0</v>
      </c>
      <c r="AC22" s="342"/>
      <c r="AD22" s="338"/>
      <c r="AE22" s="338"/>
      <c r="AF22" s="338"/>
      <c r="AG22" s="338"/>
      <c r="AH22" s="338"/>
      <c r="AI22" s="338"/>
      <c r="AJ22" s="338"/>
      <c r="AK22" s="338"/>
      <c r="AL22" s="338"/>
      <c r="AM22" s="338"/>
      <c r="AN22" s="338"/>
      <c r="AO22" s="338"/>
      <c r="AP22" s="338"/>
      <c r="AQ22" s="338"/>
      <c r="AR22" s="338"/>
      <c r="AS22" s="338"/>
      <c r="AT22" s="338"/>
      <c r="AU22" s="338"/>
      <c r="AV22" s="338"/>
      <c r="AW22" s="338"/>
      <c r="AX22" s="338"/>
      <c r="AY22" s="338"/>
      <c r="AZ22" s="338"/>
      <c r="BA22" s="338"/>
      <c r="BB22" s="338"/>
      <c r="BC22" s="338"/>
      <c r="BD22" s="338"/>
      <c r="BE22" s="338"/>
      <c r="BF22" s="338"/>
      <c r="BG22" s="338"/>
      <c r="BH22" s="338"/>
      <c r="BI22" s="338"/>
      <c r="BJ22" s="338"/>
      <c r="BK22" s="338"/>
      <c r="BL22" s="338"/>
      <c r="BM22" s="338"/>
      <c r="BN22" s="338"/>
      <c r="BO22" s="338"/>
      <c r="BP22" s="338"/>
      <c r="BQ22" s="338"/>
      <c r="BR22" s="338"/>
      <c r="BS22" s="338"/>
      <c r="BT22" s="338"/>
      <c r="BU22" s="338"/>
      <c r="BV22" s="338"/>
      <c r="BW22" s="338"/>
      <c r="BX22" s="338"/>
      <c r="BY22" s="338"/>
      <c r="BZ22" s="338"/>
      <c r="CA22" s="338"/>
      <c r="CB22" s="338"/>
      <c r="CC22" s="338"/>
      <c r="CD22" s="338"/>
      <c r="CE22" s="338"/>
      <c r="CF22" s="338"/>
      <c r="CG22" s="338"/>
      <c r="CH22" s="338"/>
      <c r="CI22" s="338"/>
      <c r="CJ22" s="338"/>
      <c r="CK22" s="338"/>
      <c r="CL22" s="338"/>
      <c r="CM22" s="338"/>
      <c r="CN22" s="338"/>
      <c r="CO22" s="338"/>
      <c r="CP22" s="338"/>
      <c r="CQ22" s="338"/>
      <c r="CR22" s="338"/>
      <c r="CS22" s="338"/>
      <c r="CT22" s="338"/>
      <c r="CU22" s="338"/>
      <c r="CV22" s="338"/>
      <c r="CW22" s="338"/>
      <c r="CX22" s="338"/>
      <c r="CY22" s="338"/>
      <c r="CZ22" s="338"/>
      <c r="DA22" s="338"/>
      <c r="DB22" s="338"/>
      <c r="DC22" s="338"/>
      <c r="DD22" s="338"/>
      <c r="DE22" s="338"/>
      <c r="DF22" s="338"/>
      <c r="DG22" s="338"/>
      <c r="DH22" s="338"/>
      <c r="DI22" s="338"/>
      <c r="DJ22" s="338"/>
      <c r="DK22" s="338"/>
      <c r="DL22" s="338"/>
      <c r="DM22" s="338"/>
      <c r="DN22" s="338"/>
      <c r="DO22" s="338"/>
      <c r="DP22" s="338"/>
      <c r="DQ22" s="338"/>
      <c r="DR22" s="338"/>
      <c r="DS22" s="338"/>
      <c r="DT22" s="338"/>
      <c r="DU22" s="338"/>
      <c r="DV22" s="338"/>
      <c r="DW22" s="338"/>
      <c r="DX22" s="338"/>
      <c r="DY22" s="338"/>
      <c r="DZ22" s="338"/>
      <c r="EA22" s="338"/>
      <c r="EB22" s="338"/>
      <c r="EC22" s="338"/>
      <c r="ED22" s="338"/>
      <c r="EE22" s="338"/>
      <c r="EF22" s="338"/>
      <c r="EG22" s="338"/>
      <c r="EH22" s="338"/>
      <c r="EI22" s="338"/>
      <c r="EJ22" s="338"/>
      <c r="EK22" s="338"/>
      <c r="EL22" s="338"/>
      <c r="EM22" s="338"/>
      <c r="EN22" s="338"/>
      <c r="EO22" s="338"/>
      <c r="EP22" s="338"/>
      <c r="EQ22" s="338"/>
      <c r="ER22" s="338"/>
      <c r="ES22" s="338"/>
      <c r="ET22" s="338"/>
      <c r="EU22" s="338"/>
      <c r="EV22" s="338"/>
      <c r="EW22" s="338"/>
      <c r="EX22" s="338"/>
      <c r="EY22" s="338"/>
      <c r="EZ22" s="338"/>
      <c r="FA22" s="338"/>
      <c r="FB22" s="338"/>
      <c r="FC22" s="338"/>
      <c r="FD22" s="338"/>
      <c r="FE22" s="338"/>
      <c r="FF22" s="338"/>
      <c r="FG22" s="338"/>
      <c r="FH22" s="338"/>
      <c r="FI22" s="338"/>
      <c r="FJ22" s="338"/>
      <c r="FK22" s="338"/>
      <c r="FL22" s="338"/>
      <c r="FM22" s="338"/>
      <c r="FN22" s="343"/>
      <c r="FO22" s="343"/>
      <c r="FP22" s="343"/>
      <c r="FQ22" s="343"/>
      <c r="FR22" s="343"/>
      <c r="FS22" s="343"/>
      <c r="FT22" s="343"/>
      <c r="FU22" s="343"/>
      <c r="FV22" s="343"/>
      <c r="FW22" s="343"/>
    </row>
    <row r="23" spans="1:179" s="326" customFormat="1" ht="15.75" x14ac:dyDescent="0.25">
      <c r="A23" s="324" t="str">
        <f>'1️⃣ Hipótesis'!B62</f>
        <v>Simple</v>
      </c>
      <c r="B23" s="333">
        <f>'1️⃣ Hipótesis'!C62</f>
        <v>50000</v>
      </c>
      <c r="C23" s="1112">
        <f>SUM(E23,G23,I23,K23,M23,O23,Q23,S23,U23,W23,Y23,AA23)</f>
        <v>28</v>
      </c>
      <c r="D23" s="1104">
        <f t="shared" si="1"/>
        <v>1400000</v>
      </c>
      <c r="E23" s="451">
        <v>1</v>
      </c>
      <c r="F23" s="371">
        <f t="shared" si="2"/>
        <v>50000</v>
      </c>
      <c r="G23" s="451">
        <v>1</v>
      </c>
      <c r="H23" s="371">
        <f t="shared" si="2"/>
        <v>50000</v>
      </c>
      <c r="I23" s="451">
        <v>2</v>
      </c>
      <c r="J23" s="371">
        <f t="shared" ref="J23:L23" si="21">I23*$B23</f>
        <v>100000</v>
      </c>
      <c r="K23" s="451">
        <v>2</v>
      </c>
      <c r="L23" s="371">
        <f t="shared" si="16"/>
        <v>100000</v>
      </c>
      <c r="M23" s="451">
        <v>2</v>
      </c>
      <c r="N23" s="371">
        <f t="shared" si="17"/>
        <v>100000</v>
      </c>
      <c r="O23" s="451">
        <v>2</v>
      </c>
      <c r="P23" s="371">
        <f t="shared" si="18"/>
        <v>100000</v>
      </c>
      <c r="Q23" s="451">
        <v>3</v>
      </c>
      <c r="R23" s="371">
        <f t="shared" si="19"/>
        <v>150000</v>
      </c>
      <c r="S23" s="451">
        <v>3</v>
      </c>
      <c r="T23" s="371">
        <f t="shared" si="7"/>
        <v>150000</v>
      </c>
      <c r="U23" s="451">
        <v>3</v>
      </c>
      <c r="V23" s="371">
        <f t="shared" si="8"/>
        <v>150000</v>
      </c>
      <c r="W23" s="451">
        <v>3</v>
      </c>
      <c r="X23" s="371">
        <f t="shared" ref="X23" si="22">W23*$B23</f>
        <v>150000</v>
      </c>
      <c r="Y23" s="447">
        <v>3</v>
      </c>
      <c r="Z23" s="333">
        <f t="shared" si="10"/>
        <v>150000</v>
      </c>
      <c r="AA23" s="451">
        <v>3</v>
      </c>
      <c r="AB23" s="371">
        <f t="shared" si="10"/>
        <v>150000</v>
      </c>
      <c r="AC23" s="342"/>
      <c r="AD23" s="338"/>
      <c r="AE23" s="338"/>
      <c r="AF23" s="338"/>
      <c r="AG23" s="338"/>
      <c r="AH23" s="338"/>
      <c r="AI23" s="338"/>
      <c r="AJ23" s="338"/>
      <c r="AK23" s="338"/>
      <c r="AL23" s="338"/>
      <c r="AM23" s="338"/>
      <c r="AN23" s="338"/>
      <c r="AO23" s="338"/>
      <c r="AP23" s="338"/>
      <c r="AQ23" s="338"/>
      <c r="AR23" s="338"/>
      <c r="AS23" s="338"/>
      <c r="AT23" s="338"/>
      <c r="AU23" s="338"/>
      <c r="AV23" s="338"/>
      <c r="AW23" s="338"/>
      <c r="AX23" s="338"/>
      <c r="AY23" s="338"/>
      <c r="AZ23" s="338"/>
      <c r="BA23" s="338"/>
      <c r="BB23" s="338"/>
      <c r="BC23" s="338"/>
      <c r="BD23" s="338"/>
      <c r="BE23" s="338"/>
      <c r="BF23" s="338"/>
      <c r="BG23" s="338"/>
      <c r="BH23" s="338"/>
      <c r="BI23" s="338"/>
      <c r="BJ23" s="338"/>
      <c r="BK23" s="338"/>
      <c r="BL23" s="338"/>
      <c r="BM23" s="338"/>
      <c r="BN23" s="338"/>
      <c r="BO23" s="338"/>
      <c r="BP23" s="338"/>
      <c r="BQ23" s="338"/>
      <c r="BR23" s="338"/>
      <c r="BS23" s="338"/>
      <c r="BT23" s="338"/>
      <c r="BU23" s="338"/>
      <c r="BV23" s="338"/>
      <c r="BW23" s="338"/>
      <c r="BX23" s="338"/>
      <c r="BY23" s="338"/>
      <c r="BZ23" s="338"/>
      <c r="CA23" s="338"/>
      <c r="CB23" s="338"/>
      <c r="CC23" s="338"/>
      <c r="CD23" s="338"/>
      <c r="CE23" s="338"/>
      <c r="CF23" s="338"/>
      <c r="CG23" s="338"/>
      <c r="CH23" s="338"/>
      <c r="CI23" s="338"/>
      <c r="CJ23" s="338"/>
      <c r="CK23" s="338"/>
      <c r="CL23" s="338"/>
      <c r="CM23" s="338"/>
      <c r="CN23" s="338"/>
      <c r="CO23" s="338"/>
      <c r="CP23" s="338"/>
      <c r="CQ23" s="338"/>
      <c r="CR23" s="338"/>
      <c r="CS23" s="338"/>
      <c r="CT23" s="338"/>
      <c r="CU23" s="338"/>
      <c r="CV23" s="338"/>
      <c r="CW23" s="338"/>
      <c r="CX23" s="338"/>
      <c r="CY23" s="338"/>
      <c r="CZ23" s="338"/>
      <c r="DA23" s="338"/>
      <c r="DB23" s="338"/>
      <c r="DC23" s="338"/>
      <c r="DD23" s="338"/>
      <c r="DE23" s="338"/>
      <c r="DF23" s="338"/>
      <c r="DG23" s="338"/>
      <c r="DH23" s="338"/>
      <c r="DI23" s="338"/>
      <c r="DJ23" s="338"/>
      <c r="DK23" s="338"/>
      <c r="DL23" s="338"/>
      <c r="DM23" s="338"/>
      <c r="DN23" s="338"/>
      <c r="DO23" s="338"/>
      <c r="DP23" s="338"/>
      <c r="DQ23" s="338"/>
      <c r="DR23" s="338"/>
      <c r="DS23" s="338"/>
      <c r="DT23" s="338"/>
      <c r="DU23" s="338"/>
      <c r="DV23" s="338"/>
      <c r="DW23" s="338"/>
      <c r="DX23" s="338"/>
      <c r="DY23" s="338"/>
      <c r="DZ23" s="338"/>
      <c r="EA23" s="338"/>
      <c r="EB23" s="338"/>
      <c r="EC23" s="338"/>
      <c r="ED23" s="338"/>
      <c r="EE23" s="338"/>
      <c r="EF23" s="338"/>
      <c r="EG23" s="338"/>
      <c r="EH23" s="338"/>
      <c r="EI23" s="338"/>
      <c r="EJ23" s="338"/>
      <c r="EK23" s="338"/>
      <c r="EL23" s="338"/>
      <c r="EM23" s="338"/>
      <c r="EN23" s="338"/>
      <c r="EO23" s="338"/>
      <c r="EP23" s="338"/>
      <c r="EQ23" s="338"/>
      <c r="ER23" s="338"/>
      <c r="ES23" s="338"/>
      <c r="ET23" s="338"/>
      <c r="EU23" s="338"/>
      <c r="EV23" s="338"/>
      <c r="EW23" s="338"/>
      <c r="EX23" s="338"/>
      <c r="EY23" s="338"/>
      <c r="EZ23" s="338"/>
      <c r="FA23" s="338"/>
      <c r="FB23" s="338"/>
      <c r="FC23" s="338"/>
      <c r="FD23" s="338"/>
      <c r="FE23" s="338"/>
      <c r="FF23" s="338"/>
      <c r="FG23" s="338"/>
      <c r="FH23" s="338"/>
      <c r="FI23" s="338"/>
      <c r="FJ23" s="338"/>
      <c r="FK23" s="338"/>
      <c r="FL23" s="338"/>
      <c r="FM23" s="338"/>
      <c r="FN23" s="344"/>
      <c r="FO23" s="344"/>
      <c r="FP23" s="344"/>
      <c r="FQ23" s="344"/>
      <c r="FR23" s="344"/>
      <c r="FS23" s="344"/>
      <c r="FT23" s="344"/>
      <c r="FU23" s="344"/>
      <c r="FV23" s="344"/>
      <c r="FW23" s="344"/>
    </row>
    <row r="24" spans="1:179" s="329" customFormat="1" ht="15.75" x14ac:dyDescent="0.25">
      <c r="A24" s="327" t="str">
        <f>'1️⃣ Hipótesis'!B63</f>
        <v>Funcional</v>
      </c>
      <c r="B24" s="334">
        <f>'1️⃣ Hipótesis'!C63</f>
        <v>60000</v>
      </c>
      <c r="C24" s="1107">
        <f t="shared" ref="C24:C26" si="23">SUM(E24,G24,I24,K24,M24,O24,Q24,S24,U24,W24,Y24,AA24)</f>
        <v>13</v>
      </c>
      <c r="D24" s="1105">
        <f t="shared" si="1"/>
        <v>780000</v>
      </c>
      <c r="E24" s="452"/>
      <c r="F24" s="372">
        <f t="shared" si="2"/>
        <v>0</v>
      </c>
      <c r="G24" s="452"/>
      <c r="H24" s="372">
        <f t="shared" ref="H24" si="24">G24*$B24</f>
        <v>0</v>
      </c>
      <c r="I24" s="452"/>
      <c r="J24" s="372">
        <f t="shared" ref="J24:L24" si="25">I24*$B24</f>
        <v>0</v>
      </c>
      <c r="K24" s="448"/>
      <c r="L24" s="334">
        <f t="shared" si="25"/>
        <v>0</v>
      </c>
      <c r="M24" s="452">
        <v>1</v>
      </c>
      <c r="N24" s="372">
        <f t="shared" ref="N24" si="26">M24*$B24</f>
        <v>60000</v>
      </c>
      <c r="O24" s="452">
        <v>1</v>
      </c>
      <c r="P24" s="334">
        <f t="shared" ref="P24" si="27">O24*$B24</f>
        <v>60000</v>
      </c>
      <c r="Q24" s="452">
        <v>1</v>
      </c>
      <c r="R24" s="372">
        <f t="shared" ref="R24" si="28">Q24*$B24</f>
        <v>60000</v>
      </c>
      <c r="S24" s="452">
        <v>2</v>
      </c>
      <c r="T24" s="334">
        <f t="shared" si="7"/>
        <v>120000</v>
      </c>
      <c r="U24" s="452">
        <v>2</v>
      </c>
      <c r="V24" s="372">
        <f t="shared" si="8"/>
        <v>120000</v>
      </c>
      <c r="W24" s="452">
        <v>2</v>
      </c>
      <c r="X24" s="372">
        <f t="shared" si="8"/>
        <v>120000</v>
      </c>
      <c r="Y24" s="448">
        <v>2</v>
      </c>
      <c r="Z24" s="334">
        <f t="shared" si="10"/>
        <v>120000</v>
      </c>
      <c r="AA24" s="452">
        <v>2</v>
      </c>
      <c r="AB24" s="372">
        <f t="shared" si="10"/>
        <v>120000</v>
      </c>
      <c r="AC24" s="342"/>
      <c r="AD24" s="338"/>
      <c r="AE24" s="338"/>
      <c r="AF24" s="338"/>
      <c r="AG24" s="338"/>
      <c r="AH24" s="338"/>
      <c r="AI24" s="338"/>
      <c r="AJ24" s="338"/>
      <c r="AK24" s="338"/>
      <c r="AL24" s="338"/>
      <c r="AM24" s="338"/>
      <c r="AN24" s="338"/>
      <c r="AO24" s="338"/>
      <c r="AP24" s="338"/>
      <c r="AQ24" s="338"/>
      <c r="AR24" s="338"/>
      <c r="AS24" s="338"/>
      <c r="AT24" s="338"/>
      <c r="AU24" s="338"/>
      <c r="AV24" s="338"/>
      <c r="AW24" s="338"/>
      <c r="AX24" s="338"/>
      <c r="AY24" s="338"/>
      <c r="AZ24" s="338"/>
      <c r="BA24" s="338"/>
      <c r="BB24" s="338"/>
      <c r="BC24" s="338"/>
      <c r="BD24" s="338"/>
      <c r="BE24" s="338"/>
      <c r="BF24" s="338"/>
      <c r="BG24" s="338"/>
      <c r="BH24" s="338"/>
      <c r="BI24" s="338"/>
      <c r="BJ24" s="338"/>
      <c r="BK24" s="338"/>
      <c r="BL24" s="338"/>
      <c r="BM24" s="338"/>
      <c r="BN24" s="338"/>
      <c r="BO24" s="338"/>
      <c r="BP24" s="338"/>
      <c r="BQ24" s="338"/>
      <c r="BR24" s="338"/>
      <c r="BS24" s="338"/>
      <c r="BT24" s="338"/>
      <c r="BU24" s="338"/>
      <c r="BV24" s="338"/>
      <c r="BW24" s="338"/>
      <c r="BX24" s="338"/>
      <c r="BY24" s="338"/>
      <c r="BZ24" s="338"/>
      <c r="CA24" s="338"/>
      <c r="CB24" s="338"/>
      <c r="CC24" s="338"/>
      <c r="CD24" s="338"/>
      <c r="CE24" s="338"/>
      <c r="CF24" s="338"/>
      <c r="CG24" s="338"/>
      <c r="CH24" s="338"/>
      <c r="CI24" s="338"/>
      <c r="CJ24" s="338"/>
      <c r="CK24" s="338"/>
      <c r="CL24" s="338"/>
      <c r="CM24" s="338"/>
      <c r="CN24" s="338"/>
      <c r="CO24" s="338"/>
      <c r="CP24" s="338"/>
      <c r="CQ24" s="338"/>
      <c r="CR24" s="338"/>
      <c r="CS24" s="338"/>
      <c r="CT24" s="338"/>
      <c r="CU24" s="338"/>
      <c r="CV24" s="338"/>
      <c r="CW24" s="338"/>
      <c r="CX24" s="338"/>
      <c r="CY24" s="338"/>
      <c r="CZ24" s="338"/>
      <c r="DA24" s="338"/>
      <c r="DB24" s="338"/>
      <c r="DC24" s="338"/>
      <c r="DD24" s="338"/>
      <c r="DE24" s="338"/>
      <c r="DF24" s="338"/>
      <c r="DG24" s="338"/>
      <c r="DH24" s="338"/>
      <c r="DI24" s="338"/>
      <c r="DJ24" s="338"/>
      <c r="DK24" s="338"/>
      <c r="DL24" s="338"/>
      <c r="DM24" s="338"/>
      <c r="DN24" s="338"/>
      <c r="DO24" s="338"/>
      <c r="DP24" s="338"/>
      <c r="DQ24" s="338"/>
      <c r="DR24" s="338"/>
      <c r="DS24" s="338"/>
      <c r="DT24" s="338"/>
      <c r="DU24" s="338"/>
      <c r="DV24" s="338"/>
      <c r="DW24" s="338"/>
      <c r="DX24" s="338"/>
      <c r="DY24" s="338"/>
      <c r="DZ24" s="338"/>
      <c r="EA24" s="338"/>
      <c r="EB24" s="338"/>
      <c r="EC24" s="338"/>
      <c r="ED24" s="338"/>
      <c r="EE24" s="338"/>
      <c r="EF24" s="338"/>
      <c r="EG24" s="338"/>
      <c r="EH24" s="338"/>
      <c r="EI24" s="338"/>
      <c r="EJ24" s="338"/>
      <c r="EK24" s="338"/>
      <c r="EL24" s="338"/>
      <c r="EM24" s="338"/>
      <c r="EN24" s="338"/>
      <c r="EO24" s="338"/>
      <c r="EP24" s="338"/>
      <c r="EQ24" s="338"/>
      <c r="ER24" s="338"/>
      <c r="ES24" s="338"/>
      <c r="ET24" s="338"/>
      <c r="EU24" s="338"/>
      <c r="EV24" s="338"/>
      <c r="EW24" s="338"/>
      <c r="EX24" s="338"/>
      <c r="EY24" s="338"/>
      <c r="EZ24" s="338"/>
      <c r="FA24" s="338"/>
      <c r="FB24" s="338"/>
      <c r="FC24" s="338"/>
      <c r="FD24" s="338"/>
      <c r="FE24" s="338"/>
      <c r="FF24" s="338"/>
      <c r="FG24" s="338"/>
      <c r="FH24" s="338"/>
      <c r="FI24" s="338"/>
      <c r="FJ24" s="338"/>
      <c r="FK24" s="338"/>
      <c r="FL24" s="338"/>
      <c r="FM24" s="338"/>
      <c r="FN24" s="344"/>
      <c r="FO24" s="344"/>
      <c r="FP24" s="344"/>
      <c r="FQ24" s="344"/>
      <c r="FR24" s="344"/>
      <c r="FS24" s="344"/>
      <c r="FT24" s="344"/>
      <c r="FU24" s="344"/>
      <c r="FV24" s="344"/>
      <c r="FW24" s="344"/>
    </row>
    <row r="25" spans="1:179" s="329" customFormat="1" ht="15.75" x14ac:dyDescent="0.25">
      <c r="A25" s="327" t="str">
        <f>'1️⃣ Hipótesis'!B64</f>
        <v>Temporal</v>
      </c>
      <c r="B25" s="334">
        <f>'1️⃣ Hipótesis'!C64</f>
        <v>75000</v>
      </c>
      <c r="C25" s="1107">
        <f t="shared" si="23"/>
        <v>1</v>
      </c>
      <c r="D25" s="1105">
        <f t="shared" si="1"/>
        <v>75000</v>
      </c>
      <c r="E25" s="452"/>
      <c r="F25" s="372">
        <f t="shared" si="2"/>
        <v>0</v>
      </c>
      <c r="G25" s="448"/>
      <c r="H25" s="334">
        <f t="shared" si="2"/>
        <v>0</v>
      </c>
      <c r="I25" s="452"/>
      <c r="J25" s="372">
        <f t="shared" ref="J25:L25" si="29">I25*$B25</f>
        <v>0</v>
      </c>
      <c r="K25" s="448"/>
      <c r="L25" s="334">
        <f t="shared" si="29"/>
        <v>0</v>
      </c>
      <c r="M25" s="452"/>
      <c r="N25" s="372">
        <f t="shared" ref="N25" si="30">M25*$B25</f>
        <v>0</v>
      </c>
      <c r="O25" s="448"/>
      <c r="P25" s="334">
        <f t="shared" ref="P25" si="31">O25*$B25</f>
        <v>0</v>
      </c>
      <c r="Q25" s="452"/>
      <c r="R25" s="372">
        <f t="shared" ref="R25" si="32">Q25*$B25</f>
        <v>0</v>
      </c>
      <c r="S25" s="448"/>
      <c r="T25" s="334">
        <f t="shared" si="7"/>
        <v>0</v>
      </c>
      <c r="U25" s="452"/>
      <c r="V25" s="372">
        <f t="shared" si="8"/>
        <v>0</v>
      </c>
      <c r="W25" s="452"/>
      <c r="X25" s="372">
        <f t="shared" ref="X25" si="33">W25*$D25</f>
        <v>0</v>
      </c>
      <c r="Y25" s="448"/>
      <c r="Z25" s="334">
        <f t="shared" si="10"/>
        <v>0</v>
      </c>
      <c r="AA25" s="452">
        <v>1</v>
      </c>
      <c r="AB25" s="372">
        <f t="shared" si="10"/>
        <v>75000</v>
      </c>
      <c r="AC25" s="342"/>
      <c r="AD25" s="338"/>
      <c r="AE25" s="338"/>
      <c r="AF25" s="338"/>
      <c r="AG25" s="338"/>
      <c r="AH25" s="338"/>
      <c r="AI25" s="338"/>
      <c r="AJ25" s="338"/>
      <c r="AK25" s="338"/>
      <c r="AL25" s="338"/>
      <c r="AM25" s="338"/>
      <c r="AN25" s="338"/>
      <c r="AO25" s="338"/>
      <c r="AP25" s="338"/>
      <c r="AQ25" s="338"/>
      <c r="AR25" s="338"/>
      <c r="AS25" s="338"/>
      <c r="AT25" s="338"/>
      <c r="AU25" s="338"/>
      <c r="AV25" s="338"/>
      <c r="AW25" s="338"/>
      <c r="AX25" s="338"/>
      <c r="AY25" s="338"/>
      <c r="AZ25" s="338"/>
      <c r="BA25" s="338"/>
      <c r="BB25" s="338"/>
      <c r="BC25" s="338"/>
      <c r="BD25" s="338"/>
      <c r="BE25" s="338"/>
      <c r="BF25" s="338"/>
      <c r="BG25" s="338"/>
      <c r="BH25" s="338"/>
      <c r="BI25" s="338"/>
      <c r="BJ25" s="338"/>
      <c r="BK25" s="338"/>
      <c r="BL25" s="338"/>
      <c r="BM25" s="338"/>
      <c r="BN25" s="338"/>
      <c r="BO25" s="338"/>
      <c r="BP25" s="338"/>
      <c r="BQ25" s="338"/>
      <c r="BR25" s="338"/>
      <c r="BS25" s="338"/>
      <c r="BT25" s="338"/>
      <c r="BU25" s="338"/>
      <c r="BV25" s="338"/>
      <c r="BW25" s="338"/>
      <c r="BX25" s="338"/>
      <c r="BY25" s="338"/>
      <c r="BZ25" s="338"/>
      <c r="CA25" s="338"/>
      <c r="CB25" s="338"/>
      <c r="CC25" s="338"/>
      <c r="CD25" s="338"/>
      <c r="CE25" s="338"/>
      <c r="CF25" s="338"/>
      <c r="CG25" s="338"/>
      <c r="CH25" s="338"/>
      <c r="CI25" s="338"/>
      <c r="CJ25" s="338"/>
      <c r="CK25" s="338"/>
      <c r="CL25" s="338"/>
      <c r="CM25" s="338"/>
      <c r="CN25" s="338"/>
      <c r="CO25" s="338"/>
      <c r="CP25" s="338"/>
      <c r="CQ25" s="338"/>
      <c r="CR25" s="338"/>
      <c r="CS25" s="338"/>
      <c r="CT25" s="338"/>
      <c r="CU25" s="338"/>
      <c r="CV25" s="338"/>
      <c r="CW25" s="338"/>
      <c r="CX25" s="338"/>
      <c r="CY25" s="338"/>
      <c r="CZ25" s="338"/>
      <c r="DA25" s="338"/>
      <c r="DB25" s="338"/>
      <c r="DC25" s="338"/>
      <c r="DD25" s="338"/>
      <c r="DE25" s="338"/>
      <c r="DF25" s="338"/>
      <c r="DG25" s="338"/>
      <c r="DH25" s="338"/>
      <c r="DI25" s="338"/>
      <c r="DJ25" s="338"/>
      <c r="DK25" s="338"/>
      <c r="DL25" s="338"/>
      <c r="DM25" s="338"/>
      <c r="DN25" s="338"/>
      <c r="DO25" s="338"/>
      <c r="DP25" s="338"/>
      <c r="DQ25" s="338"/>
      <c r="DR25" s="338"/>
      <c r="DS25" s="338"/>
      <c r="DT25" s="338"/>
      <c r="DU25" s="338"/>
      <c r="DV25" s="338"/>
      <c r="DW25" s="338"/>
      <c r="DX25" s="338"/>
      <c r="DY25" s="338"/>
      <c r="DZ25" s="338"/>
      <c r="EA25" s="338"/>
      <c r="EB25" s="338"/>
      <c r="EC25" s="338"/>
      <c r="ED25" s="338"/>
      <c r="EE25" s="338"/>
      <c r="EF25" s="338"/>
      <c r="EG25" s="338"/>
      <c r="EH25" s="338"/>
      <c r="EI25" s="338"/>
      <c r="EJ25" s="338"/>
      <c r="EK25" s="338"/>
      <c r="EL25" s="338"/>
      <c r="EM25" s="338"/>
      <c r="EN25" s="338"/>
      <c r="EO25" s="338"/>
      <c r="EP25" s="338"/>
      <c r="EQ25" s="338"/>
      <c r="ER25" s="338"/>
      <c r="ES25" s="338"/>
      <c r="ET25" s="338"/>
      <c r="EU25" s="338"/>
      <c r="EV25" s="338"/>
      <c r="EW25" s="338"/>
      <c r="EX25" s="338"/>
      <c r="EY25" s="338"/>
      <c r="EZ25" s="338"/>
      <c r="FA25" s="338"/>
      <c r="FB25" s="338"/>
      <c r="FC25" s="338"/>
      <c r="FD25" s="338"/>
      <c r="FE25" s="338"/>
      <c r="FF25" s="338"/>
      <c r="FG25" s="338"/>
      <c r="FH25" s="338"/>
      <c r="FI25" s="338"/>
      <c r="FJ25" s="338"/>
      <c r="FK25" s="338"/>
      <c r="FL25" s="338"/>
      <c r="FM25" s="338"/>
      <c r="FN25" s="344"/>
      <c r="FO25" s="344"/>
      <c r="FP25" s="344"/>
      <c r="FQ25" s="344"/>
      <c r="FR25" s="344"/>
      <c r="FS25" s="344"/>
      <c r="FT25" s="344"/>
      <c r="FU25" s="344"/>
      <c r="FV25" s="344"/>
      <c r="FW25" s="344"/>
    </row>
    <row r="26" spans="1:179" s="332" customFormat="1" ht="16.5" thickBot="1" x14ac:dyDescent="0.3">
      <c r="A26" s="330" t="str">
        <f>'1️⃣ Hipótesis'!B65</f>
        <v>Experto</v>
      </c>
      <c r="B26" s="335">
        <f>'1️⃣ Hipótesis'!C65</f>
        <v>100000</v>
      </c>
      <c r="C26" s="1108">
        <f t="shared" si="23"/>
        <v>3</v>
      </c>
      <c r="D26" s="1106">
        <f t="shared" si="1"/>
        <v>300000</v>
      </c>
      <c r="E26" s="453"/>
      <c r="F26" s="373">
        <f t="shared" si="2"/>
        <v>0</v>
      </c>
      <c r="G26" s="449"/>
      <c r="H26" s="335">
        <f t="shared" si="2"/>
        <v>0</v>
      </c>
      <c r="I26" s="453"/>
      <c r="J26" s="373">
        <f t="shared" ref="J26:L26" si="34">I26*$B26</f>
        <v>0</v>
      </c>
      <c r="K26" s="449"/>
      <c r="L26" s="335">
        <f t="shared" si="34"/>
        <v>0</v>
      </c>
      <c r="M26" s="453"/>
      <c r="N26" s="373">
        <f t="shared" ref="N26" si="35">M26*$B26</f>
        <v>0</v>
      </c>
      <c r="O26" s="449"/>
      <c r="P26" s="335">
        <f t="shared" ref="P26" si="36">O26*$B26</f>
        <v>0</v>
      </c>
      <c r="Q26" s="453"/>
      <c r="R26" s="373">
        <f t="shared" ref="R26" si="37">Q26*$B26</f>
        <v>0</v>
      </c>
      <c r="S26" s="449"/>
      <c r="T26" s="335">
        <f t="shared" si="7"/>
        <v>0</v>
      </c>
      <c r="U26" s="453"/>
      <c r="V26" s="373">
        <f t="shared" si="8"/>
        <v>0</v>
      </c>
      <c r="W26" s="453">
        <v>1</v>
      </c>
      <c r="X26" s="373">
        <f t="shared" si="10"/>
        <v>100000</v>
      </c>
      <c r="Y26" s="449">
        <v>1</v>
      </c>
      <c r="Z26" s="335">
        <f t="shared" si="10"/>
        <v>100000</v>
      </c>
      <c r="AA26" s="453">
        <v>1</v>
      </c>
      <c r="AB26" s="373">
        <f t="shared" si="10"/>
        <v>100000</v>
      </c>
      <c r="AC26" s="342"/>
      <c r="AD26" s="338"/>
      <c r="AE26" s="338"/>
      <c r="AF26" s="338"/>
      <c r="AG26" s="338"/>
      <c r="AH26" s="338"/>
      <c r="AI26" s="338"/>
      <c r="AJ26" s="338"/>
      <c r="AK26" s="338"/>
      <c r="AL26" s="338"/>
      <c r="AM26" s="338"/>
      <c r="AN26" s="338"/>
      <c r="AO26" s="338"/>
      <c r="AP26" s="338"/>
      <c r="AQ26" s="338"/>
      <c r="AR26" s="338"/>
      <c r="AS26" s="338"/>
      <c r="AT26" s="338"/>
      <c r="AU26" s="338"/>
      <c r="AV26" s="338"/>
      <c r="AW26" s="338"/>
      <c r="AX26" s="338"/>
      <c r="AY26" s="338"/>
      <c r="AZ26" s="338"/>
      <c r="BA26" s="338"/>
      <c r="BB26" s="338"/>
      <c r="BC26" s="338"/>
      <c r="BD26" s="338"/>
      <c r="BE26" s="338"/>
      <c r="BF26" s="338"/>
      <c r="BG26" s="338"/>
      <c r="BH26" s="338"/>
      <c r="BI26" s="338"/>
      <c r="BJ26" s="338"/>
      <c r="BK26" s="338"/>
      <c r="BL26" s="338"/>
      <c r="BM26" s="338"/>
      <c r="BN26" s="338"/>
      <c r="BO26" s="338"/>
      <c r="BP26" s="338"/>
      <c r="BQ26" s="338"/>
      <c r="BR26" s="338"/>
      <c r="BS26" s="338"/>
      <c r="BT26" s="338"/>
      <c r="BU26" s="338"/>
      <c r="BV26" s="338"/>
      <c r="BW26" s="338"/>
      <c r="BX26" s="338"/>
      <c r="BY26" s="338"/>
      <c r="BZ26" s="338"/>
      <c r="CA26" s="338"/>
      <c r="CB26" s="338"/>
      <c r="CC26" s="338"/>
      <c r="CD26" s="338"/>
      <c r="CE26" s="338"/>
      <c r="CF26" s="338"/>
      <c r="CG26" s="338"/>
      <c r="CH26" s="338"/>
      <c r="CI26" s="338"/>
      <c r="CJ26" s="338"/>
      <c r="CK26" s="338"/>
      <c r="CL26" s="338"/>
      <c r="CM26" s="338"/>
      <c r="CN26" s="338"/>
      <c r="CO26" s="338"/>
      <c r="CP26" s="338"/>
      <c r="CQ26" s="338"/>
      <c r="CR26" s="338"/>
      <c r="CS26" s="338"/>
      <c r="CT26" s="338"/>
      <c r="CU26" s="338"/>
      <c r="CV26" s="338"/>
      <c r="CW26" s="338"/>
      <c r="CX26" s="338"/>
      <c r="CY26" s="338"/>
      <c r="CZ26" s="338"/>
      <c r="DA26" s="338"/>
      <c r="DB26" s="338"/>
      <c r="DC26" s="338"/>
      <c r="DD26" s="338"/>
      <c r="DE26" s="338"/>
      <c r="DF26" s="338"/>
      <c r="DG26" s="338"/>
      <c r="DH26" s="338"/>
      <c r="DI26" s="338"/>
      <c r="DJ26" s="338"/>
      <c r="DK26" s="338"/>
      <c r="DL26" s="338"/>
      <c r="DM26" s="338"/>
      <c r="DN26" s="338"/>
      <c r="DO26" s="338"/>
      <c r="DP26" s="338"/>
      <c r="DQ26" s="338"/>
      <c r="DR26" s="338"/>
      <c r="DS26" s="338"/>
      <c r="DT26" s="338"/>
      <c r="DU26" s="338"/>
      <c r="DV26" s="338"/>
      <c r="DW26" s="338"/>
      <c r="DX26" s="338"/>
      <c r="DY26" s="338"/>
      <c r="DZ26" s="338"/>
      <c r="EA26" s="338"/>
      <c r="EB26" s="338"/>
      <c r="EC26" s="338"/>
      <c r="ED26" s="338"/>
      <c r="EE26" s="338"/>
      <c r="EF26" s="338"/>
      <c r="EG26" s="338"/>
      <c r="EH26" s="338"/>
      <c r="EI26" s="338"/>
      <c r="EJ26" s="338"/>
      <c r="EK26" s="338"/>
      <c r="EL26" s="338"/>
      <c r="EM26" s="338"/>
      <c r="EN26" s="338"/>
      <c r="EO26" s="338"/>
      <c r="EP26" s="338"/>
      <c r="EQ26" s="338"/>
      <c r="ER26" s="338"/>
      <c r="ES26" s="338"/>
      <c r="ET26" s="338"/>
      <c r="EU26" s="338"/>
      <c r="EV26" s="338"/>
      <c r="EW26" s="338"/>
      <c r="EX26" s="338"/>
      <c r="EY26" s="338"/>
      <c r="EZ26" s="338"/>
      <c r="FA26" s="338"/>
      <c r="FB26" s="338"/>
      <c r="FC26" s="338"/>
      <c r="FD26" s="338"/>
      <c r="FE26" s="338"/>
      <c r="FF26" s="338"/>
      <c r="FG26" s="338"/>
      <c r="FH26" s="338"/>
      <c r="FI26" s="338"/>
      <c r="FJ26" s="338"/>
      <c r="FK26" s="338"/>
      <c r="FL26" s="338"/>
      <c r="FM26" s="338"/>
      <c r="FN26" s="344"/>
      <c r="FO26" s="344"/>
      <c r="FP26" s="344"/>
      <c r="FQ26" s="344"/>
      <c r="FR26" s="344"/>
      <c r="FS26" s="344"/>
      <c r="FT26" s="344"/>
      <c r="FU26" s="344"/>
      <c r="FV26" s="344"/>
      <c r="FW26" s="344"/>
    </row>
    <row r="27" spans="1:179" ht="16.5" thickBot="1" x14ac:dyDescent="0.3">
      <c r="A27" s="894" t="s">
        <v>68</v>
      </c>
      <c r="B27" s="895"/>
      <c r="C27" s="172"/>
      <c r="D27" s="351">
        <f>SUM(D19:D26)</f>
        <v>18555000</v>
      </c>
      <c r="E27" s="445"/>
      <c r="F27" s="446">
        <f>SUM(F19:F26)</f>
        <v>2050000</v>
      </c>
      <c r="G27" s="352"/>
      <c r="H27" s="353">
        <f>SUM(H19:H26)</f>
        <v>50000</v>
      </c>
      <c r="I27" s="352"/>
      <c r="J27" s="353">
        <f>SUM(J19:J26)</f>
        <v>2100000</v>
      </c>
      <c r="K27" s="352"/>
      <c r="L27" s="471">
        <f>SUM(L19:L26)</f>
        <v>100000</v>
      </c>
      <c r="M27" s="352"/>
      <c r="N27" s="353">
        <f>SUM(N19:N26)</f>
        <v>2660000</v>
      </c>
      <c r="O27" s="472"/>
      <c r="P27" s="353">
        <f>SUM(P19:P26)</f>
        <v>160000</v>
      </c>
      <c r="Q27" s="352"/>
      <c r="R27" s="353">
        <f>SUM(R19:R26)</f>
        <v>2510000</v>
      </c>
      <c r="S27" s="352"/>
      <c r="T27" s="353">
        <f>SUM(T19:T26)</f>
        <v>2770000</v>
      </c>
      <c r="U27" s="352"/>
      <c r="V27" s="353">
        <f>SUM(V19:V26)</f>
        <v>270000</v>
      </c>
      <c r="W27" s="445"/>
      <c r="X27" s="446">
        <f>SUM(X19:X26)</f>
        <v>2770000</v>
      </c>
      <c r="Y27" s="352"/>
      <c r="Z27" s="353">
        <f>SUM(Z19:Z26)</f>
        <v>370000</v>
      </c>
      <c r="AA27" s="352"/>
      <c r="AB27" s="353">
        <f>SUM(AB19:AB26)</f>
        <v>2745000</v>
      </c>
      <c r="AC27" s="39"/>
    </row>
    <row r="28" spans="1:179" ht="15.75" x14ac:dyDescent="0.25">
      <c r="A28" s="896" t="s">
        <v>256</v>
      </c>
      <c r="B28" s="897"/>
      <c r="C28" s="347">
        <f>SUM(C19:C22)</f>
        <v>7</v>
      </c>
      <c r="D28" s="348"/>
      <c r="E28" s="349">
        <f>SUM(E19:E22)</f>
        <v>1</v>
      </c>
      <c r="F28" s="350"/>
      <c r="G28" s="349">
        <f>SUM(G19:G22)</f>
        <v>0</v>
      </c>
      <c r="H28" s="350"/>
      <c r="I28" s="349">
        <f>SUM(I19:I22)</f>
        <v>1</v>
      </c>
      <c r="J28" s="350"/>
      <c r="K28" s="349">
        <f>SUM(K19:K22)</f>
        <v>0</v>
      </c>
      <c r="L28" s="350"/>
      <c r="M28" s="349">
        <f>SUM(M19:M22)</f>
        <v>1</v>
      </c>
      <c r="N28" s="350"/>
      <c r="O28" s="349">
        <f>SUM(O19:O22)</f>
        <v>0</v>
      </c>
      <c r="P28" s="350"/>
      <c r="Q28" s="349">
        <f>SUM(Q19:Q22)</f>
        <v>1</v>
      </c>
      <c r="R28" s="350"/>
      <c r="S28" s="349">
        <f>SUM(S19:S22)</f>
        <v>1</v>
      </c>
      <c r="T28" s="350"/>
      <c r="U28" s="349">
        <f>SUM(U19:U22)</f>
        <v>0</v>
      </c>
      <c r="V28" s="350"/>
      <c r="W28" s="349">
        <f>SUM(W19:W22)</f>
        <v>1</v>
      </c>
      <c r="X28" s="350"/>
      <c r="Y28" s="349">
        <f>SUM(Y19:Y22)</f>
        <v>0</v>
      </c>
      <c r="Z28" s="350"/>
      <c r="AA28" s="349">
        <f>SUM(AA19:AA22)</f>
        <v>1</v>
      </c>
      <c r="AB28" s="348"/>
    </row>
    <row r="29" spans="1:179" ht="16.5" thickBot="1" x14ac:dyDescent="0.3">
      <c r="A29" s="898" t="s">
        <v>257</v>
      </c>
      <c r="B29" s="899"/>
      <c r="C29" s="345">
        <f>SUM(C23:C26)</f>
        <v>45</v>
      </c>
      <c r="D29" s="65"/>
      <c r="E29" s="346">
        <f>SUM(E23:E26)</f>
        <v>1</v>
      </c>
      <c r="F29" s="64"/>
      <c r="G29" s="346">
        <f>SUM(G23:G26)</f>
        <v>1</v>
      </c>
      <c r="H29" s="64"/>
      <c r="I29" s="346">
        <f>SUM(I23:I26)</f>
        <v>2</v>
      </c>
      <c r="J29" s="64"/>
      <c r="K29" s="346">
        <f>SUM(K23:K26)</f>
        <v>2</v>
      </c>
      <c r="L29" s="64"/>
      <c r="M29" s="346">
        <f>SUM(M23:M26)</f>
        <v>3</v>
      </c>
      <c r="N29" s="64"/>
      <c r="O29" s="346">
        <f>SUM(O23:O26)</f>
        <v>3</v>
      </c>
      <c r="P29" s="64"/>
      <c r="Q29" s="346">
        <f>SUM(Q23:Q26)</f>
        <v>4</v>
      </c>
      <c r="R29" s="64"/>
      <c r="S29" s="346">
        <f>SUM(S23:S26)</f>
        <v>5</v>
      </c>
      <c r="T29" s="64"/>
      <c r="U29" s="346">
        <f>SUM(U23:U26)</f>
        <v>5</v>
      </c>
      <c r="V29" s="64"/>
      <c r="W29" s="346">
        <f>SUM(W23:W26)</f>
        <v>6</v>
      </c>
      <c r="X29" s="64"/>
      <c r="Y29" s="346">
        <f>SUM(Y23:Y26)</f>
        <v>6</v>
      </c>
      <c r="Z29" s="64"/>
      <c r="AA29" s="346">
        <f>SUM(AA23:AA26)</f>
        <v>7</v>
      </c>
      <c r="AB29" s="65"/>
    </row>
    <row r="30" spans="1:179" ht="15.75" thickBot="1" x14ac:dyDescent="0.3">
      <c r="D30" s="31"/>
      <c r="I30" s="37"/>
      <c r="J30" s="37"/>
      <c r="K30" s="37"/>
      <c r="L30" s="37"/>
      <c r="N30" s="37"/>
      <c r="O30" s="37"/>
      <c r="P30" s="37"/>
      <c r="Q30" s="37"/>
      <c r="R30" s="37"/>
      <c r="S30" s="37"/>
      <c r="T30" s="37"/>
      <c r="U30" s="37"/>
      <c r="V30" s="37"/>
      <c r="W30" s="37"/>
      <c r="X30" s="37"/>
      <c r="Y30" s="37"/>
      <c r="Z30" s="37"/>
      <c r="AB30" s="37"/>
    </row>
    <row r="31" spans="1:179" ht="27" thickBot="1" x14ac:dyDescent="0.45">
      <c r="A31" s="824" t="s">
        <v>251</v>
      </c>
      <c r="B31" s="825"/>
      <c r="C31" s="825"/>
      <c r="D31" s="825"/>
      <c r="E31" s="825"/>
      <c r="F31" s="825"/>
      <c r="G31" s="825"/>
      <c r="H31" s="825"/>
      <c r="I31" s="825"/>
      <c r="J31" s="825"/>
      <c r="K31" s="825"/>
      <c r="L31" s="825"/>
      <c r="M31" s="825"/>
      <c r="N31" s="825"/>
      <c r="O31" s="825"/>
      <c r="P31" s="825"/>
      <c r="Q31" s="825"/>
      <c r="R31" s="825"/>
      <c r="S31" s="825"/>
      <c r="T31" s="825"/>
      <c r="U31" s="825"/>
      <c r="V31" s="825"/>
      <c r="W31" s="825"/>
      <c r="X31" s="825"/>
      <c r="Y31" s="825"/>
      <c r="Z31" s="825"/>
      <c r="AA31" s="825"/>
      <c r="AB31" s="826"/>
    </row>
    <row r="32" spans="1:179" ht="158.25" customHeight="1" thickBot="1" x14ac:dyDescent="0.3">
      <c r="A32" s="359" t="s">
        <v>63</v>
      </c>
      <c r="B32" s="818" t="s">
        <v>286</v>
      </c>
      <c r="C32" s="819"/>
      <c r="D32" s="819"/>
      <c r="E32" s="820"/>
      <c r="F32" s="820"/>
      <c r="G32" s="820"/>
      <c r="H32" s="820"/>
      <c r="I32" s="820"/>
      <c r="J32" s="820"/>
      <c r="K32" s="820"/>
      <c r="L32" s="820"/>
      <c r="M32" s="820"/>
      <c r="N32" s="820"/>
      <c r="O32" s="820"/>
      <c r="P32" s="820"/>
      <c r="Q32" s="820"/>
      <c r="R32" s="820"/>
      <c r="S32" s="820"/>
      <c r="T32" s="820"/>
      <c r="U32" s="820"/>
      <c r="V32" s="820"/>
      <c r="W32" s="820"/>
      <c r="X32" s="820"/>
      <c r="Y32" s="820"/>
      <c r="Z32" s="820"/>
      <c r="AA32" s="820"/>
      <c r="AB32" s="821"/>
    </row>
    <row r="33" spans="1:28" ht="21.75" thickBot="1" x14ac:dyDescent="0.4">
      <c r="A33" s="839" t="s">
        <v>57</v>
      </c>
      <c r="B33" s="840"/>
      <c r="C33" s="828" t="s">
        <v>58</v>
      </c>
      <c r="D33" s="829"/>
      <c r="E33" s="837" t="s">
        <v>258</v>
      </c>
      <c r="F33" s="837"/>
      <c r="G33" s="837"/>
      <c r="H33" s="837"/>
      <c r="I33" s="837"/>
      <c r="J33" s="837"/>
      <c r="K33" s="837"/>
      <c r="L33" s="837"/>
      <c r="M33" s="837"/>
      <c r="N33" s="837"/>
      <c r="O33" s="837"/>
      <c r="P33" s="837"/>
      <c r="Q33" s="837"/>
      <c r="R33" s="837"/>
      <c r="S33" s="837"/>
      <c r="T33" s="837"/>
      <c r="U33" s="837"/>
      <c r="V33" s="837"/>
      <c r="W33" s="837"/>
      <c r="X33" s="837"/>
      <c r="Y33" s="837"/>
      <c r="Z33" s="837"/>
      <c r="AA33" s="837"/>
      <c r="AB33" s="838"/>
    </row>
    <row r="34" spans="1:28" ht="15.75" thickBot="1" x14ac:dyDescent="0.3">
      <c r="A34" s="841"/>
      <c r="B34" s="842"/>
      <c r="C34" s="822" t="s">
        <v>53</v>
      </c>
      <c r="D34" s="823" t="s">
        <v>57</v>
      </c>
      <c r="E34" s="788" t="s">
        <v>38</v>
      </c>
      <c r="F34" s="789"/>
      <c r="G34" s="790" t="s">
        <v>39</v>
      </c>
      <c r="H34" s="789"/>
      <c r="I34" s="790" t="s">
        <v>40</v>
      </c>
      <c r="J34" s="789"/>
      <c r="K34" s="790" t="s">
        <v>41</v>
      </c>
      <c r="L34" s="789"/>
      <c r="M34" s="790" t="s">
        <v>42</v>
      </c>
      <c r="N34" s="789"/>
      <c r="O34" s="790" t="s">
        <v>43</v>
      </c>
      <c r="P34" s="789"/>
      <c r="Q34" s="790" t="s">
        <v>44</v>
      </c>
      <c r="R34" s="789"/>
      <c r="S34" s="790" t="s">
        <v>45</v>
      </c>
      <c r="T34" s="789"/>
      <c r="U34" s="790" t="s">
        <v>46</v>
      </c>
      <c r="V34" s="789"/>
      <c r="W34" s="790" t="s">
        <v>47</v>
      </c>
      <c r="X34" s="789"/>
      <c r="Y34" s="790" t="s">
        <v>48</v>
      </c>
      <c r="Z34" s="789"/>
      <c r="AA34" s="790" t="s">
        <v>49</v>
      </c>
      <c r="AB34" s="789"/>
    </row>
    <row r="35" spans="1:28" x14ac:dyDescent="0.25">
      <c r="A35" s="843" t="s">
        <v>56</v>
      </c>
      <c r="B35" s="844"/>
      <c r="C35" s="361">
        <v>1</v>
      </c>
      <c r="D35" s="362" t="s">
        <v>337</v>
      </c>
      <c r="E35" s="836"/>
      <c r="F35" s="768"/>
      <c r="G35" s="768"/>
      <c r="H35" s="768"/>
      <c r="I35" s="768"/>
      <c r="J35" s="768"/>
      <c r="K35" s="768"/>
      <c r="L35" s="768"/>
      <c r="M35" s="768"/>
      <c r="N35" s="768"/>
      <c r="O35" s="768"/>
      <c r="P35" s="768"/>
      <c r="Q35" s="768"/>
      <c r="R35" s="768"/>
      <c r="S35" s="768"/>
      <c r="T35" s="768"/>
      <c r="U35" s="768"/>
      <c r="V35" s="768"/>
      <c r="W35" s="768"/>
      <c r="X35" s="768"/>
      <c r="Y35" s="768"/>
      <c r="Z35" s="768"/>
      <c r="AA35" s="768"/>
      <c r="AB35" s="773"/>
    </row>
    <row r="36" spans="1:28" x14ac:dyDescent="0.25">
      <c r="A36" s="845"/>
      <c r="B36" s="846"/>
      <c r="C36" s="363">
        <v>1</v>
      </c>
      <c r="D36" s="364" t="s">
        <v>338</v>
      </c>
      <c r="E36" s="763"/>
      <c r="F36" s="769"/>
      <c r="G36" s="769"/>
      <c r="H36" s="769"/>
      <c r="I36" s="769"/>
      <c r="J36" s="769"/>
      <c r="K36" s="769"/>
      <c r="L36" s="769"/>
      <c r="M36" s="769"/>
      <c r="N36" s="769"/>
      <c r="O36" s="769"/>
      <c r="P36" s="769"/>
      <c r="Q36" s="769"/>
      <c r="R36" s="769"/>
      <c r="S36" s="769"/>
      <c r="T36" s="769"/>
      <c r="U36" s="769"/>
      <c r="V36" s="769"/>
      <c r="W36" s="769"/>
      <c r="X36" s="769"/>
      <c r="Y36" s="769"/>
      <c r="Z36" s="769"/>
      <c r="AA36" s="769"/>
      <c r="AB36" s="772"/>
    </row>
    <row r="37" spans="1:28" x14ac:dyDescent="0.25">
      <c r="A37" s="845"/>
      <c r="B37" s="846"/>
      <c r="C37" s="363">
        <v>1</v>
      </c>
      <c r="D37" s="364" t="s">
        <v>339</v>
      </c>
      <c r="E37" s="763"/>
      <c r="F37" s="769"/>
      <c r="G37" s="769"/>
      <c r="H37" s="769"/>
      <c r="I37" s="769"/>
      <c r="J37" s="769"/>
      <c r="K37" s="769"/>
      <c r="L37" s="769"/>
      <c r="M37" s="769"/>
      <c r="N37" s="769"/>
      <c r="O37" s="769"/>
      <c r="P37" s="769"/>
      <c r="Q37" s="769"/>
      <c r="R37" s="769"/>
      <c r="S37" s="769"/>
      <c r="T37" s="769"/>
      <c r="U37" s="769"/>
      <c r="V37" s="769"/>
      <c r="W37" s="769"/>
      <c r="X37" s="769"/>
      <c r="Y37" s="769"/>
      <c r="Z37" s="769"/>
      <c r="AA37" s="769"/>
      <c r="AB37" s="772"/>
    </row>
    <row r="38" spans="1:28" x14ac:dyDescent="0.25">
      <c r="A38" s="845"/>
      <c r="B38" s="846"/>
      <c r="C38" s="363">
        <v>3</v>
      </c>
      <c r="D38" s="364" t="s">
        <v>262</v>
      </c>
      <c r="E38" s="763"/>
      <c r="F38" s="769"/>
      <c r="G38" s="769"/>
      <c r="H38" s="769"/>
      <c r="I38" s="769"/>
      <c r="J38" s="769"/>
      <c r="K38" s="769"/>
      <c r="L38" s="769"/>
      <c r="M38" s="769"/>
      <c r="N38" s="769"/>
      <c r="O38" s="769"/>
      <c r="P38" s="769"/>
      <c r="Q38" s="769"/>
      <c r="R38" s="769"/>
      <c r="S38" s="769"/>
      <c r="T38" s="769"/>
      <c r="U38" s="769"/>
      <c r="V38" s="769"/>
      <c r="W38" s="769"/>
      <c r="X38" s="769"/>
      <c r="Y38" s="769"/>
      <c r="Z38" s="769"/>
      <c r="AA38" s="769"/>
      <c r="AB38" s="772"/>
    </row>
    <row r="39" spans="1:28" x14ac:dyDescent="0.25">
      <c r="A39" s="845"/>
      <c r="B39" s="846"/>
      <c r="C39" s="363">
        <v>1</v>
      </c>
      <c r="D39" s="364" t="s">
        <v>263</v>
      </c>
      <c r="E39" s="763"/>
      <c r="F39" s="769"/>
      <c r="G39" s="769"/>
      <c r="H39" s="769"/>
      <c r="I39" s="769"/>
      <c r="J39" s="769"/>
      <c r="K39" s="769"/>
      <c r="L39" s="769"/>
      <c r="M39" s="769"/>
      <c r="N39" s="769"/>
      <c r="O39" s="769"/>
      <c r="P39" s="769"/>
      <c r="Q39" s="769"/>
      <c r="R39" s="769"/>
      <c r="S39" s="769"/>
      <c r="T39" s="769"/>
      <c r="U39" s="769"/>
      <c r="V39" s="769"/>
      <c r="W39" s="769"/>
      <c r="X39" s="769"/>
      <c r="Y39" s="769"/>
      <c r="Z39" s="769"/>
      <c r="AA39" s="769"/>
      <c r="AB39" s="772"/>
    </row>
    <row r="40" spans="1:28" ht="15.75" thickBot="1" x14ac:dyDescent="0.3">
      <c r="A40" s="845"/>
      <c r="B40" s="846"/>
      <c r="C40" s="363">
        <v>1</v>
      </c>
      <c r="D40" s="364" t="s">
        <v>264</v>
      </c>
      <c r="E40" s="763"/>
      <c r="F40" s="769"/>
      <c r="G40" s="769"/>
      <c r="H40" s="769"/>
      <c r="I40" s="769"/>
      <c r="J40" s="769"/>
      <c r="K40" s="769"/>
      <c r="L40" s="769"/>
      <c r="M40" s="769"/>
      <c r="N40" s="769"/>
      <c r="O40" s="769"/>
      <c r="P40" s="769"/>
      <c r="Q40" s="769"/>
      <c r="R40" s="769"/>
      <c r="S40" s="769"/>
      <c r="T40" s="769"/>
      <c r="U40" s="814"/>
      <c r="V40" s="814"/>
      <c r="W40" s="814"/>
      <c r="X40" s="814"/>
      <c r="Y40" s="814"/>
      <c r="Z40" s="814"/>
      <c r="AA40" s="769"/>
      <c r="AB40" s="772"/>
    </row>
    <row r="41" spans="1:28" x14ac:dyDescent="0.25">
      <c r="A41" s="830" t="s">
        <v>60</v>
      </c>
      <c r="B41" s="831"/>
      <c r="C41" s="361">
        <v>4</v>
      </c>
      <c r="D41" s="365" t="s">
        <v>265</v>
      </c>
      <c r="E41" s="836"/>
      <c r="F41" s="768"/>
      <c r="G41" s="768"/>
      <c r="H41" s="768"/>
      <c r="I41" s="768"/>
      <c r="J41" s="768"/>
      <c r="K41" s="768"/>
      <c r="L41" s="768"/>
      <c r="M41" s="768"/>
      <c r="N41" s="768"/>
      <c r="O41" s="768"/>
      <c r="P41" s="768"/>
      <c r="Q41" s="768"/>
      <c r="R41" s="768"/>
      <c r="S41" s="768"/>
      <c r="T41" s="768"/>
      <c r="U41" s="849"/>
      <c r="V41" s="849"/>
      <c r="W41" s="849"/>
      <c r="X41" s="849"/>
      <c r="Y41" s="768"/>
      <c r="Z41" s="768"/>
      <c r="AA41" s="768"/>
      <c r="AB41" s="773"/>
    </row>
    <row r="42" spans="1:28" x14ac:dyDescent="0.25">
      <c r="A42" s="832"/>
      <c r="B42" s="833"/>
      <c r="C42" s="363">
        <v>6</v>
      </c>
      <c r="D42" s="364" t="s">
        <v>266</v>
      </c>
      <c r="E42" s="763"/>
      <c r="F42" s="769"/>
      <c r="G42" s="769"/>
      <c r="H42" s="769"/>
      <c r="I42" s="769"/>
      <c r="J42" s="769"/>
      <c r="K42" s="769"/>
      <c r="L42" s="769"/>
      <c r="M42" s="769"/>
      <c r="N42" s="769"/>
      <c r="O42" s="769"/>
      <c r="P42" s="769"/>
      <c r="Q42" s="769"/>
      <c r="R42" s="769"/>
      <c r="S42" s="769"/>
      <c r="T42" s="769"/>
      <c r="U42" s="769"/>
      <c r="V42" s="769"/>
      <c r="W42" s="769"/>
      <c r="X42" s="769"/>
      <c r="Y42" s="769"/>
      <c r="Z42" s="769"/>
      <c r="AA42" s="769"/>
      <c r="AB42" s="772"/>
    </row>
    <row r="43" spans="1:28" x14ac:dyDescent="0.25">
      <c r="A43" s="832"/>
      <c r="B43" s="833"/>
      <c r="C43" s="363">
        <v>11</v>
      </c>
      <c r="D43" s="364" t="s">
        <v>267</v>
      </c>
      <c r="E43" s="763"/>
      <c r="F43" s="769"/>
      <c r="G43" s="769"/>
      <c r="H43" s="769"/>
      <c r="I43" s="769"/>
      <c r="J43" s="769"/>
      <c r="K43" s="769"/>
      <c r="L43" s="769"/>
      <c r="M43" s="769"/>
      <c r="N43" s="769"/>
      <c r="O43" s="769"/>
      <c r="P43" s="769"/>
      <c r="Q43" s="769"/>
      <c r="R43" s="769"/>
      <c r="S43" s="769"/>
      <c r="T43" s="769"/>
      <c r="U43" s="769"/>
      <c r="V43" s="769"/>
      <c r="W43" s="769"/>
      <c r="X43" s="769"/>
      <c r="Y43" s="769"/>
      <c r="Z43" s="769"/>
      <c r="AA43" s="769">
        <v>2</v>
      </c>
      <c r="AB43" s="772"/>
    </row>
    <row r="44" spans="1:28" x14ac:dyDescent="0.25">
      <c r="A44" s="832"/>
      <c r="B44" s="833"/>
      <c r="C44" s="363">
        <v>11</v>
      </c>
      <c r="D44" s="364" t="s">
        <v>268</v>
      </c>
      <c r="E44" s="763"/>
      <c r="F44" s="769"/>
      <c r="G44" s="769"/>
      <c r="H44" s="769"/>
      <c r="I44" s="769"/>
      <c r="J44" s="769"/>
      <c r="K44" s="769"/>
      <c r="L44" s="769"/>
      <c r="M44" s="769"/>
      <c r="N44" s="769"/>
      <c r="O44" s="769"/>
      <c r="P44" s="769"/>
      <c r="Q44" s="769"/>
      <c r="R44" s="769"/>
      <c r="S44" s="769"/>
      <c r="T44" s="769"/>
      <c r="U44" s="769"/>
      <c r="V44" s="769"/>
      <c r="W44" s="769"/>
      <c r="X44" s="769"/>
      <c r="Y44" s="769"/>
      <c r="Z44" s="769"/>
      <c r="AA44" s="769">
        <v>2</v>
      </c>
      <c r="AB44" s="772"/>
    </row>
    <row r="45" spans="1:28" ht="15.75" thickBot="1" x14ac:dyDescent="0.3">
      <c r="A45" s="832"/>
      <c r="B45" s="833"/>
      <c r="C45" s="363">
        <v>11</v>
      </c>
      <c r="D45" s="364" t="s">
        <v>269</v>
      </c>
      <c r="E45" s="763"/>
      <c r="F45" s="769"/>
      <c r="G45" s="769"/>
      <c r="H45" s="769"/>
      <c r="I45" s="769"/>
      <c r="J45" s="769"/>
      <c r="K45" s="769"/>
      <c r="L45" s="769"/>
      <c r="M45" s="769"/>
      <c r="N45" s="769"/>
      <c r="O45" s="769"/>
      <c r="P45" s="769"/>
      <c r="Q45" s="769"/>
      <c r="R45" s="769"/>
      <c r="S45" s="769"/>
      <c r="T45" s="769"/>
      <c r="U45" s="769"/>
      <c r="V45" s="769"/>
      <c r="W45" s="769"/>
      <c r="X45" s="769"/>
      <c r="Y45" s="769"/>
      <c r="Z45" s="769"/>
      <c r="AA45" s="769">
        <v>2</v>
      </c>
      <c r="AB45" s="772"/>
    </row>
    <row r="46" spans="1:28" x14ac:dyDescent="0.25">
      <c r="A46" s="830" t="s">
        <v>61</v>
      </c>
      <c r="B46" s="831"/>
      <c r="C46" s="361">
        <v>1</v>
      </c>
      <c r="D46" s="365" t="s">
        <v>270</v>
      </c>
      <c r="E46" s="836"/>
      <c r="F46" s="768"/>
      <c r="G46" s="768"/>
      <c r="H46" s="768"/>
      <c r="I46" s="768"/>
      <c r="J46" s="768"/>
      <c r="K46" s="768"/>
      <c r="L46" s="768"/>
      <c r="M46" s="768"/>
      <c r="N46" s="768"/>
      <c r="O46" s="768"/>
      <c r="P46" s="768"/>
      <c r="Q46" s="768"/>
      <c r="R46" s="768"/>
      <c r="S46" s="768"/>
      <c r="T46" s="768"/>
      <c r="U46" s="768"/>
      <c r="V46" s="768"/>
      <c r="W46" s="768"/>
      <c r="X46" s="768"/>
      <c r="Y46" s="768"/>
      <c r="Z46" s="768"/>
      <c r="AA46" s="768"/>
      <c r="AB46" s="773"/>
    </row>
    <row r="47" spans="1:28" ht="15.75" thickBot="1" x14ac:dyDescent="0.3">
      <c r="A47" s="834"/>
      <c r="B47" s="835"/>
      <c r="C47" s="366"/>
      <c r="D47" s="367"/>
      <c r="E47" s="792"/>
      <c r="F47" s="814"/>
      <c r="G47" s="814"/>
      <c r="H47" s="814"/>
      <c r="I47" s="814"/>
      <c r="J47" s="814"/>
      <c r="K47" s="814"/>
      <c r="L47" s="814"/>
      <c r="M47" s="814"/>
      <c r="N47" s="814"/>
      <c r="O47" s="814"/>
      <c r="P47" s="814"/>
      <c r="Q47" s="814"/>
      <c r="R47" s="814"/>
      <c r="S47" s="814"/>
      <c r="T47" s="814"/>
      <c r="U47" s="814"/>
      <c r="V47" s="814"/>
      <c r="W47" s="814"/>
      <c r="X47" s="814"/>
      <c r="Y47" s="814"/>
      <c r="Z47" s="814"/>
      <c r="AA47" s="814"/>
      <c r="AB47" s="850"/>
    </row>
    <row r="48" spans="1:28" ht="18.75" customHeight="1" x14ac:dyDescent="0.25">
      <c r="A48" s="49"/>
      <c r="B48" s="49"/>
      <c r="C48" s="46"/>
      <c r="D48" s="38"/>
      <c r="E48" s="51"/>
      <c r="F48" s="51"/>
      <c r="G48" s="51"/>
      <c r="H48" s="51"/>
      <c r="I48" s="51"/>
      <c r="J48" s="51"/>
      <c r="K48" s="51"/>
      <c r="L48" s="51"/>
      <c r="M48" s="51"/>
      <c r="N48" s="51"/>
      <c r="O48" s="51"/>
      <c r="P48" s="51"/>
      <c r="Q48" s="51"/>
      <c r="R48" s="51"/>
      <c r="S48" s="51"/>
      <c r="T48" s="51"/>
      <c r="U48" s="51"/>
      <c r="V48" s="51"/>
      <c r="W48" s="51"/>
      <c r="X48" s="51"/>
      <c r="Y48" s="51"/>
      <c r="Z48" s="51"/>
      <c r="AA48" s="51"/>
      <c r="AB48" s="51"/>
    </row>
    <row r="49" spans="1:43" ht="23.25" customHeight="1" x14ac:dyDescent="0.25">
      <c r="A49" s="49"/>
      <c r="B49" s="49"/>
      <c r="C49" s="46"/>
      <c r="D49" s="38"/>
      <c r="E49" s="268"/>
      <c r="F49" s="268"/>
      <c r="G49" s="268"/>
      <c r="H49" s="268"/>
      <c r="I49" s="268"/>
      <c r="J49" s="268"/>
      <c r="K49" s="268"/>
      <c r="L49" s="268"/>
      <c r="M49" s="268"/>
      <c r="N49" s="268"/>
      <c r="O49" s="268"/>
      <c r="P49" s="268"/>
      <c r="Q49" s="268"/>
      <c r="R49" s="268"/>
      <c r="S49" s="268"/>
      <c r="T49" s="268"/>
      <c r="U49" s="268"/>
      <c r="V49" s="268"/>
      <c r="W49" s="268"/>
      <c r="X49" s="268"/>
      <c r="Y49" s="268"/>
      <c r="Z49" s="268"/>
      <c r="AA49" s="268"/>
      <c r="AB49" s="268"/>
    </row>
    <row r="50" spans="1:43" ht="3" customHeight="1" x14ac:dyDescent="0.25">
      <c r="A50" s="53"/>
      <c r="B50" s="53"/>
      <c r="C50" s="54"/>
      <c r="D50" s="55"/>
      <c r="E50" s="56"/>
      <c r="F50" s="56"/>
      <c r="G50" s="56"/>
      <c r="H50" s="56"/>
      <c r="I50" s="56"/>
      <c r="J50" s="56"/>
      <c r="K50" s="56"/>
      <c r="L50" s="56"/>
      <c r="M50" s="56"/>
      <c r="N50" s="56"/>
      <c r="O50" s="56"/>
      <c r="P50" s="56"/>
      <c r="Q50" s="56"/>
      <c r="R50" s="56"/>
      <c r="S50" s="56"/>
      <c r="T50" s="56"/>
      <c r="U50" s="56"/>
      <c r="V50" s="56"/>
      <c r="W50" s="56"/>
      <c r="X50" s="56"/>
      <c r="Y50" s="56"/>
      <c r="Z50" s="56"/>
      <c r="AA50" s="56"/>
      <c r="AB50" s="56"/>
      <c r="AC50" s="57"/>
      <c r="AD50" s="57"/>
      <c r="AE50" s="57"/>
      <c r="AF50" s="57"/>
      <c r="AG50" s="57"/>
      <c r="AH50" s="57"/>
      <c r="AI50" s="57"/>
      <c r="AJ50" s="57"/>
      <c r="AK50" s="57"/>
      <c r="AL50" s="57"/>
      <c r="AM50" s="57"/>
      <c r="AN50" s="57"/>
      <c r="AO50" s="57"/>
      <c r="AP50" s="57"/>
      <c r="AQ50" s="57"/>
    </row>
    <row r="52" spans="1:43" ht="26.25" customHeight="1" thickBot="1" x14ac:dyDescent="0.3"/>
    <row r="53" spans="1:43" ht="27" thickBot="1" x14ac:dyDescent="0.45">
      <c r="A53" s="824" t="s">
        <v>252</v>
      </c>
      <c r="B53" s="825"/>
      <c r="C53" s="825"/>
      <c r="D53" s="825"/>
      <c r="E53" s="825"/>
      <c r="F53" s="825"/>
      <c r="G53" s="825"/>
      <c r="H53" s="825"/>
      <c r="I53" s="825"/>
      <c r="J53" s="825"/>
      <c r="K53" s="825"/>
      <c r="L53" s="825"/>
      <c r="M53" s="825"/>
      <c r="N53" s="825"/>
      <c r="O53" s="825"/>
      <c r="P53" s="825"/>
      <c r="Q53" s="825"/>
      <c r="R53" s="825"/>
      <c r="S53" s="825"/>
      <c r="T53" s="825"/>
      <c r="U53" s="825"/>
      <c r="V53" s="825"/>
      <c r="W53" s="825"/>
      <c r="X53" s="825"/>
      <c r="Y53" s="825"/>
      <c r="Z53" s="825"/>
      <c r="AA53" s="825"/>
      <c r="AB53" s="826"/>
    </row>
    <row r="54" spans="1:43" x14ac:dyDescent="0.25">
      <c r="A54" s="808" t="s">
        <v>29</v>
      </c>
      <c r="B54" s="815" t="s">
        <v>30</v>
      </c>
      <c r="C54" s="808" t="s">
        <v>54</v>
      </c>
      <c r="D54" s="827"/>
      <c r="E54" s="766" t="s">
        <v>38</v>
      </c>
      <c r="F54" s="767"/>
      <c r="G54" s="766" t="s">
        <v>39</v>
      </c>
      <c r="H54" s="767"/>
      <c r="I54" s="766" t="s">
        <v>40</v>
      </c>
      <c r="J54" s="767"/>
      <c r="K54" s="766" t="s">
        <v>41</v>
      </c>
      <c r="L54" s="767"/>
      <c r="M54" s="766" t="s">
        <v>42</v>
      </c>
      <c r="N54" s="767"/>
      <c r="O54" s="766" t="s">
        <v>43</v>
      </c>
      <c r="P54" s="767"/>
      <c r="Q54" s="766" t="s">
        <v>44</v>
      </c>
      <c r="R54" s="767"/>
      <c r="S54" s="766" t="s">
        <v>45</v>
      </c>
      <c r="T54" s="767"/>
      <c r="U54" s="766" t="s">
        <v>46</v>
      </c>
      <c r="V54" s="767"/>
      <c r="W54" s="766" t="s">
        <v>47</v>
      </c>
      <c r="X54" s="767"/>
      <c r="Y54" s="766" t="s">
        <v>48</v>
      </c>
      <c r="Z54" s="767"/>
      <c r="AA54" s="766" t="s">
        <v>49</v>
      </c>
      <c r="AB54" s="767"/>
    </row>
    <row r="55" spans="1:43" x14ac:dyDescent="0.25">
      <c r="A55" s="797"/>
      <c r="B55" s="800"/>
      <c r="C55" s="803" t="s">
        <v>53</v>
      </c>
      <c r="D55" s="805" t="s">
        <v>37</v>
      </c>
      <c r="E55" s="770">
        <f>F65/$D$65</f>
        <v>7.0872452484543158E-2</v>
      </c>
      <c r="F55" s="771"/>
      <c r="G55" s="770">
        <f>H65/$D$65</f>
        <v>7.0872452484543158E-2</v>
      </c>
      <c r="H55" s="771"/>
      <c r="I55" s="770">
        <f>J65/$D$65</f>
        <v>6.285779711472407E-2</v>
      </c>
      <c r="J55" s="771"/>
      <c r="K55" s="770">
        <f>L65/$D$65</f>
        <v>6.4002747881841085E-2</v>
      </c>
      <c r="L55" s="771"/>
      <c r="M55" s="770">
        <f>N65/$D$65</f>
        <v>6.5376688802381497E-2</v>
      </c>
      <c r="N55" s="771"/>
      <c r="O55" s="770">
        <f>P65/$D$65</f>
        <v>0.1302953972979162</v>
      </c>
      <c r="P55" s="771"/>
      <c r="Q55" s="770">
        <f>R65/$D$65</f>
        <v>8.106251431188459E-2</v>
      </c>
      <c r="R55" s="771"/>
      <c r="S55" s="770">
        <f>T65/$D$65</f>
        <v>7.8200137394092054E-2</v>
      </c>
      <c r="T55" s="771"/>
      <c r="U55" s="770">
        <f>V65/$D$65</f>
        <v>7.3620334325623996E-2</v>
      </c>
      <c r="V55" s="771"/>
      <c r="W55" s="770">
        <f>X65/$D$65</f>
        <v>0.14082894435539273</v>
      </c>
      <c r="X55" s="771"/>
      <c r="Y55" s="770">
        <f>Z65/$D$65</f>
        <v>3.3203572246393406E-2</v>
      </c>
      <c r="Z55" s="771"/>
      <c r="AA55" s="770">
        <f>AB65/$D$65</f>
        <v>0.12880696130066407</v>
      </c>
      <c r="AB55" s="771"/>
    </row>
    <row r="56" spans="1:43" ht="15.75" thickBot="1" x14ac:dyDescent="0.3">
      <c r="A56" s="798"/>
      <c r="B56" s="801"/>
      <c r="C56" s="804"/>
      <c r="D56" s="806"/>
      <c r="E56" s="310" t="s">
        <v>53</v>
      </c>
      <c r="F56" s="311" t="s">
        <v>37</v>
      </c>
      <c r="G56" s="357" t="s">
        <v>53</v>
      </c>
      <c r="H56" s="358" t="s">
        <v>37</v>
      </c>
      <c r="I56" s="357" t="s">
        <v>53</v>
      </c>
      <c r="J56" s="358" t="s">
        <v>37</v>
      </c>
      <c r="K56" s="357" t="s">
        <v>53</v>
      </c>
      <c r="L56" s="358" t="s">
        <v>37</v>
      </c>
      <c r="M56" s="357" t="s">
        <v>53</v>
      </c>
      <c r="N56" s="358" t="s">
        <v>37</v>
      </c>
      <c r="O56" s="357" t="s">
        <v>53</v>
      </c>
      <c r="P56" s="358" t="s">
        <v>37</v>
      </c>
      <c r="Q56" s="357" t="s">
        <v>53</v>
      </c>
      <c r="R56" s="358" t="s">
        <v>37</v>
      </c>
      <c r="S56" s="310" t="s">
        <v>53</v>
      </c>
      <c r="T56" s="311" t="s">
        <v>37</v>
      </c>
      <c r="U56" s="310" t="s">
        <v>53</v>
      </c>
      <c r="V56" s="311" t="s">
        <v>37</v>
      </c>
      <c r="W56" s="310" t="s">
        <v>53</v>
      </c>
      <c r="X56" s="311" t="s">
        <v>37</v>
      </c>
      <c r="Y56" s="310" t="s">
        <v>53</v>
      </c>
      <c r="Z56" s="311" t="s">
        <v>37</v>
      </c>
      <c r="AA56" s="310" t="s">
        <v>53</v>
      </c>
      <c r="AB56" s="311" t="s">
        <v>37</v>
      </c>
    </row>
    <row r="57" spans="1:43" ht="15.75" x14ac:dyDescent="0.25">
      <c r="A57" s="297" t="str">
        <f>'1️⃣ Hipótesis'!B58</f>
        <v>Portal básico</v>
      </c>
      <c r="B57" s="304">
        <f>'1️⃣ Hipótesis'!C58</f>
        <v>2000000</v>
      </c>
      <c r="C57" s="1113">
        <f t="shared" ref="C57:C60" si="38">SUM(E57,G57,I57,K57,M57,O57,Q57,S57,U57,W57,Y57,AA57)</f>
        <v>6</v>
      </c>
      <c r="D57" s="298">
        <f>B57*C57</f>
        <v>12000000</v>
      </c>
      <c r="E57" s="456"/>
      <c r="F57" s="368">
        <f>E57*$B57</f>
        <v>0</v>
      </c>
      <c r="G57" s="456"/>
      <c r="H57" s="368">
        <f>G57*$B57</f>
        <v>0</v>
      </c>
      <c r="I57" s="456">
        <v>1</v>
      </c>
      <c r="J57" s="368">
        <f>I57*$B57</f>
        <v>2000000</v>
      </c>
      <c r="K57" s="456">
        <v>1</v>
      </c>
      <c r="L57" s="368">
        <f>K57*$B57</f>
        <v>2000000</v>
      </c>
      <c r="M57" s="456">
        <v>1</v>
      </c>
      <c r="N57" s="368">
        <f>M57*$B57</f>
        <v>2000000</v>
      </c>
      <c r="O57" s="456"/>
      <c r="P57" s="368">
        <f>O57*$B57</f>
        <v>0</v>
      </c>
      <c r="Q57" s="456"/>
      <c r="R57" s="368">
        <f>Q57*$B57</f>
        <v>0</v>
      </c>
      <c r="S57" s="456"/>
      <c r="T57" s="368">
        <f>S57*$B57</f>
        <v>0</v>
      </c>
      <c r="U57" s="456">
        <v>1</v>
      </c>
      <c r="V57" s="368">
        <f>U57*$B57</f>
        <v>2000000</v>
      </c>
      <c r="W57" s="456"/>
      <c r="X57" s="368">
        <f>W57*$B57</f>
        <v>0</v>
      </c>
      <c r="Y57" s="456"/>
      <c r="Z57" s="368">
        <f>Y57*$B57</f>
        <v>0</v>
      </c>
      <c r="AA57" s="456">
        <v>2</v>
      </c>
      <c r="AB57" s="368">
        <f>AA57*$B57</f>
        <v>4000000</v>
      </c>
    </row>
    <row r="58" spans="1:43" ht="15.75" x14ac:dyDescent="0.25">
      <c r="A58" s="306" t="str">
        <f>'1️⃣ Hipótesis'!B59</f>
        <v>Portal aprendizaje</v>
      </c>
      <c r="B58" s="301">
        <f>'1️⃣ Hipótesis'!C59</f>
        <v>2300000</v>
      </c>
      <c r="C58" s="1114">
        <f t="shared" si="38"/>
        <v>3</v>
      </c>
      <c r="D58" s="299">
        <f t="shared" ref="D58:D64" si="39">B58*C58</f>
        <v>6900000</v>
      </c>
      <c r="E58" s="457"/>
      <c r="F58" s="369">
        <f t="shared" ref="F58:H63" si="40">E58*$B58</f>
        <v>0</v>
      </c>
      <c r="G58" s="457"/>
      <c r="H58" s="369">
        <f t="shared" si="40"/>
        <v>0</v>
      </c>
      <c r="I58" s="457"/>
      <c r="J58" s="369">
        <f t="shared" ref="J58" si="41">I58*$B58</f>
        <v>0</v>
      </c>
      <c r="K58" s="457"/>
      <c r="L58" s="369">
        <f t="shared" ref="L58" si="42">K58*$B58</f>
        <v>0</v>
      </c>
      <c r="M58" s="457"/>
      <c r="N58" s="369">
        <f t="shared" ref="N58:P58" si="43">M58*$B58</f>
        <v>0</v>
      </c>
      <c r="O58" s="457">
        <v>1</v>
      </c>
      <c r="P58" s="369">
        <f t="shared" si="43"/>
        <v>2300000</v>
      </c>
      <c r="Q58" s="457"/>
      <c r="R58" s="369">
        <f t="shared" ref="R58" si="44">Q58*$B58</f>
        <v>0</v>
      </c>
      <c r="S58" s="457">
        <v>1</v>
      </c>
      <c r="T58" s="369">
        <f t="shared" ref="T58" si="45">S58*$B58</f>
        <v>2300000</v>
      </c>
      <c r="U58" s="457"/>
      <c r="V58" s="369">
        <f t="shared" ref="V58" si="46">U58*$B58</f>
        <v>0</v>
      </c>
      <c r="W58" s="457">
        <v>1</v>
      </c>
      <c r="X58" s="369">
        <f t="shared" ref="X58" si="47">W58*$B58</f>
        <v>2300000</v>
      </c>
      <c r="Y58" s="457"/>
      <c r="Z58" s="369">
        <f t="shared" ref="Z58" si="48">Y58*$B58</f>
        <v>0</v>
      </c>
      <c r="AA58" s="457"/>
      <c r="AB58" s="369">
        <f t="shared" ref="AB58" si="49">AA58*$B58</f>
        <v>0</v>
      </c>
    </row>
    <row r="59" spans="1:43" ht="15.75" x14ac:dyDescent="0.25">
      <c r="A59" s="306" t="str">
        <f>'1️⃣ Hipótesis'!B60</f>
        <v>Portal sugerencia</v>
      </c>
      <c r="B59" s="301">
        <f>'1️⃣ Hipótesis'!C60</f>
        <v>2400000</v>
      </c>
      <c r="C59" s="1114">
        <f t="shared" si="38"/>
        <v>3</v>
      </c>
      <c r="D59" s="299">
        <f t="shared" si="39"/>
        <v>7200000</v>
      </c>
      <c r="E59" s="457"/>
      <c r="F59" s="369">
        <f t="shared" si="40"/>
        <v>0</v>
      </c>
      <c r="G59" s="457">
        <v>1</v>
      </c>
      <c r="H59" s="369">
        <f t="shared" si="40"/>
        <v>2400000</v>
      </c>
      <c r="I59" s="457"/>
      <c r="J59" s="369">
        <f t="shared" ref="J59" si="50">I59*$B59</f>
        <v>0</v>
      </c>
      <c r="K59" s="457"/>
      <c r="L59" s="369">
        <f t="shared" ref="L59" si="51">K59*$B59</f>
        <v>0</v>
      </c>
      <c r="M59" s="457"/>
      <c r="N59" s="369">
        <f>M59*$B59</f>
        <v>0</v>
      </c>
      <c r="O59" s="457">
        <v>1</v>
      </c>
      <c r="P59" s="369">
        <f>O59*$B59</f>
        <v>2400000</v>
      </c>
      <c r="Q59" s="457"/>
      <c r="R59" s="369">
        <f>Q59*$B59</f>
        <v>0</v>
      </c>
      <c r="S59" s="457"/>
      <c r="T59" s="369">
        <f>S59*$B59</f>
        <v>0</v>
      </c>
      <c r="U59" s="457"/>
      <c r="V59" s="369">
        <f>U59*$B59</f>
        <v>0</v>
      </c>
      <c r="W59" s="457">
        <v>1</v>
      </c>
      <c r="X59" s="369">
        <f>W59*$B59</f>
        <v>2400000</v>
      </c>
      <c r="Y59" s="457"/>
      <c r="Z59" s="369">
        <f>Y59*$B59</f>
        <v>0</v>
      </c>
      <c r="AA59" s="457"/>
      <c r="AB59" s="369">
        <f>AA59*$B59</f>
        <v>0</v>
      </c>
    </row>
    <row r="60" spans="1:43" ht="16.5" thickBot="1" x14ac:dyDescent="0.3">
      <c r="A60" s="307" t="str">
        <f>'1️⃣ Hipótesis'!B61</f>
        <v>Portal experto</v>
      </c>
      <c r="B60" s="308">
        <f>'1️⃣ Hipótesis'!C61</f>
        <v>2500000</v>
      </c>
      <c r="C60" s="1115">
        <f t="shared" si="38"/>
        <v>2</v>
      </c>
      <c r="D60" s="300">
        <f t="shared" si="39"/>
        <v>5000000</v>
      </c>
      <c r="E60" s="458">
        <v>1</v>
      </c>
      <c r="F60" s="370">
        <f t="shared" si="40"/>
        <v>2500000</v>
      </c>
      <c r="G60" s="458"/>
      <c r="H60" s="370">
        <f t="shared" si="40"/>
        <v>0</v>
      </c>
      <c r="I60" s="458"/>
      <c r="J60" s="370">
        <f t="shared" ref="J60" si="52">I60*$B60</f>
        <v>0</v>
      </c>
      <c r="K60" s="458"/>
      <c r="L60" s="370">
        <f t="shared" ref="L60" si="53">K60*$B60</f>
        <v>0</v>
      </c>
      <c r="M60" s="458"/>
      <c r="N60" s="370">
        <f t="shared" ref="N60:P60" si="54">M60*$B60</f>
        <v>0</v>
      </c>
      <c r="O60" s="458"/>
      <c r="P60" s="370">
        <f t="shared" si="54"/>
        <v>0</v>
      </c>
      <c r="Q60" s="458">
        <v>1</v>
      </c>
      <c r="R60" s="370">
        <f t="shared" ref="R60" si="55">Q60*$B60</f>
        <v>2500000</v>
      </c>
      <c r="S60" s="458"/>
      <c r="T60" s="370">
        <f t="shared" ref="T60" si="56">S60*$B60</f>
        <v>0</v>
      </c>
      <c r="U60" s="458"/>
      <c r="V60" s="370">
        <f t="shared" ref="V60" si="57">U60*$B60</f>
        <v>0</v>
      </c>
      <c r="W60" s="458"/>
      <c r="X60" s="370">
        <f t="shared" ref="X60" si="58">W60*$B60</f>
        <v>0</v>
      </c>
      <c r="Y60" s="458"/>
      <c r="Z60" s="370">
        <f t="shared" ref="Z60" si="59">Y60*$B60</f>
        <v>0</v>
      </c>
      <c r="AA60" s="458"/>
      <c r="AB60" s="370">
        <f t="shared" ref="AB60" si="60">AA60*$B60</f>
        <v>0</v>
      </c>
    </row>
    <row r="61" spans="1:43" ht="15.75" x14ac:dyDescent="0.25">
      <c r="A61" s="324" t="str">
        <f>'1️⃣ Hipótesis'!B62</f>
        <v>Simple</v>
      </c>
      <c r="B61" s="325">
        <f>'1️⃣ Hipótesis'!C62</f>
        <v>50000</v>
      </c>
      <c r="C61" s="1112">
        <f>SUM(E61,G61,I61,K61,M61,O61,Q61,S61,U61,W61,Y61,AA61)</f>
        <v>73</v>
      </c>
      <c r="D61" s="333">
        <f t="shared" si="39"/>
        <v>3650000</v>
      </c>
      <c r="E61" s="451">
        <v>4</v>
      </c>
      <c r="F61" s="460">
        <f t="shared" si="40"/>
        <v>200000</v>
      </c>
      <c r="G61" s="451">
        <v>4</v>
      </c>
      <c r="H61" s="460">
        <f t="shared" si="40"/>
        <v>200000</v>
      </c>
      <c r="I61" s="451">
        <v>5</v>
      </c>
      <c r="J61" s="460">
        <f t="shared" ref="J61" si="61">I61*$B61</f>
        <v>250000</v>
      </c>
      <c r="K61" s="451">
        <v>6</v>
      </c>
      <c r="L61" s="460">
        <f t="shared" ref="L61" si="62">K61*$B61</f>
        <v>300000</v>
      </c>
      <c r="M61" s="451">
        <v>6</v>
      </c>
      <c r="N61" s="460">
        <f t="shared" ref="N61:P61" si="63">M61*$B61</f>
        <v>300000</v>
      </c>
      <c r="O61" s="451">
        <v>6</v>
      </c>
      <c r="P61" s="460">
        <f t="shared" si="63"/>
        <v>300000</v>
      </c>
      <c r="Q61" s="451">
        <v>7</v>
      </c>
      <c r="R61" s="460">
        <f t="shared" ref="R61" si="64">Q61*$B61</f>
        <v>350000</v>
      </c>
      <c r="S61" s="451">
        <v>7</v>
      </c>
      <c r="T61" s="460">
        <f t="shared" ref="T61" si="65">S61*$B61</f>
        <v>350000</v>
      </c>
      <c r="U61" s="451">
        <v>7</v>
      </c>
      <c r="V61" s="460">
        <f t="shared" ref="V61" si="66">U61*$B61</f>
        <v>350000</v>
      </c>
      <c r="W61" s="451">
        <v>7</v>
      </c>
      <c r="X61" s="460">
        <f t="shared" ref="X61" si="67">W61*$B61</f>
        <v>350000</v>
      </c>
      <c r="Y61" s="451">
        <v>7</v>
      </c>
      <c r="Z61" s="460">
        <f t="shared" ref="Z61" si="68">Y61*$B61</f>
        <v>350000</v>
      </c>
      <c r="AA61" s="451">
        <v>7</v>
      </c>
      <c r="AB61" s="460">
        <f t="shared" ref="AB61" si="69">AA61*$B61</f>
        <v>350000</v>
      </c>
    </row>
    <row r="62" spans="1:43" ht="15.75" x14ac:dyDescent="0.25">
      <c r="A62" s="327" t="str">
        <f>'1️⃣ Hipótesis'!B63</f>
        <v>Funcional</v>
      </c>
      <c r="B62" s="328">
        <f>'1️⃣ Hipótesis'!C63</f>
        <v>60000</v>
      </c>
      <c r="C62" s="1107">
        <f t="shared" ref="C62:C64" si="70">SUM(E62,G62,I62,K62,M62,O62,Q62,S62,U62,W62,Y62,AA62)</f>
        <v>42</v>
      </c>
      <c r="D62" s="334">
        <f t="shared" si="39"/>
        <v>2520000</v>
      </c>
      <c r="E62" s="452">
        <v>2</v>
      </c>
      <c r="F62" s="372">
        <f t="shared" si="40"/>
        <v>120000</v>
      </c>
      <c r="G62" s="452">
        <v>2</v>
      </c>
      <c r="H62" s="372">
        <f t="shared" si="40"/>
        <v>120000</v>
      </c>
      <c r="I62" s="452">
        <v>2</v>
      </c>
      <c r="J62" s="372">
        <f t="shared" ref="J62" si="71">I62*$B62</f>
        <v>120000</v>
      </c>
      <c r="K62" s="452">
        <v>2</v>
      </c>
      <c r="L62" s="372">
        <f t="shared" ref="L62" si="72">K62*$B62</f>
        <v>120000</v>
      </c>
      <c r="M62" s="452">
        <v>3</v>
      </c>
      <c r="N62" s="372">
        <f t="shared" ref="N62:P62" si="73">M62*$B62</f>
        <v>180000</v>
      </c>
      <c r="O62" s="452">
        <v>4</v>
      </c>
      <c r="P62" s="372">
        <f t="shared" si="73"/>
        <v>240000</v>
      </c>
      <c r="Q62" s="452">
        <v>4</v>
      </c>
      <c r="R62" s="372">
        <f t="shared" ref="R62" si="74">Q62*$B62</f>
        <v>240000</v>
      </c>
      <c r="S62" s="452">
        <v>4</v>
      </c>
      <c r="T62" s="372">
        <f t="shared" ref="T62" si="75">S62*$B62</f>
        <v>240000</v>
      </c>
      <c r="U62" s="452">
        <v>4</v>
      </c>
      <c r="V62" s="372">
        <f t="shared" ref="V62" si="76">U62*$B62</f>
        <v>240000</v>
      </c>
      <c r="W62" s="452">
        <v>5</v>
      </c>
      <c r="X62" s="372">
        <f t="shared" ref="X62" si="77">W62*$B62</f>
        <v>300000</v>
      </c>
      <c r="Y62" s="452">
        <v>5</v>
      </c>
      <c r="Z62" s="372">
        <f t="shared" ref="Z62" si="78">Y62*$B62</f>
        <v>300000</v>
      </c>
      <c r="AA62" s="452">
        <v>5</v>
      </c>
      <c r="AB62" s="372">
        <f t="shared" ref="AB62" si="79">AA62*$B62</f>
        <v>300000</v>
      </c>
    </row>
    <row r="63" spans="1:43" ht="15.75" x14ac:dyDescent="0.25">
      <c r="A63" s="327" t="str">
        <f>'1️⃣ Hipótesis'!B64</f>
        <v>Temporal</v>
      </c>
      <c r="B63" s="328">
        <f>'1️⃣ Hipótesis'!C64</f>
        <v>75000</v>
      </c>
      <c r="C63" s="1107">
        <f t="shared" si="70"/>
        <v>28</v>
      </c>
      <c r="D63" s="334">
        <f t="shared" si="39"/>
        <v>2100000</v>
      </c>
      <c r="E63" s="452">
        <v>1</v>
      </c>
      <c r="F63" s="372">
        <f t="shared" si="40"/>
        <v>75000</v>
      </c>
      <c r="G63" s="452">
        <v>1</v>
      </c>
      <c r="H63" s="372">
        <f t="shared" si="40"/>
        <v>75000</v>
      </c>
      <c r="I63" s="452">
        <v>1</v>
      </c>
      <c r="J63" s="372">
        <f t="shared" ref="J63" si="80">I63*$B63</f>
        <v>75000</v>
      </c>
      <c r="K63" s="452">
        <v>1</v>
      </c>
      <c r="L63" s="372">
        <f t="shared" ref="L63" si="81">K63*$B63</f>
        <v>75000</v>
      </c>
      <c r="M63" s="452">
        <v>1</v>
      </c>
      <c r="N63" s="372">
        <f t="shared" ref="N63:P63" si="82">M63*$B63</f>
        <v>75000</v>
      </c>
      <c r="O63" s="452">
        <v>2</v>
      </c>
      <c r="P63" s="372">
        <f t="shared" si="82"/>
        <v>150000</v>
      </c>
      <c r="Q63" s="452">
        <v>2</v>
      </c>
      <c r="R63" s="372">
        <f t="shared" ref="R63" si="83">Q63*$B63</f>
        <v>150000</v>
      </c>
      <c r="S63" s="452">
        <v>3</v>
      </c>
      <c r="T63" s="372">
        <f t="shared" ref="T63" si="84">S63*$B63</f>
        <v>225000</v>
      </c>
      <c r="U63" s="452">
        <v>3</v>
      </c>
      <c r="V63" s="372">
        <f t="shared" ref="V63" si="85">U63*$B63</f>
        <v>225000</v>
      </c>
      <c r="W63" s="452">
        <v>4</v>
      </c>
      <c r="X63" s="372">
        <f t="shared" ref="X63" si="86">W63*$B63</f>
        <v>300000</v>
      </c>
      <c r="Y63" s="452">
        <v>4</v>
      </c>
      <c r="Z63" s="372">
        <f t="shared" ref="Z63" si="87">Y63*$B63</f>
        <v>300000</v>
      </c>
      <c r="AA63" s="452">
        <v>5</v>
      </c>
      <c r="AB63" s="372">
        <f t="shared" ref="AB63" si="88">AA63*$B63</f>
        <v>375000</v>
      </c>
    </row>
    <row r="64" spans="1:43" ht="16.5" thickBot="1" x14ac:dyDescent="0.3">
      <c r="A64" s="330" t="str">
        <f>'1️⃣ Hipótesis'!B65</f>
        <v>Experto</v>
      </c>
      <c r="B64" s="331">
        <f>'1️⃣ Hipótesis'!C65</f>
        <v>100000</v>
      </c>
      <c r="C64" s="1108">
        <f t="shared" si="70"/>
        <v>43</v>
      </c>
      <c r="D64" s="335">
        <f t="shared" si="39"/>
        <v>4300000</v>
      </c>
      <c r="E64" s="453">
        <v>2</v>
      </c>
      <c r="F64" s="373">
        <f>E64*$B64</f>
        <v>200000</v>
      </c>
      <c r="G64" s="453">
        <v>3</v>
      </c>
      <c r="H64" s="373">
        <f>G64*$B64</f>
        <v>300000</v>
      </c>
      <c r="I64" s="453">
        <v>3</v>
      </c>
      <c r="J64" s="373">
        <f>I64*$B64</f>
        <v>300000</v>
      </c>
      <c r="K64" s="453">
        <v>3</v>
      </c>
      <c r="L64" s="373">
        <f>K64*$B64</f>
        <v>300000</v>
      </c>
      <c r="M64" s="453">
        <v>3</v>
      </c>
      <c r="N64" s="373">
        <f>M64*$B64</f>
        <v>300000</v>
      </c>
      <c r="O64" s="453">
        <v>3</v>
      </c>
      <c r="P64" s="373">
        <f>O64*$B64</f>
        <v>300000</v>
      </c>
      <c r="Q64" s="453">
        <v>3</v>
      </c>
      <c r="R64" s="373">
        <f>Q64*$B64</f>
        <v>300000</v>
      </c>
      <c r="S64" s="453">
        <v>3</v>
      </c>
      <c r="T64" s="373">
        <f>S64*$B64</f>
        <v>300000</v>
      </c>
      <c r="U64" s="453">
        <v>4</v>
      </c>
      <c r="V64" s="373">
        <f>U64*$B64</f>
        <v>400000</v>
      </c>
      <c r="W64" s="453">
        <v>5</v>
      </c>
      <c r="X64" s="373">
        <f>W64*$B64</f>
        <v>500000</v>
      </c>
      <c r="Y64" s="453">
        <v>5</v>
      </c>
      <c r="Z64" s="373">
        <f>Y64*$B64</f>
        <v>500000</v>
      </c>
      <c r="AA64" s="453">
        <v>6</v>
      </c>
      <c r="AB64" s="373">
        <f>AA64*$B64</f>
        <v>600000</v>
      </c>
    </row>
    <row r="65" spans="1:28" ht="16.5" thickBot="1" x14ac:dyDescent="0.3">
      <c r="A65" s="892" t="s">
        <v>68</v>
      </c>
      <c r="B65" s="893"/>
      <c r="C65" s="57"/>
      <c r="D65" s="60">
        <f>SUM(D57:D64)</f>
        <v>43670000</v>
      </c>
      <c r="E65" s="61"/>
      <c r="F65" s="62">
        <f>SUM(F57:F64)</f>
        <v>3095000</v>
      </c>
      <c r="G65" s="61"/>
      <c r="H65" s="62">
        <f>SUM(H57:H64)</f>
        <v>3095000</v>
      </c>
      <c r="I65" s="61"/>
      <c r="J65" s="62">
        <f>SUM(J57:J64)</f>
        <v>2745000</v>
      </c>
      <c r="K65" s="61"/>
      <c r="L65" s="62">
        <f>SUM(L57:L64)</f>
        <v>2795000</v>
      </c>
      <c r="M65" s="61"/>
      <c r="N65" s="62">
        <f>SUM(N57:N64)</f>
        <v>2855000</v>
      </c>
      <c r="O65" s="61"/>
      <c r="P65" s="62">
        <f>SUM(P57:P64)</f>
        <v>5690000</v>
      </c>
      <c r="Q65" s="61"/>
      <c r="R65" s="62">
        <f>SUM(R57:R64)</f>
        <v>3540000</v>
      </c>
      <c r="S65" s="61"/>
      <c r="T65" s="62">
        <f>SUM(T57:T64)</f>
        <v>3415000</v>
      </c>
      <c r="U65" s="61"/>
      <c r="V65" s="62">
        <f>SUM(V57:V64)</f>
        <v>3215000</v>
      </c>
      <c r="W65" s="61"/>
      <c r="X65" s="62">
        <f>SUM(X57:X64)</f>
        <v>6150000</v>
      </c>
      <c r="Y65" s="61"/>
      <c r="Z65" s="62">
        <f>SUM(Z57:Z64)</f>
        <v>1450000</v>
      </c>
      <c r="AA65" s="61"/>
      <c r="AB65" s="62">
        <f>SUM(AB57:AB64)</f>
        <v>5625000</v>
      </c>
    </row>
    <row r="66" spans="1:28" ht="15.75" x14ac:dyDescent="0.25">
      <c r="A66" s="890" t="s">
        <v>256</v>
      </c>
      <c r="B66" s="891"/>
      <c r="C66" s="374">
        <f>SUM(C57:C60)</f>
        <v>14</v>
      </c>
      <c r="D66" s="375"/>
      <c r="E66" s="349">
        <f>SUM(E57:E60)</f>
        <v>1</v>
      </c>
      <c r="F66" s="375"/>
      <c r="G66" s="349">
        <f>SUM(G57:G60)</f>
        <v>1</v>
      </c>
      <c r="H66" s="375"/>
      <c r="I66" s="349">
        <f>SUM(I57:I60)</f>
        <v>1</v>
      </c>
      <c r="J66" s="375"/>
      <c r="K66" s="349">
        <f>SUM(K57:K60)</f>
        <v>1</v>
      </c>
      <c r="L66" s="375"/>
      <c r="M66" s="349">
        <f>SUM(M57:M60)</f>
        <v>1</v>
      </c>
      <c r="N66" s="375"/>
      <c r="O66" s="349">
        <f>SUM(O57:O60)</f>
        <v>2</v>
      </c>
      <c r="P66" s="375"/>
      <c r="Q66" s="349">
        <f>SUM(Q57:Q60)</f>
        <v>1</v>
      </c>
      <c r="R66" s="375"/>
      <c r="S66" s="349">
        <f>SUM(S57:S60)</f>
        <v>1</v>
      </c>
      <c r="T66" s="375"/>
      <c r="U66" s="349">
        <f>SUM(U57:U60)</f>
        <v>1</v>
      </c>
      <c r="V66" s="375"/>
      <c r="W66" s="349">
        <f>SUM(W57:W60)</f>
        <v>2</v>
      </c>
      <c r="X66" s="375"/>
      <c r="Y66" s="349">
        <f>SUM(Y57:Y60)</f>
        <v>0</v>
      </c>
      <c r="Z66" s="375"/>
      <c r="AA66" s="349">
        <f>SUM(AA57:AA60)</f>
        <v>2</v>
      </c>
      <c r="AB66" s="376"/>
    </row>
    <row r="67" spans="1:28" ht="16.5" thickBot="1" x14ac:dyDescent="0.3">
      <c r="A67" s="888" t="s">
        <v>257</v>
      </c>
      <c r="B67" s="889"/>
      <c r="C67" s="377">
        <f>SUM(C61:C64)</f>
        <v>186</v>
      </c>
      <c r="D67" s="378"/>
      <c r="E67" s="346">
        <f>SUM(E61:E64)</f>
        <v>9</v>
      </c>
      <c r="F67" s="378"/>
      <c r="G67" s="346">
        <f>SUM(G61:G64)</f>
        <v>10</v>
      </c>
      <c r="H67" s="378"/>
      <c r="I67" s="346">
        <f>SUM(I61:I64)</f>
        <v>11</v>
      </c>
      <c r="J67" s="378"/>
      <c r="K67" s="346">
        <f>SUM(K61:K64)</f>
        <v>12</v>
      </c>
      <c r="L67" s="378"/>
      <c r="M67" s="346">
        <f>SUM(M61:M64)</f>
        <v>13</v>
      </c>
      <c r="N67" s="378"/>
      <c r="O67" s="346">
        <f>SUM(O61:O64)</f>
        <v>15</v>
      </c>
      <c r="P67" s="378"/>
      <c r="Q67" s="346">
        <f>SUM(Q61:Q64)</f>
        <v>16</v>
      </c>
      <c r="R67" s="378"/>
      <c r="S67" s="346">
        <f>SUM(S61:S64)</f>
        <v>17</v>
      </c>
      <c r="T67" s="378"/>
      <c r="U67" s="346">
        <f>SUM(U61:U64)</f>
        <v>18</v>
      </c>
      <c r="V67" s="378"/>
      <c r="W67" s="346">
        <f>SUM(W61:W64)</f>
        <v>21</v>
      </c>
      <c r="X67" s="378"/>
      <c r="Y67" s="346">
        <f>SUM(Y61:Y64)</f>
        <v>21</v>
      </c>
      <c r="Z67" s="378"/>
      <c r="AA67" s="346">
        <f>SUM(AA61:AA64)</f>
        <v>23</v>
      </c>
      <c r="AB67" s="379"/>
    </row>
    <row r="68" spans="1:28" ht="15.75" thickBot="1" x14ac:dyDescent="0.3">
      <c r="D68" s="31"/>
    </row>
    <row r="69" spans="1:28" ht="27" thickBot="1" x14ac:dyDescent="0.45">
      <c r="A69" s="783" t="s">
        <v>260</v>
      </c>
      <c r="B69" s="784"/>
      <c r="C69" s="784"/>
      <c r="D69" s="784"/>
      <c r="E69" s="784"/>
      <c r="F69" s="784"/>
      <c r="G69" s="784"/>
      <c r="H69" s="784"/>
      <c r="I69" s="784"/>
      <c r="J69" s="784"/>
      <c r="K69" s="784"/>
      <c r="L69" s="784"/>
      <c r="M69" s="784"/>
      <c r="N69" s="784"/>
      <c r="O69" s="784"/>
      <c r="P69" s="784"/>
      <c r="Q69" s="784"/>
      <c r="R69" s="784"/>
      <c r="S69" s="784"/>
      <c r="T69" s="784"/>
      <c r="U69" s="784"/>
      <c r="V69" s="784"/>
      <c r="W69" s="784"/>
      <c r="X69" s="784"/>
      <c r="Y69" s="784"/>
      <c r="Z69" s="784"/>
      <c r="AA69" s="784"/>
      <c r="AB69" s="785"/>
    </row>
    <row r="70" spans="1:28" ht="79.5" customHeight="1" thickBot="1" x14ac:dyDescent="0.3">
      <c r="A70" s="360" t="s">
        <v>63</v>
      </c>
      <c r="B70" s="811" t="s">
        <v>273</v>
      </c>
      <c r="C70" s="812"/>
      <c r="D70" s="812"/>
      <c r="E70" s="812"/>
      <c r="F70" s="812"/>
      <c r="G70" s="812"/>
      <c r="H70" s="812"/>
      <c r="I70" s="812"/>
      <c r="J70" s="812"/>
      <c r="K70" s="812"/>
      <c r="L70" s="812"/>
      <c r="M70" s="812"/>
      <c r="N70" s="812"/>
      <c r="O70" s="812"/>
      <c r="P70" s="812"/>
      <c r="Q70" s="812"/>
      <c r="R70" s="812"/>
      <c r="S70" s="812"/>
      <c r="T70" s="812"/>
      <c r="U70" s="812"/>
      <c r="V70" s="812"/>
      <c r="W70" s="812"/>
      <c r="X70" s="812"/>
      <c r="Y70" s="812"/>
      <c r="Z70" s="812"/>
      <c r="AA70" s="812"/>
      <c r="AB70" s="813"/>
    </row>
    <row r="71" spans="1:28" ht="21.75" thickBot="1" x14ac:dyDescent="0.3">
      <c r="A71" s="786"/>
      <c r="B71" s="787"/>
      <c r="C71" s="870" t="s">
        <v>57</v>
      </c>
      <c r="D71" s="871"/>
      <c r="E71" s="788" t="s">
        <v>38</v>
      </c>
      <c r="F71" s="789"/>
      <c r="G71" s="790" t="s">
        <v>39</v>
      </c>
      <c r="H71" s="789"/>
      <c r="I71" s="790" t="s">
        <v>40</v>
      </c>
      <c r="J71" s="789"/>
      <c r="K71" s="790" t="s">
        <v>41</v>
      </c>
      <c r="L71" s="789"/>
      <c r="M71" s="790" t="s">
        <v>42</v>
      </c>
      <c r="N71" s="789"/>
      <c r="O71" s="790" t="s">
        <v>43</v>
      </c>
      <c r="P71" s="789"/>
      <c r="Q71" s="790" t="s">
        <v>44</v>
      </c>
      <c r="R71" s="789"/>
      <c r="S71" s="790" t="s">
        <v>45</v>
      </c>
      <c r="T71" s="789"/>
      <c r="U71" s="790" t="s">
        <v>46</v>
      </c>
      <c r="V71" s="789"/>
      <c r="W71" s="790" t="s">
        <v>47</v>
      </c>
      <c r="X71" s="789"/>
      <c r="Y71" s="790" t="s">
        <v>48</v>
      </c>
      <c r="Z71" s="789"/>
      <c r="AA71" s="790" t="s">
        <v>49</v>
      </c>
      <c r="AB71" s="789"/>
    </row>
    <row r="72" spans="1:28" x14ac:dyDescent="0.25">
      <c r="A72" s="851" t="s">
        <v>56</v>
      </c>
      <c r="B72" s="852"/>
      <c r="C72" s="868" t="s">
        <v>342</v>
      </c>
      <c r="D72" s="869"/>
      <c r="E72" s="855">
        <v>1</v>
      </c>
      <c r="F72" s="836"/>
      <c r="G72" s="856" t="s">
        <v>59</v>
      </c>
      <c r="H72" s="836"/>
      <c r="I72" s="856" t="s">
        <v>59</v>
      </c>
      <c r="J72" s="836"/>
      <c r="K72" s="856" t="s">
        <v>59</v>
      </c>
      <c r="L72" s="836"/>
      <c r="M72" s="856" t="s">
        <v>59</v>
      </c>
      <c r="N72" s="836"/>
      <c r="O72" s="856" t="s">
        <v>59</v>
      </c>
      <c r="P72" s="836"/>
      <c r="Q72" s="856" t="s">
        <v>59</v>
      </c>
      <c r="R72" s="836"/>
      <c r="S72" s="856" t="s">
        <v>59</v>
      </c>
      <c r="T72" s="836"/>
      <c r="U72" s="768" t="s">
        <v>59</v>
      </c>
      <c r="V72" s="768"/>
      <c r="W72" s="768" t="s">
        <v>59</v>
      </c>
      <c r="X72" s="768"/>
      <c r="Y72" s="768" t="s">
        <v>59</v>
      </c>
      <c r="Z72" s="768"/>
      <c r="AA72" s="768" t="s">
        <v>59</v>
      </c>
      <c r="AB72" s="773"/>
    </row>
    <row r="73" spans="1:28" x14ac:dyDescent="0.25">
      <c r="A73" s="853"/>
      <c r="B73" s="854"/>
      <c r="C73" s="862" t="s">
        <v>331</v>
      </c>
      <c r="D73" s="863"/>
      <c r="E73" s="763">
        <v>1</v>
      </c>
      <c r="F73" s="769"/>
      <c r="G73" s="769" t="s">
        <v>59</v>
      </c>
      <c r="H73" s="769"/>
      <c r="I73" s="769" t="s">
        <v>59</v>
      </c>
      <c r="J73" s="769"/>
      <c r="K73" s="769" t="s">
        <v>59</v>
      </c>
      <c r="L73" s="769"/>
      <c r="M73" s="769" t="s">
        <v>59</v>
      </c>
      <c r="N73" s="769"/>
      <c r="O73" s="769" t="s">
        <v>59</v>
      </c>
      <c r="P73" s="769"/>
      <c r="Q73" s="769" t="s">
        <v>59</v>
      </c>
      <c r="R73" s="769"/>
      <c r="S73" s="769" t="s">
        <v>59</v>
      </c>
      <c r="T73" s="769"/>
      <c r="U73" s="769" t="s">
        <v>59</v>
      </c>
      <c r="V73" s="769"/>
      <c r="W73" s="769" t="s">
        <v>59</v>
      </c>
      <c r="X73" s="769"/>
      <c r="Y73" s="769" t="s">
        <v>59</v>
      </c>
      <c r="Z73" s="769"/>
      <c r="AA73" s="769" t="s">
        <v>59</v>
      </c>
      <c r="AB73" s="772"/>
    </row>
    <row r="74" spans="1:28" x14ac:dyDescent="0.25">
      <c r="A74" s="853"/>
      <c r="B74" s="854"/>
      <c r="C74" s="862" t="s">
        <v>262</v>
      </c>
      <c r="D74" s="863"/>
      <c r="E74" s="763">
        <v>2</v>
      </c>
      <c r="F74" s="769"/>
      <c r="G74" s="769" t="s">
        <v>59</v>
      </c>
      <c r="H74" s="769"/>
      <c r="I74" s="769" t="s">
        <v>59</v>
      </c>
      <c r="J74" s="769"/>
      <c r="K74" s="769" t="s">
        <v>59</v>
      </c>
      <c r="L74" s="769"/>
      <c r="M74" s="769" t="s">
        <v>59</v>
      </c>
      <c r="N74" s="769"/>
      <c r="O74" s="769">
        <v>2</v>
      </c>
      <c r="P74" s="769"/>
      <c r="Q74" s="769" t="s">
        <v>59</v>
      </c>
      <c r="R74" s="769"/>
      <c r="S74" s="769" t="s">
        <v>59</v>
      </c>
      <c r="T74" s="769"/>
      <c r="U74" s="769" t="s">
        <v>59</v>
      </c>
      <c r="V74" s="769"/>
      <c r="W74" s="763" t="s">
        <v>59</v>
      </c>
      <c r="X74" s="769"/>
      <c r="Y74" s="769" t="s">
        <v>59</v>
      </c>
      <c r="Z74" s="769"/>
      <c r="AA74" s="769" t="s">
        <v>59</v>
      </c>
      <c r="AB74" s="772"/>
    </row>
    <row r="75" spans="1:28" x14ac:dyDescent="0.25">
      <c r="A75" s="853"/>
      <c r="B75" s="854"/>
      <c r="C75" s="862" t="s">
        <v>264</v>
      </c>
      <c r="D75" s="863"/>
      <c r="E75" s="769" t="s">
        <v>59</v>
      </c>
      <c r="F75" s="769"/>
      <c r="G75" s="769" t="s">
        <v>59</v>
      </c>
      <c r="H75" s="769"/>
      <c r="I75" s="769" t="s">
        <v>59</v>
      </c>
      <c r="J75" s="769"/>
      <c r="K75" s="769" t="s">
        <v>59</v>
      </c>
      <c r="L75" s="769"/>
      <c r="M75" s="763" t="s">
        <v>59</v>
      </c>
      <c r="N75" s="769"/>
      <c r="O75" s="769">
        <v>1</v>
      </c>
      <c r="P75" s="769"/>
      <c r="Q75" s="769" t="s">
        <v>59</v>
      </c>
      <c r="R75" s="769"/>
      <c r="S75" s="769" t="s">
        <v>59</v>
      </c>
      <c r="T75" s="769"/>
      <c r="U75" s="769" t="s">
        <v>59</v>
      </c>
      <c r="V75" s="769"/>
      <c r="W75" s="769" t="s">
        <v>59</v>
      </c>
      <c r="X75" s="769"/>
      <c r="Y75" s="769" t="s">
        <v>59</v>
      </c>
      <c r="Z75" s="769"/>
      <c r="AA75" s="769" t="s">
        <v>59</v>
      </c>
      <c r="AB75" s="772"/>
    </row>
    <row r="76" spans="1:28" x14ac:dyDescent="0.25">
      <c r="A76" s="853"/>
      <c r="B76" s="854"/>
      <c r="C76" s="862"/>
      <c r="D76" s="863"/>
      <c r="E76" s="764"/>
      <c r="F76" s="763"/>
      <c r="G76" s="762"/>
      <c r="H76" s="763"/>
      <c r="I76" s="762"/>
      <c r="J76" s="763"/>
      <c r="K76" s="762"/>
      <c r="L76" s="763"/>
      <c r="M76" s="762"/>
      <c r="N76" s="763"/>
      <c r="O76" s="762"/>
      <c r="P76" s="763"/>
      <c r="Q76" s="762"/>
      <c r="R76" s="763"/>
      <c r="S76" s="762"/>
      <c r="T76" s="763"/>
      <c r="U76" s="762"/>
      <c r="V76" s="763"/>
      <c r="W76" s="762"/>
      <c r="X76" s="763"/>
      <c r="Y76" s="762"/>
      <c r="Z76" s="763"/>
      <c r="AA76" s="762"/>
      <c r="AB76" s="765"/>
    </row>
    <row r="77" spans="1:28" x14ac:dyDescent="0.25">
      <c r="A77" s="853"/>
      <c r="B77" s="854"/>
      <c r="C77" s="864"/>
      <c r="D77" s="865"/>
      <c r="E77" s="764"/>
      <c r="F77" s="763"/>
      <c r="G77" s="762"/>
      <c r="H77" s="763"/>
      <c r="I77" s="762"/>
      <c r="J77" s="763"/>
      <c r="K77" s="762"/>
      <c r="L77" s="763"/>
      <c r="M77" s="762"/>
      <c r="N77" s="763"/>
      <c r="O77" s="762"/>
      <c r="P77" s="763"/>
      <c r="Q77" s="762"/>
      <c r="R77" s="763"/>
      <c r="S77" s="762"/>
      <c r="T77" s="763"/>
      <c r="U77" s="762"/>
      <c r="V77" s="763"/>
      <c r="W77" s="762"/>
      <c r="X77" s="763"/>
      <c r="Y77" s="762"/>
      <c r="Z77" s="763"/>
      <c r="AA77" s="762"/>
      <c r="AB77" s="765"/>
    </row>
    <row r="78" spans="1:28" x14ac:dyDescent="0.25">
      <c r="A78" s="853"/>
      <c r="B78" s="854"/>
      <c r="C78" s="864"/>
      <c r="D78" s="865"/>
      <c r="E78" s="764"/>
      <c r="F78" s="763"/>
      <c r="G78" s="762"/>
      <c r="H78" s="763"/>
      <c r="I78" s="762"/>
      <c r="J78" s="763"/>
      <c r="K78" s="762"/>
      <c r="L78" s="763"/>
      <c r="M78" s="762"/>
      <c r="N78" s="763"/>
      <c r="O78" s="762"/>
      <c r="P78" s="763"/>
      <c r="Q78" s="762"/>
      <c r="R78" s="763"/>
      <c r="S78" s="762"/>
      <c r="T78" s="763"/>
      <c r="U78" s="762"/>
      <c r="V78" s="763"/>
      <c r="W78" s="762"/>
      <c r="X78" s="763"/>
      <c r="Y78" s="762"/>
      <c r="Z78" s="763"/>
      <c r="AA78" s="762"/>
      <c r="AB78" s="765"/>
    </row>
    <row r="79" spans="1:28" x14ac:dyDescent="0.25">
      <c r="A79" s="853"/>
      <c r="B79" s="854"/>
      <c r="C79" s="864"/>
      <c r="D79" s="865"/>
      <c r="E79" s="764"/>
      <c r="F79" s="763"/>
      <c r="G79" s="762"/>
      <c r="H79" s="763"/>
      <c r="I79" s="762"/>
      <c r="J79" s="763"/>
      <c r="K79" s="762"/>
      <c r="L79" s="763"/>
      <c r="M79" s="762"/>
      <c r="N79" s="763"/>
      <c r="O79" s="762"/>
      <c r="P79" s="763"/>
      <c r="Q79" s="762"/>
      <c r="R79" s="763"/>
      <c r="S79" s="762"/>
      <c r="T79" s="763"/>
      <c r="U79" s="762"/>
      <c r="V79" s="763"/>
      <c r="W79" s="762"/>
      <c r="X79" s="763"/>
      <c r="Y79" s="762"/>
      <c r="Z79" s="763"/>
      <c r="AA79" s="762"/>
      <c r="AB79" s="765"/>
    </row>
    <row r="80" spans="1:28" ht="15.75" thickBot="1" x14ac:dyDescent="0.3">
      <c r="A80" s="853"/>
      <c r="B80" s="854"/>
      <c r="C80" s="864"/>
      <c r="D80" s="865"/>
      <c r="E80" s="791"/>
      <c r="F80" s="792"/>
      <c r="G80" s="762"/>
      <c r="H80" s="763"/>
      <c r="I80" s="762"/>
      <c r="J80" s="763"/>
      <c r="K80" s="762"/>
      <c r="L80" s="763"/>
      <c r="M80" s="817"/>
      <c r="N80" s="792"/>
      <c r="O80" s="762"/>
      <c r="P80" s="763"/>
      <c r="Q80" s="762"/>
      <c r="R80" s="763"/>
      <c r="S80" s="762"/>
      <c r="T80" s="763"/>
      <c r="U80" s="762"/>
      <c r="V80" s="763"/>
      <c r="W80" s="762"/>
      <c r="X80" s="763"/>
      <c r="Y80" s="762"/>
      <c r="Z80" s="763"/>
      <c r="AA80" s="762"/>
      <c r="AB80" s="765"/>
    </row>
    <row r="81" spans="1:43" x14ac:dyDescent="0.25">
      <c r="A81" s="857" t="s">
        <v>60</v>
      </c>
      <c r="B81" s="858"/>
      <c r="C81" s="876" t="s">
        <v>265</v>
      </c>
      <c r="D81" s="877"/>
      <c r="E81" s="861">
        <v>2</v>
      </c>
      <c r="F81" s="849"/>
      <c r="G81" s="768" t="s">
        <v>59</v>
      </c>
      <c r="H81" s="768"/>
      <c r="I81" s="768" t="s">
        <v>59</v>
      </c>
      <c r="J81" s="768"/>
      <c r="K81" s="768" t="s">
        <v>59</v>
      </c>
      <c r="L81" s="768"/>
      <c r="M81" s="768" t="s">
        <v>59</v>
      </c>
      <c r="N81" s="768"/>
      <c r="O81" s="768" t="s">
        <v>59</v>
      </c>
      <c r="P81" s="768"/>
      <c r="Q81" s="768" t="s">
        <v>59</v>
      </c>
      <c r="R81" s="768"/>
      <c r="S81" s="768" t="s">
        <v>59</v>
      </c>
      <c r="T81" s="768"/>
      <c r="U81" s="768" t="s">
        <v>59</v>
      </c>
      <c r="V81" s="768"/>
      <c r="W81" s="768" t="s">
        <v>59</v>
      </c>
      <c r="X81" s="768"/>
      <c r="Y81" s="768" t="s">
        <v>59</v>
      </c>
      <c r="Z81" s="768"/>
      <c r="AA81" s="768" t="s">
        <v>59</v>
      </c>
      <c r="AB81" s="773"/>
    </row>
    <row r="82" spans="1:43" x14ac:dyDescent="0.25">
      <c r="A82" s="859"/>
      <c r="B82" s="860"/>
      <c r="C82" s="862" t="s">
        <v>266</v>
      </c>
      <c r="D82" s="863"/>
      <c r="E82" s="763">
        <v>5</v>
      </c>
      <c r="F82" s="769"/>
      <c r="G82" s="769" t="s">
        <v>59</v>
      </c>
      <c r="H82" s="769"/>
      <c r="I82" s="769" t="s">
        <v>59</v>
      </c>
      <c r="J82" s="769"/>
      <c r="K82" s="769" t="s">
        <v>59</v>
      </c>
      <c r="L82" s="769"/>
      <c r="M82" s="769" t="s">
        <v>59</v>
      </c>
      <c r="N82" s="769"/>
      <c r="O82" s="769" t="s">
        <v>59</v>
      </c>
      <c r="P82" s="769"/>
      <c r="Q82" s="769" t="s">
        <v>59</v>
      </c>
      <c r="R82" s="769"/>
      <c r="S82" s="769" t="s">
        <v>59</v>
      </c>
      <c r="T82" s="769"/>
      <c r="U82" s="769" t="s">
        <v>59</v>
      </c>
      <c r="V82" s="769"/>
      <c r="W82" s="769" t="s">
        <v>59</v>
      </c>
      <c r="X82" s="769"/>
      <c r="Y82" s="769" t="s">
        <v>59</v>
      </c>
      <c r="Z82" s="769"/>
      <c r="AA82" s="769" t="s">
        <v>59</v>
      </c>
      <c r="AB82" s="772"/>
    </row>
    <row r="83" spans="1:43" x14ac:dyDescent="0.25">
      <c r="A83" s="859"/>
      <c r="B83" s="860"/>
      <c r="C83" s="862" t="s">
        <v>267</v>
      </c>
      <c r="D83" s="863"/>
      <c r="E83" s="763">
        <v>7</v>
      </c>
      <c r="F83" s="769"/>
      <c r="G83" s="769" t="s">
        <v>59</v>
      </c>
      <c r="H83" s="769"/>
      <c r="I83" s="769" t="s">
        <v>59</v>
      </c>
      <c r="J83" s="769"/>
      <c r="K83" s="769" t="s">
        <v>59</v>
      </c>
      <c r="L83" s="769"/>
      <c r="M83" s="769" t="s">
        <v>59</v>
      </c>
      <c r="N83" s="769"/>
      <c r="O83" s="769" t="s">
        <v>59</v>
      </c>
      <c r="P83" s="769"/>
      <c r="Q83" s="769" t="s">
        <v>59</v>
      </c>
      <c r="R83" s="769"/>
      <c r="S83" s="769" t="s">
        <v>59</v>
      </c>
      <c r="T83" s="769"/>
      <c r="U83" s="769" t="s">
        <v>59</v>
      </c>
      <c r="V83" s="769"/>
      <c r="W83" s="769" t="s">
        <v>59</v>
      </c>
      <c r="X83" s="769"/>
      <c r="Y83" s="769" t="s">
        <v>59</v>
      </c>
      <c r="Z83" s="769"/>
      <c r="AA83" s="769" t="s">
        <v>59</v>
      </c>
      <c r="AB83" s="772"/>
    </row>
    <row r="84" spans="1:43" x14ac:dyDescent="0.25">
      <c r="A84" s="859"/>
      <c r="B84" s="860"/>
      <c r="C84" s="862" t="s">
        <v>268</v>
      </c>
      <c r="D84" s="863"/>
      <c r="E84" s="763">
        <v>7</v>
      </c>
      <c r="F84" s="769"/>
      <c r="G84" s="769" t="s">
        <v>59</v>
      </c>
      <c r="H84" s="769"/>
      <c r="I84" s="769" t="s">
        <v>59</v>
      </c>
      <c r="J84" s="769"/>
      <c r="K84" s="769" t="s">
        <v>59</v>
      </c>
      <c r="L84" s="769"/>
      <c r="M84" s="769" t="s">
        <v>59</v>
      </c>
      <c r="N84" s="769"/>
      <c r="O84" s="769" t="s">
        <v>59</v>
      </c>
      <c r="P84" s="769"/>
      <c r="Q84" s="769" t="s">
        <v>59</v>
      </c>
      <c r="R84" s="769"/>
      <c r="S84" s="769" t="s">
        <v>59</v>
      </c>
      <c r="T84" s="769"/>
      <c r="U84" s="769" t="s">
        <v>59</v>
      </c>
      <c r="V84" s="769"/>
      <c r="W84" s="769" t="s">
        <v>59</v>
      </c>
      <c r="X84" s="769"/>
      <c r="Y84" s="769" t="s">
        <v>59</v>
      </c>
      <c r="Z84" s="769"/>
      <c r="AA84" s="769" t="s">
        <v>59</v>
      </c>
      <c r="AB84" s="772"/>
    </row>
    <row r="85" spans="1:43" ht="15.75" thickBot="1" x14ac:dyDescent="0.3">
      <c r="A85" s="859"/>
      <c r="B85" s="860"/>
      <c r="C85" s="862" t="s">
        <v>269</v>
      </c>
      <c r="D85" s="863"/>
      <c r="E85" s="763">
        <v>7</v>
      </c>
      <c r="F85" s="769"/>
      <c r="G85" s="769" t="s">
        <v>59</v>
      </c>
      <c r="H85" s="769"/>
      <c r="I85" s="769" t="s">
        <v>59</v>
      </c>
      <c r="J85" s="769"/>
      <c r="K85" s="769" t="s">
        <v>59</v>
      </c>
      <c r="L85" s="769"/>
      <c r="M85" s="769" t="s">
        <v>59</v>
      </c>
      <c r="N85" s="769"/>
      <c r="O85" s="769" t="s">
        <v>59</v>
      </c>
      <c r="P85" s="769"/>
      <c r="Q85" s="769" t="s">
        <v>59</v>
      </c>
      <c r="R85" s="769"/>
      <c r="S85" s="769" t="s">
        <v>59</v>
      </c>
      <c r="T85" s="769"/>
      <c r="U85" s="769" t="s">
        <v>59</v>
      </c>
      <c r="V85" s="769"/>
      <c r="W85" s="769" t="s">
        <v>59</v>
      </c>
      <c r="X85" s="769"/>
      <c r="Y85" s="769" t="s">
        <v>59</v>
      </c>
      <c r="Z85" s="769"/>
      <c r="AA85" s="769" t="s">
        <v>59</v>
      </c>
      <c r="AB85" s="772"/>
    </row>
    <row r="86" spans="1:43" x14ac:dyDescent="0.25">
      <c r="A86" s="857" t="s">
        <v>61</v>
      </c>
      <c r="B86" s="858"/>
      <c r="C86" s="872"/>
      <c r="D86" s="873"/>
      <c r="E86" s="836"/>
      <c r="F86" s="768"/>
      <c r="G86" s="768"/>
      <c r="H86" s="768"/>
      <c r="I86" s="768"/>
      <c r="J86" s="768"/>
      <c r="K86" s="768"/>
      <c r="L86" s="768"/>
      <c r="M86" s="768"/>
      <c r="N86" s="768"/>
      <c r="O86" s="768"/>
      <c r="P86" s="768"/>
      <c r="Q86" s="768"/>
      <c r="R86" s="768"/>
      <c r="S86" s="768"/>
      <c r="T86" s="768"/>
      <c r="U86" s="768"/>
      <c r="V86" s="768"/>
      <c r="W86" s="768"/>
      <c r="X86" s="768"/>
      <c r="Y86" s="768"/>
      <c r="Z86" s="768"/>
      <c r="AA86" s="768"/>
      <c r="AB86" s="773"/>
    </row>
    <row r="87" spans="1:43" ht="15.75" thickBot="1" x14ac:dyDescent="0.3">
      <c r="A87" s="866"/>
      <c r="B87" s="867"/>
      <c r="C87" s="874"/>
      <c r="D87" s="875"/>
      <c r="E87" s="792"/>
      <c r="F87" s="814"/>
      <c r="G87" s="814"/>
      <c r="H87" s="814"/>
      <c r="I87" s="814"/>
      <c r="J87" s="814"/>
      <c r="K87" s="814"/>
      <c r="L87" s="814"/>
      <c r="M87" s="814"/>
      <c r="N87" s="814"/>
      <c r="O87" s="814"/>
      <c r="P87" s="814"/>
      <c r="Q87" s="814"/>
      <c r="R87" s="814"/>
      <c r="S87" s="814"/>
      <c r="T87" s="814"/>
      <c r="U87" s="814"/>
      <c r="V87" s="814"/>
      <c r="W87" s="814"/>
      <c r="X87" s="814"/>
      <c r="Y87" s="814"/>
      <c r="Z87" s="814"/>
      <c r="AA87" s="814"/>
      <c r="AB87" s="850"/>
    </row>
    <row r="88" spans="1:43" ht="26.25" x14ac:dyDescent="0.25">
      <c r="A88" s="49"/>
      <c r="B88" s="49"/>
      <c r="C88" s="50"/>
      <c r="D88" s="38"/>
      <c r="E88" s="51"/>
      <c r="F88" s="51"/>
      <c r="G88" s="51"/>
      <c r="H88" s="51"/>
      <c r="I88" s="51"/>
      <c r="J88" s="51"/>
      <c r="K88" s="51"/>
      <c r="L88" s="51"/>
      <c r="M88" s="51"/>
      <c r="N88" s="51"/>
      <c r="O88" s="51"/>
      <c r="P88" s="51"/>
      <c r="Q88" s="51"/>
      <c r="R88" s="51"/>
      <c r="S88" s="51"/>
      <c r="T88" s="51"/>
      <c r="U88" s="51"/>
      <c r="V88" s="51"/>
      <c r="W88" s="51"/>
      <c r="X88" s="51"/>
      <c r="Y88" s="51"/>
      <c r="Z88" s="51"/>
      <c r="AA88" s="51"/>
      <c r="AB88" s="51"/>
      <c r="AC88" s="46"/>
    </row>
    <row r="89" spans="1:43" ht="17.25" customHeight="1" x14ac:dyDescent="0.25">
      <c r="A89" s="49"/>
      <c r="B89" s="49"/>
      <c r="C89" s="50"/>
      <c r="D89" s="38"/>
      <c r="E89" s="268"/>
      <c r="F89" s="268"/>
      <c r="G89" s="268"/>
      <c r="H89" s="268"/>
      <c r="I89" s="268"/>
      <c r="J89" s="268"/>
      <c r="K89" s="268"/>
      <c r="L89" s="268"/>
      <c r="M89" s="268"/>
      <c r="N89" s="268"/>
      <c r="O89" s="268"/>
      <c r="P89" s="268"/>
      <c r="Q89" s="268"/>
      <c r="R89" s="268"/>
      <c r="S89" s="268"/>
      <c r="T89" s="268"/>
      <c r="U89" s="268"/>
      <c r="V89" s="268"/>
      <c r="W89" s="268"/>
      <c r="X89" s="268"/>
      <c r="Y89" s="268"/>
      <c r="Z89" s="268"/>
      <c r="AA89" s="268"/>
      <c r="AB89" s="268"/>
      <c r="AC89" s="46"/>
    </row>
    <row r="90" spans="1:43" ht="3.75" customHeight="1" x14ac:dyDescent="0.25">
      <c r="A90" s="53"/>
      <c r="B90" s="53"/>
      <c r="C90" s="58"/>
      <c r="D90" s="55"/>
      <c r="E90" s="56"/>
      <c r="F90" s="56"/>
      <c r="G90" s="56"/>
      <c r="H90" s="56"/>
      <c r="I90" s="56"/>
      <c r="J90" s="56"/>
      <c r="K90" s="56"/>
      <c r="L90" s="56"/>
      <c r="M90" s="56"/>
      <c r="N90" s="56"/>
      <c r="O90" s="56"/>
      <c r="P90" s="56"/>
      <c r="Q90" s="56"/>
      <c r="R90" s="56"/>
      <c r="S90" s="56"/>
      <c r="T90" s="56"/>
      <c r="U90" s="56"/>
      <c r="V90" s="56"/>
      <c r="W90" s="56"/>
      <c r="X90" s="56"/>
      <c r="Y90" s="56"/>
      <c r="Z90" s="56"/>
      <c r="AA90" s="56"/>
      <c r="AB90" s="56"/>
      <c r="AC90" s="54"/>
      <c r="AD90" s="57"/>
      <c r="AE90" s="57"/>
      <c r="AF90" s="57"/>
      <c r="AG90" s="57"/>
      <c r="AH90" s="57"/>
      <c r="AI90" s="57"/>
      <c r="AJ90" s="57"/>
      <c r="AK90" s="57"/>
      <c r="AL90" s="57"/>
      <c r="AM90" s="57"/>
      <c r="AN90" s="57"/>
      <c r="AO90" s="57"/>
      <c r="AP90" s="57"/>
      <c r="AQ90" s="57"/>
    </row>
    <row r="91" spans="1:43" ht="15" customHeight="1" x14ac:dyDescent="0.25">
      <c r="A91" s="49"/>
      <c r="B91" s="49"/>
      <c r="C91" s="50"/>
      <c r="D91" s="38"/>
      <c r="E91" s="51"/>
      <c r="F91" s="51"/>
      <c r="G91" s="51"/>
      <c r="H91" s="51"/>
      <c r="I91" s="51"/>
      <c r="J91" s="51"/>
      <c r="K91" s="51"/>
      <c r="L91" s="51"/>
      <c r="M91" s="51"/>
      <c r="N91" s="51"/>
      <c r="O91" s="51"/>
      <c r="P91" s="51"/>
      <c r="Q91" s="51"/>
      <c r="R91" s="51"/>
      <c r="S91" s="51"/>
      <c r="T91" s="51"/>
      <c r="U91" s="51"/>
      <c r="V91" s="51"/>
      <c r="W91" s="51"/>
      <c r="X91" s="51"/>
      <c r="Y91" s="51"/>
      <c r="Z91" s="51"/>
      <c r="AA91" s="51"/>
      <c r="AB91" s="51"/>
      <c r="AC91" s="46"/>
    </row>
    <row r="92" spans="1:43" ht="26.25" customHeight="1" thickBot="1" x14ac:dyDescent="0.3">
      <c r="A92" s="49"/>
      <c r="B92" s="49"/>
      <c r="C92" s="50"/>
      <c r="D92" s="38"/>
      <c r="E92" s="268"/>
      <c r="F92" s="268"/>
      <c r="G92" s="268"/>
      <c r="H92" s="268"/>
      <c r="I92" s="268"/>
      <c r="J92" s="268"/>
      <c r="K92" s="268"/>
      <c r="L92" s="268"/>
      <c r="M92" s="268"/>
      <c r="N92" s="268"/>
      <c r="O92" s="268"/>
      <c r="P92" s="268"/>
      <c r="Q92" s="268"/>
      <c r="R92" s="268"/>
      <c r="S92" s="268"/>
      <c r="T92" s="268"/>
      <c r="U92" s="268"/>
      <c r="V92" s="268"/>
      <c r="W92" s="268"/>
      <c r="X92" s="268"/>
      <c r="Y92" s="268"/>
      <c r="Z92" s="268"/>
      <c r="AA92" s="268"/>
      <c r="AB92" s="268"/>
      <c r="AC92" s="46"/>
    </row>
    <row r="93" spans="1:43" ht="27" thickBot="1" x14ac:dyDescent="0.45">
      <c r="A93" s="824" t="s">
        <v>254</v>
      </c>
      <c r="B93" s="825"/>
      <c r="C93" s="825"/>
      <c r="D93" s="825"/>
      <c r="E93" s="825"/>
      <c r="F93" s="825"/>
      <c r="G93" s="825"/>
      <c r="H93" s="825"/>
      <c r="I93" s="825"/>
      <c r="J93" s="825"/>
      <c r="K93" s="825"/>
      <c r="L93" s="825"/>
      <c r="M93" s="825"/>
      <c r="N93" s="825"/>
      <c r="O93" s="825"/>
      <c r="P93" s="825"/>
      <c r="Q93" s="825"/>
      <c r="R93" s="825"/>
      <c r="S93" s="825"/>
      <c r="T93" s="825"/>
      <c r="U93" s="825"/>
      <c r="V93" s="825"/>
      <c r="W93" s="825"/>
      <c r="X93" s="825"/>
      <c r="Y93" s="825"/>
      <c r="Z93" s="825"/>
      <c r="AA93" s="825"/>
      <c r="AB93" s="826"/>
    </row>
    <row r="94" spans="1:43" x14ac:dyDescent="0.25">
      <c r="A94" s="796" t="s">
        <v>29</v>
      </c>
      <c r="B94" s="799" t="s">
        <v>30</v>
      </c>
      <c r="C94" s="796" t="s">
        <v>54</v>
      </c>
      <c r="D94" s="802"/>
      <c r="E94" s="807" t="s">
        <v>38</v>
      </c>
      <c r="F94" s="767"/>
      <c r="G94" s="766" t="s">
        <v>39</v>
      </c>
      <c r="H94" s="767"/>
      <c r="I94" s="766" t="s">
        <v>40</v>
      </c>
      <c r="J94" s="767"/>
      <c r="K94" s="766" t="s">
        <v>41</v>
      </c>
      <c r="L94" s="767"/>
      <c r="M94" s="766" t="s">
        <v>42</v>
      </c>
      <c r="N94" s="767"/>
      <c r="O94" s="766" t="s">
        <v>43</v>
      </c>
      <c r="P94" s="767"/>
      <c r="Q94" s="766" t="s">
        <v>44</v>
      </c>
      <c r="R94" s="767"/>
      <c r="S94" s="766" t="s">
        <v>45</v>
      </c>
      <c r="T94" s="767"/>
      <c r="U94" s="766" t="s">
        <v>46</v>
      </c>
      <c r="V94" s="767"/>
      <c r="W94" s="766" t="s">
        <v>47</v>
      </c>
      <c r="X94" s="767"/>
      <c r="Y94" s="766" t="s">
        <v>48</v>
      </c>
      <c r="Z94" s="767"/>
      <c r="AA94" s="766" t="s">
        <v>49</v>
      </c>
      <c r="AB94" s="767"/>
    </row>
    <row r="95" spans="1:43" x14ac:dyDescent="0.25">
      <c r="A95" s="797"/>
      <c r="B95" s="800"/>
      <c r="C95" s="803" t="s">
        <v>53</v>
      </c>
      <c r="D95" s="805" t="s">
        <v>37</v>
      </c>
      <c r="E95" s="770">
        <f>F105/$D$105</f>
        <v>8.7114938721430932E-2</v>
      </c>
      <c r="F95" s="771"/>
      <c r="G95" s="770">
        <f>H105/$D$105</f>
        <v>8.8771116263663463E-2</v>
      </c>
      <c r="H95" s="771"/>
      <c r="I95" s="770">
        <f>J105/$D$105</f>
        <v>8.9433587280556476E-2</v>
      </c>
      <c r="J95" s="771"/>
      <c r="K95" s="770">
        <f>L105/$D$105</f>
        <v>5.8628684995031467E-2</v>
      </c>
      <c r="L95" s="771"/>
      <c r="M95" s="770">
        <f>N105/$D$105</f>
        <v>8.7777409738323944E-2</v>
      </c>
      <c r="N95" s="771"/>
      <c r="O95" s="770">
        <f>P105/$D$105</f>
        <v>9.6522027161311696E-2</v>
      </c>
      <c r="P95" s="771"/>
      <c r="Q95" s="770">
        <f>R105/$D$105</f>
        <v>9.6985756873136805E-2</v>
      </c>
      <c r="R95" s="771"/>
      <c r="S95" s="770">
        <f>T105/$D$105</f>
        <v>6.4855912553825765E-2</v>
      </c>
      <c r="T95" s="771"/>
      <c r="U95" s="770">
        <f>V105/$D$105</f>
        <v>6.8499503146737334E-2</v>
      </c>
      <c r="V95" s="771"/>
      <c r="W95" s="770">
        <f>X105/$D$105</f>
        <v>6.6644584299436899E-2</v>
      </c>
      <c r="X95" s="771"/>
      <c r="Y95" s="770">
        <f>Z105/$D$105</f>
        <v>9.6058297449486588E-2</v>
      </c>
      <c r="Z95" s="771"/>
      <c r="AA95" s="770">
        <f>AB105/$D$105</f>
        <v>9.8708181517058624E-2</v>
      </c>
      <c r="AB95" s="771"/>
    </row>
    <row r="96" spans="1:43" ht="15.75" thickBot="1" x14ac:dyDescent="0.3">
      <c r="A96" s="798"/>
      <c r="B96" s="801"/>
      <c r="C96" s="804"/>
      <c r="D96" s="806"/>
      <c r="E96" s="357" t="s">
        <v>53</v>
      </c>
      <c r="F96" s="358" t="s">
        <v>37</v>
      </c>
      <c r="G96" s="357" t="s">
        <v>53</v>
      </c>
      <c r="H96" s="358" t="s">
        <v>37</v>
      </c>
      <c r="I96" s="357" t="s">
        <v>53</v>
      </c>
      <c r="J96" s="358" t="s">
        <v>37</v>
      </c>
      <c r="K96" s="357" t="s">
        <v>53</v>
      </c>
      <c r="L96" s="358" t="s">
        <v>37</v>
      </c>
      <c r="M96" s="357" t="s">
        <v>53</v>
      </c>
      <c r="N96" s="358" t="s">
        <v>37</v>
      </c>
      <c r="O96" s="357" t="s">
        <v>53</v>
      </c>
      <c r="P96" s="358" t="s">
        <v>37</v>
      </c>
      <c r="Q96" s="357" t="s">
        <v>53</v>
      </c>
      <c r="R96" s="358" t="s">
        <v>37</v>
      </c>
      <c r="S96" s="310" t="s">
        <v>53</v>
      </c>
      <c r="T96" s="311" t="s">
        <v>37</v>
      </c>
      <c r="U96" s="310" t="s">
        <v>53</v>
      </c>
      <c r="V96" s="311" t="s">
        <v>37</v>
      </c>
      <c r="W96" s="310" t="s">
        <v>53</v>
      </c>
      <c r="X96" s="311" t="s">
        <v>37</v>
      </c>
      <c r="Y96" s="310" t="s">
        <v>53</v>
      </c>
      <c r="Z96" s="311" t="s">
        <v>37</v>
      </c>
      <c r="AA96" s="310" t="s">
        <v>53</v>
      </c>
      <c r="AB96" s="311" t="s">
        <v>37</v>
      </c>
    </row>
    <row r="97" spans="1:28" ht="15.75" x14ac:dyDescent="0.25">
      <c r="A97" s="297" t="str">
        <f>'1️⃣ Hipótesis'!B58</f>
        <v>Portal básico</v>
      </c>
      <c r="B97" s="304">
        <f>'1️⃣ Hipótesis'!C58</f>
        <v>2000000</v>
      </c>
      <c r="C97" s="1113">
        <f t="shared" ref="C97:C100" si="89">SUM(E97,G97,I97,K97,M97,O97,Q97,S97,U97,W97,Y97,AA97)</f>
        <v>3</v>
      </c>
      <c r="D97" s="304">
        <f>B97*C97</f>
        <v>6000000</v>
      </c>
      <c r="E97" s="456"/>
      <c r="F97" s="368">
        <f>E97*$B97</f>
        <v>0</v>
      </c>
      <c r="G97" s="456"/>
      <c r="H97" s="368">
        <f>G97*$B97</f>
        <v>0</v>
      </c>
      <c r="I97" s="456"/>
      <c r="J97" s="368">
        <f>I97*$B97</f>
        <v>0</v>
      </c>
      <c r="K97" s="456"/>
      <c r="L97" s="368">
        <f>K97*$B97</f>
        <v>0</v>
      </c>
      <c r="M97" s="456">
        <v>1</v>
      </c>
      <c r="N97" s="368">
        <f>M97*$B97</f>
        <v>2000000</v>
      </c>
      <c r="O97" s="456"/>
      <c r="P97" s="368">
        <f>O97*$B97</f>
        <v>0</v>
      </c>
      <c r="Q97" s="456"/>
      <c r="R97" s="368">
        <f>Q97*$B97</f>
        <v>0</v>
      </c>
      <c r="S97" s="456"/>
      <c r="T97" s="368">
        <f>S97*$B97</f>
        <v>0</v>
      </c>
      <c r="U97" s="456"/>
      <c r="V97" s="368">
        <f>U97*$B97</f>
        <v>0</v>
      </c>
      <c r="W97" s="456"/>
      <c r="X97" s="368">
        <f>W97*$B97</f>
        <v>0</v>
      </c>
      <c r="Y97" s="456">
        <v>1</v>
      </c>
      <c r="Z97" s="368">
        <f>Y97*$B97</f>
        <v>2000000</v>
      </c>
      <c r="AA97" s="456">
        <v>1</v>
      </c>
      <c r="AB97" s="368">
        <f>AA97*$B97</f>
        <v>2000000</v>
      </c>
    </row>
    <row r="98" spans="1:28" ht="15.75" x14ac:dyDescent="0.25">
      <c r="A98" s="306" t="str">
        <f>'1️⃣ Hipótesis'!B59</f>
        <v>Portal aprendizaje</v>
      </c>
      <c r="B98" s="301">
        <f>'1️⃣ Hipótesis'!C59</f>
        <v>2300000</v>
      </c>
      <c r="C98" s="1114">
        <f t="shared" si="89"/>
        <v>6</v>
      </c>
      <c r="D98" s="301">
        <f t="shared" ref="D98:D104" si="90">B98*C98</f>
        <v>13800000</v>
      </c>
      <c r="E98" s="457"/>
      <c r="F98" s="369">
        <f t="shared" ref="F98:H98" si="91">E98*$B98</f>
        <v>0</v>
      </c>
      <c r="G98" s="457">
        <v>1</v>
      </c>
      <c r="H98" s="369">
        <f t="shared" si="91"/>
        <v>2300000</v>
      </c>
      <c r="I98" s="457">
        <v>1</v>
      </c>
      <c r="J98" s="369">
        <f t="shared" ref="J98" si="92">I98*$B98</f>
        <v>2300000</v>
      </c>
      <c r="K98" s="457">
        <v>1</v>
      </c>
      <c r="L98" s="369">
        <f t="shared" ref="L98" si="93">K98*$B98</f>
        <v>2300000</v>
      </c>
      <c r="M98" s="457"/>
      <c r="N98" s="369">
        <f t="shared" ref="N98" si="94">M98*$B98</f>
        <v>0</v>
      </c>
      <c r="O98" s="457"/>
      <c r="P98" s="369">
        <f t="shared" ref="P98" si="95">O98*$B98</f>
        <v>0</v>
      </c>
      <c r="Q98" s="457">
        <v>1</v>
      </c>
      <c r="R98" s="369">
        <f t="shared" ref="R98" si="96">Q98*$B98</f>
        <v>2300000</v>
      </c>
      <c r="S98" s="457">
        <v>1</v>
      </c>
      <c r="T98" s="369">
        <f t="shared" ref="T98" si="97">S98*$B98</f>
        <v>2300000</v>
      </c>
      <c r="U98" s="457"/>
      <c r="V98" s="369">
        <f t="shared" ref="V98" si="98">U98*$B98</f>
        <v>0</v>
      </c>
      <c r="W98" s="457">
        <v>1</v>
      </c>
      <c r="X98" s="369">
        <f t="shared" ref="X98" si="99">W98*$B98</f>
        <v>2300000</v>
      </c>
      <c r="Y98" s="457"/>
      <c r="Z98" s="369">
        <f t="shared" ref="Z98" si="100">Y98*$B98</f>
        <v>0</v>
      </c>
      <c r="AA98" s="457"/>
      <c r="AB98" s="369">
        <f t="shared" ref="AB98" si="101">AA98*$B98</f>
        <v>0</v>
      </c>
    </row>
    <row r="99" spans="1:28" ht="15.75" x14ac:dyDescent="0.25">
      <c r="A99" s="306" t="str">
        <f>'1️⃣ Hipótesis'!B60</f>
        <v>Portal sugerencia</v>
      </c>
      <c r="B99" s="301">
        <f>'1️⃣ Hipótesis'!C60</f>
        <v>2400000</v>
      </c>
      <c r="C99" s="1114">
        <f t="shared" si="89"/>
        <v>6</v>
      </c>
      <c r="D99" s="301">
        <f t="shared" si="90"/>
        <v>14400000</v>
      </c>
      <c r="E99" s="457">
        <v>2</v>
      </c>
      <c r="F99" s="369">
        <f>E99*$B99</f>
        <v>4800000</v>
      </c>
      <c r="G99" s="457"/>
      <c r="H99" s="369">
        <f>G99*$B99</f>
        <v>0</v>
      </c>
      <c r="I99" s="457">
        <v>1</v>
      </c>
      <c r="J99" s="369">
        <f>I99*$B99</f>
        <v>2400000</v>
      </c>
      <c r="K99" s="457"/>
      <c r="L99" s="369">
        <f>K99*$B99</f>
        <v>0</v>
      </c>
      <c r="M99" s="457">
        <v>1</v>
      </c>
      <c r="N99" s="369">
        <f>M99*$B99</f>
        <v>2400000</v>
      </c>
      <c r="O99" s="457">
        <v>1</v>
      </c>
      <c r="P99" s="369">
        <f>O99*$B99</f>
        <v>2400000</v>
      </c>
      <c r="Q99" s="457"/>
      <c r="R99" s="369">
        <f>Q99*$B99</f>
        <v>0</v>
      </c>
      <c r="S99" s="457"/>
      <c r="T99" s="369">
        <f>S99*$B99</f>
        <v>0</v>
      </c>
      <c r="U99" s="457"/>
      <c r="V99" s="369">
        <f>U99*$B99</f>
        <v>0</v>
      </c>
      <c r="W99" s="457"/>
      <c r="X99" s="369">
        <f>W99*$B99</f>
        <v>0</v>
      </c>
      <c r="Y99" s="457">
        <v>1</v>
      </c>
      <c r="Z99" s="369">
        <f>Y99*$B99</f>
        <v>2400000</v>
      </c>
      <c r="AA99" s="457"/>
      <c r="AB99" s="369">
        <f>AA99*$B99</f>
        <v>0</v>
      </c>
    </row>
    <row r="100" spans="1:28" ht="16.5" thickBot="1" x14ac:dyDescent="0.3">
      <c r="A100" s="307" t="str">
        <f>'1️⃣ Hipótesis'!B61</f>
        <v>Portal experto</v>
      </c>
      <c r="B100" s="308">
        <f>'1️⃣ Hipótesis'!C61</f>
        <v>2500000</v>
      </c>
      <c r="C100" s="1115">
        <f t="shared" si="89"/>
        <v>5</v>
      </c>
      <c r="D100" s="308">
        <f t="shared" si="90"/>
        <v>12500000</v>
      </c>
      <c r="E100" s="458"/>
      <c r="F100" s="370">
        <f t="shared" ref="F100:H100" si="102">E100*$B100</f>
        <v>0</v>
      </c>
      <c r="G100" s="458">
        <v>1</v>
      </c>
      <c r="H100" s="370">
        <f t="shared" si="102"/>
        <v>2500000</v>
      </c>
      <c r="I100" s="458"/>
      <c r="J100" s="370">
        <f t="shared" ref="J100" si="103">I100*$B100</f>
        <v>0</v>
      </c>
      <c r="K100" s="458"/>
      <c r="L100" s="370">
        <f t="shared" ref="L100" si="104">K100*$B100</f>
        <v>0</v>
      </c>
      <c r="M100" s="458"/>
      <c r="N100" s="370">
        <f t="shared" ref="N100" si="105">M100*$B100</f>
        <v>0</v>
      </c>
      <c r="O100" s="458">
        <v>1</v>
      </c>
      <c r="P100" s="370">
        <f t="shared" ref="P100" si="106">O100*$B100</f>
        <v>2500000</v>
      </c>
      <c r="Q100" s="458">
        <v>1</v>
      </c>
      <c r="R100" s="370">
        <f t="shared" ref="R100" si="107">Q100*$B100</f>
        <v>2500000</v>
      </c>
      <c r="S100" s="458"/>
      <c r="T100" s="370">
        <f t="shared" ref="T100" si="108">S100*$B100</f>
        <v>0</v>
      </c>
      <c r="U100" s="458">
        <v>1</v>
      </c>
      <c r="V100" s="370">
        <f t="shared" ref="V100" si="109">U100*$B100</f>
        <v>2500000</v>
      </c>
      <c r="W100" s="458"/>
      <c r="X100" s="370">
        <f t="shared" ref="X100" si="110">W100*$B100</f>
        <v>0</v>
      </c>
      <c r="Y100" s="458"/>
      <c r="Z100" s="370">
        <f t="shared" ref="Z100" si="111">Y100*$B100</f>
        <v>0</v>
      </c>
      <c r="AA100" s="458">
        <v>1</v>
      </c>
      <c r="AB100" s="370">
        <f t="shared" ref="AB100" si="112">AA100*$B100</f>
        <v>2500000</v>
      </c>
    </row>
    <row r="101" spans="1:28" ht="15.75" x14ac:dyDescent="0.25">
      <c r="A101" s="324" t="str">
        <f>'1️⃣ Hipótesis'!B62</f>
        <v>Simple</v>
      </c>
      <c r="B101" s="325">
        <f>'1️⃣ Hipótesis'!C62</f>
        <v>50000</v>
      </c>
      <c r="C101" s="1112">
        <f>SUM(E101,G101,I101,K101,M101,O101,Q101,S101,U101,W101,Y101,AA101)</f>
        <v>125</v>
      </c>
      <c r="D101" s="325">
        <f t="shared" si="90"/>
        <v>6250000</v>
      </c>
      <c r="E101" s="451">
        <v>8</v>
      </c>
      <c r="F101" s="460">
        <f t="shared" ref="F101:H101" si="113">E101*$B101</f>
        <v>400000</v>
      </c>
      <c r="G101" s="451">
        <v>9</v>
      </c>
      <c r="H101" s="460">
        <f t="shared" si="113"/>
        <v>450000</v>
      </c>
      <c r="I101" s="451">
        <v>9</v>
      </c>
      <c r="J101" s="460">
        <f t="shared" ref="J101" si="114">I101*$B101</f>
        <v>450000</v>
      </c>
      <c r="K101" s="451">
        <v>9</v>
      </c>
      <c r="L101" s="460">
        <f t="shared" ref="L101" si="115">K101*$B101</f>
        <v>450000</v>
      </c>
      <c r="M101" s="451">
        <v>11</v>
      </c>
      <c r="N101" s="460">
        <f t="shared" ref="N101" si="116">M101*$B101</f>
        <v>550000</v>
      </c>
      <c r="O101" s="451">
        <v>11</v>
      </c>
      <c r="P101" s="460">
        <f t="shared" ref="P101" si="117">O101*$B101</f>
        <v>550000</v>
      </c>
      <c r="Q101" s="451">
        <v>11</v>
      </c>
      <c r="R101" s="460">
        <f t="shared" ref="R101" si="118">Q101*$B101</f>
        <v>550000</v>
      </c>
      <c r="S101" s="451">
        <v>11</v>
      </c>
      <c r="T101" s="460">
        <f t="shared" ref="T101" si="119">S101*$B101</f>
        <v>550000</v>
      </c>
      <c r="U101" s="451">
        <v>11</v>
      </c>
      <c r="V101" s="460">
        <f t="shared" ref="V101" si="120">U101*$B101</f>
        <v>550000</v>
      </c>
      <c r="W101" s="451">
        <v>11</v>
      </c>
      <c r="X101" s="460">
        <f t="shared" ref="X101" si="121">W101*$B101</f>
        <v>550000</v>
      </c>
      <c r="Y101" s="451">
        <v>11</v>
      </c>
      <c r="Z101" s="460">
        <f t="shared" ref="Z101" si="122">Y101*$B101</f>
        <v>550000</v>
      </c>
      <c r="AA101" s="451">
        <v>13</v>
      </c>
      <c r="AB101" s="460">
        <f t="shared" ref="AB101" si="123">AA101*$B101</f>
        <v>650000</v>
      </c>
    </row>
    <row r="102" spans="1:28" ht="15.75" x14ac:dyDescent="0.25">
      <c r="A102" s="327" t="str">
        <f>'1️⃣ Hipótesis'!B63</f>
        <v>Funcional</v>
      </c>
      <c r="B102" s="328">
        <f>'1️⃣ Hipótesis'!C63</f>
        <v>60000</v>
      </c>
      <c r="C102" s="1107">
        <f t="shared" ref="C102:C104" si="124">SUM(E102,G102,I102,K102,M102,O102,Q102,S102,U102,W102,Y102,AA102)</f>
        <v>80</v>
      </c>
      <c r="D102" s="328">
        <f t="shared" si="90"/>
        <v>4800000</v>
      </c>
      <c r="E102" s="452">
        <v>5</v>
      </c>
      <c r="F102" s="372">
        <f t="shared" ref="F102:H102" si="125">E102*$B102</f>
        <v>300000</v>
      </c>
      <c r="G102" s="452">
        <v>5</v>
      </c>
      <c r="H102" s="372">
        <f t="shared" si="125"/>
        <v>300000</v>
      </c>
      <c r="I102" s="452">
        <v>5</v>
      </c>
      <c r="J102" s="372">
        <f t="shared" ref="J102" si="126">I102*$B102</f>
        <v>300000</v>
      </c>
      <c r="K102" s="452">
        <v>5</v>
      </c>
      <c r="L102" s="372">
        <f t="shared" ref="L102" si="127">K102*$B102</f>
        <v>300000</v>
      </c>
      <c r="M102" s="452">
        <v>5</v>
      </c>
      <c r="N102" s="372">
        <f t="shared" ref="N102" si="128">M102*$B102</f>
        <v>300000</v>
      </c>
      <c r="O102" s="452">
        <v>6</v>
      </c>
      <c r="P102" s="372">
        <f t="shared" ref="P102" si="129">O102*$B102</f>
        <v>360000</v>
      </c>
      <c r="Q102" s="452">
        <v>7</v>
      </c>
      <c r="R102" s="372">
        <f t="shared" ref="R102" si="130">Q102*$B102</f>
        <v>420000</v>
      </c>
      <c r="S102" s="452">
        <v>7</v>
      </c>
      <c r="T102" s="372">
        <f t="shared" ref="T102" si="131">S102*$B102</f>
        <v>420000</v>
      </c>
      <c r="U102" s="452">
        <v>7</v>
      </c>
      <c r="V102" s="372">
        <f t="shared" ref="V102" si="132">U102*$B102</f>
        <v>420000</v>
      </c>
      <c r="W102" s="452">
        <v>8</v>
      </c>
      <c r="X102" s="372">
        <f t="shared" ref="X102" si="133">W102*$B102</f>
        <v>480000</v>
      </c>
      <c r="Y102" s="452">
        <v>10</v>
      </c>
      <c r="Z102" s="372">
        <f t="shared" ref="Z102" si="134">Y102*$B102</f>
        <v>600000</v>
      </c>
      <c r="AA102" s="452">
        <v>10</v>
      </c>
      <c r="AB102" s="372">
        <f t="shared" ref="AB102" si="135">AA102*$B102</f>
        <v>600000</v>
      </c>
    </row>
    <row r="103" spans="1:28" ht="15.75" x14ac:dyDescent="0.25">
      <c r="A103" s="327" t="str">
        <f>'1️⃣ Hipótesis'!B64</f>
        <v>Temporal</v>
      </c>
      <c r="B103" s="328">
        <f>'1️⃣ Hipótesis'!C64</f>
        <v>75000</v>
      </c>
      <c r="C103" s="1107">
        <f t="shared" si="124"/>
        <v>115</v>
      </c>
      <c r="D103" s="328">
        <f t="shared" si="90"/>
        <v>8625000</v>
      </c>
      <c r="E103" s="452">
        <v>5</v>
      </c>
      <c r="F103" s="372">
        <f t="shared" ref="F103:H103" si="136">E103*$B103</f>
        <v>375000</v>
      </c>
      <c r="G103" s="452">
        <v>6</v>
      </c>
      <c r="H103" s="372">
        <f t="shared" si="136"/>
        <v>450000</v>
      </c>
      <c r="I103" s="452">
        <v>8</v>
      </c>
      <c r="J103" s="372">
        <f t="shared" ref="J103" si="137">I103*$B103</f>
        <v>600000</v>
      </c>
      <c r="K103" s="452">
        <v>9</v>
      </c>
      <c r="L103" s="372">
        <f t="shared" ref="L103" si="138">K103*$B103</f>
        <v>675000</v>
      </c>
      <c r="M103" s="452">
        <v>9</v>
      </c>
      <c r="N103" s="372">
        <f t="shared" ref="N103" si="139">M103*$B103</f>
        <v>675000</v>
      </c>
      <c r="O103" s="452">
        <v>9</v>
      </c>
      <c r="P103" s="372">
        <f t="shared" ref="P103" si="140">O103*$B103</f>
        <v>675000</v>
      </c>
      <c r="Q103" s="452">
        <v>10</v>
      </c>
      <c r="R103" s="372">
        <f t="shared" ref="R103" si="141">Q103*$B103</f>
        <v>750000</v>
      </c>
      <c r="S103" s="452">
        <v>11</v>
      </c>
      <c r="T103" s="372">
        <f t="shared" ref="T103" si="142">S103*$B103</f>
        <v>825000</v>
      </c>
      <c r="U103" s="452">
        <v>12</v>
      </c>
      <c r="V103" s="372">
        <f t="shared" ref="V103" si="143">U103*$B103</f>
        <v>900000</v>
      </c>
      <c r="W103" s="452">
        <v>12</v>
      </c>
      <c r="X103" s="372">
        <f t="shared" ref="X103" si="144">W103*$B103</f>
        <v>900000</v>
      </c>
      <c r="Y103" s="452">
        <v>12</v>
      </c>
      <c r="Z103" s="372">
        <f t="shared" ref="Z103" si="145">Y103*$B103</f>
        <v>900000</v>
      </c>
      <c r="AA103" s="452">
        <v>12</v>
      </c>
      <c r="AB103" s="372">
        <f t="shared" ref="AB103" si="146">AA103*$B103</f>
        <v>900000</v>
      </c>
    </row>
    <row r="104" spans="1:28" ht="16.5" thickBot="1" x14ac:dyDescent="0.3">
      <c r="A104" s="330" t="str">
        <f>'1️⃣ Hipótesis'!B65</f>
        <v>Experto</v>
      </c>
      <c r="B104" s="331">
        <f>'1️⃣ Hipótesis'!C65</f>
        <v>100000</v>
      </c>
      <c r="C104" s="1108">
        <f t="shared" si="124"/>
        <v>91</v>
      </c>
      <c r="D104" s="331">
        <f t="shared" si="90"/>
        <v>9100000</v>
      </c>
      <c r="E104" s="453">
        <v>7</v>
      </c>
      <c r="F104" s="373">
        <f>E104*$B104</f>
        <v>700000</v>
      </c>
      <c r="G104" s="453">
        <v>7</v>
      </c>
      <c r="H104" s="373">
        <f>G104*$B104</f>
        <v>700000</v>
      </c>
      <c r="I104" s="453">
        <v>7</v>
      </c>
      <c r="J104" s="373">
        <f>I104*$B104</f>
        <v>700000</v>
      </c>
      <c r="K104" s="453">
        <v>7</v>
      </c>
      <c r="L104" s="373">
        <f>K104*$B104</f>
        <v>700000</v>
      </c>
      <c r="M104" s="453">
        <v>7</v>
      </c>
      <c r="N104" s="373">
        <f>M104*$B104</f>
        <v>700000</v>
      </c>
      <c r="O104" s="453">
        <v>8</v>
      </c>
      <c r="P104" s="373">
        <f>O104*$B104</f>
        <v>800000</v>
      </c>
      <c r="Q104" s="453">
        <v>8</v>
      </c>
      <c r="R104" s="373">
        <f>Q104*$B104</f>
        <v>800000</v>
      </c>
      <c r="S104" s="453">
        <v>8</v>
      </c>
      <c r="T104" s="373">
        <f>S104*$B104</f>
        <v>800000</v>
      </c>
      <c r="U104" s="453">
        <v>8</v>
      </c>
      <c r="V104" s="373">
        <f>U104*$B104</f>
        <v>800000</v>
      </c>
      <c r="W104" s="453">
        <v>8</v>
      </c>
      <c r="X104" s="373">
        <f>W104*$B104</f>
        <v>800000</v>
      </c>
      <c r="Y104" s="453">
        <v>8</v>
      </c>
      <c r="Z104" s="373">
        <f>Y104*$B104</f>
        <v>800000</v>
      </c>
      <c r="AA104" s="453">
        <v>8</v>
      </c>
      <c r="AB104" s="373">
        <f>AA104*$B104</f>
        <v>800000</v>
      </c>
    </row>
    <row r="105" spans="1:28" ht="15.75" thickBot="1" x14ac:dyDescent="0.3">
      <c r="A105" s="900" t="s">
        <v>68</v>
      </c>
      <c r="B105" s="901"/>
      <c r="C105" s="57"/>
      <c r="D105" s="60">
        <f>SUM(D97:D104)</f>
        <v>75475000</v>
      </c>
      <c r="E105" s="61"/>
      <c r="F105" s="62">
        <f>SUM(F97:F104)</f>
        <v>6575000</v>
      </c>
      <c r="G105" s="61"/>
      <c r="H105" s="62">
        <f>SUM(H97:H104)</f>
        <v>6700000</v>
      </c>
      <c r="I105" s="61"/>
      <c r="J105" s="62">
        <f>SUM(J97:J104)</f>
        <v>6750000</v>
      </c>
      <c r="K105" s="61"/>
      <c r="L105" s="62">
        <f>SUM(L97:L104)</f>
        <v>4425000</v>
      </c>
      <c r="M105" s="61"/>
      <c r="N105" s="62">
        <f>SUM(N97:N104)</f>
        <v>6625000</v>
      </c>
      <c r="O105" s="61"/>
      <c r="P105" s="62">
        <f>SUM(P97:P104)</f>
        <v>7285000</v>
      </c>
      <c r="Q105" s="61"/>
      <c r="R105" s="62">
        <f>SUM(R97:R104)</f>
        <v>7320000</v>
      </c>
      <c r="S105" s="61"/>
      <c r="T105" s="62">
        <f>SUM(T97:T104)</f>
        <v>4895000</v>
      </c>
      <c r="U105" s="61"/>
      <c r="V105" s="62">
        <f>SUM(V97:V104)</f>
        <v>5170000</v>
      </c>
      <c r="W105" s="61"/>
      <c r="X105" s="62">
        <f>SUM(X97:X104)</f>
        <v>5030000</v>
      </c>
      <c r="Y105" s="61"/>
      <c r="Z105" s="62">
        <f>SUM(Z97:Z104)</f>
        <v>7250000</v>
      </c>
      <c r="AA105" s="61"/>
      <c r="AB105" s="62">
        <f>SUM(AB97:AB104)</f>
        <v>7450000</v>
      </c>
    </row>
    <row r="106" spans="1:28" ht="15.75" x14ac:dyDescent="0.25">
      <c r="A106" s="890" t="s">
        <v>256</v>
      </c>
      <c r="B106" s="891"/>
      <c r="C106" s="374">
        <f>SUM(C97:C100)</f>
        <v>20</v>
      </c>
      <c r="D106" s="375"/>
      <c r="E106" s="349">
        <f>SUM(E97:E100)</f>
        <v>2</v>
      </c>
      <c r="F106" s="375"/>
      <c r="G106" s="349">
        <f>SUM(G97:G100)</f>
        <v>2</v>
      </c>
      <c r="H106" s="375"/>
      <c r="I106" s="349">
        <f>SUM(I97:I100)</f>
        <v>2</v>
      </c>
      <c r="J106" s="375"/>
      <c r="K106" s="349">
        <f>SUM(K97:K100)</f>
        <v>1</v>
      </c>
      <c r="L106" s="375"/>
      <c r="M106" s="349">
        <f>SUM(M97:M100)</f>
        <v>2</v>
      </c>
      <c r="N106" s="375"/>
      <c r="O106" s="349">
        <f>SUM(O97:O100)</f>
        <v>2</v>
      </c>
      <c r="P106" s="375"/>
      <c r="Q106" s="349">
        <f>SUM(Q97:Q100)</f>
        <v>2</v>
      </c>
      <c r="R106" s="375"/>
      <c r="S106" s="349">
        <f>SUM(S97:S100)</f>
        <v>1</v>
      </c>
      <c r="T106" s="375"/>
      <c r="U106" s="349">
        <f>SUM(U97:U100)</f>
        <v>1</v>
      </c>
      <c r="V106" s="375"/>
      <c r="W106" s="349">
        <f>SUM(W97:W100)</f>
        <v>1</v>
      </c>
      <c r="X106" s="375"/>
      <c r="Y106" s="349">
        <f>SUM(Y97:Y100)</f>
        <v>2</v>
      </c>
      <c r="Z106" s="375"/>
      <c r="AA106" s="349">
        <f>SUM(AA97:AA100)</f>
        <v>2</v>
      </c>
      <c r="AB106" s="376"/>
    </row>
    <row r="107" spans="1:28" ht="16.5" thickBot="1" x14ac:dyDescent="0.3">
      <c r="A107" s="888" t="s">
        <v>257</v>
      </c>
      <c r="B107" s="889"/>
      <c r="C107" s="377">
        <f>SUM(C101:C104)</f>
        <v>411</v>
      </c>
      <c r="D107" s="378"/>
      <c r="E107" s="346">
        <f>SUM(E101:E104)</f>
        <v>25</v>
      </c>
      <c r="F107" s="378"/>
      <c r="G107" s="346">
        <f>SUM(G101:G104)</f>
        <v>27</v>
      </c>
      <c r="H107" s="378"/>
      <c r="I107" s="346">
        <f>SUM(I101:I104)</f>
        <v>29</v>
      </c>
      <c r="J107" s="378"/>
      <c r="K107" s="346">
        <f>SUM(K101:K104)</f>
        <v>30</v>
      </c>
      <c r="L107" s="378"/>
      <c r="M107" s="346">
        <f>SUM(M101:M104)</f>
        <v>32</v>
      </c>
      <c r="N107" s="378"/>
      <c r="O107" s="346">
        <f>SUM(O101:O104)</f>
        <v>34</v>
      </c>
      <c r="P107" s="378"/>
      <c r="Q107" s="346">
        <f>SUM(Q101:Q104)</f>
        <v>36</v>
      </c>
      <c r="R107" s="378"/>
      <c r="S107" s="346">
        <f>SUM(S101:S104)</f>
        <v>37</v>
      </c>
      <c r="T107" s="378"/>
      <c r="U107" s="346">
        <f>SUM(U101:U104)</f>
        <v>38</v>
      </c>
      <c r="V107" s="378"/>
      <c r="W107" s="346">
        <f>SUM(W101:W104)</f>
        <v>39</v>
      </c>
      <c r="X107" s="378"/>
      <c r="Y107" s="346">
        <f>SUM(Y101:Y104)</f>
        <v>41</v>
      </c>
      <c r="Z107" s="378"/>
      <c r="AA107" s="346">
        <f>SUM(AA101:AA104)</f>
        <v>43</v>
      </c>
      <c r="AB107" s="379"/>
    </row>
    <row r="108" spans="1:28" ht="15.75" thickBot="1" x14ac:dyDescent="0.3">
      <c r="D108" s="202"/>
      <c r="E108" s="39"/>
      <c r="F108" s="39"/>
    </row>
    <row r="109" spans="1:28" ht="27" thickBot="1" x14ac:dyDescent="0.45">
      <c r="A109" s="783" t="s">
        <v>253</v>
      </c>
      <c r="B109" s="784"/>
      <c r="C109" s="784"/>
      <c r="D109" s="784"/>
      <c r="E109" s="784"/>
      <c r="F109" s="784"/>
      <c r="G109" s="784"/>
      <c r="H109" s="784"/>
      <c r="I109" s="784"/>
      <c r="J109" s="784"/>
      <c r="K109" s="784"/>
      <c r="L109" s="784"/>
      <c r="M109" s="784"/>
      <c r="N109" s="784"/>
      <c r="O109" s="784"/>
      <c r="P109" s="784"/>
      <c r="Q109" s="784"/>
      <c r="R109" s="784"/>
      <c r="S109" s="784"/>
      <c r="T109" s="784"/>
      <c r="U109" s="784"/>
      <c r="V109" s="784"/>
      <c r="W109" s="784"/>
      <c r="X109" s="784"/>
      <c r="Y109" s="784"/>
      <c r="Z109" s="784"/>
      <c r="AA109" s="784"/>
      <c r="AB109" s="785"/>
    </row>
    <row r="110" spans="1:28" ht="104.25" customHeight="1" thickBot="1" x14ac:dyDescent="0.3">
      <c r="A110" s="360" t="s">
        <v>63</v>
      </c>
      <c r="B110" s="882" t="s">
        <v>274</v>
      </c>
      <c r="C110" s="883"/>
      <c r="D110" s="883"/>
      <c r="E110" s="883"/>
      <c r="F110" s="883"/>
      <c r="G110" s="883"/>
      <c r="H110" s="883"/>
      <c r="I110" s="883"/>
      <c r="J110" s="883"/>
      <c r="K110" s="883"/>
      <c r="L110" s="883"/>
      <c r="M110" s="883"/>
      <c r="N110" s="883"/>
      <c r="O110" s="883"/>
      <c r="P110" s="883"/>
      <c r="Q110" s="883"/>
      <c r="R110" s="883"/>
      <c r="S110" s="883"/>
      <c r="T110" s="883"/>
      <c r="U110" s="883"/>
      <c r="V110" s="883"/>
      <c r="W110" s="883"/>
      <c r="X110" s="883"/>
      <c r="Y110" s="883"/>
      <c r="Z110" s="883"/>
      <c r="AA110" s="883"/>
      <c r="AB110" s="884"/>
    </row>
    <row r="111" spans="1:28" ht="21.75" thickBot="1" x14ac:dyDescent="0.3">
      <c r="A111" s="786"/>
      <c r="B111" s="787"/>
      <c r="C111" s="790" t="s">
        <v>57</v>
      </c>
      <c r="D111" s="789"/>
      <c r="E111" s="788" t="s">
        <v>38</v>
      </c>
      <c r="F111" s="789"/>
      <c r="G111" s="790" t="s">
        <v>39</v>
      </c>
      <c r="H111" s="789"/>
      <c r="I111" s="790" t="s">
        <v>40</v>
      </c>
      <c r="J111" s="789"/>
      <c r="K111" s="790" t="s">
        <v>41</v>
      </c>
      <c r="L111" s="789"/>
      <c r="M111" s="790" t="s">
        <v>42</v>
      </c>
      <c r="N111" s="789"/>
      <c r="O111" s="790" t="s">
        <v>43</v>
      </c>
      <c r="P111" s="789"/>
      <c r="Q111" s="790" t="s">
        <v>44</v>
      </c>
      <c r="R111" s="789"/>
      <c r="S111" s="790" t="s">
        <v>45</v>
      </c>
      <c r="T111" s="789"/>
      <c r="U111" s="790" t="s">
        <v>46</v>
      </c>
      <c r="V111" s="789"/>
      <c r="W111" s="790" t="s">
        <v>47</v>
      </c>
      <c r="X111" s="789"/>
      <c r="Y111" s="790" t="s">
        <v>48</v>
      </c>
      <c r="Z111" s="789"/>
      <c r="AA111" s="790" t="s">
        <v>49</v>
      </c>
      <c r="AB111" s="789"/>
    </row>
    <row r="112" spans="1:28" x14ac:dyDescent="0.25">
      <c r="A112" s="851" t="s">
        <v>56</v>
      </c>
      <c r="B112" s="852"/>
      <c r="C112" s="868" t="s">
        <v>343</v>
      </c>
      <c r="D112" s="869"/>
      <c r="E112" s="881">
        <v>1</v>
      </c>
      <c r="F112" s="836"/>
      <c r="G112" s="856" t="s">
        <v>59</v>
      </c>
      <c r="H112" s="836"/>
      <c r="I112" s="856" t="s">
        <v>59</v>
      </c>
      <c r="J112" s="836"/>
      <c r="K112" s="856" t="s">
        <v>59</v>
      </c>
      <c r="L112" s="836"/>
      <c r="M112" s="856" t="s">
        <v>59</v>
      </c>
      <c r="N112" s="836"/>
      <c r="O112" s="856" t="s">
        <v>59</v>
      </c>
      <c r="P112" s="836"/>
      <c r="Q112" s="856" t="s">
        <v>59</v>
      </c>
      <c r="R112" s="836"/>
      <c r="S112" s="856" t="s">
        <v>59</v>
      </c>
      <c r="T112" s="836"/>
      <c r="U112" s="856" t="s">
        <v>59</v>
      </c>
      <c r="V112" s="836"/>
      <c r="W112" s="856" t="s">
        <v>59</v>
      </c>
      <c r="X112" s="836"/>
      <c r="Y112" s="856" t="s">
        <v>59</v>
      </c>
      <c r="Z112" s="836"/>
      <c r="AA112" s="856" t="s">
        <v>59</v>
      </c>
      <c r="AB112" s="878"/>
    </row>
    <row r="113" spans="1:28" x14ac:dyDescent="0.25">
      <c r="A113" s="853"/>
      <c r="B113" s="854"/>
      <c r="C113" s="864" t="s">
        <v>271</v>
      </c>
      <c r="D113" s="865"/>
      <c r="E113" s="763">
        <v>1</v>
      </c>
      <c r="F113" s="769"/>
      <c r="G113" s="769" t="s">
        <v>59</v>
      </c>
      <c r="H113" s="769"/>
      <c r="I113" s="769" t="s">
        <v>59</v>
      </c>
      <c r="J113" s="769"/>
      <c r="K113" s="769" t="s">
        <v>59</v>
      </c>
      <c r="L113" s="769"/>
      <c r="M113" s="769" t="s">
        <v>59</v>
      </c>
      <c r="N113" s="769"/>
      <c r="O113" s="769" t="s">
        <v>59</v>
      </c>
      <c r="P113" s="769"/>
      <c r="Q113" s="769" t="s">
        <v>59</v>
      </c>
      <c r="R113" s="769"/>
      <c r="S113" s="769" t="s">
        <v>59</v>
      </c>
      <c r="T113" s="769"/>
      <c r="U113" s="769" t="s">
        <v>59</v>
      </c>
      <c r="V113" s="769"/>
      <c r="W113" s="769" t="s">
        <v>59</v>
      </c>
      <c r="X113" s="769"/>
      <c r="Y113" s="769" t="s">
        <v>59</v>
      </c>
      <c r="Z113" s="769"/>
      <c r="AA113" s="769" t="s">
        <v>59</v>
      </c>
      <c r="AB113" s="772"/>
    </row>
    <row r="114" spans="1:28" x14ac:dyDescent="0.25">
      <c r="A114" s="853"/>
      <c r="B114" s="854"/>
      <c r="C114" s="864" t="s">
        <v>326</v>
      </c>
      <c r="D114" s="865"/>
      <c r="E114" s="763">
        <v>1</v>
      </c>
      <c r="F114" s="769"/>
      <c r="G114" s="769" t="s">
        <v>59</v>
      </c>
      <c r="H114" s="769"/>
      <c r="I114" s="769" t="s">
        <v>59</v>
      </c>
      <c r="J114" s="769"/>
      <c r="K114" s="769" t="s">
        <v>59</v>
      </c>
      <c r="L114" s="769"/>
      <c r="M114" s="769" t="s">
        <v>59</v>
      </c>
      <c r="N114" s="769"/>
      <c r="O114" s="769" t="s">
        <v>59</v>
      </c>
      <c r="P114" s="769"/>
      <c r="Q114" s="769" t="s">
        <v>59</v>
      </c>
      <c r="R114" s="769"/>
      <c r="S114" s="769" t="s">
        <v>59</v>
      </c>
      <c r="T114" s="769"/>
      <c r="U114" s="769" t="s">
        <v>59</v>
      </c>
      <c r="V114" s="769"/>
      <c r="W114" s="769" t="s">
        <v>59</v>
      </c>
      <c r="X114" s="769"/>
      <c r="Y114" s="769" t="s">
        <v>59</v>
      </c>
      <c r="Z114" s="769"/>
      <c r="AA114" s="769" t="s">
        <v>59</v>
      </c>
      <c r="AB114" s="772"/>
    </row>
    <row r="115" spans="1:28" x14ac:dyDescent="0.25">
      <c r="A115" s="853"/>
      <c r="B115" s="854"/>
      <c r="C115" s="862" t="s">
        <v>327</v>
      </c>
      <c r="D115" s="863"/>
      <c r="E115" s="763">
        <v>1</v>
      </c>
      <c r="F115" s="769"/>
      <c r="G115" s="769" t="s">
        <v>59</v>
      </c>
      <c r="H115" s="769"/>
      <c r="I115" s="769" t="s">
        <v>59</v>
      </c>
      <c r="J115" s="769"/>
      <c r="K115" s="769" t="s">
        <v>59</v>
      </c>
      <c r="L115" s="769"/>
      <c r="M115" s="769" t="s">
        <v>59</v>
      </c>
      <c r="N115" s="769"/>
      <c r="O115" s="769" t="s">
        <v>59</v>
      </c>
      <c r="P115" s="769"/>
      <c r="Q115" s="769" t="s">
        <v>59</v>
      </c>
      <c r="R115" s="769"/>
      <c r="S115" s="769" t="s">
        <v>59</v>
      </c>
      <c r="T115" s="769"/>
      <c r="U115" s="769" t="s">
        <v>59</v>
      </c>
      <c r="V115" s="769"/>
      <c r="W115" s="769" t="s">
        <v>59</v>
      </c>
      <c r="X115" s="769"/>
      <c r="Y115" s="769" t="s">
        <v>59</v>
      </c>
      <c r="Z115" s="769"/>
      <c r="AA115" s="769" t="s">
        <v>59</v>
      </c>
      <c r="AB115" s="772"/>
    </row>
    <row r="116" spans="1:28" x14ac:dyDescent="0.25">
      <c r="A116" s="853"/>
      <c r="B116" s="854"/>
      <c r="C116" s="862" t="s">
        <v>344</v>
      </c>
      <c r="D116" s="863"/>
      <c r="E116" s="763">
        <v>1</v>
      </c>
      <c r="F116" s="769"/>
      <c r="G116" s="769" t="s">
        <v>59</v>
      </c>
      <c r="H116" s="769"/>
      <c r="I116" s="769" t="s">
        <v>59</v>
      </c>
      <c r="J116" s="769"/>
      <c r="K116" s="769" t="s">
        <v>59</v>
      </c>
      <c r="L116" s="769"/>
      <c r="M116" s="769" t="s">
        <v>59</v>
      </c>
      <c r="N116" s="769"/>
      <c r="O116" s="769" t="s">
        <v>59</v>
      </c>
      <c r="P116" s="769"/>
      <c r="Q116" s="769" t="s">
        <v>59</v>
      </c>
      <c r="R116" s="769"/>
      <c r="S116" s="769" t="s">
        <v>59</v>
      </c>
      <c r="T116" s="769"/>
      <c r="U116" s="769" t="s">
        <v>59</v>
      </c>
      <c r="V116" s="769"/>
      <c r="W116" s="769" t="s">
        <v>59</v>
      </c>
      <c r="X116" s="769"/>
      <c r="Y116" s="769" t="s">
        <v>59</v>
      </c>
      <c r="Z116" s="769"/>
      <c r="AA116" s="769" t="s">
        <v>59</v>
      </c>
      <c r="AB116" s="772"/>
    </row>
    <row r="117" spans="1:28" x14ac:dyDescent="0.25">
      <c r="A117" s="853"/>
      <c r="B117" s="854"/>
      <c r="C117" s="864" t="s">
        <v>272</v>
      </c>
      <c r="D117" s="865"/>
      <c r="E117" s="763">
        <v>1</v>
      </c>
      <c r="F117" s="769"/>
      <c r="G117" s="769" t="s">
        <v>59</v>
      </c>
      <c r="H117" s="769"/>
      <c r="I117" s="769" t="s">
        <v>59</v>
      </c>
      <c r="J117" s="769"/>
      <c r="K117" s="769" t="s">
        <v>59</v>
      </c>
      <c r="L117" s="769"/>
      <c r="M117" s="769" t="s">
        <v>59</v>
      </c>
      <c r="N117" s="769"/>
      <c r="O117" s="769" t="s">
        <v>59</v>
      </c>
      <c r="P117" s="769"/>
      <c r="Q117" s="769" t="s">
        <v>59</v>
      </c>
      <c r="R117" s="769"/>
      <c r="S117" s="769" t="s">
        <v>59</v>
      </c>
      <c r="T117" s="769"/>
      <c r="U117" s="769" t="s">
        <v>59</v>
      </c>
      <c r="V117" s="769"/>
      <c r="W117" s="769" t="s">
        <v>59</v>
      </c>
      <c r="X117" s="769"/>
      <c r="Y117" s="769" t="s">
        <v>59</v>
      </c>
      <c r="Z117" s="769"/>
      <c r="AA117" s="769" t="s">
        <v>59</v>
      </c>
      <c r="AB117" s="772"/>
    </row>
    <row r="118" spans="1:28" x14ac:dyDescent="0.25">
      <c r="A118" s="853"/>
      <c r="B118" s="854"/>
      <c r="C118" s="864" t="s">
        <v>341</v>
      </c>
      <c r="D118" s="865"/>
      <c r="E118" s="763">
        <v>1</v>
      </c>
      <c r="F118" s="769"/>
      <c r="G118" s="769" t="s">
        <v>59</v>
      </c>
      <c r="H118" s="769"/>
      <c r="I118" s="769" t="s">
        <v>59</v>
      </c>
      <c r="J118" s="769"/>
      <c r="K118" s="769" t="s">
        <v>59</v>
      </c>
      <c r="L118" s="769"/>
      <c r="M118" s="769" t="s">
        <v>59</v>
      </c>
      <c r="N118" s="769"/>
      <c r="O118" s="769" t="s">
        <v>59</v>
      </c>
      <c r="P118" s="769"/>
      <c r="Q118" s="769" t="s">
        <v>59</v>
      </c>
      <c r="R118" s="769"/>
      <c r="S118" s="769" t="s">
        <v>59</v>
      </c>
      <c r="T118" s="769"/>
      <c r="U118" s="769" t="s">
        <v>59</v>
      </c>
      <c r="V118" s="769"/>
      <c r="W118" s="769" t="s">
        <v>59</v>
      </c>
      <c r="X118" s="769"/>
      <c r="Y118" s="769" t="s">
        <v>59</v>
      </c>
      <c r="Z118" s="769"/>
      <c r="AA118" s="769" t="s">
        <v>59</v>
      </c>
      <c r="AB118" s="772"/>
    </row>
    <row r="119" spans="1:28" x14ac:dyDescent="0.25">
      <c r="A119" s="853"/>
      <c r="B119" s="854"/>
      <c r="C119" s="864" t="s">
        <v>345</v>
      </c>
      <c r="D119" s="865"/>
      <c r="E119" s="763">
        <v>1</v>
      </c>
      <c r="F119" s="769"/>
      <c r="G119" s="769" t="s">
        <v>59</v>
      </c>
      <c r="H119" s="769"/>
      <c r="I119" s="769" t="s">
        <v>59</v>
      </c>
      <c r="J119" s="769"/>
      <c r="K119" s="769" t="s">
        <v>59</v>
      </c>
      <c r="L119" s="769"/>
      <c r="M119" s="769" t="s">
        <v>59</v>
      </c>
      <c r="N119" s="769"/>
      <c r="O119" s="769" t="s">
        <v>59</v>
      </c>
      <c r="P119" s="769"/>
      <c r="Q119" s="769" t="s">
        <v>59</v>
      </c>
      <c r="R119" s="769"/>
      <c r="S119" s="769" t="s">
        <v>59</v>
      </c>
      <c r="T119" s="769"/>
      <c r="U119" s="769" t="s">
        <v>59</v>
      </c>
      <c r="V119" s="769"/>
      <c r="W119" s="769" t="s">
        <v>59</v>
      </c>
      <c r="X119" s="769"/>
      <c r="Y119" s="769" t="s">
        <v>59</v>
      </c>
      <c r="Z119" s="769"/>
      <c r="AA119" s="769" t="s">
        <v>59</v>
      </c>
      <c r="AB119" s="772"/>
    </row>
    <row r="120" spans="1:28" x14ac:dyDescent="0.25">
      <c r="A120" s="853"/>
      <c r="B120" s="854"/>
      <c r="C120" s="864" t="s">
        <v>262</v>
      </c>
      <c r="D120" s="865"/>
      <c r="E120" s="763">
        <v>2</v>
      </c>
      <c r="F120" s="769"/>
      <c r="G120" s="769" t="s">
        <v>59</v>
      </c>
      <c r="H120" s="769"/>
      <c r="I120" s="769" t="s">
        <v>59</v>
      </c>
      <c r="J120" s="769"/>
      <c r="K120" s="769" t="s">
        <v>59</v>
      </c>
      <c r="L120" s="769"/>
      <c r="M120" s="769" t="s">
        <v>59</v>
      </c>
      <c r="N120" s="769"/>
      <c r="O120" s="769" t="s">
        <v>59</v>
      </c>
      <c r="P120" s="769"/>
      <c r="Q120" s="769" t="s">
        <v>59</v>
      </c>
      <c r="R120" s="769"/>
      <c r="S120" s="769" t="s">
        <v>59</v>
      </c>
      <c r="T120" s="769"/>
      <c r="U120" s="769" t="s">
        <v>59</v>
      </c>
      <c r="V120" s="769"/>
      <c r="W120" s="769" t="s">
        <v>59</v>
      </c>
      <c r="X120" s="769"/>
      <c r="Y120" s="769" t="s">
        <v>59</v>
      </c>
      <c r="Z120" s="769"/>
      <c r="AA120" s="769" t="s">
        <v>59</v>
      </c>
      <c r="AB120" s="772"/>
    </row>
    <row r="121" spans="1:28" x14ac:dyDescent="0.25">
      <c r="A121" s="853"/>
      <c r="B121" s="854"/>
      <c r="C121" s="864" t="s">
        <v>264</v>
      </c>
      <c r="D121" s="865"/>
      <c r="E121" s="763">
        <v>1</v>
      </c>
      <c r="F121" s="769"/>
      <c r="G121" s="769" t="s">
        <v>59</v>
      </c>
      <c r="H121" s="769"/>
      <c r="I121" s="769" t="s">
        <v>59</v>
      </c>
      <c r="J121" s="769"/>
      <c r="K121" s="769" t="s">
        <v>59</v>
      </c>
      <c r="L121" s="769"/>
      <c r="M121" s="769" t="s">
        <v>59</v>
      </c>
      <c r="N121" s="769"/>
      <c r="O121" s="769" t="s">
        <v>59</v>
      </c>
      <c r="P121" s="769"/>
      <c r="Q121" s="769" t="s">
        <v>59</v>
      </c>
      <c r="R121" s="769"/>
      <c r="S121" s="769" t="s">
        <v>59</v>
      </c>
      <c r="T121" s="769"/>
      <c r="U121" s="769" t="s">
        <v>59</v>
      </c>
      <c r="V121" s="769"/>
      <c r="W121" s="769" t="s">
        <v>59</v>
      </c>
      <c r="X121" s="769"/>
      <c r="Y121" s="769" t="s">
        <v>59</v>
      </c>
      <c r="Z121" s="769"/>
      <c r="AA121" s="769" t="s">
        <v>59</v>
      </c>
      <c r="AB121" s="772"/>
    </row>
    <row r="122" spans="1:28" ht="15.75" thickBot="1" x14ac:dyDescent="0.3">
      <c r="A122" s="879"/>
      <c r="B122" s="880"/>
      <c r="C122" s="874"/>
      <c r="D122" s="875"/>
      <c r="E122" s="792"/>
      <c r="F122" s="814"/>
      <c r="G122" s="814"/>
      <c r="H122" s="814"/>
      <c r="I122" s="814"/>
      <c r="J122" s="814"/>
      <c r="K122" s="814"/>
      <c r="L122" s="814"/>
      <c r="M122" s="814"/>
      <c r="N122" s="814"/>
      <c r="O122" s="814"/>
      <c r="P122" s="814"/>
      <c r="Q122" s="814"/>
      <c r="R122" s="814"/>
      <c r="S122" s="814"/>
      <c r="T122" s="814"/>
      <c r="U122" s="814"/>
      <c r="V122" s="814"/>
      <c r="W122" s="814"/>
      <c r="X122" s="814"/>
      <c r="Y122" s="814"/>
      <c r="Z122" s="814"/>
      <c r="AA122" s="814"/>
      <c r="AB122" s="850"/>
    </row>
    <row r="123" spans="1:28" x14ac:dyDescent="0.25">
      <c r="A123" s="859" t="s">
        <v>60</v>
      </c>
      <c r="B123" s="860"/>
      <c r="C123" s="885" t="s">
        <v>265</v>
      </c>
      <c r="D123" s="886"/>
      <c r="E123" s="861">
        <v>7</v>
      </c>
      <c r="F123" s="849"/>
      <c r="G123" s="849" t="s">
        <v>59</v>
      </c>
      <c r="H123" s="849"/>
      <c r="I123" s="849" t="s">
        <v>59</v>
      </c>
      <c r="J123" s="849"/>
      <c r="K123" s="849" t="s">
        <v>59</v>
      </c>
      <c r="L123" s="849"/>
      <c r="M123" s="849" t="s">
        <v>59</v>
      </c>
      <c r="N123" s="849"/>
      <c r="O123" s="849" t="s">
        <v>59</v>
      </c>
      <c r="P123" s="849"/>
      <c r="Q123" s="849" t="s">
        <v>59</v>
      </c>
      <c r="R123" s="849"/>
      <c r="S123" s="849" t="s">
        <v>59</v>
      </c>
      <c r="T123" s="849"/>
      <c r="U123" s="849" t="s">
        <v>59</v>
      </c>
      <c r="V123" s="849"/>
      <c r="W123" s="849" t="s">
        <v>59</v>
      </c>
      <c r="X123" s="849"/>
      <c r="Y123" s="849" t="s">
        <v>59</v>
      </c>
      <c r="Z123" s="849"/>
      <c r="AA123" s="849" t="s">
        <v>59</v>
      </c>
      <c r="AB123" s="887"/>
    </row>
    <row r="124" spans="1:28" x14ac:dyDescent="0.25">
      <c r="A124" s="859"/>
      <c r="B124" s="860"/>
      <c r="C124" s="862" t="s">
        <v>266</v>
      </c>
      <c r="D124" s="863"/>
      <c r="E124" s="769">
        <v>3</v>
      </c>
      <c r="F124" s="769"/>
      <c r="G124" s="769" t="s">
        <v>59</v>
      </c>
      <c r="H124" s="769"/>
      <c r="I124" s="769" t="s">
        <v>59</v>
      </c>
      <c r="J124" s="769"/>
      <c r="K124" s="769" t="s">
        <v>59</v>
      </c>
      <c r="L124" s="769"/>
      <c r="M124" s="769" t="s">
        <v>59</v>
      </c>
      <c r="N124" s="769"/>
      <c r="O124" s="769">
        <v>5</v>
      </c>
      <c r="P124" s="769"/>
      <c r="Q124" s="769" t="s">
        <v>59</v>
      </c>
      <c r="R124" s="769"/>
      <c r="S124" s="769" t="s">
        <v>59</v>
      </c>
      <c r="T124" s="769"/>
      <c r="U124" s="769" t="s">
        <v>59</v>
      </c>
      <c r="V124" s="769"/>
      <c r="W124" s="769" t="s">
        <v>59</v>
      </c>
      <c r="X124" s="769"/>
      <c r="Y124" s="769" t="s">
        <v>59</v>
      </c>
      <c r="Z124" s="769"/>
      <c r="AA124" s="769" t="s">
        <v>59</v>
      </c>
      <c r="AB124" s="772"/>
    </row>
    <row r="125" spans="1:28" x14ac:dyDescent="0.25">
      <c r="A125" s="859"/>
      <c r="B125" s="860"/>
      <c r="C125" s="862" t="s">
        <v>267</v>
      </c>
      <c r="D125" s="863"/>
      <c r="E125" s="763">
        <v>7</v>
      </c>
      <c r="F125" s="769"/>
      <c r="G125" s="769" t="s">
        <v>59</v>
      </c>
      <c r="H125" s="769"/>
      <c r="I125" s="769" t="s">
        <v>59</v>
      </c>
      <c r="J125" s="769"/>
      <c r="K125" s="769" t="s">
        <v>59</v>
      </c>
      <c r="L125" s="769"/>
      <c r="M125" s="769" t="s">
        <v>59</v>
      </c>
      <c r="N125" s="769"/>
      <c r="O125" s="769">
        <v>7</v>
      </c>
      <c r="P125" s="769"/>
      <c r="Q125" s="769" t="s">
        <v>59</v>
      </c>
      <c r="R125" s="769"/>
      <c r="S125" s="769" t="s">
        <v>59</v>
      </c>
      <c r="T125" s="769"/>
      <c r="U125" s="769" t="s">
        <v>59</v>
      </c>
      <c r="V125" s="769"/>
      <c r="W125" s="769" t="s">
        <v>59</v>
      </c>
      <c r="X125" s="769"/>
      <c r="Y125" s="769" t="s">
        <v>59</v>
      </c>
      <c r="Z125" s="769"/>
      <c r="AA125" s="769" t="s">
        <v>59</v>
      </c>
      <c r="AB125" s="772"/>
    </row>
    <row r="126" spans="1:28" x14ac:dyDescent="0.25">
      <c r="A126" s="859"/>
      <c r="B126" s="860"/>
      <c r="C126" s="862" t="s">
        <v>268</v>
      </c>
      <c r="D126" s="863"/>
      <c r="E126" s="763">
        <v>7</v>
      </c>
      <c r="F126" s="769"/>
      <c r="G126" s="769" t="s">
        <v>59</v>
      </c>
      <c r="H126" s="769"/>
      <c r="I126" s="769" t="s">
        <v>59</v>
      </c>
      <c r="J126" s="769"/>
      <c r="K126" s="769" t="s">
        <v>59</v>
      </c>
      <c r="L126" s="769"/>
      <c r="M126" s="769" t="s">
        <v>59</v>
      </c>
      <c r="N126" s="769"/>
      <c r="O126" s="769">
        <v>7</v>
      </c>
      <c r="P126" s="769"/>
      <c r="Q126" s="769" t="s">
        <v>59</v>
      </c>
      <c r="R126" s="769"/>
      <c r="S126" s="769" t="s">
        <v>59</v>
      </c>
      <c r="T126" s="769"/>
      <c r="U126" s="769" t="s">
        <v>59</v>
      </c>
      <c r="V126" s="769"/>
      <c r="W126" s="769" t="s">
        <v>59</v>
      </c>
      <c r="X126" s="769"/>
      <c r="Y126" s="769" t="s">
        <v>59</v>
      </c>
      <c r="Z126" s="769"/>
      <c r="AA126" s="769" t="s">
        <v>59</v>
      </c>
      <c r="AB126" s="772"/>
    </row>
    <row r="127" spans="1:28" ht="15.75" thickBot="1" x14ac:dyDescent="0.3">
      <c r="A127" s="859"/>
      <c r="B127" s="860"/>
      <c r="C127" s="862" t="s">
        <v>269</v>
      </c>
      <c r="D127" s="863"/>
      <c r="E127" s="763">
        <v>7</v>
      </c>
      <c r="F127" s="769"/>
      <c r="G127" s="769" t="s">
        <v>59</v>
      </c>
      <c r="H127" s="769"/>
      <c r="I127" s="769" t="s">
        <v>59</v>
      </c>
      <c r="J127" s="769"/>
      <c r="K127" s="769" t="s">
        <v>59</v>
      </c>
      <c r="L127" s="769"/>
      <c r="M127" s="769" t="s">
        <v>59</v>
      </c>
      <c r="N127" s="769"/>
      <c r="O127" s="769">
        <v>7</v>
      </c>
      <c r="P127" s="769"/>
      <c r="Q127" s="769" t="s">
        <v>59</v>
      </c>
      <c r="R127" s="769"/>
      <c r="S127" s="769" t="s">
        <v>59</v>
      </c>
      <c r="T127" s="769"/>
      <c r="U127" s="769" t="s">
        <v>59</v>
      </c>
      <c r="V127" s="769"/>
      <c r="W127" s="769" t="s">
        <v>59</v>
      </c>
      <c r="X127" s="769"/>
      <c r="Y127" s="769" t="s">
        <v>59</v>
      </c>
      <c r="Z127" s="769"/>
      <c r="AA127" s="769" t="s">
        <v>59</v>
      </c>
      <c r="AB127" s="772"/>
    </row>
    <row r="128" spans="1:28" x14ac:dyDescent="0.25">
      <c r="A128" s="857" t="s">
        <v>61</v>
      </c>
      <c r="B128" s="858"/>
      <c r="C128" s="872"/>
      <c r="D128" s="873"/>
      <c r="E128" s="836"/>
      <c r="F128" s="768"/>
      <c r="G128" s="768"/>
      <c r="H128" s="768"/>
      <c r="I128" s="768"/>
      <c r="J128" s="768"/>
      <c r="K128" s="768"/>
      <c r="L128" s="768"/>
      <c r="M128" s="768"/>
      <c r="N128" s="768"/>
      <c r="O128" s="768"/>
      <c r="P128" s="768"/>
      <c r="Q128" s="768"/>
      <c r="R128" s="768"/>
      <c r="S128" s="768"/>
      <c r="T128" s="768"/>
      <c r="U128" s="768"/>
      <c r="V128" s="768"/>
      <c r="W128" s="768"/>
      <c r="X128" s="768"/>
      <c r="Y128" s="768"/>
      <c r="Z128" s="768"/>
      <c r="AA128" s="768"/>
      <c r="AB128" s="773"/>
    </row>
    <row r="129" spans="1:28" ht="15.75" thickBot="1" x14ac:dyDescent="0.3">
      <c r="A129" s="866"/>
      <c r="B129" s="867"/>
      <c r="C129" s="874"/>
      <c r="D129" s="875"/>
      <c r="E129" s="792"/>
      <c r="F129" s="814"/>
      <c r="G129" s="814"/>
      <c r="H129" s="814"/>
      <c r="I129" s="814"/>
      <c r="J129" s="814"/>
      <c r="K129" s="814"/>
      <c r="L129" s="814"/>
      <c r="M129" s="814"/>
      <c r="N129" s="814"/>
      <c r="O129" s="814"/>
      <c r="P129" s="814"/>
      <c r="Q129" s="814"/>
      <c r="R129" s="814"/>
      <c r="S129" s="814"/>
      <c r="T129" s="814"/>
      <c r="U129" s="817"/>
      <c r="V129" s="792"/>
      <c r="W129" s="814"/>
      <c r="X129" s="814"/>
      <c r="Y129" s="814"/>
      <c r="Z129" s="814"/>
      <c r="AA129" s="814"/>
      <c r="AB129" s="850"/>
    </row>
  </sheetData>
  <mergeCells count="759">
    <mergeCell ref="G120:H120"/>
    <mergeCell ref="I119:J119"/>
    <mergeCell ref="K119:L119"/>
    <mergeCell ref="M119:N119"/>
    <mergeCell ref="O119:P119"/>
    <mergeCell ref="Q119:R119"/>
    <mergeCell ref="S119:T119"/>
    <mergeCell ref="U119:V119"/>
    <mergeCell ref="W119:X119"/>
    <mergeCell ref="Y119:Z119"/>
    <mergeCell ref="AA119:AB119"/>
    <mergeCell ref="I120:J120"/>
    <mergeCell ref="K120:L120"/>
    <mergeCell ref="M120:N120"/>
    <mergeCell ref="O120:P120"/>
    <mergeCell ref="Q120:R120"/>
    <mergeCell ref="S120:T120"/>
    <mergeCell ref="U120:V120"/>
    <mergeCell ref="W120:X120"/>
    <mergeCell ref="Y120:Z120"/>
    <mergeCell ref="AA120:AB120"/>
    <mergeCell ref="Q127:R127"/>
    <mergeCell ref="M127:N127"/>
    <mergeCell ref="O127:P127"/>
    <mergeCell ref="A67:B67"/>
    <mergeCell ref="A66:B66"/>
    <mergeCell ref="A65:B65"/>
    <mergeCell ref="A27:B27"/>
    <mergeCell ref="A28:B28"/>
    <mergeCell ref="A29:B29"/>
    <mergeCell ref="A106:B106"/>
    <mergeCell ref="A107:B107"/>
    <mergeCell ref="A105:B105"/>
    <mergeCell ref="O125:P125"/>
    <mergeCell ref="Q125:R125"/>
    <mergeCell ref="K123:L123"/>
    <mergeCell ref="M123:N123"/>
    <mergeCell ref="O123:P123"/>
    <mergeCell ref="Q123:R123"/>
    <mergeCell ref="C126:D126"/>
    <mergeCell ref="G126:H126"/>
    <mergeCell ref="G127:H127"/>
    <mergeCell ref="C119:D119"/>
    <mergeCell ref="C120:D120"/>
    <mergeCell ref="G119:H119"/>
    <mergeCell ref="AA129:AB129"/>
    <mergeCell ref="U129:V129"/>
    <mergeCell ref="U128:V128"/>
    <mergeCell ref="W128:X128"/>
    <mergeCell ref="Y128:Z128"/>
    <mergeCell ref="AA128:AB128"/>
    <mergeCell ref="C129:D129"/>
    <mergeCell ref="E129:F129"/>
    <mergeCell ref="G129:H129"/>
    <mergeCell ref="I129:J129"/>
    <mergeCell ref="K129:L129"/>
    <mergeCell ref="M129:N129"/>
    <mergeCell ref="S129:T129"/>
    <mergeCell ref="W129:X129"/>
    <mergeCell ref="Y129:Z129"/>
    <mergeCell ref="S128:T128"/>
    <mergeCell ref="O129:P129"/>
    <mergeCell ref="Q129:R129"/>
    <mergeCell ref="K128:L128"/>
    <mergeCell ref="M128:N128"/>
    <mergeCell ref="O128:P128"/>
    <mergeCell ref="Q128:R128"/>
    <mergeCell ref="A128:B129"/>
    <mergeCell ref="C128:D128"/>
    <mergeCell ref="E128:F128"/>
    <mergeCell ref="G128:H128"/>
    <mergeCell ref="I128:J128"/>
    <mergeCell ref="A123:B127"/>
    <mergeCell ref="C127:D127"/>
    <mergeCell ref="C125:D125"/>
    <mergeCell ref="E125:F125"/>
    <mergeCell ref="G125:H125"/>
    <mergeCell ref="I125:J125"/>
    <mergeCell ref="C124:D124"/>
    <mergeCell ref="U124:V124"/>
    <mergeCell ref="W124:X124"/>
    <mergeCell ref="Y124:Z124"/>
    <mergeCell ref="AA124:AB124"/>
    <mergeCell ref="E123:F123"/>
    <mergeCell ref="I127:J127"/>
    <mergeCell ref="K127:L127"/>
    <mergeCell ref="W127:X127"/>
    <mergeCell ref="Y127:Z127"/>
    <mergeCell ref="W125:X125"/>
    <mergeCell ref="Y125:Z125"/>
    <mergeCell ref="E124:F124"/>
    <mergeCell ref="G124:H124"/>
    <mergeCell ref="I124:J124"/>
    <mergeCell ref="K124:L124"/>
    <mergeCell ref="M124:N124"/>
    <mergeCell ref="O124:P124"/>
    <mergeCell ref="Q124:R124"/>
    <mergeCell ref="S124:T124"/>
    <mergeCell ref="U127:V127"/>
    <mergeCell ref="E127:F127"/>
    <mergeCell ref="AA127:AB127"/>
    <mergeCell ref="S127:T127"/>
    <mergeCell ref="U125:V125"/>
    <mergeCell ref="AA125:AB125"/>
    <mergeCell ref="E126:F126"/>
    <mergeCell ref="I126:J126"/>
    <mergeCell ref="K126:L126"/>
    <mergeCell ref="M126:N126"/>
    <mergeCell ref="O126:P126"/>
    <mergeCell ref="Q126:R126"/>
    <mergeCell ref="S126:T126"/>
    <mergeCell ref="U126:V126"/>
    <mergeCell ref="W126:X126"/>
    <mergeCell ref="Y126:Z126"/>
    <mergeCell ref="AA126:AB126"/>
    <mergeCell ref="M125:N125"/>
    <mergeCell ref="S125:T125"/>
    <mergeCell ref="K125:L125"/>
    <mergeCell ref="U122:V122"/>
    <mergeCell ref="W122:X122"/>
    <mergeCell ref="Y122:Z122"/>
    <mergeCell ref="AA122:AB122"/>
    <mergeCell ref="U123:V123"/>
    <mergeCell ref="C123:D123"/>
    <mergeCell ref="G123:H123"/>
    <mergeCell ref="C122:D122"/>
    <mergeCell ref="E122:F122"/>
    <mergeCell ref="G122:H122"/>
    <mergeCell ref="I122:J122"/>
    <mergeCell ref="K122:L122"/>
    <mergeCell ref="M122:N122"/>
    <mergeCell ref="O122:P122"/>
    <mergeCell ref="Q122:R122"/>
    <mergeCell ref="S122:T122"/>
    <mergeCell ref="AA123:AB123"/>
    <mergeCell ref="I123:J123"/>
    <mergeCell ref="S123:T123"/>
    <mergeCell ref="W123:X123"/>
    <mergeCell ref="Y123:Z123"/>
    <mergeCell ref="W121:X121"/>
    <mergeCell ref="Y121:Z121"/>
    <mergeCell ref="AA121:AB121"/>
    <mergeCell ref="M121:N121"/>
    <mergeCell ref="O121:P121"/>
    <mergeCell ref="Q121:R121"/>
    <mergeCell ref="S121:T121"/>
    <mergeCell ref="U121:V121"/>
    <mergeCell ref="C121:D121"/>
    <mergeCell ref="E121:F121"/>
    <mergeCell ref="G121:H121"/>
    <mergeCell ref="I121:J121"/>
    <mergeCell ref="K121:L121"/>
    <mergeCell ref="W117:X117"/>
    <mergeCell ref="Y117:Z117"/>
    <mergeCell ref="AA117:AB117"/>
    <mergeCell ref="C118:D118"/>
    <mergeCell ref="E118:F118"/>
    <mergeCell ref="G118:H118"/>
    <mergeCell ref="I118:J118"/>
    <mergeCell ref="K118:L118"/>
    <mergeCell ref="M118:N118"/>
    <mergeCell ref="O118:P118"/>
    <mergeCell ref="Q118:R118"/>
    <mergeCell ref="S118:T118"/>
    <mergeCell ref="U118:V118"/>
    <mergeCell ref="W118:X118"/>
    <mergeCell ref="Y118:Z118"/>
    <mergeCell ref="AA118:AB118"/>
    <mergeCell ref="M117:N117"/>
    <mergeCell ref="O117:P117"/>
    <mergeCell ref="Q117:R117"/>
    <mergeCell ref="S117:T117"/>
    <mergeCell ref="U117:V117"/>
    <mergeCell ref="C117:D117"/>
    <mergeCell ref="E117:F117"/>
    <mergeCell ref="G117:H117"/>
    <mergeCell ref="W115:X115"/>
    <mergeCell ref="Y115:Z115"/>
    <mergeCell ref="AA115:AB115"/>
    <mergeCell ref="C116:D116"/>
    <mergeCell ref="E116:F116"/>
    <mergeCell ref="G116:H116"/>
    <mergeCell ref="I116:J116"/>
    <mergeCell ref="K116:L116"/>
    <mergeCell ref="M116:N116"/>
    <mergeCell ref="O116:P116"/>
    <mergeCell ref="Q116:R116"/>
    <mergeCell ref="S116:T116"/>
    <mergeCell ref="U116:V116"/>
    <mergeCell ref="W116:X116"/>
    <mergeCell ref="Y116:Z116"/>
    <mergeCell ref="AA116:AB116"/>
    <mergeCell ref="M115:N115"/>
    <mergeCell ref="O115:P115"/>
    <mergeCell ref="Q115:R115"/>
    <mergeCell ref="S115:T115"/>
    <mergeCell ref="U115:V115"/>
    <mergeCell ref="C115:D115"/>
    <mergeCell ref="E115:F115"/>
    <mergeCell ref="G115:H115"/>
    <mergeCell ref="A109:AB109"/>
    <mergeCell ref="A111:B111"/>
    <mergeCell ref="C111:D111"/>
    <mergeCell ref="E111:F111"/>
    <mergeCell ref="G111:H111"/>
    <mergeCell ref="I111:J111"/>
    <mergeCell ref="K111:L111"/>
    <mergeCell ref="M111:N111"/>
    <mergeCell ref="O111:P111"/>
    <mergeCell ref="Q111:R111"/>
    <mergeCell ref="S111:T111"/>
    <mergeCell ref="U111:V111"/>
    <mergeCell ref="W111:X111"/>
    <mergeCell ref="Y111:Z111"/>
    <mergeCell ref="AA111:AB111"/>
    <mergeCell ref="B110:AB110"/>
    <mergeCell ref="A112:B122"/>
    <mergeCell ref="C112:D112"/>
    <mergeCell ref="E112:F112"/>
    <mergeCell ref="G112:H112"/>
    <mergeCell ref="I112:J112"/>
    <mergeCell ref="K112:L112"/>
    <mergeCell ref="M112:N112"/>
    <mergeCell ref="O112:P112"/>
    <mergeCell ref="Q112:R112"/>
    <mergeCell ref="O114:P114"/>
    <mergeCell ref="Q114:R114"/>
    <mergeCell ref="O113:P113"/>
    <mergeCell ref="Q113:R113"/>
    <mergeCell ref="E113:F113"/>
    <mergeCell ref="G113:H113"/>
    <mergeCell ref="I113:J113"/>
    <mergeCell ref="K113:L113"/>
    <mergeCell ref="M113:N113"/>
    <mergeCell ref="I115:J115"/>
    <mergeCell ref="K115:L115"/>
    <mergeCell ref="I117:J117"/>
    <mergeCell ref="K117:L117"/>
    <mergeCell ref="E119:F119"/>
    <mergeCell ref="E120:F120"/>
    <mergeCell ref="S112:T112"/>
    <mergeCell ref="U112:V112"/>
    <mergeCell ref="W112:X112"/>
    <mergeCell ref="Y112:Z112"/>
    <mergeCell ref="AA112:AB112"/>
    <mergeCell ref="C113:D113"/>
    <mergeCell ref="Y113:Z113"/>
    <mergeCell ref="AA113:AB113"/>
    <mergeCell ref="C114:D114"/>
    <mergeCell ref="E114:F114"/>
    <mergeCell ref="G114:H114"/>
    <mergeCell ref="I114:J114"/>
    <mergeCell ref="K114:L114"/>
    <mergeCell ref="M114:N114"/>
    <mergeCell ref="S114:T114"/>
    <mergeCell ref="U114:V114"/>
    <mergeCell ref="W114:X114"/>
    <mergeCell ref="Y114:Z114"/>
    <mergeCell ref="AA114:AB114"/>
    <mergeCell ref="S113:T113"/>
    <mergeCell ref="U113:V113"/>
    <mergeCell ref="W113:X113"/>
    <mergeCell ref="A93:AB93"/>
    <mergeCell ref="C86:D86"/>
    <mergeCell ref="C87:D87"/>
    <mergeCell ref="C82:D82"/>
    <mergeCell ref="C83:D83"/>
    <mergeCell ref="C84:D84"/>
    <mergeCell ref="C85:D85"/>
    <mergeCell ref="AA87:AB87"/>
    <mergeCell ref="Q87:R87"/>
    <mergeCell ref="S87:T87"/>
    <mergeCell ref="AA86:AB86"/>
    <mergeCell ref="E87:F87"/>
    <mergeCell ref="U87:V87"/>
    <mergeCell ref="W87:X87"/>
    <mergeCell ref="Y87:Z87"/>
    <mergeCell ref="G87:H87"/>
    <mergeCell ref="I87:J87"/>
    <mergeCell ref="K87:L87"/>
    <mergeCell ref="A86:B87"/>
    <mergeCell ref="E86:F86"/>
    <mergeCell ref="G86:H86"/>
    <mergeCell ref="I86:J86"/>
    <mergeCell ref="K86:L86"/>
    <mergeCell ref="M86:N86"/>
    <mergeCell ref="O86:P86"/>
    <mergeCell ref="C72:D72"/>
    <mergeCell ref="C71:D71"/>
    <mergeCell ref="C73:D73"/>
    <mergeCell ref="C74:D74"/>
    <mergeCell ref="C75:D75"/>
    <mergeCell ref="C81:D81"/>
    <mergeCell ref="W86:X86"/>
    <mergeCell ref="Y86:Z86"/>
    <mergeCell ref="E84:F84"/>
    <mergeCell ref="G84:H84"/>
    <mergeCell ref="I84:J84"/>
    <mergeCell ref="K84:L84"/>
    <mergeCell ref="M84:N84"/>
    <mergeCell ref="K85:L85"/>
    <mergeCell ref="M87:N87"/>
    <mergeCell ref="O87:P87"/>
    <mergeCell ref="C76:D76"/>
    <mergeCell ref="C77:D77"/>
    <mergeCell ref="C78:D78"/>
    <mergeCell ref="C79:D79"/>
    <mergeCell ref="C80:D80"/>
    <mergeCell ref="S85:T85"/>
    <mergeCell ref="U85:V85"/>
    <mergeCell ref="W85:X85"/>
    <mergeCell ref="Y85:Z85"/>
    <mergeCell ref="S82:T82"/>
    <mergeCell ref="U82:V82"/>
    <mergeCell ref="G82:H82"/>
    <mergeCell ref="I82:J82"/>
    <mergeCell ref="K82:L82"/>
    <mergeCell ref="M82:N82"/>
    <mergeCell ref="O82:P82"/>
    <mergeCell ref="E79:F79"/>
    <mergeCell ref="G79:H79"/>
    <mergeCell ref="I79:J79"/>
    <mergeCell ref="K79:L79"/>
    <mergeCell ref="M79:N79"/>
    <mergeCell ref="E85:F85"/>
    <mergeCell ref="G85:H85"/>
    <mergeCell ref="I85:J85"/>
    <mergeCell ref="A81:B85"/>
    <mergeCell ref="E81:F81"/>
    <mergeCell ref="G81:H81"/>
    <mergeCell ref="I81:J81"/>
    <mergeCell ref="K81:L81"/>
    <mergeCell ref="O81:P81"/>
    <mergeCell ref="Q81:R81"/>
    <mergeCell ref="S81:T81"/>
    <mergeCell ref="U81:V81"/>
    <mergeCell ref="E82:F82"/>
    <mergeCell ref="E83:F83"/>
    <mergeCell ref="G83:H83"/>
    <mergeCell ref="I83:J83"/>
    <mergeCell ref="K83:L83"/>
    <mergeCell ref="S83:T83"/>
    <mergeCell ref="U83:V83"/>
    <mergeCell ref="Q82:R82"/>
    <mergeCell ref="O83:P83"/>
    <mergeCell ref="Q83:R83"/>
    <mergeCell ref="Y75:Z75"/>
    <mergeCell ref="AA75:AB75"/>
    <mergeCell ref="O75:P75"/>
    <mergeCell ref="Q75:R75"/>
    <mergeCell ref="S75:T75"/>
    <mergeCell ref="U75:V75"/>
    <mergeCell ref="W75:X75"/>
    <mergeCell ref="E75:F75"/>
    <mergeCell ref="G75:H75"/>
    <mergeCell ref="I75:J75"/>
    <mergeCell ref="K75:L75"/>
    <mergeCell ref="M75:N75"/>
    <mergeCell ref="Y74:Z74"/>
    <mergeCell ref="AA74:AB74"/>
    <mergeCell ref="O73:P73"/>
    <mergeCell ref="Q73:R73"/>
    <mergeCell ref="S73:T73"/>
    <mergeCell ref="U73:V73"/>
    <mergeCell ref="W73:X73"/>
    <mergeCell ref="E73:F73"/>
    <mergeCell ref="G73:H73"/>
    <mergeCell ref="I73:J73"/>
    <mergeCell ref="K73:L73"/>
    <mergeCell ref="M73:N73"/>
    <mergeCell ref="G74:H74"/>
    <mergeCell ref="I74:J74"/>
    <mergeCell ref="K74:L74"/>
    <mergeCell ref="M74:N74"/>
    <mergeCell ref="O74:P74"/>
    <mergeCell ref="Q74:R74"/>
    <mergeCell ref="S74:T74"/>
    <mergeCell ref="U74:V74"/>
    <mergeCell ref="W74:X74"/>
    <mergeCell ref="W71:X71"/>
    <mergeCell ref="Y71:Z71"/>
    <mergeCell ref="AA71:AB71"/>
    <mergeCell ref="A72:B80"/>
    <mergeCell ref="E72:F72"/>
    <mergeCell ref="G72:H72"/>
    <mergeCell ref="I72:J72"/>
    <mergeCell ref="K72:L72"/>
    <mergeCell ref="M72:N72"/>
    <mergeCell ref="O72:P72"/>
    <mergeCell ref="Q72:R72"/>
    <mergeCell ref="S72:T72"/>
    <mergeCell ref="U72:V72"/>
    <mergeCell ref="W72:X72"/>
    <mergeCell ref="Y72:Z72"/>
    <mergeCell ref="AA72:AB72"/>
    <mergeCell ref="M71:N71"/>
    <mergeCell ref="O71:P71"/>
    <mergeCell ref="Q71:R71"/>
    <mergeCell ref="S71:T71"/>
    <mergeCell ref="U71:V71"/>
    <mergeCell ref="Y73:Z73"/>
    <mergeCell ref="AA73:AB73"/>
    <mergeCell ref="E74:F74"/>
    <mergeCell ref="W47:X47"/>
    <mergeCell ref="Y47:Z47"/>
    <mergeCell ref="AA47:AB47"/>
    <mergeCell ref="O46:P46"/>
    <mergeCell ref="Q46:R46"/>
    <mergeCell ref="S46:T46"/>
    <mergeCell ref="U46:V46"/>
    <mergeCell ref="W46:X46"/>
    <mergeCell ref="E46:F46"/>
    <mergeCell ref="E47:F47"/>
    <mergeCell ref="G47:H47"/>
    <mergeCell ref="I47:J47"/>
    <mergeCell ref="K47:L47"/>
    <mergeCell ref="M47:N47"/>
    <mergeCell ref="O47:P47"/>
    <mergeCell ref="Q47:R47"/>
    <mergeCell ref="S47:T47"/>
    <mergeCell ref="U47:V47"/>
    <mergeCell ref="Y44:Z44"/>
    <mergeCell ref="AA44:AB44"/>
    <mergeCell ref="O43:P43"/>
    <mergeCell ref="Q43:R43"/>
    <mergeCell ref="G46:H46"/>
    <mergeCell ref="I46:J46"/>
    <mergeCell ref="K46:L46"/>
    <mergeCell ref="M46:N46"/>
    <mergeCell ref="Y46:Z46"/>
    <mergeCell ref="AA46:AB46"/>
    <mergeCell ref="Y45:Z45"/>
    <mergeCell ref="AA45:AB45"/>
    <mergeCell ref="O45:P45"/>
    <mergeCell ref="Q45:R45"/>
    <mergeCell ref="S45:T45"/>
    <mergeCell ref="U45:V45"/>
    <mergeCell ref="W45:X45"/>
    <mergeCell ref="E45:F45"/>
    <mergeCell ref="G45:H45"/>
    <mergeCell ref="I45:J45"/>
    <mergeCell ref="K45:L45"/>
    <mergeCell ref="M45:N45"/>
    <mergeCell ref="Q41:R41"/>
    <mergeCell ref="S41:T41"/>
    <mergeCell ref="U41:V41"/>
    <mergeCell ref="W41:X41"/>
    <mergeCell ref="S44:T44"/>
    <mergeCell ref="U44:V44"/>
    <mergeCell ref="W44:X44"/>
    <mergeCell ref="E40:F40"/>
    <mergeCell ref="E36:F36"/>
    <mergeCell ref="E37:F37"/>
    <mergeCell ref="S38:T38"/>
    <mergeCell ref="U38:V38"/>
    <mergeCell ref="U37:V37"/>
    <mergeCell ref="Y41:Z41"/>
    <mergeCell ref="E43:F43"/>
    <mergeCell ref="G43:H43"/>
    <mergeCell ref="I43:J43"/>
    <mergeCell ref="K43:L43"/>
    <mergeCell ref="M43:N43"/>
    <mergeCell ref="I40:J40"/>
    <mergeCell ref="K40:L40"/>
    <mergeCell ref="M40:N40"/>
    <mergeCell ref="O40:P40"/>
    <mergeCell ref="Q40:R40"/>
    <mergeCell ref="S43:T43"/>
    <mergeCell ref="U43:V43"/>
    <mergeCell ref="W43:X43"/>
    <mergeCell ref="W37:X37"/>
    <mergeCell ref="Y37:Z37"/>
    <mergeCell ref="AA41:AB41"/>
    <mergeCell ref="E42:F42"/>
    <mergeCell ref="G42:H42"/>
    <mergeCell ref="I42:J42"/>
    <mergeCell ref="K42:L42"/>
    <mergeCell ref="M42:N42"/>
    <mergeCell ref="O42:P42"/>
    <mergeCell ref="Q42:R42"/>
    <mergeCell ref="S42:T42"/>
    <mergeCell ref="U42:V42"/>
    <mergeCell ref="W42:X42"/>
    <mergeCell ref="Y42:Z42"/>
    <mergeCell ref="AA42:AB42"/>
    <mergeCell ref="E41:F41"/>
    <mergeCell ref="B5:D5"/>
    <mergeCell ref="A15:AB15"/>
    <mergeCell ref="C17:C18"/>
    <mergeCell ref="D17:D18"/>
    <mergeCell ref="U17:V17"/>
    <mergeCell ref="W17:X17"/>
    <mergeCell ref="Y17:Z17"/>
    <mergeCell ref="G36:H36"/>
    <mergeCell ref="Q34:R34"/>
    <mergeCell ref="S34:T34"/>
    <mergeCell ref="U34:V34"/>
    <mergeCell ref="W34:X34"/>
    <mergeCell ref="Y34:Z34"/>
    <mergeCell ref="S35:T35"/>
    <mergeCell ref="U35:V35"/>
    <mergeCell ref="W35:X35"/>
    <mergeCell ref="Y35:Z35"/>
    <mergeCell ref="E16:F16"/>
    <mergeCell ref="E17:F17"/>
    <mergeCell ref="AA16:AB16"/>
    <mergeCell ref="Y16:Z16"/>
    <mergeCell ref="W16:X16"/>
    <mergeCell ref="U16:V16"/>
    <mergeCell ref="AA17:AB17"/>
    <mergeCell ref="K17:L17"/>
    <mergeCell ref="M16:N16"/>
    <mergeCell ref="M17:N17"/>
    <mergeCell ref="Y36:Z36"/>
    <mergeCell ref="AA36:AB36"/>
    <mergeCell ref="I36:J36"/>
    <mergeCell ref="K36:L36"/>
    <mergeCell ref="M36:N36"/>
    <mergeCell ref="O36:P36"/>
    <mergeCell ref="Q36:R36"/>
    <mergeCell ref="K16:L16"/>
    <mergeCell ref="S16:T16"/>
    <mergeCell ref="S17:T17"/>
    <mergeCell ref="Q16:R16"/>
    <mergeCell ref="Q17:R17"/>
    <mergeCell ref="O16:P16"/>
    <mergeCell ref="O17:P17"/>
    <mergeCell ref="AA34:AB34"/>
    <mergeCell ref="AA35:AB35"/>
    <mergeCell ref="Q35:R35"/>
    <mergeCell ref="A31:AB31"/>
    <mergeCell ref="A33:B34"/>
    <mergeCell ref="A35:B40"/>
    <mergeCell ref="E39:F39"/>
    <mergeCell ref="A54:A56"/>
    <mergeCell ref="B54:B56"/>
    <mergeCell ref="C54:D54"/>
    <mergeCell ref="C55:C56"/>
    <mergeCell ref="D55:D56"/>
    <mergeCell ref="C33:D33"/>
    <mergeCell ref="A41:B45"/>
    <mergeCell ref="A46:B47"/>
    <mergeCell ref="E35:F35"/>
    <mergeCell ref="E38:F38"/>
    <mergeCell ref="E33:AB33"/>
    <mergeCell ref="M41:N41"/>
    <mergeCell ref="O41:P41"/>
    <mergeCell ref="Y43:Z43"/>
    <mergeCell ref="AA43:AB43"/>
    <mergeCell ref="E44:F44"/>
    <mergeCell ref="G44:H44"/>
    <mergeCell ref="I44:J44"/>
    <mergeCell ref="K44:L44"/>
    <mergeCell ref="M44:N44"/>
    <mergeCell ref="O44:P44"/>
    <mergeCell ref="Q44:R44"/>
    <mergeCell ref="G38:H38"/>
    <mergeCell ref="G35:H35"/>
    <mergeCell ref="Y55:Z55"/>
    <mergeCell ref="AA55:AB55"/>
    <mergeCell ref="O54:P54"/>
    <mergeCell ref="Q54:R54"/>
    <mergeCell ref="S54:T54"/>
    <mergeCell ref="C34:D34"/>
    <mergeCell ref="S55:T55"/>
    <mergeCell ref="U55:V55"/>
    <mergeCell ref="W55:X55"/>
    <mergeCell ref="G39:H39"/>
    <mergeCell ref="G40:H40"/>
    <mergeCell ref="G37:H37"/>
    <mergeCell ref="I37:J37"/>
    <mergeCell ref="K37:L37"/>
    <mergeCell ref="M37:N37"/>
    <mergeCell ref="W36:X36"/>
    <mergeCell ref="U36:V36"/>
    <mergeCell ref="A53:AB53"/>
    <mergeCell ref="O35:P35"/>
    <mergeCell ref="G41:H41"/>
    <mergeCell ref="I41:J41"/>
    <mergeCell ref="K41:L41"/>
    <mergeCell ref="S39:T39"/>
    <mergeCell ref="S37:T37"/>
    <mergeCell ref="A16:A18"/>
    <mergeCell ref="B16:B18"/>
    <mergeCell ref="E34:F34"/>
    <mergeCell ref="G34:H34"/>
    <mergeCell ref="I34:J34"/>
    <mergeCell ref="G80:H80"/>
    <mergeCell ref="I80:J80"/>
    <mergeCell ref="K80:L80"/>
    <mergeCell ref="M80:N80"/>
    <mergeCell ref="I35:J35"/>
    <mergeCell ref="K35:L35"/>
    <mergeCell ref="M35:N35"/>
    <mergeCell ref="B32:AB32"/>
    <mergeCell ref="K34:L34"/>
    <mergeCell ref="M34:N34"/>
    <mergeCell ref="O34:P34"/>
    <mergeCell ref="W38:X38"/>
    <mergeCell ref="Y38:Z38"/>
    <mergeCell ref="AA38:AB38"/>
    <mergeCell ref="I38:J38"/>
    <mergeCell ref="K38:L38"/>
    <mergeCell ref="M38:N38"/>
    <mergeCell ref="O38:P38"/>
    <mergeCell ref="Q38:R38"/>
    <mergeCell ref="AA37:AB37"/>
    <mergeCell ref="O37:P37"/>
    <mergeCell ref="Q37:R37"/>
    <mergeCell ref="S36:T36"/>
    <mergeCell ref="O78:P78"/>
    <mergeCell ref="B70:AB70"/>
    <mergeCell ref="U39:V39"/>
    <mergeCell ref="W39:X39"/>
    <mergeCell ref="Y39:Z39"/>
    <mergeCell ref="AA39:AB39"/>
    <mergeCell ref="I39:J39"/>
    <mergeCell ref="K39:L39"/>
    <mergeCell ref="M39:N39"/>
    <mergeCell ref="O39:P39"/>
    <mergeCell ref="Q39:R39"/>
    <mergeCell ref="S40:T40"/>
    <mergeCell ref="U40:V40"/>
    <mergeCell ref="W40:X40"/>
    <mergeCell ref="Y40:Z40"/>
    <mergeCell ref="AA40:AB40"/>
    <mergeCell ref="M77:N77"/>
    <mergeCell ref="K77:L77"/>
    <mergeCell ref="W77:X77"/>
    <mergeCell ref="U77:V77"/>
    <mergeCell ref="G5:L5"/>
    <mergeCell ref="A94:A96"/>
    <mergeCell ref="B94:B96"/>
    <mergeCell ref="C94:D94"/>
    <mergeCell ref="C95:C96"/>
    <mergeCell ref="D95:D96"/>
    <mergeCell ref="E94:F94"/>
    <mergeCell ref="G94:H94"/>
    <mergeCell ref="I94:J94"/>
    <mergeCell ref="K94:L94"/>
    <mergeCell ref="E54:F54"/>
    <mergeCell ref="G54:H54"/>
    <mergeCell ref="I54:J54"/>
    <mergeCell ref="K54:L54"/>
    <mergeCell ref="C16:D16"/>
    <mergeCell ref="E55:F55"/>
    <mergeCell ref="G55:H55"/>
    <mergeCell ref="I55:J55"/>
    <mergeCell ref="K55:L55"/>
    <mergeCell ref="G16:H16"/>
    <mergeCell ref="I16:J16"/>
    <mergeCell ref="G17:H17"/>
    <mergeCell ref="I17:J17"/>
    <mergeCell ref="K78:L78"/>
    <mergeCell ref="G6:L12"/>
    <mergeCell ref="M94:N94"/>
    <mergeCell ref="O94:P94"/>
    <mergeCell ref="Q94:R94"/>
    <mergeCell ref="S94:T94"/>
    <mergeCell ref="Y54:Z54"/>
    <mergeCell ref="U54:V54"/>
    <mergeCell ref="W54:X54"/>
    <mergeCell ref="M54:N54"/>
    <mergeCell ref="A69:AB69"/>
    <mergeCell ref="A71:B71"/>
    <mergeCell ref="E71:F71"/>
    <mergeCell ref="G71:H71"/>
    <mergeCell ref="I71:J71"/>
    <mergeCell ref="K71:L71"/>
    <mergeCell ref="W94:X94"/>
    <mergeCell ref="U94:V94"/>
    <mergeCell ref="AA54:AB54"/>
    <mergeCell ref="M55:N55"/>
    <mergeCell ref="O55:P55"/>
    <mergeCell ref="Q55:R55"/>
    <mergeCell ref="Y79:Z79"/>
    <mergeCell ref="AA79:AB79"/>
    <mergeCell ref="E80:F80"/>
    <mergeCell ref="W95:X95"/>
    <mergeCell ref="Y95:Z95"/>
    <mergeCell ref="AA95:AB95"/>
    <mergeCell ref="Y94:Z94"/>
    <mergeCell ref="O80:P80"/>
    <mergeCell ref="Q80:R80"/>
    <mergeCell ref="S80:T80"/>
    <mergeCell ref="U80:V80"/>
    <mergeCell ref="W80:X80"/>
    <mergeCell ref="Y80:Z80"/>
    <mergeCell ref="AA80:AB80"/>
    <mergeCell ref="AA82:AB82"/>
    <mergeCell ref="W81:X81"/>
    <mergeCell ref="Y81:Z81"/>
    <mergeCell ref="AA81:AB81"/>
    <mergeCell ref="W83:X83"/>
    <mergeCell ref="Y83:Z83"/>
    <mergeCell ref="AA83:AB83"/>
    <mergeCell ref="W82:X82"/>
    <mergeCell ref="Y82:Z82"/>
    <mergeCell ref="AA84:AB84"/>
    <mergeCell ref="O85:P85"/>
    <mergeCell ref="Q85:R85"/>
    <mergeCell ref="AA85:AB85"/>
    <mergeCell ref="E95:F95"/>
    <mergeCell ref="G95:H95"/>
    <mergeCell ref="I95:J95"/>
    <mergeCell ref="K95:L95"/>
    <mergeCell ref="M95:N95"/>
    <mergeCell ref="O95:P95"/>
    <mergeCell ref="Q95:R95"/>
    <mergeCell ref="S95:T95"/>
    <mergeCell ref="U95:V95"/>
    <mergeCell ref="S77:T77"/>
    <mergeCell ref="Q77:R77"/>
    <mergeCell ref="O77:P77"/>
    <mergeCell ref="I78:J78"/>
    <mergeCell ref="G78:H78"/>
    <mergeCell ref="E78:F78"/>
    <mergeCell ref="AA94:AB94"/>
    <mergeCell ref="O79:P79"/>
    <mergeCell ref="Q79:R79"/>
    <mergeCell ref="S79:T79"/>
    <mergeCell ref="U79:V79"/>
    <mergeCell ref="W79:X79"/>
    <mergeCell ref="M81:N81"/>
    <mergeCell ref="M83:N83"/>
    <mergeCell ref="M85:N85"/>
    <mergeCell ref="O84:P84"/>
    <mergeCell ref="Q84:R84"/>
    <mergeCell ref="S84:T84"/>
    <mergeCell ref="U84:V84"/>
    <mergeCell ref="W84:X84"/>
    <mergeCell ref="Y84:Z84"/>
    <mergeCell ref="Q86:R86"/>
    <mergeCell ref="S86:T86"/>
    <mergeCell ref="U86:V86"/>
    <mergeCell ref="M76:N76"/>
    <mergeCell ref="K76:L76"/>
    <mergeCell ref="I76:J76"/>
    <mergeCell ref="G76:H76"/>
    <mergeCell ref="E76:F76"/>
    <mergeCell ref="AA78:AB78"/>
    <mergeCell ref="Y78:Z78"/>
    <mergeCell ref="W78:X78"/>
    <mergeCell ref="U78:V78"/>
    <mergeCell ref="S78:T78"/>
    <mergeCell ref="Q78:R78"/>
    <mergeCell ref="M78:N78"/>
    <mergeCell ref="AA77:AB77"/>
    <mergeCell ref="Y77:Z77"/>
    <mergeCell ref="AA76:AB76"/>
    <mergeCell ref="Y76:Z76"/>
    <mergeCell ref="W76:X76"/>
    <mergeCell ref="U76:V76"/>
    <mergeCell ref="S76:T76"/>
    <mergeCell ref="Q76:R76"/>
    <mergeCell ref="O76:P76"/>
    <mergeCell ref="I77:J77"/>
    <mergeCell ref="G77:H77"/>
    <mergeCell ref="E77:F77"/>
  </mergeCells>
  <pageMargins left="0.25" right="0.25" top="0.75" bottom="0.75" header="0.3" footer="0.3"/>
  <pageSetup paperSize="9" orientation="portrait" r:id="rId1"/>
  <ignoredErrors>
    <ignoredError sqref="C28:C29 C107"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85"/>
  <sheetViews>
    <sheetView zoomScale="60" zoomScaleNormal="60" workbookViewId="0">
      <pane ySplit="1" topLeftCell="A24" activePane="bottomLeft" state="frozen"/>
      <selection pane="bottomLeft" activeCell="AB61" sqref="AB61"/>
    </sheetView>
  </sheetViews>
  <sheetFormatPr defaultColWidth="11.42578125" defaultRowHeight="15" x14ac:dyDescent="0.25"/>
  <cols>
    <col min="1" max="1" width="28.28515625" style="1" bestFit="1" customWidth="1"/>
    <col min="2" max="2" width="36.140625" style="67" customWidth="1"/>
    <col min="3" max="3" width="25.140625" style="1" customWidth="1"/>
    <col min="4" max="4" width="47.28515625" style="1" customWidth="1"/>
    <col min="5" max="5" width="33.42578125" style="1" customWidth="1"/>
    <col min="6" max="6" width="15.7109375" style="1" customWidth="1"/>
    <col min="7" max="7" width="14.5703125" style="1" customWidth="1"/>
    <col min="8" max="8" width="15.85546875" style="1" customWidth="1"/>
    <col min="9" max="9" width="17.42578125" style="1" customWidth="1"/>
    <col min="10" max="10" width="16.5703125" style="1" customWidth="1"/>
    <col min="11" max="11" width="18" style="1" customWidth="1"/>
    <col min="12" max="12" width="15.5703125" style="1" customWidth="1"/>
    <col min="13" max="13" width="16.85546875" style="1" customWidth="1"/>
    <col min="14" max="14" width="15.42578125" style="1" customWidth="1"/>
    <col min="15" max="15" width="15.5703125" style="1" customWidth="1"/>
    <col min="16" max="16" width="13.42578125" style="1" customWidth="1"/>
    <col min="17" max="17" width="16.140625" style="1" customWidth="1"/>
    <col min="18" max="18" width="14" style="1" customWidth="1"/>
    <col min="19" max="19" width="16" style="1" customWidth="1"/>
    <col min="20" max="20" width="17.140625" style="1" customWidth="1"/>
    <col min="21" max="21" width="15.140625" style="1" customWidth="1"/>
    <col min="22" max="22" width="14.140625" style="1" customWidth="1"/>
    <col min="23" max="23" width="14.28515625" style="1" customWidth="1"/>
    <col min="24" max="25" width="14.7109375" style="1" customWidth="1"/>
    <col min="26" max="26" width="14.28515625" style="1" customWidth="1"/>
    <col min="27" max="16384" width="11.42578125" style="1"/>
  </cols>
  <sheetData>
    <row r="1" spans="1:14" s="415" customFormat="1" ht="58.5" customHeight="1" thickTop="1" thickBot="1" x14ac:dyDescent="0.3">
      <c r="A1" s="413"/>
      <c r="B1" s="417"/>
      <c r="C1" s="414" t="s">
        <v>69</v>
      </c>
      <c r="E1" s="414"/>
    </row>
    <row r="2" spans="1:14" ht="16.5" thickTop="1" thickBot="1" x14ac:dyDescent="0.3"/>
    <row r="3" spans="1:14" ht="27" thickBot="1" x14ac:dyDescent="0.45">
      <c r="A3" s="793" t="s">
        <v>227</v>
      </c>
      <c r="B3" s="794"/>
      <c r="C3" s="794"/>
      <c r="D3" s="794"/>
      <c r="E3" s="795"/>
    </row>
    <row r="4" spans="1:14" ht="39.75" customHeight="1" thickBot="1" x14ac:dyDescent="0.3">
      <c r="A4" s="909" t="s">
        <v>275</v>
      </c>
      <c r="B4" s="910"/>
      <c r="C4" s="910"/>
      <c r="D4" s="910"/>
      <c r="E4" s="911"/>
    </row>
    <row r="5" spans="1:14" ht="15.75" thickBot="1" x14ac:dyDescent="0.3"/>
    <row r="6" spans="1:14" ht="32.25" customHeight="1" thickBot="1" x14ac:dyDescent="0.45">
      <c r="A6" s="903" t="s">
        <v>93</v>
      </c>
      <c r="B6" s="904"/>
      <c r="C6" s="905"/>
      <c r="D6" s="83"/>
      <c r="E6" s="83"/>
    </row>
    <row r="7" spans="1:14" x14ac:dyDescent="0.25">
      <c r="A7" s="70" t="s">
        <v>74</v>
      </c>
      <c r="B7" s="71">
        <v>52</v>
      </c>
      <c r="C7" s="63" t="s">
        <v>76</v>
      </c>
    </row>
    <row r="8" spans="1:14" ht="30" x14ac:dyDescent="0.25">
      <c r="A8" s="70" t="s">
        <v>78</v>
      </c>
      <c r="B8" s="71">
        <v>2</v>
      </c>
      <c r="C8" s="63" t="s">
        <v>76</v>
      </c>
      <c r="D8" s="1" t="s">
        <v>85</v>
      </c>
    </row>
    <row r="9" spans="1:14" x14ac:dyDescent="0.25">
      <c r="A9" s="70" t="s">
        <v>75</v>
      </c>
      <c r="B9" s="71">
        <v>14</v>
      </c>
      <c r="C9" s="63" t="s">
        <v>77</v>
      </c>
    </row>
    <row r="10" spans="1:14" x14ac:dyDescent="0.25">
      <c r="A10" s="70" t="s">
        <v>86</v>
      </c>
      <c r="B10" s="71">
        <f>(B7-B8)*5 -B9</f>
        <v>236</v>
      </c>
      <c r="C10" s="63" t="s">
        <v>77</v>
      </c>
    </row>
    <row r="11" spans="1:14" x14ac:dyDescent="0.25">
      <c r="A11" s="70" t="s">
        <v>72</v>
      </c>
      <c r="B11" s="71">
        <v>8</v>
      </c>
      <c r="C11" s="63" t="s">
        <v>73</v>
      </c>
    </row>
    <row r="12" spans="1:14" ht="30.75" thickBot="1" x14ac:dyDescent="0.3">
      <c r="A12" s="84" t="s">
        <v>82</v>
      </c>
      <c r="B12" s="85">
        <f>B10*B11</f>
        <v>1888</v>
      </c>
      <c r="C12" s="86" t="s">
        <v>73</v>
      </c>
    </row>
    <row r="13" spans="1:14" ht="49.5" customHeight="1" thickBot="1" x14ac:dyDescent="0.3">
      <c r="A13" s="914" t="s">
        <v>79</v>
      </c>
      <c r="B13" s="87">
        <v>1800</v>
      </c>
      <c r="C13" s="106" t="s">
        <v>83</v>
      </c>
    </row>
    <row r="14" spans="1:14" ht="69" customHeight="1" thickBot="1" x14ac:dyDescent="0.3">
      <c r="A14" s="915"/>
      <c r="B14" s="88">
        <f>B13/12</f>
        <v>150</v>
      </c>
      <c r="C14" s="107" t="s">
        <v>84</v>
      </c>
    </row>
    <row r="15" spans="1:14" x14ac:dyDescent="0.25">
      <c r="A15" s="76"/>
      <c r="B15" s="80"/>
      <c r="C15" s="77"/>
    </row>
    <row r="16" spans="1:14" ht="3.75" customHeight="1" x14ac:dyDescent="0.25">
      <c r="A16" s="78"/>
      <c r="B16" s="81"/>
      <c r="C16" s="79"/>
      <c r="D16" s="57"/>
      <c r="E16" s="57"/>
      <c r="F16" s="57"/>
      <c r="G16" s="57"/>
      <c r="H16" s="57"/>
      <c r="I16" s="57"/>
      <c r="J16" s="57"/>
      <c r="K16" s="57"/>
      <c r="L16" s="57"/>
      <c r="M16" s="57"/>
      <c r="N16" s="57"/>
    </row>
    <row r="17" spans="1:14" ht="15.75" thickBot="1" x14ac:dyDescent="0.3">
      <c r="C17" s="66"/>
      <c r="D17" s="66"/>
      <c r="E17" s="66"/>
      <c r="F17" s="66"/>
    </row>
    <row r="18" spans="1:14" ht="27.75" customHeight="1" thickBot="1" x14ac:dyDescent="0.45">
      <c r="A18" s="793" t="s">
        <v>276</v>
      </c>
      <c r="B18" s="794"/>
      <c r="C18" s="794"/>
      <c r="D18" s="794"/>
      <c r="E18" s="795"/>
      <c r="F18" s="68"/>
    </row>
    <row r="19" spans="1:14" ht="67.5" customHeight="1" thickBot="1" x14ac:dyDescent="0.3">
      <c r="A19" s="320" t="s">
        <v>71</v>
      </c>
      <c r="B19" s="321" t="s">
        <v>81</v>
      </c>
      <c r="C19" s="321" t="s">
        <v>80</v>
      </c>
      <c r="D19" s="321" t="s">
        <v>88</v>
      </c>
      <c r="E19" s="322" t="s">
        <v>89</v>
      </c>
      <c r="F19" s="68"/>
    </row>
    <row r="20" spans="1:14" ht="35.25" customHeight="1" x14ac:dyDescent="0.25">
      <c r="A20" s="354">
        <v>1</v>
      </c>
      <c r="B20" s="89" t="s">
        <v>278</v>
      </c>
      <c r="C20" s="90">
        <v>1</v>
      </c>
      <c r="D20" s="90">
        <v>20</v>
      </c>
      <c r="E20" s="96">
        <f>D20/C20</f>
        <v>20</v>
      </c>
    </row>
    <row r="21" spans="1:14" x14ac:dyDescent="0.25">
      <c r="A21" s="355">
        <v>2</v>
      </c>
      <c r="B21" s="91" t="s">
        <v>279</v>
      </c>
      <c r="C21" s="92">
        <v>1</v>
      </c>
      <c r="D21" s="92">
        <v>30</v>
      </c>
      <c r="E21" s="97">
        <f t="shared" ref="E21:E24" si="0">D21/C21</f>
        <v>30</v>
      </c>
    </row>
    <row r="22" spans="1:14" x14ac:dyDescent="0.25">
      <c r="A22" s="355">
        <v>3</v>
      </c>
      <c r="B22" s="91" t="s">
        <v>280</v>
      </c>
      <c r="C22" s="92">
        <v>1</v>
      </c>
      <c r="D22" s="92">
        <v>60</v>
      </c>
      <c r="E22" s="97">
        <f t="shared" si="0"/>
        <v>60</v>
      </c>
    </row>
    <row r="23" spans="1:14" x14ac:dyDescent="0.25">
      <c r="A23" s="355">
        <v>4</v>
      </c>
      <c r="B23" s="91" t="s">
        <v>281</v>
      </c>
      <c r="C23" s="92">
        <v>1</v>
      </c>
      <c r="D23" s="92">
        <v>20</v>
      </c>
      <c r="E23" s="97">
        <f t="shared" si="0"/>
        <v>20</v>
      </c>
    </row>
    <row r="24" spans="1:14" ht="15.75" thickBot="1" x14ac:dyDescent="0.3">
      <c r="A24" s="356">
        <v>5</v>
      </c>
      <c r="B24" s="93" t="s">
        <v>282</v>
      </c>
      <c r="C24" s="94">
        <v>1</v>
      </c>
      <c r="D24" s="94">
        <v>10</v>
      </c>
      <c r="E24" s="98">
        <f t="shared" si="0"/>
        <v>10</v>
      </c>
    </row>
    <row r="25" spans="1:14" ht="52.5" customHeight="1" thickBot="1" x14ac:dyDescent="0.3">
      <c r="A25" s="916" t="s">
        <v>87</v>
      </c>
      <c r="B25" s="917"/>
      <c r="C25" s="918"/>
      <c r="D25" s="95" t="s">
        <v>90</v>
      </c>
      <c r="E25" s="108">
        <f>SUM(E20:E24)</f>
        <v>140</v>
      </c>
    </row>
    <row r="26" spans="1:14" ht="69.75" customHeight="1" thickBot="1" x14ac:dyDescent="0.3">
      <c r="A26" s="919"/>
      <c r="B26" s="920"/>
      <c r="C26" s="921"/>
      <c r="D26" s="88" t="s">
        <v>91</v>
      </c>
      <c r="E26" s="382">
        <f>$B$14/E25</f>
        <v>1.0714285714285714</v>
      </c>
      <c r="F26" s="102" t="s">
        <v>92</v>
      </c>
    </row>
    <row r="27" spans="1:14" x14ac:dyDescent="0.25">
      <c r="C27" s="72"/>
      <c r="D27" s="72"/>
      <c r="E27" s="73"/>
    </row>
    <row r="28" spans="1:14" ht="4.5" customHeight="1" x14ac:dyDescent="0.25">
      <c r="A28" s="57"/>
      <c r="B28" s="82"/>
      <c r="C28" s="74"/>
      <c r="D28" s="74"/>
      <c r="E28" s="75"/>
      <c r="F28" s="57"/>
      <c r="G28" s="57"/>
      <c r="H28" s="57"/>
      <c r="I28" s="57"/>
      <c r="J28" s="57"/>
      <c r="K28" s="57"/>
      <c r="L28" s="57"/>
      <c r="M28" s="57"/>
      <c r="N28" s="57"/>
    </row>
    <row r="29" spans="1:14" ht="15.75" thickBot="1" x14ac:dyDescent="0.3"/>
    <row r="30" spans="1:14" ht="27" thickBot="1" x14ac:dyDescent="0.45">
      <c r="A30" s="793" t="s">
        <v>277</v>
      </c>
      <c r="B30" s="794"/>
      <c r="C30" s="794"/>
      <c r="D30" s="794"/>
      <c r="E30" s="795"/>
    </row>
    <row r="31" spans="1:14" ht="62.25" customHeight="1" thickBot="1" x14ac:dyDescent="0.3">
      <c r="A31" s="320" t="s">
        <v>71</v>
      </c>
      <c r="B31" s="321" t="s">
        <v>81</v>
      </c>
      <c r="C31" s="321" t="s">
        <v>80</v>
      </c>
      <c r="D31" s="321" t="s">
        <v>88</v>
      </c>
      <c r="E31" s="322" t="s">
        <v>89</v>
      </c>
    </row>
    <row r="32" spans="1:14" ht="38.25" customHeight="1" x14ac:dyDescent="0.25">
      <c r="A32" s="99">
        <v>1</v>
      </c>
      <c r="B32" s="89" t="s">
        <v>284</v>
      </c>
      <c r="C32" s="90">
        <v>1</v>
      </c>
      <c r="D32" s="90">
        <v>10</v>
      </c>
      <c r="E32" s="96">
        <f>D32/C32</f>
        <v>10</v>
      </c>
    </row>
    <row r="33" spans="1:26" x14ac:dyDescent="0.25">
      <c r="A33" s="100">
        <v>2</v>
      </c>
      <c r="B33" s="91" t="s">
        <v>285</v>
      </c>
      <c r="C33" s="92">
        <v>1</v>
      </c>
      <c r="D33" s="92">
        <v>10</v>
      </c>
      <c r="E33" s="97">
        <f>D33/C33</f>
        <v>10</v>
      </c>
    </row>
    <row r="34" spans="1:26" x14ac:dyDescent="0.25">
      <c r="A34" s="100">
        <v>3</v>
      </c>
      <c r="B34" s="91" t="s">
        <v>280</v>
      </c>
      <c r="C34" s="92">
        <v>1</v>
      </c>
      <c r="D34" s="92">
        <v>25</v>
      </c>
      <c r="E34" s="97">
        <f>D34/C34</f>
        <v>25</v>
      </c>
    </row>
    <row r="35" spans="1:26" x14ac:dyDescent="0.25">
      <c r="A35" s="100">
        <v>4</v>
      </c>
      <c r="B35" s="381" t="s">
        <v>281</v>
      </c>
      <c r="C35" s="92">
        <v>1</v>
      </c>
      <c r="D35" s="92">
        <v>10</v>
      </c>
      <c r="E35" s="97">
        <f>D35/C35</f>
        <v>10</v>
      </c>
    </row>
    <row r="36" spans="1:26" ht="15.75" thickBot="1" x14ac:dyDescent="0.3">
      <c r="A36" s="101">
        <v>5</v>
      </c>
      <c r="B36" s="93" t="s">
        <v>282</v>
      </c>
      <c r="C36" s="94">
        <v>1</v>
      </c>
      <c r="D36" s="94">
        <v>10</v>
      </c>
      <c r="E36" s="98">
        <f>D36/C36</f>
        <v>10</v>
      </c>
    </row>
    <row r="37" spans="1:26" ht="57" customHeight="1" thickBot="1" x14ac:dyDescent="0.3">
      <c r="A37" s="922"/>
      <c r="B37" s="923"/>
      <c r="C37" s="924"/>
      <c r="D37" s="95" t="s">
        <v>90</v>
      </c>
      <c r="E37" s="109">
        <f>SUM(E32:E36)</f>
        <v>65</v>
      </c>
    </row>
    <row r="38" spans="1:26" ht="45" customHeight="1" thickBot="1" x14ac:dyDescent="0.3">
      <c r="A38" s="925"/>
      <c r="B38" s="926"/>
      <c r="C38" s="927"/>
      <c r="D38" s="88" t="s">
        <v>91</v>
      </c>
      <c r="E38" s="382">
        <f>$B$14/E37</f>
        <v>2.3076923076923075</v>
      </c>
      <c r="F38" s="102" t="s">
        <v>92</v>
      </c>
    </row>
    <row r="39" spans="1:26" ht="39.75" customHeight="1" x14ac:dyDescent="0.25"/>
    <row r="40" spans="1:26" ht="4.5" customHeight="1" x14ac:dyDescent="0.25">
      <c r="A40" s="57"/>
      <c r="B40" s="82"/>
      <c r="C40" s="57"/>
      <c r="D40" s="57"/>
      <c r="E40" s="57"/>
      <c r="F40" s="57"/>
      <c r="G40" s="57"/>
      <c r="H40" s="57"/>
      <c r="I40" s="57"/>
      <c r="J40" s="57"/>
      <c r="K40" s="57"/>
      <c r="L40" s="57"/>
      <c r="M40" s="57"/>
      <c r="N40" s="57"/>
    </row>
    <row r="41" spans="1:26" ht="46.5" customHeight="1" thickBot="1" x14ac:dyDescent="0.3"/>
    <row r="42" spans="1:26" ht="39.75" customHeight="1" thickBot="1" x14ac:dyDescent="0.3">
      <c r="A42" s="903" t="s">
        <v>97</v>
      </c>
      <c r="B42" s="904"/>
      <c r="C42" s="904"/>
      <c r="D42" s="904"/>
      <c r="E42" s="905"/>
    </row>
    <row r="43" spans="1:26" ht="21" customHeight="1" x14ac:dyDescent="0.25">
      <c r="A43" s="908" t="s">
        <v>310</v>
      </c>
      <c r="B43" s="908"/>
      <c r="C43" s="907" t="s">
        <v>38</v>
      </c>
      <c r="D43" s="907"/>
      <c r="E43" s="907" t="s">
        <v>39</v>
      </c>
      <c r="F43" s="907"/>
      <c r="G43" s="907" t="s">
        <v>40</v>
      </c>
      <c r="H43" s="907"/>
      <c r="I43" s="907" t="s">
        <v>41</v>
      </c>
      <c r="J43" s="907"/>
      <c r="K43" s="907" t="s">
        <v>42</v>
      </c>
      <c r="L43" s="907"/>
      <c r="M43" s="907" t="s">
        <v>43</v>
      </c>
      <c r="N43" s="907"/>
      <c r="O43" s="907" t="s">
        <v>44</v>
      </c>
      <c r="P43" s="907"/>
      <c r="Q43" s="907" t="s">
        <v>45</v>
      </c>
      <c r="R43" s="907"/>
      <c r="S43" s="907" t="s">
        <v>46</v>
      </c>
      <c r="T43" s="907"/>
      <c r="U43" s="907" t="s">
        <v>47</v>
      </c>
      <c r="V43" s="907"/>
      <c r="W43" s="907" t="s">
        <v>48</v>
      </c>
      <c r="X43" s="907"/>
      <c r="Y43" s="907" t="s">
        <v>49</v>
      </c>
      <c r="Z43" s="907"/>
    </row>
    <row r="44" spans="1:26" ht="52.5" customHeight="1" x14ac:dyDescent="0.25">
      <c r="A44" s="908"/>
      <c r="B44" s="908"/>
      <c r="C44" s="323" t="s">
        <v>94</v>
      </c>
      <c r="D44" s="323" t="s">
        <v>96</v>
      </c>
      <c r="E44" s="323" t="s">
        <v>94</v>
      </c>
      <c r="F44" s="323" t="s">
        <v>95</v>
      </c>
      <c r="G44" s="323" t="s">
        <v>94</v>
      </c>
      <c r="H44" s="323" t="s">
        <v>96</v>
      </c>
      <c r="I44" s="323" t="s">
        <v>94</v>
      </c>
      <c r="J44" s="323" t="s">
        <v>95</v>
      </c>
      <c r="K44" s="323" t="s">
        <v>94</v>
      </c>
      <c r="L44" s="323" t="s">
        <v>96</v>
      </c>
      <c r="M44" s="323" t="s">
        <v>94</v>
      </c>
      <c r="N44" s="323" t="s">
        <v>96</v>
      </c>
      <c r="O44" s="323" t="s">
        <v>94</v>
      </c>
      <c r="P44" s="323" t="s">
        <v>96</v>
      </c>
      <c r="Q44" s="323" t="s">
        <v>94</v>
      </c>
      <c r="R44" s="323" t="s">
        <v>96</v>
      </c>
      <c r="S44" s="323" t="s">
        <v>94</v>
      </c>
      <c r="T44" s="323" t="s">
        <v>96</v>
      </c>
      <c r="U44" s="323" t="s">
        <v>94</v>
      </c>
      <c r="V44" s="323" t="s">
        <v>96</v>
      </c>
      <c r="W44" s="323" t="s">
        <v>94</v>
      </c>
      <c r="X44" s="323" t="s">
        <v>96</v>
      </c>
      <c r="Y44" s="323" t="s">
        <v>94</v>
      </c>
      <c r="Z44" s="323" t="s">
        <v>96</v>
      </c>
    </row>
    <row r="45" spans="1:26" ht="18.75" customHeight="1" x14ac:dyDescent="0.25">
      <c r="A45" s="912" t="s">
        <v>283</v>
      </c>
      <c r="B45" s="913"/>
      <c r="C45" s="63">
        <f>'2️⃣ Proy. ventas'!E28</f>
        <v>1</v>
      </c>
      <c r="D45" s="63">
        <f>C45*$E$25</f>
        <v>140</v>
      </c>
      <c r="E45" s="104">
        <f>'2️⃣ Proy. ventas'!G28</f>
        <v>0</v>
      </c>
      <c r="F45" s="63">
        <f>E45*$E$25</f>
        <v>0</v>
      </c>
      <c r="G45" s="104">
        <f>'2️⃣ Proy. ventas'!I28</f>
        <v>1</v>
      </c>
      <c r="H45" s="63">
        <f>G45*$E$25</f>
        <v>140</v>
      </c>
      <c r="I45" s="104">
        <f>'2️⃣ Proy. ventas'!K28</f>
        <v>0</v>
      </c>
      <c r="J45" s="63">
        <f>I45*$E$25</f>
        <v>0</v>
      </c>
      <c r="K45" s="104">
        <f>'2️⃣ Proy. ventas'!M28</f>
        <v>1</v>
      </c>
      <c r="L45" s="63">
        <f>K45*$E$25</f>
        <v>140</v>
      </c>
      <c r="M45" s="104">
        <f>'2️⃣ Proy. ventas'!O28</f>
        <v>0</v>
      </c>
      <c r="N45" s="63">
        <f>M45*$E$25</f>
        <v>0</v>
      </c>
      <c r="O45" s="104">
        <f>'2️⃣ Proy. ventas'!Q28</f>
        <v>1</v>
      </c>
      <c r="P45" s="63">
        <f>O45*$E$25</f>
        <v>140</v>
      </c>
      <c r="Q45" s="104">
        <f>'2️⃣ Proy. ventas'!S28</f>
        <v>1</v>
      </c>
      <c r="R45" s="63">
        <f>Q45*$E$25</f>
        <v>140</v>
      </c>
      <c r="S45" s="104">
        <f>'2️⃣ Proy. ventas'!U28</f>
        <v>0</v>
      </c>
      <c r="T45" s="63">
        <f>S45*$E$25</f>
        <v>0</v>
      </c>
      <c r="U45" s="104">
        <f>'2️⃣ Proy. ventas'!W28</f>
        <v>1</v>
      </c>
      <c r="V45" s="63">
        <f>U45*$E$25</f>
        <v>140</v>
      </c>
      <c r="W45" s="104">
        <f>'2️⃣ Proy. ventas'!Y28</f>
        <v>0</v>
      </c>
      <c r="X45" s="63">
        <f>W45*$E$25</f>
        <v>0</v>
      </c>
      <c r="Y45" s="104">
        <f>'2️⃣ Proy. ventas'!AA28</f>
        <v>1</v>
      </c>
      <c r="Z45" s="63">
        <f>Y45*$E$25</f>
        <v>140</v>
      </c>
    </row>
    <row r="46" spans="1:26" ht="18.75" customHeight="1" x14ac:dyDescent="0.25">
      <c r="A46" s="912" t="s">
        <v>233</v>
      </c>
      <c r="B46" s="913"/>
      <c r="C46" s="63">
        <f>'2️⃣ Proy. ventas'!E29</f>
        <v>1</v>
      </c>
      <c r="D46" s="63">
        <f>C46*$E$37</f>
        <v>65</v>
      </c>
      <c r="E46" s="104">
        <f>'2️⃣ Proy. ventas'!G29</f>
        <v>1</v>
      </c>
      <c r="F46" s="63">
        <f>E46*$E$37</f>
        <v>65</v>
      </c>
      <c r="G46" s="104">
        <f>'2️⃣ Proy. ventas'!I29</f>
        <v>2</v>
      </c>
      <c r="H46" s="63">
        <f>G46*$E$37</f>
        <v>130</v>
      </c>
      <c r="I46" s="104">
        <f>'2️⃣ Proy. ventas'!K29</f>
        <v>2</v>
      </c>
      <c r="J46" s="63">
        <f>I46*$E$37</f>
        <v>130</v>
      </c>
      <c r="K46" s="104">
        <f>'2️⃣ Proy. ventas'!M29</f>
        <v>3</v>
      </c>
      <c r="L46" s="63">
        <f>K46*$E$37</f>
        <v>195</v>
      </c>
      <c r="M46" s="104">
        <f>'2️⃣ Proy. ventas'!O29</f>
        <v>3</v>
      </c>
      <c r="N46" s="63">
        <f>M46*$E$37</f>
        <v>195</v>
      </c>
      <c r="O46" s="104">
        <f>'2️⃣ Proy. ventas'!Q29</f>
        <v>4</v>
      </c>
      <c r="P46" s="63">
        <f>O46*$E$37</f>
        <v>260</v>
      </c>
      <c r="Q46" s="104">
        <f>'2️⃣ Proy. ventas'!S29</f>
        <v>5</v>
      </c>
      <c r="R46" s="63">
        <f>Q46*$E$37</f>
        <v>325</v>
      </c>
      <c r="S46" s="104">
        <f>'2️⃣ Proy. ventas'!U29</f>
        <v>5</v>
      </c>
      <c r="T46" s="63">
        <f>S46*$E$37</f>
        <v>325</v>
      </c>
      <c r="U46" s="104">
        <f>'2️⃣ Proy. ventas'!W29</f>
        <v>6</v>
      </c>
      <c r="V46" s="63">
        <f>U46*$E$37</f>
        <v>390</v>
      </c>
      <c r="W46" s="104">
        <f>'2️⃣ Proy. ventas'!Y29</f>
        <v>6</v>
      </c>
      <c r="X46" s="63">
        <f>W46*$E$37</f>
        <v>390</v>
      </c>
      <c r="Y46" s="104">
        <f>'2️⃣ Proy. ventas'!AA29</f>
        <v>7</v>
      </c>
      <c r="Z46" s="63">
        <f>Y46*$E$37</f>
        <v>455</v>
      </c>
    </row>
    <row r="47" spans="1:26" ht="18.75" customHeight="1" x14ac:dyDescent="0.25">
      <c r="A47" s="902" t="s">
        <v>51</v>
      </c>
      <c r="B47" s="902"/>
      <c r="C47" s="104">
        <f t="shared" ref="C47:Z47" si="1">SUM(C45:C46)</f>
        <v>2</v>
      </c>
      <c r="D47" s="105">
        <f t="shared" si="1"/>
        <v>205</v>
      </c>
      <c r="E47" s="104">
        <f t="shared" si="1"/>
        <v>1</v>
      </c>
      <c r="F47" s="105">
        <f t="shared" si="1"/>
        <v>65</v>
      </c>
      <c r="G47" s="104">
        <f t="shared" si="1"/>
        <v>3</v>
      </c>
      <c r="H47" s="105">
        <f t="shared" si="1"/>
        <v>270</v>
      </c>
      <c r="I47" s="104">
        <f t="shared" si="1"/>
        <v>2</v>
      </c>
      <c r="J47" s="105">
        <f t="shared" si="1"/>
        <v>130</v>
      </c>
      <c r="K47" s="104">
        <f t="shared" si="1"/>
        <v>4</v>
      </c>
      <c r="L47" s="105">
        <f t="shared" si="1"/>
        <v>335</v>
      </c>
      <c r="M47" s="104">
        <f t="shared" si="1"/>
        <v>3</v>
      </c>
      <c r="N47" s="105">
        <f t="shared" si="1"/>
        <v>195</v>
      </c>
      <c r="O47" s="104">
        <f t="shared" si="1"/>
        <v>5</v>
      </c>
      <c r="P47" s="105">
        <f t="shared" si="1"/>
        <v>400</v>
      </c>
      <c r="Q47" s="104">
        <f t="shared" si="1"/>
        <v>6</v>
      </c>
      <c r="R47" s="105">
        <f t="shared" si="1"/>
        <v>465</v>
      </c>
      <c r="S47" s="104">
        <f t="shared" si="1"/>
        <v>5</v>
      </c>
      <c r="T47" s="105">
        <f t="shared" si="1"/>
        <v>325</v>
      </c>
      <c r="U47" s="104">
        <f t="shared" si="1"/>
        <v>7</v>
      </c>
      <c r="V47" s="105">
        <f t="shared" si="1"/>
        <v>530</v>
      </c>
      <c r="W47" s="104">
        <f t="shared" si="1"/>
        <v>6</v>
      </c>
      <c r="X47" s="105">
        <f t="shared" si="1"/>
        <v>390</v>
      </c>
      <c r="Y47" s="104">
        <f t="shared" si="1"/>
        <v>8</v>
      </c>
      <c r="Z47" s="105">
        <f t="shared" si="1"/>
        <v>595</v>
      </c>
    </row>
    <row r="48" spans="1:26" ht="9.75" customHeight="1" x14ac:dyDescent="0.25"/>
    <row r="49" spans="1:26" ht="9.75" customHeight="1" x14ac:dyDescent="0.25"/>
    <row r="50" spans="1:26" ht="21" customHeight="1" x14ac:dyDescent="0.25">
      <c r="A50" s="908" t="s">
        <v>311</v>
      </c>
      <c r="B50" s="908"/>
      <c r="C50" s="907" t="s">
        <v>38</v>
      </c>
      <c r="D50" s="907"/>
      <c r="E50" s="907" t="s">
        <v>39</v>
      </c>
      <c r="F50" s="907"/>
      <c r="G50" s="907" t="s">
        <v>40</v>
      </c>
      <c r="H50" s="907"/>
      <c r="I50" s="907" t="s">
        <v>41</v>
      </c>
      <c r="J50" s="907"/>
      <c r="K50" s="907" t="s">
        <v>42</v>
      </c>
      <c r="L50" s="907"/>
      <c r="M50" s="907" t="s">
        <v>43</v>
      </c>
      <c r="N50" s="907"/>
      <c r="O50" s="907" t="s">
        <v>44</v>
      </c>
      <c r="P50" s="907"/>
      <c r="Q50" s="907" t="s">
        <v>45</v>
      </c>
      <c r="R50" s="907"/>
      <c r="S50" s="907" t="s">
        <v>46</v>
      </c>
      <c r="T50" s="907"/>
      <c r="U50" s="907" t="s">
        <v>47</v>
      </c>
      <c r="V50" s="907"/>
      <c r="W50" s="907" t="s">
        <v>48</v>
      </c>
      <c r="X50" s="907"/>
      <c r="Y50" s="907" t="s">
        <v>49</v>
      </c>
      <c r="Z50" s="907"/>
    </row>
    <row r="51" spans="1:26" ht="52.5" customHeight="1" x14ac:dyDescent="0.25">
      <c r="A51" s="908"/>
      <c r="B51" s="908"/>
      <c r="C51" s="323" t="s">
        <v>94</v>
      </c>
      <c r="D51" s="323" t="s">
        <v>96</v>
      </c>
      <c r="E51" s="323" t="s">
        <v>94</v>
      </c>
      <c r="F51" s="323" t="s">
        <v>95</v>
      </c>
      <c r="G51" s="323" t="s">
        <v>94</v>
      </c>
      <c r="H51" s="323" t="s">
        <v>96</v>
      </c>
      <c r="I51" s="323" t="s">
        <v>94</v>
      </c>
      <c r="J51" s="323" t="s">
        <v>95</v>
      </c>
      <c r="K51" s="323" t="s">
        <v>94</v>
      </c>
      <c r="L51" s="323" t="s">
        <v>96</v>
      </c>
      <c r="M51" s="323" t="s">
        <v>94</v>
      </c>
      <c r="N51" s="323" t="s">
        <v>96</v>
      </c>
      <c r="O51" s="323" t="s">
        <v>94</v>
      </c>
      <c r="P51" s="323" t="s">
        <v>96</v>
      </c>
      <c r="Q51" s="323" t="s">
        <v>94</v>
      </c>
      <c r="R51" s="323" t="s">
        <v>96</v>
      </c>
      <c r="S51" s="323" t="s">
        <v>94</v>
      </c>
      <c r="T51" s="323" t="s">
        <v>96</v>
      </c>
      <c r="U51" s="323" t="s">
        <v>94</v>
      </c>
      <c r="V51" s="323" t="s">
        <v>96</v>
      </c>
      <c r="W51" s="323" t="s">
        <v>94</v>
      </c>
      <c r="X51" s="323" t="s">
        <v>96</v>
      </c>
      <c r="Y51" s="323" t="s">
        <v>94</v>
      </c>
      <c r="Z51" s="323" t="s">
        <v>96</v>
      </c>
    </row>
    <row r="52" spans="1:26" ht="18.75" customHeight="1" x14ac:dyDescent="0.25">
      <c r="A52" s="912" t="s">
        <v>283</v>
      </c>
      <c r="B52" s="913"/>
      <c r="C52" s="63">
        <f>'2️⃣ Proy. ventas'!E66</f>
        <v>1</v>
      </c>
      <c r="D52" s="63">
        <f>C52*$E$25</f>
        <v>140</v>
      </c>
      <c r="E52" s="104">
        <f>'2️⃣ Proy. ventas'!G66</f>
        <v>1</v>
      </c>
      <c r="F52" s="63">
        <f>E52*$E$25</f>
        <v>140</v>
      </c>
      <c r="G52" s="104">
        <f>'2️⃣ Proy. ventas'!I66</f>
        <v>1</v>
      </c>
      <c r="H52" s="63">
        <f>G52*$E$25</f>
        <v>140</v>
      </c>
      <c r="I52" s="104">
        <f>'2️⃣ Proy. ventas'!K66</f>
        <v>1</v>
      </c>
      <c r="J52" s="63">
        <f>I52*$E$25</f>
        <v>140</v>
      </c>
      <c r="K52" s="104">
        <f>'2️⃣ Proy. ventas'!M66</f>
        <v>1</v>
      </c>
      <c r="L52" s="63">
        <f>K52*$E$25</f>
        <v>140</v>
      </c>
      <c r="M52" s="104">
        <f>'2️⃣ Proy. ventas'!O66</f>
        <v>2</v>
      </c>
      <c r="N52" s="63">
        <f>M52*$E$25</f>
        <v>280</v>
      </c>
      <c r="O52" s="104">
        <f>'2️⃣ Proy. ventas'!Q66</f>
        <v>1</v>
      </c>
      <c r="P52" s="63">
        <f>O52*$E$25</f>
        <v>140</v>
      </c>
      <c r="Q52" s="104">
        <f>'2️⃣ Proy. ventas'!S66</f>
        <v>1</v>
      </c>
      <c r="R52" s="63">
        <f>Q52*$E$25</f>
        <v>140</v>
      </c>
      <c r="S52" s="104">
        <f>'2️⃣ Proy. ventas'!U66</f>
        <v>1</v>
      </c>
      <c r="T52" s="63">
        <f>S52*$E$25</f>
        <v>140</v>
      </c>
      <c r="U52" s="104">
        <f>'2️⃣ Proy. ventas'!W66</f>
        <v>2</v>
      </c>
      <c r="V52" s="63">
        <f>U52*$E$25</f>
        <v>280</v>
      </c>
      <c r="W52" s="104">
        <f>'2️⃣ Proy. ventas'!Y66</f>
        <v>0</v>
      </c>
      <c r="X52" s="63">
        <f>W52*$E$25</f>
        <v>0</v>
      </c>
      <c r="Y52" s="104">
        <f>'2️⃣ Proy. ventas'!AA66</f>
        <v>2</v>
      </c>
      <c r="Z52" s="63">
        <f>Y52*$E$25</f>
        <v>280</v>
      </c>
    </row>
    <row r="53" spans="1:26" ht="18.75" customHeight="1" x14ac:dyDescent="0.25">
      <c r="A53" s="912" t="s">
        <v>233</v>
      </c>
      <c r="B53" s="913"/>
      <c r="C53" s="104">
        <f>'2️⃣ Proy. ventas'!E67</f>
        <v>9</v>
      </c>
      <c r="D53" s="63">
        <f>C53*$E$37</f>
        <v>585</v>
      </c>
      <c r="E53" s="104">
        <f>'2️⃣ Proy. ventas'!G67</f>
        <v>10</v>
      </c>
      <c r="F53" s="63">
        <f>E53*$E$37</f>
        <v>650</v>
      </c>
      <c r="G53" s="104">
        <f>'2️⃣ Proy. ventas'!I67</f>
        <v>11</v>
      </c>
      <c r="H53" s="63">
        <f>G53*$E$37</f>
        <v>715</v>
      </c>
      <c r="I53" s="104">
        <f>'2️⃣ Proy. ventas'!K67</f>
        <v>12</v>
      </c>
      <c r="J53" s="63">
        <f>I53*$E$37</f>
        <v>780</v>
      </c>
      <c r="K53" s="104">
        <f>'2️⃣ Proy. ventas'!M67</f>
        <v>13</v>
      </c>
      <c r="L53" s="63">
        <f>K53*$E$37</f>
        <v>845</v>
      </c>
      <c r="M53" s="104">
        <f>'2️⃣ Proy. ventas'!O67</f>
        <v>15</v>
      </c>
      <c r="N53" s="63">
        <f>M53*$E$37</f>
        <v>975</v>
      </c>
      <c r="O53" s="104">
        <f>'2️⃣ Proy. ventas'!Q67</f>
        <v>16</v>
      </c>
      <c r="P53" s="63">
        <f>O53*$E$37</f>
        <v>1040</v>
      </c>
      <c r="Q53" s="104">
        <f>'2️⃣ Proy. ventas'!S67</f>
        <v>17</v>
      </c>
      <c r="R53" s="63">
        <f>Q53*$E$37</f>
        <v>1105</v>
      </c>
      <c r="S53" s="104">
        <f>'2️⃣ Proy. ventas'!U67</f>
        <v>18</v>
      </c>
      <c r="T53" s="63">
        <f>S53*$E$37</f>
        <v>1170</v>
      </c>
      <c r="U53" s="104">
        <f>'2️⃣ Proy. ventas'!W67</f>
        <v>21</v>
      </c>
      <c r="V53" s="63">
        <f>U53*$E$37</f>
        <v>1365</v>
      </c>
      <c r="W53" s="104">
        <f>'2️⃣ Proy. ventas'!Y67</f>
        <v>21</v>
      </c>
      <c r="X53" s="63">
        <f>W53*$E$37</f>
        <v>1365</v>
      </c>
      <c r="Y53" s="104">
        <f>'2️⃣ Proy. ventas'!AA67</f>
        <v>23</v>
      </c>
      <c r="Z53" s="63">
        <f>Y53*$E$37</f>
        <v>1495</v>
      </c>
    </row>
    <row r="54" spans="1:26" ht="18.75" customHeight="1" x14ac:dyDescent="0.25">
      <c r="A54" s="902" t="s">
        <v>51</v>
      </c>
      <c r="B54" s="902"/>
      <c r="C54" s="104">
        <f t="shared" ref="C54:Z54" si="2">SUM(C52:C53)</f>
        <v>10</v>
      </c>
      <c r="D54" s="105">
        <f t="shared" si="2"/>
        <v>725</v>
      </c>
      <c r="E54" s="104">
        <f t="shared" si="2"/>
        <v>11</v>
      </c>
      <c r="F54" s="105">
        <f t="shared" si="2"/>
        <v>790</v>
      </c>
      <c r="G54" s="104">
        <f t="shared" si="2"/>
        <v>12</v>
      </c>
      <c r="H54" s="105">
        <f t="shared" si="2"/>
        <v>855</v>
      </c>
      <c r="I54" s="104">
        <f t="shared" si="2"/>
        <v>13</v>
      </c>
      <c r="J54" s="105">
        <f t="shared" si="2"/>
        <v>920</v>
      </c>
      <c r="K54" s="104">
        <f t="shared" si="2"/>
        <v>14</v>
      </c>
      <c r="L54" s="105">
        <f t="shared" si="2"/>
        <v>985</v>
      </c>
      <c r="M54" s="104">
        <f t="shared" si="2"/>
        <v>17</v>
      </c>
      <c r="N54" s="105">
        <f t="shared" si="2"/>
        <v>1255</v>
      </c>
      <c r="O54" s="104">
        <f t="shared" si="2"/>
        <v>17</v>
      </c>
      <c r="P54" s="105">
        <f t="shared" si="2"/>
        <v>1180</v>
      </c>
      <c r="Q54" s="104">
        <f t="shared" si="2"/>
        <v>18</v>
      </c>
      <c r="R54" s="105">
        <f t="shared" si="2"/>
        <v>1245</v>
      </c>
      <c r="S54" s="104">
        <f t="shared" si="2"/>
        <v>19</v>
      </c>
      <c r="T54" s="105">
        <f t="shared" si="2"/>
        <v>1310</v>
      </c>
      <c r="U54" s="104">
        <f t="shared" si="2"/>
        <v>23</v>
      </c>
      <c r="V54" s="105">
        <f t="shared" si="2"/>
        <v>1645</v>
      </c>
      <c r="W54" s="104">
        <f t="shared" si="2"/>
        <v>21</v>
      </c>
      <c r="X54" s="105">
        <f t="shared" si="2"/>
        <v>1365</v>
      </c>
      <c r="Y54" s="104">
        <f t="shared" si="2"/>
        <v>25</v>
      </c>
      <c r="Z54" s="105">
        <f t="shared" si="2"/>
        <v>1775</v>
      </c>
    </row>
    <row r="55" spans="1:26" ht="9.75" customHeight="1" x14ac:dyDescent="0.25"/>
    <row r="56" spans="1:26" ht="9.75" customHeight="1" x14ac:dyDescent="0.25"/>
    <row r="57" spans="1:26" ht="21" customHeight="1" x14ac:dyDescent="0.25">
      <c r="A57" s="908" t="s">
        <v>312</v>
      </c>
      <c r="B57" s="908"/>
      <c r="C57" s="907" t="s">
        <v>38</v>
      </c>
      <c r="D57" s="907"/>
      <c r="E57" s="907" t="s">
        <v>39</v>
      </c>
      <c r="F57" s="907"/>
      <c r="G57" s="907" t="s">
        <v>40</v>
      </c>
      <c r="H57" s="907"/>
      <c r="I57" s="907" t="s">
        <v>41</v>
      </c>
      <c r="J57" s="907"/>
      <c r="K57" s="907" t="s">
        <v>42</v>
      </c>
      <c r="L57" s="907"/>
      <c r="M57" s="907" t="s">
        <v>43</v>
      </c>
      <c r="N57" s="907"/>
      <c r="O57" s="907" t="s">
        <v>44</v>
      </c>
      <c r="P57" s="907"/>
      <c r="Q57" s="907" t="s">
        <v>45</v>
      </c>
      <c r="R57" s="907"/>
      <c r="S57" s="907" t="s">
        <v>46</v>
      </c>
      <c r="T57" s="907"/>
      <c r="U57" s="907" t="s">
        <v>47</v>
      </c>
      <c r="V57" s="907"/>
      <c r="W57" s="907" t="s">
        <v>48</v>
      </c>
      <c r="X57" s="907"/>
      <c r="Y57" s="907" t="s">
        <v>49</v>
      </c>
      <c r="Z57" s="907"/>
    </row>
    <row r="58" spans="1:26" ht="52.5" customHeight="1" x14ac:dyDescent="0.25">
      <c r="A58" s="908"/>
      <c r="B58" s="908"/>
      <c r="C58" s="323" t="s">
        <v>94</v>
      </c>
      <c r="D58" s="323" t="s">
        <v>96</v>
      </c>
      <c r="E58" s="323" t="s">
        <v>94</v>
      </c>
      <c r="F58" s="323" t="s">
        <v>95</v>
      </c>
      <c r="G58" s="323" t="s">
        <v>94</v>
      </c>
      <c r="H58" s="323" t="s">
        <v>96</v>
      </c>
      <c r="I58" s="323" t="s">
        <v>94</v>
      </c>
      <c r="J58" s="323" t="s">
        <v>95</v>
      </c>
      <c r="K58" s="323" t="s">
        <v>94</v>
      </c>
      <c r="L58" s="323" t="s">
        <v>96</v>
      </c>
      <c r="M58" s="323" t="s">
        <v>94</v>
      </c>
      <c r="N58" s="323" t="s">
        <v>96</v>
      </c>
      <c r="O58" s="323" t="s">
        <v>94</v>
      </c>
      <c r="P58" s="323" t="s">
        <v>96</v>
      </c>
      <c r="Q58" s="323" t="s">
        <v>94</v>
      </c>
      <c r="R58" s="323" t="s">
        <v>96</v>
      </c>
      <c r="S58" s="323" t="s">
        <v>94</v>
      </c>
      <c r="T58" s="323" t="s">
        <v>96</v>
      </c>
      <c r="U58" s="323" t="s">
        <v>94</v>
      </c>
      <c r="V58" s="323" t="s">
        <v>96</v>
      </c>
      <c r="W58" s="323" t="s">
        <v>94</v>
      </c>
      <c r="X58" s="323" t="s">
        <v>96</v>
      </c>
      <c r="Y58" s="323" t="s">
        <v>94</v>
      </c>
      <c r="Z58" s="323" t="s">
        <v>96</v>
      </c>
    </row>
    <row r="59" spans="1:26" ht="18.75" customHeight="1" x14ac:dyDescent="0.25">
      <c r="A59" s="912" t="s">
        <v>283</v>
      </c>
      <c r="B59" s="913"/>
      <c r="C59" s="104">
        <f>'2️⃣ Proy. ventas'!E106</f>
        <v>2</v>
      </c>
      <c r="D59" s="63">
        <f>C59*$E$25</f>
        <v>280</v>
      </c>
      <c r="E59" s="104">
        <f>'2️⃣ Proy. ventas'!G106</f>
        <v>2</v>
      </c>
      <c r="F59" s="63">
        <f>E59*$E$25</f>
        <v>280</v>
      </c>
      <c r="G59" s="104">
        <f>'2️⃣ Proy. ventas'!I106</f>
        <v>2</v>
      </c>
      <c r="H59" s="63">
        <f>G59*$E$25</f>
        <v>280</v>
      </c>
      <c r="I59" s="104">
        <f>'2️⃣ Proy. ventas'!K106</f>
        <v>1</v>
      </c>
      <c r="J59" s="63">
        <f>I59*$E$25</f>
        <v>140</v>
      </c>
      <c r="K59" s="104">
        <f>'2️⃣ Proy. ventas'!M106</f>
        <v>2</v>
      </c>
      <c r="L59" s="63">
        <f>K59*$E$25</f>
        <v>280</v>
      </c>
      <c r="M59" s="104">
        <f>'2️⃣ Proy. ventas'!O106</f>
        <v>2</v>
      </c>
      <c r="N59" s="63">
        <f>M59*$E$25</f>
        <v>280</v>
      </c>
      <c r="O59" s="104">
        <f>'2️⃣ Proy. ventas'!Q106</f>
        <v>2</v>
      </c>
      <c r="P59" s="63">
        <f>O59*$E$25</f>
        <v>280</v>
      </c>
      <c r="Q59" s="104">
        <f>'2️⃣ Proy. ventas'!S106</f>
        <v>1</v>
      </c>
      <c r="R59" s="63">
        <f>Q59*$E$25</f>
        <v>140</v>
      </c>
      <c r="S59" s="104">
        <f>'2️⃣ Proy. ventas'!U106</f>
        <v>1</v>
      </c>
      <c r="T59" s="63">
        <f>S59*$E$25</f>
        <v>140</v>
      </c>
      <c r="U59" s="104">
        <f>'2️⃣ Proy. ventas'!W106</f>
        <v>1</v>
      </c>
      <c r="V59" s="63">
        <f>U59*$E$25</f>
        <v>140</v>
      </c>
      <c r="W59" s="104">
        <f>'2️⃣ Proy. ventas'!Y106</f>
        <v>2</v>
      </c>
      <c r="X59" s="63">
        <f>W59*$E$25</f>
        <v>280</v>
      </c>
      <c r="Y59" s="104">
        <f>'2️⃣ Proy. ventas'!AA106</f>
        <v>2</v>
      </c>
      <c r="Z59" s="63">
        <f>Y59*$E$25</f>
        <v>280</v>
      </c>
    </row>
    <row r="60" spans="1:26" ht="18.75" customHeight="1" x14ac:dyDescent="0.25">
      <c r="A60" s="912" t="s">
        <v>233</v>
      </c>
      <c r="B60" s="913"/>
      <c r="C60" s="104">
        <f>'2️⃣ Proy. ventas'!E107</f>
        <v>25</v>
      </c>
      <c r="D60" s="63">
        <f>C60*$E$37</f>
        <v>1625</v>
      </c>
      <c r="E60" s="104">
        <f>'2️⃣ Proy. ventas'!G107</f>
        <v>27</v>
      </c>
      <c r="F60" s="63">
        <f>E60*$E$37</f>
        <v>1755</v>
      </c>
      <c r="G60" s="104">
        <f>'2️⃣ Proy. ventas'!I107</f>
        <v>29</v>
      </c>
      <c r="H60" s="63">
        <f>G60*$E$37</f>
        <v>1885</v>
      </c>
      <c r="I60" s="104">
        <f>'2️⃣ Proy. ventas'!K107</f>
        <v>30</v>
      </c>
      <c r="J60" s="63">
        <f>I60*$E$37</f>
        <v>1950</v>
      </c>
      <c r="K60" s="104">
        <f>'2️⃣ Proy. ventas'!M107</f>
        <v>32</v>
      </c>
      <c r="L60" s="63">
        <f>K60*$E$37</f>
        <v>2080</v>
      </c>
      <c r="M60" s="104">
        <f>'2️⃣ Proy. ventas'!O107</f>
        <v>34</v>
      </c>
      <c r="N60" s="63">
        <f>M60*$E$37</f>
        <v>2210</v>
      </c>
      <c r="O60" s="104">
        <f>'2️⃣ Proy. ventas'!Q107</f>
        <v>36</v>
      </c>
      <c r="P60" s="63">
        <f>O60*$E$37</f>
        <v>2340</v>
      </c>
      <c r="Q60" s="104">
        <f>'2️⃣ Proy. ventas'!S107</f>
        <v>37</v>
      </c>
      <c r="R60" s="63">
        <f>Q60*$E$37</f>
        <v>2405</v>
      </c>
      <c r="S60" s="104">
        <f>'2️⃣ Proy. ventas'!U107</f>
        <v>38</v>
      </c>
      <c r="T60" s="63">
        <f>S60*$E$37</f>
        <v>2470</v>
      </c>
      <c r="U60" s="104">
        <f>'2️⃣ Proy. ventas'!W107</f>
        <v>39</v>
      </c>
      <c r="V60" s="63">
        <f>U60*$E$37</f>
        <v>2535</v>
      </c>
      <c r="W60" s="104">
        <f>'2️⃣ Proy. ventas'!Y107</f>
        <v>41</v>
      </c>
      <c r="X60" s="63">
        <f>W60*$E$37</f>
        <v>2665</v>
      </c>
      <c r="Y60" s="104">
        <f>'2️⃣ Proy. ventas'!AA107</f>
        <v>43</v>
      </c>
      <c r="Z60" s="63">
        <f>Y60*$E$37</f>
        <v>2795</v>
      </c>
    </row>
    <row r="61" spans="1:26" ht="18.75" customHeight="1" x14ac:dyDescent="0.25">
      <c r="A61" s="902" t="s">
        <v>51</v>
      </c>
      <c r="B61" s="902"/>
      <c r="C61" s="104">
        <f t="shared" ref="C61:Z61" si="3">SUM(C59:C60)</f>
        <v>27</v>
      </c>
      <c r="D61" s="105">
        <f t="shared" si="3"/>
        <v>1905</v>
      </c>
      <c r="E61" s="104">
        <f t="shared" si="3"/>
        <v>29</v>
      </c>
      <c r="F61" s="105">
        <f t="shared" si="3"/>
        <v>2035</v>
      </c>
      <c r="G61" s="104">
        <f t="shared" si="3"/>
        <v>31</v>
      </c>
      <c r="H61" s="105">
        <f t="shared" si="3"/>
        <v>2165</v>
      </c>
      <c r="I61" s="104">
        <f t="shared" si="3"/>
        <v>31</v>
      </c>
      <c r="J61" s="105">
        <f t="shared" si="3"/>
        <v>2090</v>
      </c>
      <c r="K61" s="104">
        <f t="shared" si="3"/>
        <v>34</v>
      </c>
      <c r="L61" s="105">
        <f t="shared" si="3"/>
        <v>2360</v>
      </c>
      <c r="M61" s="104">
        <f t="shared" si="3"/>
        <v>36</v>
      </c>
      <c r="N61" s="105">
        <f t="shared" si="3"/>
        <v>2490</v>
      </c>
      <c r="O61" s="104">
        <f t="shared" si="3"/>
        <v>38</v>
      </c>
      <c r="P61" s="105">
        <f t="shared" si="3"/>
        <v>2620</v>
      </c>
      <c r="Q61" s="104">
        <f t="shared" si="3"/>
        <v>38</v>
      </c>
      <c r="R61" s="105">
        <f t="shared" si="3"/>
        <v>2545</v>
      </c>
      <c r="S61" s="104">
        <f t="shared" si="3"/>
        <v>39</v>
      </c>
      <c r="T61" s="105">
        <f t="shared" si="3"/>
        <v>2610</v>
      </c>
      <c r="U61" s="104">
        <f t="shared" si="3"/>
        <v>40</v>
      </c>
      <c r="V61" s="105">
        <f t="shared" si="3"/>
        <v>2675</v>
      </c>
      <c r="W61" s="104">
        <f t="shared" si="3"/>
        <v>43</v>
      </c>
      <c r="X61" s="105">
        <f t="shared" si="3"/>
        <v>2945</v>
      </c>
      <c r="Y61" s="104">
        <f t="shared" si="3"/>
        <v>45</v>
      </c>
      <c r="Z61" s="105">
        <f t="shared" si="3"/>
        <v>3075</v>
      </c>
    </row>
    <row r="62" spans="1:26" ht="30.75" customHeight="1" thickBot="1" x14ac:dyDescent="0.3"/>
    <row r="63" spans="1:26" ht="22.5" customHeight="1" thickBot="1" x14ac:dyDescent="0.45">
      <c r="A63" s="793" t="s">
        <v>98</v>
      </c>
      <c r="B63" s="794"/>
      <c r="C63" s="794"/>
      <c r="D63" s="794"/>
      <c r="E63" s="795"/>
    </row>
    <row r="64" spans="1:26" ht="52.5" customHeight="1" x14ac:dyDescent="0.25">
      <c r="A64" s="906" t="s">
        <v>313</v>
      </c>
      <c r="B64" s="906"/>
      <c r="C64" s="906"/>
      <c r="D64" s="906"/>
      <c r="E64" s="906"/>
      <c r="F64" s="103"/>
      <c r="G64" s="103"/>
      <c r="H64" s="103"/>
      <c r="I64" s="103"/>
      <c r="J64" s="103"/>
    </row>
    <row r="65" ht="9.75" customHeight="1" x14ac:dyDescent="0.25"/>
    <row r="66" ht="9.75" customHeight="1" x14ac:dyDescent="0.25"/>
    <row r="67" ht="9.75" customHeight="1" x14ac:dyDescent="0.25"/>
    <row r="68" ht="9.75" customHeight="1" x14ac:dyDescent="0.25"/>
    <row r="69" ht="9.75" customHeight="1" x14ac:dyDescent="0.25"/>
    <row r="70" ht="9.75" customHeight="1" x14ac:dyDescent="0.25"/>
    <row r="71" ht="9.75" customHeight="1" x14ac:dyDescent="0.25"/>
    <row r="72" ht="9.75" customHeight="1" x14ac:dyDescent="0.25"/>
    <row r="73" ht="9.75" customHeight="1" x14ac:dyDescent="0.25"/>
    <row r="74" ht="9.75" customHeight="1" x14ac:dyDescent="0.25"/>
    <row r="75" ht="9.75" customHeight="1" x14ac:dyDescent="0.25"/>
    <row r="76" ht="9" customHeight="1" x14ac:dyDescent="0.25"/>
    <row r="77" ht="15" customHeight="1" x14ac:dyDescent="0.25"/>
    <row r="78" ht="9" customHeight="1" x14ac:dyDescent="0.25"/>
    <row r="79" ht="9" customHeight="1" x14ac:dyDescent="0.25"/>
    <row r="80" ht="17.25" customHeight="1" x14ac:dyDescent="0.25"/>
    <row r="81" spans="1:10" ht="12.75" customHeight="1" x14ac:dyDescent="0.25">
      <c r="A81"/>
      <c r="B81" s="1"/>
      <c r="C81" s="67"/>
    </row>
    <row r="82" spans="1:10" x14ac:dyDescent="0.25">
      <c r="B82" s="1"/>
      <c r="C82" s="67"/>
      <c r="D82" s="69"/>
      <c r="E82" s="69"/>
      <c r="F82" s="69"/>
      <c r="G82" s="69"/>
      <c r="H82" s="69"/>
      <c r="I82" s="69"/>
      <c r="J82" s="69"/>
    </row>
    <row r="85" spans="1:10" ht="14.25" customHeight="1" x14ac:dyDescent="0.25"/>
  </sheetData>
  <mergeCells count="59">
    <mergeCell ref="A52:B52"/>
    <mergeCell ref="A53:B53"/>
    <mergeCell ref="A59:B59"/>
    <mergeCell ref="A60:B60"/>
    <mergeCell ref="A13:A14"/>
    <mergeCell ref="A25:C26"/>
    <mergeCell ref="A37:C38"/>
    <mergeCell ref="A50:B51"/>
    <mergeCell ref="A45:B45"/>
    <mergeCell ref="A46:B46"/>
    <mergeCell ref="A3:E3"/>
    <mergeCell ref="A4:E4"/>
    <mergeCell ref="A6:C6"/>
    <mergeCell ref="A18:E18"/>
    <mergeCell ref="U43:V43"/>
    <mergeCell ref="W43:X43"/>
    <mergeCell ref="Y43:Z43"/>
    <mergeCell ref="A30:E30"/>
    <mergeCell ref="K43:L43"/>
    <mergeCell ref="M43:N43"/>
    <mergeCell ref="O43:P43"/>
    <mergeCell ref="Q43:R43"/>
    <mergeCell ref="S43:T43"/>
    <mergeCell ref="C43:D43"/>
    <mergeCell ref="E43:F43"/>
    <mergeCell ref="G43:H43"/>
    <mergeCell ref="I43:J43"/>
    <mergeCell ref="Y50:Z50"/>
    <mergeCell ref="A54:B54"/>
    <mergeCell ref="A57:B58"/>
    <mergeCell ref="C57:D57"/>
    <mergeCell ref="E57:F57"/>
    <mergeCell ref="G57:H57"/>
    <mergeCell ref="I57:J57"/>
    <mergeCell ref="K57:L57"/>
    <mergeCell ref="M57:N57"/>
    <mergeCell ref="O57:P57"/>
    <mergeCell ref="Q57:R57"/>
    <mergeCell ref="S57:T57"/>
    <mergeCell ref="U57:V57"/>
    <mergeCell ref="W57:X57"/>
    <mergeCell ref="Y57:Z57"/>
    <mergeCell ref="M50:N50"/>
    <mergeCell ref="A61:B61"/>
    <mergeCell ref="A42:E42"/>
    <mergeCell ref="A63:E63"/>
    <mergeCell ref="A64:E64"/>
    <mergeCell ref="W50:X50"/>
    <mergeCell ref="O50:P50"/>
    <mergeCell ref="Q50:R50"/>
    <mergeCell ref="S50:T50"/>
    <mergeCell ref="U50:V50"/>
    <mergeCell ref="C50:D50"/>
    <mergeCell ref="E50:F50"/>
    <mergeCell ref="G50:H50"/>
    <mergeCell ref="I50:J50"/>
    <mergeCell ref="K50:L50"/>
    <mergeCell ref="A43:B44"/>
    <mergeCell ref="A47:B47"/>
  </mergeCells>
  <phoneticPr fontId="24"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5"/>
  <sheetViews>
    <sheetView zoomScale="85" zoomScaleNormal="85" workbookViewId="0">
      <pane ySplit="1" topLeftCell="A2" activePane="bottomLeft" state="frozen"/>
      <selection pane="bottomLeft" activeCell="E17" sqref="E17"/>
    </sheetView>
  </sheetViews>
  <sheetFormatPr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8" s="415" customFormat="1" ht="58.5" customHeight="1" thickTop="1" thickBot="1" x14ac:dyDescent="0.3">
      <c r="A1" s="413"/>
      <c r="E1" s="414" t="s">
        <v>3</v>
      </c>
      <c r="G1" s="416"/>
      <c r="H1" s="416"/>
    </row>
    <row r="2" spans="1:8" ht="15.75" thickTop="1" x14ac:dyDescent="0.25"/>
    <row r="6" spans="1:8" ht="15.75" thickBot="1" x14ac:dyDescent="0.3"/>
    <row r="7" spans="1:8" ht="30.75" customHeight="1" thickBot="1" x14ac:dyDescent="0.3">
      <c r="B7" s="928" t="s">
        <v>32</v>
      </c>
      <c r="C7" s="929"/>
      <c r="D7" s="930"/>
    </row>
    <row r="8" spans="1:8" ht="18.75" customHeight="1" x14ac:dyDescent="0.25">
      <c r="B8" s="407">
        <v>2022</v>
      </c>
      <c r="C8" s="408">
        <v>2023</v>
      </c>
      <c r="D8" s="409">
        <v>2024</v>
      </c>
    </row>
    <row r="9" spans="1:8" ht="18.75" customHeight="1" x14ac:dyDescent="0.25">
      <c r="B9" s="410">
        <f>'1️⃣ Hipótesis'!C24</f>
        <v>0.03</v>
      </c>
      <c r="C9" s="411">
        <f>'1️⃣ Hipótesis'!C25</f>
        <v>7.0000000000000007E-2</v>
      </c>
      <c r="D9" s="412">
        <f>'1️⃣ Hipótesis'!C26</f>
        <v>0.12</v>
      </c>
    </row>
    <row r="10" spans="1:8" ht="18.75" customHeight="1" thickBot="1" x14ac:dyDescent="0.3">
      <c r="B10" s="317">
        <f>'1️⃣ Hipótesis'!D24</f>
        <v>18750000</v>
      </c>
      <c r="C10" s="318">
        <f>'1️⃣ Hipótesis'!D25</f>
        <v>43750000.000000007</v>
      </c>
      <c r="D10" s="319">
        <f>'1️⃣ Hipótesis'!D26</f>
        <v>75000000</v>
      </c>
    </row>
    <row r="14" spans="1:8" ht="15.75" thickBot="1" x14ac:dyDescent="0.3"/>
    <row r="15" spans="1:8" ht="31.5" customHeight="1" thickBot="1" x14ac:dyDescent="0.3">
      <c r="B15" s="931" t="s">
        <v>52</v>
      </c>
      <c r="C15" s="932"/>
      <c r="D15" s="932"/>
      <c r="E15" s="933"/>
    </row>
    <row r="16" spans="1:8" ht="18.75" customHeight="1" thickBot="1" x14ac:dyDescent="0.3">
      <c r="B16" s="385" t="s">
        <v>29</v>
      </c>
      <c r="C16" s="383" t="s">
        <v>287</v>
      </c>
      <c r="D16" s="383" t="s">
        <v>288</v>
      </c>
      <c r="E16" s="384" t="s">
        <v>289</v>
      </c>
    </row>
    <row r="17" spans="2:5" ht="18.75" customHeight="1" x14ac:dyDescent="0.25">
      <c r="B17" s="386" t="s">
        <v>241</v>
      </c>
      <c r="C17" s="387">
        <f>'2️⃣ Proy. ventas'!D19</f>
        <v>4000000</v>
      </c>
      <c r="D17" s="387">
        <f>'2️⃣ Proy. ventas'!D57</f>
        <v>12000000</v>
      </c>
      <c r="E17" s="388">
        <f>'2️⃣ Proy. ventas'!D97</f>
        <v>6000000</v>
      </c>
    </row>
    <row r="18" spans="2:5" ht="18.75" customHeight="1" x14ac:dyDescent="0.25">
      <c r="B18" s="389" t="s">
        <v>238</v>
      </c>
      <c r="C18" s="390">
        <f>'2️⃣ Proy. ventas'!D20</f>
        <v>4600000</v>
      </c>
      <c r="D18" s="390">
        <f>'2️⃣ Proy. ventas'!D58</f>
        <v>6900000</v>
      </c>
      <c r="E18" s="391">
        <f>'2️⃣ Proy. ventas'!D98</f>
        <v>13800000</v>
      </c>
    </row>
    <row r="19" spans="2:5" ht="18.75" customHeight="1" x14ac:dyDescent="0.25">
      <c r="B19" s="389" t="s">
        <v>239</v>
      </c>
      <c r="C19" s="390">
        <f>'2️⃣ Proy. ventas'!D21</f>
        <v>2400000</v>
      </c>
      <c r="D19" s="390">
        <f>'2️⃣ Proy. ventas'!D59</f>
        <v>7200000</v>
      </c>
      <c r="E19" s="391">
        <f>'2️⃣ Proy. ventas'!D99</f>
        <v>14400000</v>
      </c>
    </row>
    <row r="20" spans="2:5" ht="18.75" customHeight="1" thickBot="1" x14ac:dyDescent="0.3">
      <c r="B20" s="392" t="s">
        <v>240</v>
      </c>
      <c r="C20" s="393">
        <f>'2️⃣ Proy. ventas'!D22</f>
        <v>5000000</v>
      </c>
      <c r="D20" s="393">
        <f>'2️⃣ Proy. ventas'!D60</f>
        <v>5000000</v>
      </c>
      <c r="E20" s="394">
        <f>'2️⃣ Proy. ventas'!D100</f>
        <v>12500000</v>
      </c>
    </row>
    <row r="21" spans="2:5" ht="18.75" customHeight="1" x14ac:dyDescent="0.25">
      <c r="B21" s="395" t="s">
        <v>242</v>
      </c>
      <c r="C21" s="396">
        <f>'2️⃣ Proy. ventas'!D23</f>
        <v>1400000</v>
      </c>
      <c r="D21" s="396">
        <f>'2️⃣ Proy. ventas'!D61</f>
        <v>3650000</v>
      </c>
      <c r="E21" s="397">
        <f>'2️⃣ Proy. ventas'!D101</f>
        <v>6250000</v>
      </c>
    </row>
    <row r="22" spans="2:5" ht="18.75" customHeight="1" x14ac:dyDescent="0.25">
      <c r="B22" s="398" t="s">
        <v>243</v>
      </c>
      <c r="C22" s="399">
        <f>'2️⃣ Proy. ventas'!D24</f>
        <v>780000</v>
      </c>
      <c r="D22" s="399">
        <f>'2️⃣ Proy. ventas'!D62</f>
        <v>2520000</v>
      </c>
      <c r="E22" s="400">
        <f>'2️⃣ Proy. ventas'!D102</f>
        <v>4800000</v>
      </c>
    </row>
    <row r="23" spans="2:5" ht="18.75" customHeight="1" x14ac:dyDescent="0.25">
      <c r="B23" s="398" t="s">
        <v>244</v>
      </c>
      <c r="C23" s="399">
        <f>'2️⃣ Proy. ventas'!D25</f>
        <v>75000</v>
      </c>
      <c r="D23" s="399">
        <f>'2️⃣ Proy. ventas'!D63</f>
        <v>2100000</v>
      </c>
      <c r="E23" s="400">
        <f>'2️⃣ Proy. ventas'!D103</f>
        <v>8625000</v>
      </c>
    </row>
    <row r="24" spans="2:5" ht="18.75" customHeight="1" thickBot="1" x14ac:dyDescent="0.3">
      <c r="B24" s="401" t="s">
        <v>245</v>
      </c>
      <c r="C24" s="402">
        <f>'2️⃣ Proy. ventas'!D26</f>
        <v>300000</v>
      </c>
      <c r="D24" s="402">
        <f>'2️⃣ Proy. ventas'!D64</f>
        <v>4300000</v>
      </c>
      <c r="E24" s="403">
        <f>'2️⃣ Proy. ventas'!D104</f>
        <v>9100000</v>
      </c>
    </row>
    <row r="25" spans="2:5" ht="18.75" customHeight="1" thickBot="1" x14ac:dyDescent="0.3">
      <c r="B25" s="404" t="s">
        <v>51</v>
      </c>
      <c r="C25" s="405">
        <f>SUM(C17:C24)</f>
        <v>18555000</v>
      </c>
      <c r="D25" s="405">
        <f>SUM(D17:D24)</f>
        <v>43670000</v>
      </c>
      <c r="E25" s="406">
        <f>SUM(E17:E24)</f>
        <v>75475000</v>
      </c>
    </row>
  </sheetData>
  <mergeCells count="2">
    <mergeCell ref="B7:D7"/>
    <mergeCell ref="B15:E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58"/>
  <sheetViews>
    <sheetView zoomScale="85" zoomScaleNormal="70" workbookViewId="0">
      <pane ySplit="1" topLeftCell="A5" activePane="bottomLeft" state="frozen"/>
      <selection pane="bottomLeft" activeCell="P21" sqref="P21:P22"/>
    </sheetView>
  </sheetViews>
  <sheetFormatPr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8.5703125" style="1" bestFit="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415" customFormat="1" ht="58.5" customHeight="1" thickTop="1" thickBot="1" x14ac:dyDescent="0.3">
      <c r="A1" s="413"/>
      <c r="F1" s="414" t="s">
        <v>4</v>
      </c>
      <c r="G1" s="416"/>
      <c r="H1" s="416"/>
    </row>
    <row r="2" spans="1:17" ht="16.5" thickTop="1" thickBot="1" x14ac:dyDescent="0.3"/>
    <row r="3" spans="1:17" ht="27" thickBot="1" x14ac:dyDescent="0.45">
      <c r="C3" s="793" t="s">
        <v>32</v>
      </c>
      <c r="D3" s="794"/>
      <c r="E3" s="795"/>
      <c r="G3" s="793" t="s">
        <v>114</v>
      </c>
      <c r="H3" s="794"/>
      <c r="I3" s="795"/>
    </row>
    <row r="4" spans="1:17" x14ac:dyDescent="0.25">
      <c r="C4" s="418">
        <v>2022</v>
      </c>
      <c r="D4" s="419">
        <v>2023</v>
      </c>
      <c r="E4" s="420">
        <v>2024</v>
      </c>
      <c r="G4" s="418">
        <v>2022</v>
      </c>
      <c r="H4" s="419">
        <v>2023</v>
      </c>
      <c r="I4" s="420">
        <v>2024</v>
      </c>
    </row>
    <row r="5" spans="1:17" ht="15.75" thickBot="1" x14ac:dyDescent="0.3">
      <c r="C5" s="40">
        <f>'1️⃣ Hipótesis'!C24</f>
        <v>0.03</v>
      </c>
      <c r="D5" s="36">
        <f>'1️⃣ Hipótesis'!C25</f>
        <v>7.0000000000000007E-2</v>
      </c>
      <c r="E5" s="41">
        <f>'1️⃣ Hipótesis'!C26</f>
        <v>0.12</v>
      </c>
      <c r="G5" s="42">
        <f>P23</f>
        <v>2828400</v>
      </c>
      <c r="H5" s="43">
        <f>P40</f>
        <v>3292920</v>
      </c>
      <c r="I5" s="44">
        <f>P58</f>
        <v>3962001.6000000006</v>
      </c>
    </row>
    <row r="6" spans="1:17" ht="15.75" thickBot="1" x14ac:dyDescent="0.3">
      <c r="C6" s="42">
        <f>'1️⃣ Hipótesis'!D24</f>
        <v>18750000</v>
      </c>
      <c r="D6" s="43">
        <f>'1️⃣ Hipótesis'!D25</f>
        <v>43750000.000000007</v>
      </c>
      <c r="E6" s="44">
        <f>'1️⃣ Hipótesis'!D26</f>
        <v>75000000</v>
      </c>
      <c r="G6" s="140"/>
      <c r="H6" s="140"/>
      <c r="I6" s="140"/>
    </row>
    <row r="8" spans="1:17" ht="15.75" thickBot="1" x14ac:dyDescent="0.3"/>
    <row r="9" spans="1:17" ht="27" thickBot="1" x14ac:dyDescent="0.45">
      <c r="B9" s="824" t="s">
        <v>290</v>
      </c>
      <c r="C9" s="825"/>
      <c r="D9" s="825"/>
      <c r="E9" s="825"/>
      <c r="F9" s="825"/>
      <c r="G9" s="825"/>
      <c r="H9" s="825"/>
      <c r="I9" s="825"/>
      <c r="J9" s="825"/>
      <c r="K9" s="825"/>
      <c r="L9" s="825"/>
      <c r="M9" s="825"/>
      <c r="N9" s="825"/>
      <c r="O9" s="825"/>
      <c r="P9" s="825"/>
      <c r="Q9" s="826"/>
    </row>
    <row r="10" spans="1:17" s="429" customFormat="1" ht="19.5" thickBot="1" x14ac:dyDescent="0.3">
      <c r="B10" s="938" t="s">
        <v>106</v>
      </c>
      <c r="C10" s="939"/>
      <c r="D10" s="430" t="s">
        <v>38</v>
      </c>
      <c r="E10" s="431" t="s">
        <v>39</v>
      </c>
      <c r="F10" s="431" t="s">
        <v>40</v>
      </c>
      <c r="G10" s="431" t="s">
        <v>41</v>
      </c>
      <c r="H10" s="431" t="s">
        <v>42</v>
      </c>
      <c r="I10" s="431" t="s">
        <v>43</v>
      </c>
      <c r="J10" s="431" t="s">
        <v>44</v>
      </c>
      <c r="K10" s="431" t="s">
        <v>45</v>
      </c>
      <c r="L10" s="431" t="s">
        <v>46</v>
      </c>
      <c r="M10" s="431" t="s">
        <v>47</v>
      </c>
      <c r="N10" s="431" t="s">
        <v>48</v>
      </c>
      <c r="O10" s="432" t="s">
        <v>49</v>
      </c>
      <c r="P10" s="433" t="s">
        <v>108</v>
      </c>
      <c r="Q10" s="380" t="s">
        <v>107</v>
      </c>
    </row>
    <row r="11" spans="1:17" x14ac:dyDescent="0.25">
      <c r="B11" s="936" t="s">
        <v>99</v>
      </c>
      <c r="C11" s="136" t="s">
        <v>100</v>
      </c>
      <c r="D11" s="130">
        <v>2000</v>
      </c>
      <c r="E11" s="119">
        <v>0</v>
      </c>
      <c r="F11" s="130">
        <v>2000</v>
      </c>
      <c r="G11" s="119">
        <v>0</v>
      </c>
      <c r="H11" s="130">
        <v>2000</v>
      </c>
      <c r="I11" s="119">
        <v>0</v>
      </c>
      <c r="J11" s="130">
        <v>2000</v>
      </c>
      <c r="K11" s="119">
        <v>0</v>
      </c>
      <c r="L11" s="130">
        <v>2000</v>
      </c>
      <c r="M11" s="119">
        <v>0</v>
      </c>
      <c r="N11" s="130">
        <v>2000</v>
      </c>
      <c r="O11" s="120">
        <v>0</v>
      </c>
      <c r="P11" s="421">
        <f t="shared" ref="P11:P16" si="0">SUM(D11:O11)</f>
        <v>12000</v>
      </c>
      <c r="Q11" s="121"/>
    </row>
    <row r="12" spans="1:17" x14ac:dyDescent="0.25">
      <c r="B12" s="940"/>
      <c r="C12" s="137" t="s">
        <v>102</v>
      </c>
      <c r="D12" s="131">
        <v>13000</v>
      </c>
      <c r="E12" s="131">
        <v>13000</v>
      </c>
      <c r="F12" s="131">
        <v>13000</v>
      </c>
      <c r="G12" s="131">
        <v>13000</v>
      </c>
      <c r="H12" s="131">
        <v>13000</v>
      </c>
      <c r="I12" s="131">
        <v>13000</v>
      </c>
      <c r="J12" s="131">
        <v>13000</v>
      </c>
      <c r="K12" s="131">
        <v>13000</v>
      </c>
      <c r="L12" s="131">
        <v>13000</v>
      </c>
      <c r="M12" s="131">
        <v>13000</v>
      </c>
      <c r="N12" s="131">
        <v>13000</v>
      </c>
      <c r="O12" s="131">
        <v>13000</v>
      </c>
      <c r="P12" s="422">
        <f t="shared" si="0"/>
        <v>156000</v>
      </c>
      <c r="Q12" s="113"/>
    </row>
    <row r="13" spans="1:17" x14ac:dyDescent="0.25">
      <c r="B13" s="940"/>
      <c r="C13" s="137" t="s">
        <v>101</v>
      </c>
      <c r="D13" s="131">
        <v>1500</v>
      </c>
      <c r="E13" s="131">
        <v>1500</v>
      </c>
      <c r="F13" s="131">
        <v>1500</v>
      </c>
      <c r="G13" s="131">
        <v>1500</v>
      </c>
      <c r="H13" s="131">
        <v>1500</v>
      </c>
      <c r="I13" s="131">
        <v>1500</v>
      </c>
      <c r="J13" s="131">
        <v>1500</v>
      </c>
      <c r="K13" s="131">
        <v>1500</v>
      </c>
      <c r="L13" s="131">
        <v>1500</v>
      </c>
      <c r="M13" s="131">
        <v>1500</v>
      </c>
      <c r="N13" s="131">
        <v>1500</v>
      </c>
      <c r="O13" s="131">
        <v>1500</v>
      </c>
      <c r="P13" s="422">
        <f t="shared" si="0"/>
        <v>18000</v>
      </c>
      <c r="Q13" s="113"/>
    </row>
    <row r="14" spans="1:17" x14ac:dyDescent="0.25">
      <c r="B14" s="940"/>
      <c r="C14" s="137" t="s">
        <v>109</v>
      </c>
      <c r="D14" s="131">
        <v>400</v>
      </c>
      <c r="E14" s="131">
        <v>400</v>
      </c>
      <c r="F14" s="131">
        <v>400</v>
      </c>
      <c r="G14" s="131">
        <v>400</v>
      </c>
      <c r="H14" s="131">
        <v>400</v>
      </c>
      <c r="I14" s="131">
        <v>400</v>
      </c>
      <c r="J14" s="131">
        <v>400</v>
      </c>
      <c r="K14" s="131">
        <v>400</v>
      </c>
      <c r="L14" s="131">
        <v>400</v>
      </c>
      <c r="M14" s="131">
        <v>400</v>
      </c>
      <c r="N14" s="131">
        <v>400</v>
      </c>
      <c r="O14" s="131">
        <v>400</v>
      </c>
      <c r="P14" s="422">
        <f t="shared" si="0"/>
        <v>4800</v>
      </c>
      <c r="Q14" s="114"/>
    </row>
    <row r="15" spans="1:17" x14ac:dyDescent="0.25">
      <c r="B15" s="940"/>
      <c r="C15" s="138" t="s">
        <v>110</v>
      </c>
      <c r="D15" s="131">
        <v>1800</v>
      </c>
      <c r="E15" s="131">
        <v>1800</v>
      </c>
      <c r="F15" s="131">
        <v>1800</v>
      </c>
      <c r="G15" s="131">
        <v>1800</v>
      </c>
      <c r="H15" s="131">
        <v>1800</v>
      </c>
      <c r="I15" s="131">
        <v>1800</v>
      </c>
      <c r="J15" s="131">
        <v>1800</v>
      </c>
      <c r="K15" s="131">
        <v>1800</v>
      </c>
      <c r="L15" s="131">
        <v>1800</v>
      </c>
      <c r="M15" s="131">
        <v>1800</v>
      </c>
      <c r="N15" s="131">
        <v>1800</v>
      </c>
      <c r="O15" s="131">
        <v>1800</v>
      </c>
      <c r="P15" s="422">
        <f t="shared" si="0"/>
        <v>21600</v>
      </c>
      <c r="Q15" s="115"/>
    </row>
    <row r="16" spans="1:17" ht="16.5" customHeight="1" thickBot="1" x14ac:dyDescent="0.3">
      <c r="B16" s="937"/>
      <c r="C16" s="139" t="s">
        <v>111</v>
      </c>
      <c r="D16" s="132">
        <v>3000</v>
      </c>
      <c r="E16" s="132">
        <v>3000</v>
      </c>
      <c r="F16" s="132">
        <v>3000</v>
      </c>
      <c r="G16" s="132">
        <v>3000</v>
      </c>
      <c r="H16" s="132">
        <v>3000</v>
      </c>
      <c r="I16" s="132">
        <v>3000</v>
      </c>
      <c r="J16" s="132">
        <v>3000</v>
      </c>
      <c r="K16" s="132">
        <v>3000</v>
      </c>
      <c r="L16" s="132">
        <v>3000</v>
      </c>
      <c r="M16" s="132">
        <v>3000</v>
      </c>
      <c r="N16" s="132">
        <v>3000</v>
      </c>
      <c r="O16" s="132">
        <v>3000</v>
      </c>
      <c r="P16" s="423">
        <f t="shared" si="0"/>
        <v>36000</v>
      </c>
      <c r="Q16" s="124"/>
    </row>
    <row r="17" spans="2:17" s="429" customFormat="1" ht="27.75" customHeight="1" x14ac:dyDescent="0.25">
      <c r="B17" s="934" t="s">
        <v>103</v>
      </c>
      <c r="C17" s="434" t="s">
        <v>293</v>
      </c>
      <c r="D17" s="133">
        <v>80000</v>
      </c>
      <c r="E17" s="133">
        <f>$D$17</f>
        <v>80000</v>
      </c>
      <c r="F17" s="133">
        <f t="shared" ref="F17:I17" si="1">$D$17</f>
        <v>80000</v>
      </c>
      <c r="G17" s="133">
        <f t="shared" si="1"/>
        <v>80000</v>
      </c>
      <c r="H17" s="133">
        <f t="shared" si="1"/>
        <v>80000</v>
      </c>
      <c r="I17" s="133">
        <f t="shared" si="1"/>
        <v>80000</v>
      </c>
      <c r="J17" s="125">
        <f>$I$17*1.2</f>
        <v>96000</v>
      </c>
      <c r="K17" s="125">
        <f>J17</f>
        <v>96000</v>
      </c>
      <c r="L17" s="125">
        <f t="shared" ref="L17:O17" si="2">K17</f>
        <v>96000</v>
      </c>
      <c r="M17" s="125">
        <f t="shared" si="2"/>
        <v>96000</v>
      </c>
      <c r="N17" s="125">
        <f t="shared" si="2"/>
        <v>96000</v>
      </c>
      <c r="O17" s="125">
        <f t="shared" si="2"/>
        <v>96000</v>
      </c>
      <c r="P17" s="424">
        <f t="shared" ref="P17:P22" si="3">SUM(D17:O17)</f>
        <v>1056000</v>
      </c>
      <c r="Q17" s="126"/>
    </row>
    <row r="18" spans="2:17" s="429" customFormat="1" ht="27.75" customHeight="1" thickBot="1" x14ac:dyDescent="0.3">
      <c r="B18" s="935"/>
      <c r="C18" s="475" t="s">
        <v>112</v>
      </c>
      <c r="D18" s="476">
        <v>0</v>
      </c>
      <c r="E18" s="477">
        <v>0</v>
      </c>
      <c r="F18" s="477">
        <v>0</v>
      </c>
      <c r="G18" s="477">
        <v>0</v>
      </c>
      <c r="H18" s="477">
        <v>0</v>
      </c>
      <c r="I18" s="477">
        <v>0</v>
      </c>
      <c r="J18" s="477">
        <v>0</v>
      </c>
      <c r="K18" s="477">
        <v>0</v>
      </c>
      <c r="L18" s="477">
        <v>0</v>
      </c>
      <c r="M18" s="477">
        <v>0</v>
      </c>
      <c r="N18" s="477">
        <v>0</v>
      </c>
      <c r="O18" s="478">
        <v>0</v>
      </c>
      <c r="P18" s="479">
        <f t="shared" si="3"/>
        <v>0</v>
      </c>
      <c r="Q18" s="480"/>
    </row>
    <row r="19" spans="2:17" ht="19.5" customHeight="1" x14ac:dyDescent="0.25">
      <c r="B19" s="936" t="s">
        <v>104</v>
      </c>
      <c r="C19" s="485" t="s">
        <v>105</v>
      </c>
      <c r="D19" s="487">
        <v>8500</v>
      </c>
      <c r="E19" s="119">
        <v>8500</v>
      </c>
      <c r="F19" s="119">
        <v>8500</v>
      </c>
      <c r="G19" s="119">
        <v>8500</v>
      </c>
      <c r="H19" s="119">
        <v>8500</v>
      </c>
      <c r="I19" s="119">
        <v>8500</v>
      </c>
      <c r="J19" s="119">
        <v>8500</v>
      </c>
      <c r="K19" s="119">
        <v>8500</v>
      </c>
      <c r="L19" s="119">
        <v>8500</v>
      </c>
      <c r="M19" s="119">
        <v>8500</v>
      </c>
      <c r="N19" s="119">
        <v>8500</v>
      </c>
      <c r="O19" s="576">
        <v>8500</v>
      </c>
      <c r="P19" s="421">
        <f t="shared" si="3"/>
        <v>102000</v>
      </c>
      <c r="Q19" s="121"/>
    </row>
    <row r="20" spans="2:17" ht="18.75" customHeight="1" thickBot="1" x14ac:dyDescent="0.3">
      <c r="B20" s="937"/>
      <c r="C20" s="486" t="s">
        <v>314</v>
      </c>
      <c r="D20" s="488">
        <v>8500</v>
      </c>
      <c r="E20" s="122">
        <v>8500</v>
      </c>
      <c r="F20" s="122">
        <v>8500</v>
      </c>
      <c r="G20" s="122">
        <v>8500</v>
      </c>
      <c r="H20" s="122">
        <v>8500</v>
      </c>
      <c r="I20" s="122">
        <v>8500</v>
      </c>
      <c r="J20" s="122">
        <v>8500</v>
      </c>
      <c r="K20" s="122">
        <v>8500</v>
      </c>
      <c r="L20" s="122">
        <v>8500</v>
      </c>
      <c r="M20" s="122">
        <v>8500</v>
      </c>
      <c r="N20" s="122">
        <v>8500</v>
      </c>
      <c r="O20" s="577">
        <v>8500</v>
      </c>
      <c r="P20" s="423">
        <f t="shared" si="3"/>
        <v>102000</v>
      </c>
      <c r="Q20" s="124"/>
    </row>
    <row r="21" spans="2:17" ht="18.75" customHeight="1" x14ac:dyDescent="0.25">
      <c r="B21" s="944" t="s">
        <v>294</v>
      </c>
      <c r="C21" s="481" t="s">
        <v>113</v>
      </c>
      <c r="D21" s="482">
        <v>60000</v>
      </c>
      <c r="E21" s="482">
        <v>60000</v>
      </c>
      <c r="F21" s="482">
        <v>60000</v>
      </c>
      <c r="G21" s="482">
        <v>60000</v>
      </c>
      <c r="H21" s="482">
        <v>60000</v>
      </c>
      <c r="I21" s="482">
        <v>60000</v>
      </c>
      <c r="J21" s="482">
        <v>60000</v>
      </c>
      <c r="K21" s="482">
        <v>60000</v>
      </c>
      <c r="L21" s="482">
        <v>60000</v>
      </c>
      <c r="M21" s="482">
        <v>60000</v>
      </c>
      <c r="N21" s="482">
        <v>60000</v>
      </c>
      <c r="O21" s="482">
        <v>60000</v>
      </c>
      <c r="P21" s="483">
        <f t="shared" si="3"/>
        <v>720000</v>
      </c>
      <c r="Q21" s="484"/>
    </row>
    <row r="22" spans="2:17" ht="18.75" customHeight="1" thickBot="1" x14ac:dyDescent="0.3">
      <c r="B22" s="942"/>
      <c r="C22" s="139" t="s">
        <v>228</v>
      </c>
      <c r="D22" s="135">
        <v>50000</v>
      </c>
      <c r="E22" s="135">
        <v>50000</v>
      </c>
      <c r="F22" s="135">
        <v>50000</v>
      </c>
      <c r="G22" s="135">
        <v>50000</v>
      </c>
      <c r="H22" s="135">
        <v>50000</v>
      </c>
      <c r="I22" s="135">
        <v>50000</v>
      </c>
      <c r="J22" s="135">
        <v>50000</v>
      </c>
      <c r="K22" s="135">
        <v>50000</v>
      </c>
      <c r="L22" s="135">
        <v>50000</v>
      </c>
      <c r="M22" s="135">
        <v>50000</v>
      </c>
      <c r="N22" s="135">
        <v>50000</v>
      </c>
      <c r="O22" s="135">
        <v>50000</v>
      </c>
      <c r="P22" s="425">
        <f t="shared" si="3"/>
        <v>600000</v>
      </c>
      <c r="Q22" s="114"/>
    </row>
    <row r="23" spans="2:17" ht="15.75" thickBot="1" x14ac:dyDescent="0.3">
      <c r="B23" s="19"/>
      <c r="C23" s="426" t="s">
        <v>19</v>
      </c>
      <c r="D23" s="427">
        <f t="shared" ref="D23:P23" si="4">SUM(D11:D22)</f>
        <v>228700</v>
      </c>
      <c r="E23" s="427">
        <f t="shared" si="4"/>
        <v>226700</v>
      </c>
      <c r="F23" s="427">
        <f t="shared" si="4"/>
        <v>228700</v>
      </c>
      <c r="G23" s="427">
        <f t="shared" si="4"/>
        <v>226700</v>
      </c>
      <c r="H23" s="427">
        <f t="shared" si="4"/>
        <v>228700</v>
      </c>
      <c r="I23" s="427">
        <f t="shared" si="4"/>
        <v>226700</v>
      </c>
      <c r="J23" s="427">
        <f t="shared" si="4"/>
        <v>244700</v>
      </c>
      <c r="K23" s="427">
        <f t="shared" si="4"/>
        <v>242700</v>
      </c>
      <c r="L23" s="427">
        <f t="shared" si="4"/>
        <v>244700</v>
      </c>
      <c r="M23" s="427">
        <f t="shared" si="4"/>
        <v>242700</v>
      </c>
      <c r="N23" s="427">
        <f t="shared" si="4"/>
        <v>244700</v>
      </c>
      <c r="O23" s="428">
        <f t="shared" si="4"/>
        <v>242700</v>
      </c>
      <c r="P23" s="129">
        <f t="shared" si="4"/>
        <v>2828400</v>
      </c>
      <c r="Q23" s="111"/>
    </row>
    <row r="25" spans="2:17" ht="15.75" thickBot="1" x14ac:dyDescent="0.3"/>
    <row r="26" spans="2:17" ht="27" thickBot="1" x14ac:dyDescent="0.45">
      <c r="B26" s="824" t="s">
        <v>291</v>
      </c>
      <c r="C26" s="825"/>
      <c r="D26" s="825"/>
      <c r="E26" s="825"/>
      <c r="F26" s="825"/>
      <c r="G26" s="825"/>
      <c r="H26" s="825"/>
      <c r="I26" s="825"/>
      <c r="J26" s="825"/>
      <c r="K26" s="825"/>
      <c r="L26" s="825"/>
      <c r="M26" s="825"/>
      <c r="N26" s="825"/>
      <c r="O26" s="825"/>
      <c r="P26" s="825"/>
      <c r="Q26" s="826"/>
    </row>
    <row r="27" spans="2:17" s="429" customFormat="1" ht="19.5" thickBot="1" x14ac:dyDescent="0.3">
      <c r="B27" s="938" t="s">
        <v>106</v>
      </c>
      <c r="C27" s="939"/>
      <c r="D27" s="430" t="s">
        <v>38</v>
      </c>
      <c r="E27" s="431" t="s">
        <v>39</v>
      </c>
      <c r="F27" s="431" t="s">
        <v>40</v>
      </c>
      <c r="G27" s="431" t="s">
        <v>41</v>
      </c>
      <c r="H27" s="431" t="s">
        <v>42</v>
      </c>
      <c r="I27" s="431" t="s">
        <v>43</v>
      </c>
      <c r="J27" s="431" t="s">
        <v>44</v>
      </c>
      <c r="K27" s="431" t="s">
        <v>45</v>
      </c>
      <c r="L27" s="431" t="s">
        <v>46</v>
      </c>
      <c r="M27" s="431" t="s">
        <v>47</v>
      </c>
      <c r="N27" s="431" t="s">
        <v>48</v>
      </c>
      <c r="O27" s="432" t="s">
        <v>49</v>
      </c>
      <c r="P27" s="433" t="s">
        <v>108</v>
      </c>
      <c r="Q27" s="380" t="s">
        <v>107</v>
      </c>
    </row>
    <row r="28" spans="2:17" x14ac:dyDescent="0.25">
      <c r="B28" s="936" t="s">
        <v>99</v>
      </c>
      <c r="C28" s="136" t="s">
        <v>100</v>
      </c>
      <c r="D28" s="130">
        <v>2000</v>
      </c>
      <c r="E28" s="119">
        <v>0</v>
      </c>
      <c r="F28" s="130">
        <v>2000</v>
      </c>
      <c r="G28" s="119">
        <v>0</v>
      </c>
      <c r="H28" s="130">
        <v>2000</v>
      </c>
      <c r="I28" s="119">
        <v>0</v>
      </c>
      <c r="J28" s="130">
        <v>2000</v>
      </c>
      <c r="K28" s="119">
        <v>0</v>
      </c>
      <c r="L28" s="130">
        <v>2000</v>
      </c>
      <c r="M28" s="119">
        <v>0</v>
      </c>
      <c r="N28" s="130">
        <v>2000</v>
      </c>
      <c r="O28" s="120">
        <v>0</v>
      </c>
      <c r="P28" s="421">
        <f t="shared" ref="P28:P33" si="5">SUM(D28:O28)</f>
        <v>12000</v>
      </c>
      <c r="Q28" s="121"/>
    </row>
    <row r="29" spans="2:17" x14ac:dyDescent="0.25">
      <c r="B29" s="940"/>
      <c r="C29" s="137" t="s">
        <v>102</v>
      </c>
      <c r="D29" s="131">
        <v>13000</v>
      </c>
      <c r="E29" s="131">
        <v>13000</v>
      </c>
      <c r="F29" s="131">
        <v>13000</v>
      </c>
      <c r="G29" s="131">
        <v>13000</v>
      </c>
      <c r="H29" s="131">
        <v>13000</v>
      </c>
      <c r="I29" s="131">
        <v>13000</v>
      </c>
      <c r="J29" s="131">
        <v>13000</v>
      </c>
      <c r="K29" s="131">
        <v>13000</v>
      </c>
      <c r="L29" s="131">
        <v>13000</v>
      </c>
      <c r="M29" s="131">
        <v>13000</v>
      </c>
      <c r="N29" s="131">
        <v>13000</v>
      </c>
      <c r="O29" s="131">
        <v>13000</v>
      </c>
      <c r="P29" s="422">
        <f t="shared" si="5"/>
        <v>156000</v>
      </c>
      <c r="Q29" s="113"/>
    </row>
    <row r="30" spans="2:17" x14ac:dyDescent="0.25">
      <c r="B30" s="940"/>
      <c r="C30" s="137" t="s">
        <v>101</v>
      </c>
      <c r="D30" s="131">
        <v>1500</v>
      </c>
      <c r="E30" s="131">
        <v>1500</v>
      </c>
      <c r="F30" s="131">
        <v>1500</v>
      </c>
      <c r="G30" s="131">
        <v>1500</v>
      </c>
      <c r="H30" s="131">
        <v>1500</v>
      </c>
      <c r="I30" s="131">
        <v>1500</v>
      </c>
      <c r="J30" s="131">
        <v>1500</v>
      </c>
      <c r="K30" s="131">
        <v>1500</v>
      </c>
      <c r="L30" s="131">
        <v>1500</v>
      </c>
      <c r="M30" s="131">
        <v>1500</v>
      </c>
      <c r="N30" s="131">
        <v>1500</v>
      </c>
      <c r="O30" s="131">
        <v>1500</v>
      </c>
      <c r="P30" s="422">
        <f t="shared" si="5"/>
        <v>18000</v>
      </c>
      <c r="Q30" s="113"/>
    </row>
    <row r="31" spans="2:17" x14ac:dyDescent="0.25">
      <c r="B31" s="940"/>
      <c r="C31" s="137" t="s">
        <v>109</v>
      </c>
      <c r="D31" s="131">
        <v>390</v>
      </c>
      <c r="E31" s="110">
        <v>390</v>
      </c>
      <c r="F31" s="110">
        <v>390</v>
      </c>
      <c r="G31" s="110">
        <v>390</v>
      </c>
      <c r="H31" s="110">
        <v>390</v>
      </c>
      <c r="I31" s="110">
        <v>390</v>
      </c>
      <c r="J31" s="110">
        <v>390</v>
      </c>
      <c r="K31" s="110">
        <v>390</v>
      </c>
      <c r="L31" s="110">
        <v>390</v>
      </c>
      <c r="M31" s="110">
        <v>390</v>
      </c>
      <c r="N31" s="110">
        <v>390</v>
      </c>
      <c r="O31" s="112">
        <v>390</v>
      </c>
      <c r="P31" s="422">
        <f t="shared" si="5"/>
        <v>4680</v>
      </c>
      <c r="Q31" s="114"/>
    </row>
    <row r="32" spans="2:17" x14ac:dyDescent="0.25">
      <c r="B32" s="940"/>
      <c r="C32" s="138" t="s">
        <v>110</v>
      </c>
      <c r="D32" s="131">
        <v>1800</v>
      </c>
      <c r="E32" s="131">
        <v>1800</v>
      </c>
      <c r="F32" s="131">
        <v>1800</v>
      </c>
      <c r="G32" s="131">
        <v>1800</v>
      </c>
      <c r="H32" s="131">
        <v>1800</v>
      </c>
      <c r="I32" s="131">
        <v>1800</v>
      </c>
      <c r="J32" s="131">
        <v>1800</v>
      </c>
      <c r="K32" s="131">
        <v>1800</v>
      </c>
      <c r="L32" s="131">
        <v>1800</v>
      </c>
      <c r="M32" s="131">
        <v>1800</v>
      </c>
      <c r="N32" s="131">
        <v>1800</v>
      </c>
      <c r="O32" s="131">
        <v>1800</v>
      </c>
      <c r="P32" s="422">
        <f t="shared" si="5"/>
        <v>21600</v>
      </c>
      <c r="Q32" s="115"/>
    </row>
    <row r="33" spans="2:17" ht="15.75" thickBot="1" x14ac:dyDescent="0.3">
      <c r="B33" s="937"/>
      <c r="C33" s="139" t="s">
        <v>111</v>
      </c>
      <c r="D33" s="132">
        <v>3000</v>
      </c>
      <c r="E33" s="132">
        <v>3000</v>
      </c>
      <c r="F33" s="132">
        <v>3000</v>
      </c>
      <c r="G33" s="132">
        <v>3000</v>
      </c>
      <c r="H33" s="132">
        <v>3000</v>
      </c>
      <c r="I33" s="132">
        <v>3000</v>
      </c>
      <c r="J33" s="132">
        <v>3000</v>
      </c>
      <c r="K33" s="132">
        <v>3000</v>
      </c>
      <c r="L33" s="132">
        <v>3000</v>
      </c>
      <c r="M33" s="132">
        <v>3000</v>
      </c>
      <c r="N33" s="132">
        <v>3000</v>
      </c>
      <c r="O33" s="132">
        <v>3000</v>
      </c>
      <c r="P33" s="423">
        <f t="shared" si="5"/>
        <v>36000</v>
      </c>
      <c r="Q33" s="124"/>
    </row>
    <row r="34" spans="2:17" s="429" customFormat="1" ht="27.75" customHeight="1" x14ac:dyDescent="0.25">
      <c r="B34" s="934" t="s">
        <v>103</v>
      </c>
      <c r="C34" s="434" t="s">
        <v>293</v>
      </c>
      <c r="D34" s="133">
        <f>$O$17*1.2</f>
        <v>115200</v>
      </c>
      <c r="E34" s="133">
        <f>D34</f>
        <v>115200</v>
      </c>
      <c r="F34" s="133">
        <f t="shared" ref="F34:I34" si="6">E34</f>
        <v>115200</v>
      </c>
      <c r="G34" s="133">
        <f t="shared" si="6"/>
        <v>115200</v>
      </c>
      <c r="H34" s="133">
        <f t="shared" si="6"/>
        <v>115200</v>
      </c>
      <c r="I34" s="133">
        <f t="shared" si="6"/>
        <v>115200</v>
      </c>
      <c r="J34" s="125">
        <f>$I$34*1.2</f>
        <v>138240</v>
      </c>
      <c r="K34" s="125">
        <f>J34</f>
        <v>138240</v>
      </c>
      <c r="L34" s="125">
        <f t="shared" ref="L34:O34" si="7">K34</f>
        <v>138240</v>
      </c>
      <c r="M34" s="125">
        <f t="shared" si="7"/>
        <v>138240</v>
      </c>
      <c r="N34" s="125">
        <f t="shared" si="7"/>
        <v>138240</v>
      </c>
      <c r="O34" s="125">
        <f t="shared" si="7"/>
        <v>138240</v>
      </c>
      <c r="P34" s="424">
        <f t="shared" ref="P34:P39" si="8">SUM(D34:O34)</f>
        <v>1520640</v>
      </c>
      <c r="Q34" s="126"/>
    </row>
    <row r="35" spans="2:17" s="429" customFormat="1" ht="27.75" customHeight="1" thickBot="1" x14ac:dyDescent="0.3">
      <c r="B35" s="943"/>
      <c r="C35" s="435" t="s">
        <v>112</v>
      </c>
      <c r="D35" s="476">
        <v>0</v>
      </c>
      <c r="E35" s="477">
        <v>0</v>
      </c>
      <c r="F35" s="477">
        <v>0</v>
      </c>
      <c r="G35" s="477">
        <v>0</v>
      </c>
      <c r="H35" s="477">
        <v>0</v>
      </c>
      <c r="I35" s="477">
        <v>0</v>
      </c>
      <c r="J35" s="477">
        <v>0</v>
      </c>
      <c r="K35" s="477">
        <v>0</v>
      </c>
      <c r="L35" s="477">
        <v>0</v>
      </c>
      <c r="M35" s="477">
        <v>0</v>
      </c>
      <c r="N35" s="477">
        <v>0</v>
      </c>
      <c r="O35" s="478">
        <v>0</v>
      </c>
      <c r="P35" s="436">
        <f t="shared" si="8"/>
        <v>0</v>
      </c>
      <c r="Q35" s="437"/>
    </row>
    <row r="36" spans="2:17" ht="19.5" customHeight="1" x14ac:dyDescent="0.25">
      <c r="B36" s="936" t="s">
        <v>104</v>
      </c>
      <c r="C36" s="485" t="s">
        <v>105</v>
      </c>
      <c r="D36" s="487">
        <v>8500</v>
      </c>
      <c r="E36" s="119">
        <v>8500</v>
      </c>
      <c r="F36" s="119">
        <v>8500</v>
      </c>
      <c r="G36" s="119">
        <v>8500</v>
      </c>
      <c r="H36" s="119">
        <v>8500</v>
      </c>
      <c r="I36" s="119">
        <v>8500</v>
      </c>
      <c r="J36" s="119">
        <v>8500</v>
      </c>
      <c r="K36" s="119">
        <v>8500</v>
      </c>
      <c r="L36" s="119">
        <v>8500</v>
      </c>
      <c r="M36" s="119">
        <v>8500</v>
      </c>
      <c r="N36" s="119">
        <v>8500</v>
      </c>
      <c r="O36" s="576">
        <v>8500</v>
      </c>
      <c r="P36" s="574">
        <f t="shared" si="8"/>
        <v>102000</v>
      </c>
      <c r="Q36" s="489"/>
    </row>
    <row r="37" spans="2:17" ht="18.75" customHeight="1" thickBot="1" x14ac:dyDescent="0.3">
      <c r="B37" s="937"/>
      <c r="C37" s="486" t="s">
        <v>314</v>
      </c>
      <c r="D37" s="488">
        <v>8500</v>
      </c>
      <c r="E37" s="122">
        <v>8500</v>
      </c>
      <c r="F37" s="122">
        <v>8500</v>
      </c>
      <c r="G37" s="122">
        <v>8500</v>
      </c>
      <c r="H37" s="122">
        <v>8500</v>
      </c>
      <c r="I37" s="122">
        <v>8500</v>
      </c>
      <c r="J37" s="122">
        <v>8500</v>
      </c>
      <c r="K37" s="122">
        <v>8500</v>
      </c>
      <c r="L37" s="122">
        <v>8500</v>
      </c>
      <c r="M37" s="122">
        <v>8500</v>
      </c>
      <c r="N37" s="122">
        <v>8500</v>
      </c>
      <c r="O37" s="577">
        <v>8500</v>
      </c>
      <c r="P37" s="575">
        <f t="shared" si="8"/>
        <v>102000</v>
      </c>
      <c r="Q37" s="490"/>
    </row>
    <row r="38" spans="2:17" ht="17.25" customHeight="1" x14ac:dyDescent="0.25">
      <c r="B38" s="941" t="s">
        <v>294</v>
      </c>
      <c r="C38" s="137" t="s">
        <v>113</v>
      </c>
      <c r="D38" s="482">
        <v>60000</v>
      </c>
      <c r="E38" s="482">
        <v>60000</v>
      </c>
      <c r="F38" s="482">
        <v>60000</v>
      </c>
      <c r="G38" s="482">
        <v>60000</v>
      </c>
      <c r="H38" s="482">
        <v>60000</v>
      </c>
      <c r="I38" s="482">
        <v>60000</v>
      </c>
      <c r="J38" s="482">
        <v>60000</v>
      </c>
      <c r="K38" s="482">
        <v>60000</v>
      </c>
      <c r="L38" s="482">
        <v>60000</v>
      </c>
      <c r="M38" s="482">
        <v>60000</v>
      </c>
      <c r="N38" s="482">
        <v>60000</v>
      </c>
      <c r="O38" s="482">
        <v>60000</v>
      </c>
      <c r="P38" s="422">
        <f t="shared" si="8"/>
        <v>720000</v>
      </c>
      <c r="Q38" s="114"/>
    </row>
    <row r="39" spans="2:17" ht="17.25" customHeight="1" thickBot="1" x14ac:dyDescent="0.3">
      <c r="B39" s="942"/>
      <c r="C39" s="139" t="s">
        <v>228</v>
      </c>
      <c r="D39" s="135">
        <v>50000</v>
      </c>
      <c r="E39" s="135">
        <v>50000</v>
      </c>
      <c r="F39" s="135">
        <v>50000</v>
      </c>
      <c r="G39" s="135">
        <v>50000</v>
      </c>
      <c r="H39" s="135">
        <v>50000</v>
      </c>
      <c r="I39" s="135">
        <v>50000</v>
      </c>
      <c r="J39" s="135">
        <v>50000</v>
      </c>
      <c r="K39" s="135">
        <v>50000</v>
      </c>
      <c r="L39" s="135">
        <v>50000</v>
      </c>
      <c r="M39" s="135">
        <v>50000</v>
      </c>
      <c r="N39" s="135">
        <v>50000</v>
      </c>
      <c r="O39" s="135">
        <v>50000</v>
      </c>
      <c r="P39" s="425">
        <f t="shared" si="8"/>
        <v>600000</v>
      </c>
      <c r="Q39" s="114"/>
    </row>
    <row r="40" spans="2:17" ht="15.75" thickBot="1" x14ac:dyDescent="0.3">
      <c r="B40" s="19"/>
      <c r="C40" s="426" t="s">
        <v>19</v>
      </c>
      <c r="D40" s="427">
        <f t="shared" ref="D40:P40" si="9">SUM(D28:D39)</f>
        <v>263890</v>
      </c>
      <c r="E40" s="427">
        <f t="shared" si="9"/>
        <v>261890</v>
      </c>
      <c r="F40" s="427">
        <f t="shared" si="9"/>
        <v>263890</v>
      </c>
      <c r="G40" s="427">
        <f t="shared" si="9"/>
        <v>261890</v>
      </c>
      <c r="H40" s="427">
        <f t="shared" si="9"/>
        <v>263890</v>
      </c>
      <c r="I40" s="427">
        <f t="shared" si="9"/>
        <v>261890</v>
      </c>
      <c r="J40" s="427">
        <f t="shared" si="9"/>
        <v>286930</v>
      </c>
      <c r="K40" s="427">
        <f t="shared" si="9"/>
        <v>284930</v>
      </c>
      <c r="L40" s="427">
        <f t="shared" si="9"/>
        <v>286930</v>
      </c>
      <c r="M40" s="427">
        <f t="shared" si="9"/>
        <v>284930</v>
      </c>
      <c r="N40" s="427">
        <f t="shared" si="9"/>
        <v>286930</v>
      </c>
      <c r="O40" s="428">
        <f t="shared" si="9"/>
        <v>284930</v>
      </c>
      <c r="P40" s="129">
        <f t="shared" si="9"/>
        <v>3292920</v>
      </c>
      <c r="Q40" s="111"/>
    </row>
    <row r="43" spans="2:17" ht="15.75" thickBot="1" x14ac:dyDescent="0.3"/>
    <row r="44" spans="2:17" ht="27" thickBot="1" x14ac:dyDescent="0.45">
      <c r="B44" s="824" t="s">
        <v>292</v>
      </c>
      <c r="C44" s="825"/>
      <c r="D44" s="825"/>
      <c r="E44" s="825"/>
      <c r="F44" s="825"/>
      <c r="G44" s="825"/>
      <c r="H44" s="825"/>
      <c r="I44" s="825"/>
      <c r="J44" s="825"/>
      <c r="K44" s="825"/>
      <c r="L44" s="825"/>
      <c r="M44" s="825"/>
      <c r="N44" s="825"/>
      <c r="O44" s="825"/>
      <c r="P44" s="825"/>
      <c r="Q44" s="826"/>
    </row>
    <row r="45" spans="2:17" s="429" customFormat="1" ht="19.5" thickBot="1" x14ac:dyDescent="0.3">
      <c r="B45" s="938" t="s">
        <v>106</v>
      </c>
      <c r="C45" s="939"/>
      <c r="D45" s="430" t="s">
        <v>38</v>
      </c>
      <c r="E45" s="431" t="s">
        <v>39</v>
      </c>
      <c r="F45" s="431" t="s">
        <v>40</v>
      </c>
      <c r="G45" s="431" t="s">
        <v>41</v>
      </c>
      <c r="H45" s="431" t="s">
        <v>42</v>
      </c>
      <c r="I45" s="431" t="s">
        <v>43</v>
      </c>
      <c r="J45" s="431" t="s">
        <v>44</v>
      </c>
      <c r="K45" s="431" t="s">
        <v>45</v>
      </c>
      <c r="L45" s="431" t="s">
        <v>46</v>
      </c>
      <c r="M45" s="431" t="s">
        <v>47</v>
      </c>
      <c r="N45" s="431" t="s">
        <v>48</v>
      </c>
      <c r="O45" s="432" t="s">
        <v>49</v>
      </c>
      <c r="P45" s="433" t="s">
        <v>108</v>
      </c>
      <c r="Q45" s="380" t="s">
        <v>107</v>
      </c>
    </row>
    <row r="46" spans="2:17" x14ac:dyDescent="0.25">
      <c r="B46" s="936" t="s">
        <v>99</v>
      </c>
      <c r="C46" s="136" t="s">
        <v>100</v>
      </c>
      <c r="D46" s="130">
        <v>2000</v>
      </c>
      <c r="E46" s="119">
        <v>0</v>
      </c>
      <c r="F46" s="130">
        <v>2000</v>
      </c>
      <c r="G46" s="119">
        <v>0</v>
      </c>
      <c r="H46" s="130">
        <v>2000</v>
      </c>
      <c r="I46" s="119">
        <v>0</v>
      </c>
      <c r="J46" s="130">
        <v>2000</v>
      </c>
      <c r="K46" s="119">
        <v>0</v>
      </c>
      <c r="L46" s="130">
        <v>2000</v>
      </c>
      <c r="M46" s="119">
        <v>0</v>
      </c>
      <c r="N46" s="130">
        <v>2000</v>
      </c>
      <c r="O46" s="120">
        <v>0</v>
      </c>
      <c r="P46" s="421">
        <f t="shared" ref="P46:P51" si="10">SUM(D46:O46)</f>
        <v>12000</v>
      </c>
      <c r="Q46" s="121"/>
    </row>
    <row r="47" spans="2:17" x14ac:dyDescent="0.25">
      <c r="B47" s="940"/>
      <c r="C47" s="137" t="s">
        <v>102</v>
      </c>
      <c r="D47" s="131">
        <v>13000</v>
      </c>
      <c r="E47" s="131">
        <v>13000</v>
      </c>
      <c r="F47" s="131">
        <v>13000</v>
      </c>
      <c r="G47" s="131">
        <v>13000</v>
      </c>
      <c r="H47" s="131">
        <v>13000</v>
      </c>
      <c r="I47" s="131">
        <v>13000</v>
      </c>
      <c r="J47" s="131">
        <v>13000</v>
      </c>
      <c r="K47" s="131">
        <v>13000</v>
      </c>
      <c r="L47" s="131">
        <v>13000</v>
      </c>
      <c r="M47" s="131">
        <v>13000</v>
      </c>
      <c r="N47" s="131">
        <v>13000</v>
      </c>
      <c r="O47" s="131">
        <v>13000</v>
      </c>
      <c r="P47" s="422">
        <f t="shared" si="10"/>
        <v>156000</v>
      </c>
      <c r="Q47" s="113"/>
    </row>
    <row r="48" spans="2:17" x14ac:dyDescent="0.25">
      <c r="B48" s="940"/>
      <c r="C48" s="137" t="s">
        <v>101</v>
      </c>
      <c r="D48" s="131">
        <v>1500</v>
      </c>
      <c r="E48" s="131">
        <v>1500</v>
      </c>
      <c r="F48" s="131">
        <v>1500</v>
      </c>
      <c r="G48" s="131">
        <v>1500</v>
      </c>
      <c r="H48" s="131">
        <v>1500</v>
      </c>
      <c r="I48" s="131">
        <v>1500</v>
      </c>
      <c r="J48" s="131">
        <v>1500</v>
      </c>
      <c r="K48" s="131">
        <v>1500</v>
      </c>
      <c r="L48" s="131">
        <v>1500</v>
      </c>
      <c r="M48" s="131">
        <v>1500</v>
      </c>
      <c r="N48" s="131">
        <v>1500</v>
      </c>
      <c r="O48" s="131">
        <v>1500</v>
      </c>
      <c r="P48" s="422">
        <f t="shared" si="10"/>
        <v>18000</v>
      </c>
      <c r="Q48" s="113"/>
    </row>
    <row r="49" spans="2:17" x14ac:dyDescent="0.25">
      <c r="B49" s="940"/>
      <c r="C49" s="137" t="s">
        <v>109</v>
      </c>
      <c r="D49" s="131">
        <v>390</v>
      </c>
      <c r="E49" s="110">
        <v>390</v>
      </c>
      <c r="F49" s="110">
        <v>390</v>
      </c>
      <c r="G49" s="110">
        <v>390</v>
      </c>
      <c r="H49" s="110">
        <v>390</v>
      </c>
      <c r="I49" s="110">
        <v>390</v>
      </c>
      <c r="J49" s="110">
        <v>390</v>
      </c>
      <c r="K49" s="110">
        <v>390</v>
      </c>
      <c r="L49" s="110">
        <v>390</v>
      </c>
      <c r="M49" s="110">
        <v>390</v>
      </c>
      <c r="N49" s="110">
        <v>390</v>
      </c>
      <c r="O49" s="112">
        <v>390</v>
      </c>
      <c r="P49" s="422">
        <f t="shared" si="10"/>
        <v>4680</v>
      </c>
      <c r="Q49" s="114"/>
    </row>
    <row r="50" spans="2:17" x14ac:dyDescent="0.25">
      <c r="B50" s="940"/>
      <c r="C50" s="138" t="s">
        <v>110</v>
      </c>
      <c r="D50" s="131">
        <v>1800</v>
      </c>
      <c r="E50" s="131">
        <v>1800</v>
      </c>
      <c r="F50" s="131">
        <v>1800</v>
      </c>
      <c r="G50" s="131">
        <v>1800</v>
      </c>
      <c r="H50" s="131">
        <v>1800</v>
      </c>
      <c r="I50" s="131">
        <v>1800</v>
      </c>
      <c r="J50" s="131">
        <v>1800</v>
      </c>
      <c r="K50" s="131">
        <v>1800</v>
      </c>
      <c r="L50" s="131">
        <v>1800</v>
      </c>
      <c r="M50" s="131">
        <v>1800</v>
      </c>
      <c r="N50" s="131">
        <v>1800</v>
      </c>
      <c r="O50" s="131">
        <v>1800</v>
      </c>
      <c r="P50" s="422">
        <f t="shared" si="10"/>
        <v>21600</v>
      </c>
      <c r="Q50" s="115"/>
    </row>
    <row r="51" spans="2:17" ht="15.75" thickBot="1" x14ac:dyDescent="0.3">
      <c r="B51" s="937"/>
      <c r="C51" s="139" t="s">
        <v>111</v>
      </c>
      <c r="D51" s="132">
        <v>3000</v>
      </c>
      <c r="E51" s="132">
        <v>3000</v>
      </c>
      <c r="F51" s="132">
        <v>3000</v>
      </c>
      <c r="G51" s="132">
        <v>3000</v>
      </c>
      <c r="H51" s="132">
        <v>3000</v>
      </c>
      <c r="I51" s="132">
        <v>3000</v>
      </c>
      <c r="J51" s="132">
        <v>3000</v>
      </c>
      <c r="K51" s="132">
        <v>3000</v>
      </c>
      <c r="L51" s="132">
        <v>3000</v>
      </c>
      <c r="M51" s="132">
        <v>3000</v>
      </c>
      <c r="N51" s="132">
        <v>3000</v>
      </c>
      <c r="O51" s="132">
        <v>3000</v>
      </c>
      <c r="P51" s="423">
        <f t="shared" si="10"/>
        <v>36000</v>
      </c>
      <c r="Q51" s="124"/>
    </row>
    <row r="52" spans="2:17" s="429" customFormat="1" ht="27.75" customHeight="1" x14ac:dyDescent="0.25">
      <c r="B52" s="934" t="s">
        <v>103</v>
      </c>
      <c r="C52" s="434" t="s">
        <v>293</v>
      </c>
      <c r="D52" s="133">
        <f>$O$34*1.2</f>
        <v>165888</v>
      </c>
      <c r="E52" s="133">
        <f>D52</f>
        <v>165888</v>
      </c>
      <c r="F52" s="133">
        <f t="shared" ref="F52:I52" si="11">E52</f>
        <v>165888</v>
      </c>
      <c r="G52" s="133">
        <f t="shared" si="11"/>
        <v>165888</v>
      </c>
      <c r="H52" s="133">
        <f t="shared" si="11"/>
        <v>165888</v>
      </c>
      <c r="I52" s="133">
        <f t="shared" si="11"/>
        <v>165888</v>
      </c>
      <c r="J52" s="125">
        <f>$I$52*1.2</f>
        <v>199065.60000000001</v>
      </c>
      <c r="K52" s="125">
        <f>J52</f>
        <v>199065.60000000001</v>
      </c>
      <c r="L52" s="125">
        <f t="shared" ref="L52:O52" si="12">K52</f>
        <v>199065.60000000001</v>
      </c>
      <c r="M52" s="125">
        <f t="shared" si="12"/>
        <v>199065.60000000001</v>
      </c>
      <c r="N52" s="125">
        <f t="shared" si="12"/>
        <v>199065.60000000001</v>
      </c>
      <c r="O52" s="125">
        <f t="shared" si="12"/>
        <v>199065.60000000001</v>
      </c>
      <c r="P52" s="424">
        <f t="shared" ref="P52:P57" si="13">SUM(D52:O52)</f>
        <v>2189721.6000000006</v>
      </c>
      <c r="Q52" s="126"/>
    </row>
    <row r="53" spans="2:17" s="429" customFormat="1" ht="27.75" customHeight="1" thickBot="1" x14ac:dyDescent="0.3">
      <c r="B53" s="943"/>
      <c r="C53" s="435" t="s">
        <v>112</v>
      </c>
      <c r="D53" s="476">
        <v>0</v>
      </c>
      <c r="E53" s="477">
        <v>0</v>
      </c>
      <c r="F53" s="477">
        <v>0</v>
      </c>
      <c r="G53" s="477">
        <v>0</v>
      </c>
      <c r="H53" s="477">
        <v>0</v>
      </c>
      <c r="I53" s="477">
        <v>0</v>
      </c>
      <c r="J53" s="477">
        <v>0</v>
      </c>
      <c r="K53" s="477">
        <v>0</v>
      </c>
      <c r="L53" s="477">
        <v>0</v>
      </c>
      <c r="M53" s="477">
        <v>0</v>
      </c>
      <c r="N53" s="477">
        <v>0</v>
      </c>
      <c r="O53" s="478">
        <v>0</v>
      </c>
      <c r="P53" s="436">
        <f t="shared" si="13"/>
        <v>0</v>
      </c>
      <c r="Q53" s="480"/>
    </row>
    <row r="54" spans="2:17" ht="19.5" customHeight="1" x14ac:dyDescent="0.25">
      <c r="B54" s="936" t="s">
        <v>104</v>
      </c>
      <c r="C54" s="485" t="s">
        <v>105</v>
      </c>
      <c r="D54" s="487">
        <v>8500</v>
      </c>
      <c r="E54" s="119">
        <v>8500</v>
      </c>
      <c r="F54" s="119">
        <v>8500</v>
      </c>
      <c r="G54" s="119">
        <v>8500</v>
      </c>
      <c r="H54" s="119">
        <v>8500</v>
      </c>
      <c r="I54" s="119">
        <v>8500</v>
      </c>
      <c r="J54" s="119">
        <v>8500</v>
      </c>
      <c r="K54" s="119">
        <v>8500</v>
      </c>
      <c r="L54" s="119">
        <v>8500</v>
      </c>
      <c r="M54" s="119">
        <v>8500</v>
      </c>
      <c r="N54" s="119">
        <v>8500</v>
      </c>
      <c r="O54" s="576">
        <v>8500</v>
      </c>
      <c r="P54" s="578">
        <f t="shared" si="13"/>
        <v>102000</v>
      </c>
      <c r="Q54" s="489"/>
    </row>
    <row r="55" spans="2:17" ht="18.75" customHeight="1" thickBot="1" x14ac:dyDescent="0.3">
      <c r="B55" s="937"/>
      <c r="C55" s="486" t="s">
        <v>314</v>
      </c>
      <c r="D55" s="488">
        <v>8500</v>
      </c>
      <c r="E55" s="122">
        <v>8500</v>
      </c>
      <c r="F55" s="122">
        <v>8500</v>
      </c>
      <c r="G55" s="122">
        <v>8500</v>
      </c>
      <c r="H55" s="122">
        <v>8500</v>
      </c>
      <c r="I55" s="122">
        <v>8500</v>
      </c>
      <c r="J55" s="122">
        <v>8500</v>
      </c>
      <c r="K55" s="122">
        <v>8500</v>
      </c>
      <c r="L55" s="122">
        <v>8500</v>
      </c>
      <c r="M55" s="122">
        <v>8500</v>
      </c>
      <c r="N55" s="122">
        <v>8500</v>
      </c>
      <c r="O55" s="577">
        <v>8500</v>
      </c>
      <c r="P55" s="579">
        <f t="shared" si="13"/>
        <v>102000</v>
      </c>
      <c r="Q55" s="490"/>
    </row>
    <row r="56" spans="2:17" ht="18" customHeight="1" x14ac:dyDescent="0.25">
      <c r="B56" s="941" t="s">
        <v>294</v>
      </c>
      <c r="C56" s="137" t="s">
        <v>113</v>
      </c>
      <c r="D56" s="482">
        <v>60000</v>
      </c>
      <c r="E56" s="482">
        <v>60000</v>
      </c>
      <c r="F56" s="482">
        <v>60000</v>
      </c>
      <c r="G56" s="482">
        <v>60000</v>
      </c>
      <c r="H56" s="482">
        <v>60000</v>
      </c>
      <c r="I56" s="482">
        <v>60000</v>
      </c>
      <c r="J56" s="482">
        <v>60000</v>
      </c>
      <c r="K56" s="482">
        <v>60000</v>
      </c>
      <c r="L56" s="482">
        <v>60000</v>
      </c>
      <c r="M56" s="482">
        <v>60000</v>
      </c>
      <c r="N56" s="482">
        <v>60000</v>
      </c>
      <c r="O56" s="482">
        <v>60000</v>
      </c>
      <c r="P56" s="422">
        <f t="shared" si="13"/>
        <v>720000</v>
      </c>
      <c r="Q56" s="484"/>
    </row>
    <row r="57" spans="2:17" ht="18" customHeight="1" thickBot="1" x14ac:dyDescent="0.3">
      <c r="B57" s="942"/>
      <c r="C57" s="139" t="s">
        <v>228</v>
      </c>
      <c r="D57" s="135">
        <v>50000</v>
      </c>
      <c r="E57" s="135">
        <v>50000</v>
      </c>
      <c r="F57" s="135">
        <v>50000</v>
      </c>
      <c r="G57" s="135">
        <v>50000</v>
      </c>
      <c r="H57" s="135">
        <v>50000</v>
      </c>
      <c r="I57" s="135">
        <v>50000</v>
      </c>
      <c r="J57" s="135">
        <v>50000</v>
      </c>
      <c r="K57" s="135">
        <v>50000</v>
      </c>
      <c r="L57" s="135">
        <v>50000</v>
      </c>
      <c r="M57" s="135">
        <v>50000</v>
      </c>
      <c r="N57" s="135">
        <v>50000</v>
      </c>
      <c r="O57" s="135">
        <v>50000</v>
      </c>
      <c r="P57" s="425">
        <f t="shared" si="13"/>
        <v>600000</v>
      </c>
      <c r="Q57" s="114"/>
    </row>
    <row r="58" spans="2:17" ht="15.75" thickBot="1" x14ac:dyDescent="0.3">
      <c r="B58" s="19"/>
      <c r="C58" s="426" t="s">
        <v>19</v>
      </c>
      <c r="D58" s="427">
        <f t="shared" ref="D58:P58" si="14">SUM(D46:D57)</f>
        <v>314578</v>
      </c>
      <c r="E58" s="427">
        <f t="shared" si="14"/>
        <v>312578</v>
      </c>
      <c r="F58" s="427">
        <f t="shared" si="14"/>
        <v>314578</v>
      </c>
      <c r="G58" s="427">
        <f t="shared" si="14"/>
        <v>312578</v>
      </c>
      <c r="H58" s="427">
        <f t="shared" si="14"/>
        <v>314578</v>
      </c>
      <c r="I58" s="427">
        <f t="shared" si="14"/>
        <v>312578</v>
      </c>
      <c r="J58" s="427">
        <f t="shared" si="14"/>
        <v>347755.6</v>
      </c>
      <c r="K58" s="427">
        <f t="shared" si="14"/>
        <v>345755.6</v>
      </c>
      <c r="L58" s="427">
        <f t="shared" si="14"/>
        <v>347755.6</v>
      </c>
      <c r="M58" s="427">
        <f t="shared" si="14"/>
        <v>345755.6</v>
      </c>
      <c r="N58" s="427">
        <f t="shared" si="14"/>
        <v>347755.6</v>
      </c>
      <c r="O58" s="428">
        <f t="shared" si="14"/>
        <v>345755.6</v>
      </c>
      <c r="P58" s="129">
        <f t="shared" si="14"/>
        <v>3962001.6000000006</v>
      </c>
      <c r="Q58" s="111"/>
    </row>
  </sheetData>
  <mergeCells count="20">
    <mergeCell ref="C3:E3"/>
    <mergeCell ref="B11:B16"/>
    <mergeCell ref="B56:B57"/>
    <mergeCell ref="G3:I3"/>
    <mergeCell ref="B38:B39"/>
    <mergeCell ref="B44:Q44"/>
    <mergeCell ref="B45:C45"/>
    <mergeCell ref="B46:B51"/>
    <mergeCell ref="B52:B53"/>
    <mergeCell ref="B21:B22"/>
    <mergeCell ref="B26:Q26"/>
    <mergeCell ref="B27:C27"/>
    <mergeCell ref="B28:B33"/>
    <mergeCell ref="B34:B35"/>
    <mergeCell ref="B17:B18"/>
    <mergeCell ref="B19:B20"/>
    <mergeCell ref="B36:B37"/>
    <mergeCell ref="B54:B55"/>
    <mergeCell ref="B9:Q9"/>
    <mergeCell ref="B10:C10"/>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74"/>
  <sheetViews>
    <sheetView zoomScale="70" zoomScaleNormal="70" workbookViewId="0">
      <pane xSplit="3" ySplit="1" topLeftCell="D2" activePane="bottomRight" state="frozen"/>
      <selection pane="topRight" activeCell="D1" sqref="D1"/>
      <selection pane="bottomLeft" activeCell="A2" sqref="A2"/>
      <selection pane="bottomRight" activeCell="AB44" sqref="AB44:AB46"/>
    </sheetView>
  </sheetViews>
  <sheetFormatPr defaultColWidth="11.42578125" defaultRowHeight="15" x14ac:dyDescent="0.25"/>
  <cols>
    <col min="1" max="1" width="17" style="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9" width="19" style="1" customWidth="1"/>
    <col min="10" max="10" width="19.42578125" style="1" bestFit="1" customWidth="1"/>
    <col min="11" max="11" width="16.28515625" style="1" bestFit="1" customWidth="1"/>
    <col min="12" max="12" width="11.42578125" style="1"/>
    <col min="13" max="13" width="16.28515625" style="1" bestFit="1" customWidth="1"/>
    <col min="14" max="14" width="11.42578125" style="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8.140625" style="1" customWidth="1"/>
    <col min="24" max="24" width="11.42578125" style="1"/>
    <col min="25" max="25" width="18.28515625" style="1" customWidth="1"/>
    <col min="26" max="26" width="11.42578125" style="1"/>
    <col min="27" max="27" width="21.7109375" style="1" customWidth="1"/>
    <col min="28" max="28" width="21.28515625" style="1" customWidth="1"/>
    <col min="29" max="16384" width="11.42578125" style="1"/>
  </cols>
  <sheetData>
    <row r="1" spans="1:10" s="415" customFormat="1" ht="58.5" customHeight="1" thickTop="1" thickBot="1" x14ac:dyDescent="0.3">
      <c r="A1" s="413"/>
      <c r="E1" s="491"/>
      <c r="F1" s="414" t="s">
        <v>5</v>
      </c>
      <c r="G1" s="416"/>
      <c r="H1" s="416"/>
    </row>
    <row r="2" spans="1:10" ht="15.75" thickTop="1" x14ac:dyDescent="0.25"/>
    <row r="3" spans="1:10" ht="15.75" thickBot="1" x14ac:dyDescent="0.3"/>
    <row r="4" spans="1:10" ht="27" thickBot="1" x14ac:dyDescent="0.45">
      <c r="B4" s="824" t="s">
        <v>32</v>
      </c>
      <c r="C4" s="825"/>
      <c r="D4" s="826"/>
      <c r="E4" s="35"/>
      <c r="H4" s="824" t="s">
        <v>115</v>
      </c>
      <c r="I4" s="825"/>
      <c r="J4" s="826"/>
    </row>
    <row r="5" spans="1:10" x14ac:dyDescent="0.25">
      <c r="B5" s="418">
        <v>2022</v>
      </c>
      <c r="C5" s="419">
        <v>2023</v>
      </c>
      <c r="D5" s="420">
        <v>2024</v>
      </c>
      <c r="E5" s="72"/>
      <c r="H5" s="418">
        <v>2022</v>
      </c>
      <c r="I5" s="419">
        <v>2023</v>
      </c>
      <c r="J5" s="420">
        <v>2024</v>
      </c>
    </row>
    <row r="6" spans="1:10" ht="15.75" thickBot="1" x14ac:dyDescent="0.3">
      <c r="B6" s="40">
        <f>'1️⃣ Hipótesis'!C24</f>
        <v>0.03</v>
      </c>
      <c r="C6" s="36">
        <f>'1️⃣ Hipótesis'!C25</f>
        <v>7.0000000000000007E-2</v>
      </c>
      <c r="D6" s="41">
        <f>'1️⃣ Hipótesis'!C26</f>
        <v>0.12</v>
      </c>
      <c r="E6" s="143"/>
      <c r="H6" s="42">
        <f>AB48</f>
        <v>931100</v>
      </c>
      <c r="I6" s="43">
        <f>AB61</f>
        <v>2879000</v>
      </c>
      <c r="J6" s="44">
        <f>AB74</f>
        <v>6043550</v>
      </c>
    </row>
    <row r="7" spans="1:10" ht="15.75" thickBot="1" x14ac:dyDescent="0.3">
      <c r="B7" s="42">
        <f>'1️⃣ Hipótesis'!D24</f>
        <v>18750000</v>
      </c>
      <c r="C7" s="43">
        <f>'1️⃣ Hipótesis'!D25</f>
        <v>43750000.000000007</v>
      </c>
      <c r="D7" s="44">
        <f>'1️⃣ Hipótesis'!D26</f>
        <v>75000000</v>
      </c>
      <c r="E7" s="140"/>
    </row>
    <row r="9" spans="1:10" ht="15.75" thickBot="1" x14ac:dyDescent="0.3"/>
    <row r="10" spans="1:10" ht="27" thickBot="1" x14ac:dyDescent="0.45">
      <c r="B10" s="824" t="s">
        <v>122</v>
      </c>
      <c r="C10" s="825"/>
      <c r="D10" s="825"/>
      <c r="E10" s="826"/>
    </row>
    <row r="11" spans="1:10" ht="27" thickBot="1" x14ac:dyDescent="0.45">
      <c r="B11" s="960" t="s">
        <v>283</v>
      </c>
      <c r="C11" s="961"/>
      <c r="D11" s="961"/>
      <c r="E11" s="962"/>
      <c r="F11" s="83"/>
    </row>
    <row r="12" spans="1:10" ht="15.75" x14ac:dyDescent="0.25">
      <c r="B12" s="494" t="s">
        <v>57</v>
      </c>
      <c r="C12" s="495" t="s">
        <v>53</v>
      </c>
      <c r="D12" s="495" t="s">
        <v>117</v>
      </c>
      <c r="E12" s="496" t="s">
        <v>116</v>
      </c>
    </row>
    <row r="13" spans="1:10" ht="15.75" x14ac:dyDescent="0.25">
      <c r="B13" s="146" t="s">
        <v>319</v>
      </c>
      <c r="C13" s="144">
        <v>1</v>
      </c>
      <c r="D13" s="145">
        <v>19000</v>
      </c>
      <c r="E13" s="147">
        <f>C13*D13</f>
        <v>19000</v>
      </c>
      <c r="I13" s="155"/>
      <c r="J13" s="536"/>
    </row>
    <row r="14" spans="1:10" ht="15.75" x14ac:dyDescent="0.25">
      <c r="B14" s="146" t="s">
        <v>320</v>
      </c>
      <c r="C14" s="144">
        <v>1</v>
      </c>
      <c r="D14" s="145">
        <v>10000</v>
      </c>
      <c r="E14" s="147">
        <f t="shared" ref="E14" si="0">C14*D14</f>
        <v>10000</v>
      </c>
      <c r="I14" s="155"/>
      <c r="J14" s="536"/>
    </row>
    <row r="15" spans="1:10" ht="15.75" x14ac:dyDescent="0.25">
      <c r="B15" s="146"/>
      <c r="C15" s="144"/>
      <c r="D15" s="145"/>
      <c r="E15" s="147"/>
      <c r="I15" s="155"/>
      <c r="J15" s="536"/>
    </row>
    <row r="16" spans="1:10" x14ac:dyDescent="0.25">
      <c r="B16" s="146"/>
      <c r="C16" s="144"/>
      <c r="D16" s="145"/>
      <c r="E16" s="147"/>
    </row>
    <row r="17" spans="2:6" x14ac:dyDescent="0.25">
      <c r="B17" s="146"/>
      <c r="C17" s="144"/>
      <c r="D17" s="145"/>
      <c r="E17" s="147"/>
    </row>
    <row r="18" spans="2:6" x14ac:dyDescent="0.25">
      <c r="B18" s="146"/>
      <c r="C18" s="144"/>
      <c r="D18" s="145"/>
      <c r="E18" s="147"/>
    </row>
    <row r="19" spans="2:6" ht="15.75" thickBot="1" x14ac:dyDescent="0.3">
      <c r="B19" s="148"/>
      <c r="C19" s="149"/>
      <c r="D19" s="150"/>
      <c r="E19" s="151"/>
    </row>
    <row r="20" spans="2:6" ht="16.5" thickBot="1" x14ac:dyDescent="0.3">
      <c r="D20" s="497" t="s">
        <v>19</v>
      </c>
      <c r="E20" s="156">
        <f>SUM(E13:E19)</f>
        <v>29000</v>
      </c>
    </row>
    <row r="21" spans="2:6" ht="15.75" thickBot="1" x14ac:dyDescent="0.3"/>
    <row r="22" spans="2:6" ht="27" thickBot="1" x14ac:dyDescent="0.45">
      <c r="B22" s="960" t="s">
        <v>233</v>
      </c>
      <c r="C22" s="961"/>
      <c r="D22" s="961"/>
      <c r="E22" s="962"/>
      <c r="F22" s="152"/>
    </row>
    <row r="23" spans="2:6" ht="15.75" x14ac:dyDescent="0.25">
      <c r="B23" s="494" t="s">
        <v>57</v>
      </c>
      <c r="C23" s="495" t="s">
        <v>53</v>
      </c>
      <c r="D23" s="495" t="s">
        <v>117</v>
      </c>
      <c r="E23" s="496" t="s">
        <v>116</v>
      </c>
      <c r="F23" s="153"/>
    </row>
    <row r="24" spans="2:6" ht="16.5" customHeight="1" x14ac:dyDescent="0.25">
      <c r="B24" s="146" t="s">
        <v>319</v>
      </c>
      <c r="C24" s="144">
        <v>1</v>
      </c>
      <c r="D24" s="145">
        <v>9000</v>
      </c>
      <c r="E24" s="147">
        <f>C24*D24</f>
        <v>9000</v>
      </c>
      <c r="F24" s="153"/>
    </row>
    <row r="25" spans="2:6" x14ac:dyDescent="0.25">
      <c r="B25" s="146" t="s">
        <v>320</v>
      </c>
      <c r="C25" s="144">
        <v>1</v>
      </c>
      <c r="D25" s="145">
        <v>3000</v>
      </c>
      <c r="E25" s="147">
        <f t="shared" ref="E25" si="1">C25*D25</f>
        <v>3000</v>
      </c>
      <c r="F25" s="153"/>
    </row>
    <row r="26" spans="2:6" x14ac:dyDescent="0.25">
      <c r="B26" s="146"/>
      <c r="C26" s="144"/>
      <c r="D26" s="145"/>
      <c r="E26" s="147"/>
      <c r="F26" s="153"/>
    </row>
    <row r="27" spans="2:6" x14ac:dyDescent="0.25">
      <c r="B27" s="146"/>
      <c r="C27" s="144"/>
      <c r="D27" s="145"/>
      <c r="E27" s="147"/>
      <c r="F27" s="153"/>
    </row>
    <row r="28" spans="2:6" x14ac:dyDescent="0.25">
      <c r="B28" s="146"/>
      <c r="C28" s="144"/>
      <c r="D28" s="145"/>
      <c r="E28" s="147"/>
      <c r="F28" s="153"/>
    </row>
    <row r="29" spans="2:6" x14ac:dyDescent="0.25">
      <c r="B29" s="146"/>
      <c r="C29" s="144"/>
      <c r="D29" s="145"/>
      <c r="E29" s="147"/>
      <c r="F29" s="153"/>
    </row>
    <row r="30" spans="2:6" x14ac:dyDescent="0.25">
      <c r="B30" s="146"/>
      <c r="C30" s="144"/>
      <c r="D30" s="145"/>
      <c r="E30" s="147"/>
      <c r="F30" s="153"/>
    </row>
    <row r="31" spans="2:6" x14ac:dyDescent="0.25">
      <c r="B31" s="146"/>
      <c r="C31" s="144"/>
      <c r="D31" s="145"/>
      <c r="E31" s="147"/>
      <c r="F31" s="153"/>
    </row>
    <row r="32" spans="2:6" ht="15.75" thickBot="1" x14ac:dyDescent="0.3">
      <c r="B32" s="148"/>
      <c r="C32" s="149"/>
      <c r="D32" s="150"/>
      <c r="E32" s="151"/>
      <c r="F32" s="154"/>
    </row>
    <row r="33" spans="1:28" ht="16.5" thickBot="1" x14ac:dyDescent="0.3">
      <c r="D33" s="497" t="s">
        <v>19</v>
      </c>
      <c r="E33" s="156">
        <f>SUM(E24:E32)</f>
        <v>12000</v>
      </c>
      <c r="F33" s="46"/>
    </row>
    <row r="34" spans="1:28" x14ac:dyDescent="0.25">
      <c r="B34" s="46"/>
      <c r="C34" s="46"/>
      <c r="D34" s="46"/>
      <c r="E34" s="46"/>
      <c r="F34" s="46"/>
    </row>
    <row r="37" spans="1:28" ht="15.75" thickBot="1" x14ac:dyDescent="0.3"/>
    <row r="38" spans="1:28" ht="27" thickBot="1" x14ac:dyDescent="0.45">
      <c r="B38" s="952" t="s">
        <v>316</v>
      </c>
      <c r="C38" s="953"/>
      <c r="D38" s="953"/>
      <c r="E38" s="953"/>
      <c r="F38" s="953"/>
      <c r="G38" s="953"/>
      <c r="H38" s="953"/>
      <c r="I38" s="953"/>
      <c r="J38" s="953"/>
      <c r="K38" s="953"/>
      <c r="L38" s="953"/>
      <c r="M38" s="953"/>
      <c r="N38" s="953"/>
      <c r="O38" s="953"/>
      <c r="P38" s="953"/>
      <c r="Q38" s="953"/>
      <c r="R38" s="953"/>
      <c r="S38" s="953"/>
      <c r="T38" s="953"/>
      <c r="U38" s="953"/>
      <c r="V38" s="953"/>
      <c r="W38" s="953"/>
      <c r="X38" s="953"/>
      <c r="Y38" s="953"/>
      <c r="Z38" s="953"/>
      <c r="AA38" s="953"/>
      <c r="AB38" s="954"/>
    </row>
    <row r="39" spans="1:28" x14ac:dyDescent="0.25">
      <c r="B39" s="955" t="s">
        <v>57</v>
      </c>
      <c r="C39" s="956"/>
      <c r="D39" s="951" t="s">
        <v>38</v>
      </c>
      <c r="E39" s="948"/>
      <c r="F39" s="947" t="s">
        <v>39</v>
      </c>
      <c r="G39" s="948"/>
      <c r="H39" s="947" t="s">
        <v>40</v>
      </c>
      <c r="I39" s="948"/>
      <c r="J39" s="947" t="s">
        <v>41</v>
      </c>
      <c r="K39" s="948"/>
      <c r="L39" s="947" t="s">
        <v>42</v>
      </c>
      <c r="M39" s="948"/>
      <c r="N39" s="947" t="s">
        <v>43</v>
      </c>
      <c r="O39" s="948"/>
      <c r="P39" s="947" t="s">
        <v>44</v>
      </c>
      <c r="Q39" s="948"/>
      <c r="R39" s="947" t="s">
        <v>45</v>
      </c>
      <c r="S39" s="948"/>
      <c r="T39" s="947" t="s">
        <v>46</v>
      </c>
      <c r="U39" s="948"/>
      <c r="V39" s="947" t="s">
        <v>47</v>
      </c>
      <c r="W39" s="948"/>
      <c r="X39" s="947" t="s">
        <v>48</v>
      </c>
      <c r="Y39" s="948"/>
      <c r="Z39" s="947" t="s">
        <v>49</v>
      </c>
      <c r="AA39" s="951"/>
      <c r="AB39" s="958" t="s">
        <v>19</v>
      </c>
    </row>
    <row r="40" spans="1:28" ht="15.75" thickBot="1" x14ac:dyDescent="0.3">
      <c r="B40" s="498" t="s">
        <v>81</v>
      </c>
      <c r="C40" s="499" t="s">
        <v>117</v>
      </c>
      <c r="D40" s="500" t="s">
        <v>53</v>
      </c>
      <c r="E40" s="501" t="s">
        <v>70</v>
      </c>
      <c r="F40" s="501" t="s">
        <v>53</v>
      </c>
      <c r="G40" s="501" t="s">
        <v>70</v>
      </c>
      <c r="H40" s="501" t="s">
        <v>53</v>
      </c>
      <c r="I40" s="501" t="s">
        <v>70</v>
      </c>
      <c r="J40" s="501" t="s">
        <v>53</v>
      </c>
      <c r="K40" s="501" t="s">
        <v>70</v>
      </c>
      <c r="L40" s="501" t="s">
        <v>53</v>
      </c>
      <c r="M40" s="501" t="s">
        <v>70</v>
      </c>
      <c r="N40" s="501" t="s">
        <v>53</v>
      </c>
      <c r="O40" s="501" t="s">
        <v>70</v>
      </c>
      <c r="P40" s="501" t="s">
        <v>53</v>
      </c>
      <c r="Q40" s="501" t="s">
        <v>70</v>
      </c>
      <c r="R40" s="501" t="s">
        <v>53</v>
      </c>
      <c r="S40" s="501" t="s">
        <v>70</v>
      </c>
      <c r="T40" s="501" t="s">
        <v>53</v>
      </c>
      <c r="U40" s="501" t="s">
        <v>70</v>
      </c>
      <c r="V40" s="501" t="s">
        <v>53</v>
      </c>
      <c r="W40" s="501" t="s">
        <v>70</v>
      </c>
      <c r="X40" s="501" t="s">
        <v>53</v>
      </c>
      <c r="Y40" s="501" t="s">
        <v>70</v>
      </c>
      <c r="Z40" s="501" t="s">
        <v>53</v>
      </c>
      <c r="AA40" s="502" t="s">
        <v>70</v>
      </c>
      <c r="AB40" s="958"/>
    </row>
    <row r="41" spans="1:28" x14ac:dyDescent="0.25">
      <c r="A41" s="949" t="s">
        <v>118</v>
      </c>
      <c r="B41" s="164" t="s">
        <v>283</v>
      </c>
      <c r="C41" s="165">
        <f>$E$20</f>
        <v>29000</v>
      </c>
      <c r="D41" s="166">
        <f>'2️⃣ Proy. ventas'!E28</f>
        <v>1</v>
      </c>
      <c r="E41" s="119">
        <f t="shared" ref="E41:E42" si="2">D41*C41</f>
        <v>29000</v>
      </c>
      <c r="F41" s="166">
        <f>'2️⃣ Proy. ventas'!G28</f>
        <v>0</v>
      </c>
      <c r="G41" s="119">
        <f t="shared" ref="G41:G46" si="3">F41*C41</f>
        <v>0</v>
      </c>
      <c r="H41" s="166">
        <f>'2️⃣ Proy. ventas'!I28</f>
        <v>1</v>
      </c>
      <c r="I41" s="119">
        <f t="shared" ref="I41:I46" si="4">H41*C41</f>
        <v>29000</v>
      </c>
      <c r="J41" s="166">
        <f>'2️⃣ Proy. ventas'!K28</f>
        <v>0</v>
      </c>
      <c r="K41" s="119">
        <f t="shared" ref="K41:K46" si="5">J41*C41</f>
        <v>0</v>
      </c>
      <c r="L41" s="166">
        <f>'2️⃣ Proy. ventas'!M28</f>
        <v>1</v>
      </c>
      <c r="M41" s="119">
        <f t="shared" ref="M41:M46" si="6">L41*C41</f>
        <v>29000</v>
      </c>
      <c r="N41" s="166">
        <f>'2️⃣ Proy. ventas'!O28</f>
        <v>0</v>
      </c>
      <c r="O41" s="119">
        <f t="shared" ref="O41:O46" si="7">N41*C41</f>
        <v>0</v>
      </c>
      <c r="P41" s="166">
        <f>'2️⃣ Proy. ventas'!Q28</f>
        <v>1</v>
      </c>
      <c r="Q41" s="119">
        <f t="shared" ref="Q41:Q46" si="8">P41*C41</f>
        <v>29000</v>
      </c>
      <c r="R41" s="166">
        <f>'2️⃣ Proy. ventas'!S28</f>
        <v>1</v>
      </c>
      <c r="S41" s="119">
        <f t="shared" ref="S41:S46" si="9">R41*C41</f>
        <v>29000</v>
      </c>
      <c r="T41" s="166">
        <f>'2️⃣ Proy. ventas'!U28</f>
        <v>0</v>
      </c>
      <c r="U41" s="119">
        <f t="shared" ref="U41:U46" si="10">T41*C41</f>
        <v>0</v>
      </c>
      <c r="V41" s="166">
        <f>'2️⃣ Proy. ventas'!W28</f>
        <v>1</v>
      </c>
      <c r="W41" s="119">
        <f t="shared" ref="W41:W46" si="11">V41*C41</f>
        <v>29000</v>
      </c>
      <c r="X41" s="166">
        <f>'2️⃣ Proy. ventas'!Y28</f>
        <v>0</v>
      </c>
      <c r="Y41" s="119">
        <f t="shared" ref="Y41:Y46" si="12">X41*C41</f>
        <v>0</v>
      </c>
      <c r="Z41" s="166">
        <f>'2️⃣ Proy. ventas'!AA28</f>
        <v>1</v>
      </c>
      <c r="AA41" s="120">
        <f t="shared" ref="AA41:AA46" si="13">Z41*C41</f>
        <v>29000</v>
      </c>
      <c r="AB41" s="503">
        <f>E41+G41+I41+K41+M41+O41+Q41+S41++U41+W41+Y41+AA41</f>
        <v>203000</v>
      </c>
    </row>
    <row r="42" spans="1:28" ht="15.75" thickBot="1" x14ac:dyDescent="0.3">
      <c r="A42" s="950"/>
      <c r="B42" s="161" t="s">
        <v>233</v>
      </c>
      <c r="C42" s="162">
        <f>$E$33</f>
        <v>12000</v>
      </c>
      <c r="D42" s="160">
        <f>'2️⃣ Proy. ventas'!E29</f>
        <v>1</v>
      </c>
      <c r="E42" s="110">
        <f t="shared" si="2"/>
        <v>12000</v>
      </c>
      <c r="F42" s="160">
        <f>'2️⃣ Proy. ventas'!G29</f>
        <v>1</v>
      </c>
      <c r="G42" s="110">
        <f t="shared" si="3"/>
        <v>12000</v>
      </c>
      <c r="H42" s="160">
        <f>'2️⃣ Proy. ventas'!I29</f>
        <v>2</v>
      </c>
      <c r="I42" s="110">
        <f t="shared" si="4"/>
        <v>24000</v>
      </c>
      <c r="J42" s="160">
        <f>'2️⃣ Proy. ventas'!K29</f>
        <v>2</v>
      </c>
      <c r="K42" s="110">
        <f t="shared" si="5"/>
        <v>24000</v>
      </c>
      <c r="L42" s="160">
        <f>'2️⃣ Proy. ventas'!M29</f>
        <v>3</v>
      </c>
      <c r="M42" s="110">
        <f t="shared" si="6"/>
        <v>36000</v>
      </c>
      <c r="N42" s="160">
        <f>'2️⃣ Proy. ventas'!O29</f>
        <v>3</v>
      </c>
      <c r="O42" s="110">
        <f t="shared" si="7"/>
        <v>36000</v>
      </c>
      <c r="P42" s="160">
        <f>'2️⃣ Proy. ventas'!Q29</f>
        <v>4</v>
      </c>
      <c r="Q42" s="110">
        <f t="shared" si="8"/>
        <v>48000</v>
      </c>
      <c r="R42" s="160">
        <f>'2️⃣ Proy. ventas'!S29</f>
        <v>5</v>
      </c>
      <c r="S42" s="110">
        <f t="shared" si="9"/>
        <v>60000</v>
      </c>
      <c r="T42" s="160">
        <f>'2️⃣ Proy. ventas'!U29</f>
        <v>5</v>
      </c>
      <c r="U42" s="110">
        <f t="shared" si="10"/>
        <v>60000</v>
      </c>
      <c r="V42" s="160">
        <f>'2️⃣ Proy. ventas'!W29</f>
        <v>6</v>
      </c>
      <c r="W42" s="110">
        <f t="shared" si="11"/>
        <v>72000</v>
      </c>
      <c r="X42" s="160">
        <f>'2️⃣ Proy. ventas'!Y29</f>
        <v>6</v>
      </c>
      <c r="Y42" s="110">
        <f t="shared" si="12"/>
        <v>72000</v>
      </c>
      <c r="Z42" s="160">
        <f>'2️⃣ Proy. ventas'!AA29</f>
        <v>7</v>
      </c>
      <c r="AA42" s="112">
        <f t="shared" si="13"/>
        <v>84000</v>
      </c>
      <c r="AB42" s="504">
        <f t="shared" ref="AB42:AB46" si="14">E42+G42+I42+K42+M42+O42+Q42+S42++U42+W42+Y42+AA42</f>
        <v>540000</v>
      </c>
    </row>
    <row r="43" spans="1:28" s="429" customFormat="1" ht="33.75" customHeight="1" thickBot="1" x14ac:dyDescent="0.3">
      <c r="A43" s="492" t="s">
        <v>119</v>
      </c>
      <c r="B43" s="170" t="s">
        <v>321</v>
      </c>
      <c r="C43" s="515">
        <v>500</v>
      </c>
      <c r="D43" s="516">
        <v>10</v>
      </c>
      <c r="E43" s="517">
        <f>D43*C43</f>
        <v>5000</v>
      </c>
      <c r="F43" s="516">
        <v>10</v>
      </c>
      <c r="G43" s="517">
        <f t="shared" si="3"/>
        <v>5000</v>
      </c>
      <c r="H43" s="516">
        <v>10</v>
      </c>
      <c r="I43" s="517">
        <f t="shared" si="4"/>
        <v>5000</v>
      </c>
      <c r="J43" s="516">
        <v>10</v>
      </c>
      <c r="K43" s="517">
        <f t="shared" si="5"/>
        <v>5000</v>
      </c>
      <c r="L43" s="516">
        <v>10</v>
      </c>
      <c r="M43" s="517">
        <f t="shared" si="6"/>
        <v>5000</v>
      </c>
      <c r="N43" s="516">
        <v>10</v>
      </c>
      <c r="O43" s="517">
        <f t="shared" si="7"/>
        <v>5000</v>
      </c>
      <c r="P43" s="516">
        <v>10</v>
      </c>
      <c r="Q43" s="517">
        <f t="shared" si="8"/>
        <v>5000</v>
      </c>
      <c r="R43" s="516">
        <v>10</v>
      </c>
      <c r="S43" s="517">
        <f t="shared" si="9"/>
        <v>5000</v>
      </c>
      <c r="T43" s="516">
        <v>10</v>
      </c>
      <c r="U43" s="517">
        <f t="shared" si="10"/>
        <v>5000</v>
      </c>
      <c r="V43" s="516">
        <v>10</v>
      </c>
      <c r="W43" s="517">
        <f t="shared" si="11"/>
        <v>5000</v>
      </c>
      <c r="X43" s="516">
        <v>10</v>
      </c>
      <c r="Y43" s="517">
        <f t="shared" si="12"/>
        <v>5000</v>
      </c>
      <c r="Z43" s="516">
        <v>10</v>
      </c>
      <c r="AA43" s="518">
        <f t="shared" si="13"/>
        <v>5000</v>
      </c>
      <c r="AB43" s="519">
        <f t="shared" si="14"/>
        <v>60000</v>
      </c>
    </row>
    <row r="44" spans="1:28" s="429" customFormat="1" ht="18" customHeight="1" x14ac:dyDescent="0.25">
      <c r="A44" s="945" t="s">
        <v>315</v>
      </c>
      <c r="B44" s="527" t="s">
        <v>323</v>
      </c>
      <c r="C44" s="528">
        <f>C41*0.5</f>
        <v>14500</v>
      </c>
      <c r="D44" s="529">
        <v>1</v>
      </c>
      <c r="E44" s="530">
        <f>D44*C44</f>
        <v>14500</v>
      </c>
      <c r="F44" s="531">
        <v>0</v>
      </c>
      <c r="G44" s="530">
        <f t="shared" si="3"/>
        <v>0</v>
      </c>
      <c r="H44" s="531">
        <v>0</v>
      </c>
      <c r="I44" s="530">
        <f t="shared" si="4"/>
        <v>0</v>
      </c>
      <c r="J44" s="531">
        <v>0</v>
      </c>
      <c r="K44" s="530">
        <f t="shared" si="5"/>
        <v>0</v>
      </c>
      <c r="L44" s="531">
        <v>0</v>
      </c>
      <c r="M44" s="530">
        <f t="shared" si="6"/>
        <v>0</v>
      </c>
      <c r="N44" s="531">
        <v>0</v>
      </c>
      <c r="O44" s="530">
        <f t="shared" si="7"/>
        <v>0</v>
      </c>
      <c r="P44" s="531">
        <v>1</v>
      </c>
      <c r="Q44" s="530">
        <f t="shared" si="8"/>
        <v>14500</v>
      </c>
      <c r="R44" s="531">
        <v>0</v>
      </c>
      <c r="S44" s="530">
        <f t="shared" si="9"/>
        <v>0</v>
      </c>
      <c r="T44" s="531">
        <v>0</v>
      </c>
      <c r="U44" s="530">
        <f t="shared" si="10"/>
        <v>0</v>
      </c>
      <c r="V44" s="531">
        <v>1</v>
      </c>
      <c r="W44" s="530">
        <f t="shared" si="11"/>
        <v>14500</v>
      </c>
      <c r="X44" s="531">
        <v>0</v>
      </c>
      <c r="Y44" s="530">
        <f t="shared" si="12"/>
        <v>0</v>
      </c>
      <c r="Z44" s="531">
        <v>0</v>
      </c>
      <c r="AA44" s="532">
        <f t="shared" si="13"/>
        <v>0</v>
      </c>
      <c r="AB44" s="537">
        <f t="shared" si="14"/>
        <v>43500</v>
      </c>
    </row>
    <row r="45" spans="1:28" s="429" customFormat="1" ht="17.25" customHeight="1" x14ac:dyDescent="0.25">
      <c r="A45" s="946"/>
      <c r="B45" s="190" t="s">
        <v>368</v>
      </c>
      <c r="C45" s="521">
        <f>C41*0.5</f>
        <v>14500</v>
      </c>
      <c r="D45" s="522">
        <v>0</v>
      </c>
      <c r="E45" s="523">
        <f>D45*C45</f>
        <v>0</v>
      </c>
      <c r="F45" s="524">
        <v>0</v>
      </c>
      <c r="G45" s="523">
        <f t="shared" si="3"/>
        <v>0</v>
      </c>
      <c r="H45" s="524">
        <v>1</v>
      </c>
      <c r="I45" s="523">
        <f t="shared" si="4"/>
        <v>14500</v>
      </c>
      <c r="J45" s="524">
        <v>0</v>
      </c>
      <c r="K45" s="523">
        <f t="shared" si="5"/>
        <v>0</v>
      </c>
      <c r="L45" s="524">
        <v>1</v>
      </c>
      <c r="M45" s="523">
        <f t="shared" si="6"/>
        <v>14500</v>
      </c>
      <c r="N45" s="524">
        <v>0</v>
      </c>
      <c r="O45" s="523">
        <f t="shared" si="7"/>
        <v>0</v>
      </c>
      <c r="P45" s="524">
        <v>0</v>
      </c>
      <c r="Q45" s="523">
        <f t="shared" si="8"/>
        <v>0</v>
      </c>
      <c r="R45" s="524">
        <v>1</v>
      </c>
      <c r="S45" s="523">
        <f t="shared" si="9"/>
        <v>14500</v>
      </c>
      <c r="T45" s="524">
        <v>0</v>
      </c>
      <c r="U45" s="523">
        <f t="shared" si="10"/>
        <v>0</v>
      </c>
      <c r="V45" s="524">
        <v>0</v>
      </c>
      <c r="W45" s="523">
        <f t="shared" si="11"/>
        <v>0</v>
      </c>
      <c r="X45" s="524">
        <v>0</v>
      </c>
      <c r="Y45" s="523">
        <f t="shared" si="12"/>
        <v>0</v>
      </c>
      <c r="Z45" s="524">
        <v>1</v>
      </c>
      <c r="AA45" s="525">
        <f t="shared" si="13"/>
        <v>14500</v>
      </c>
      <c r="AB45" s="526">
        <f t="shared" si="14"/>
        <v>58000</v>
      </c>
    </row>
    <row r="46" spans="1:28" s="429" customFormat="1" ht="33.75" customHeight="1" thickBot="1" x14ac:dyDescent="0.3">
      <c r="A46" s="946"/>
      <c r="B46" s="163" t="s">
        <v>369</v>
      </c>
      <c r="C46" s="521">
        <f>C42*0.5</f>
        <v>6000</v>
      </c>
      <c r="D46" s="522">
        <v>0</v>
      </c>
      <c r="E46" s="523">
        <f>D46*C46</f>
        <v>0</v>
      </c>
      <c r="F46" s="524">
        <v>1</v>
      </c>
      <c r="G46" s="523">
        <f t="shared" si="3"/>
        <v>6000</v>
      </c>
      <c r="H46" s="524">
        <v>1</v>
      </c>
      <c r="I46" s="523">
        <f t="shared" si="4"/>
        <v>6000</v>
      </c>
      <c r="J46" s="524">
        <v>0</v>
      </c>
      <c r="K46" s="523">
        <f t="shared" si="5"/>
        <v>0</v>
      </c>
      <c r="L46" s="524">
        <v>0</v>
      </c>
      <c r="M46" s="523">
        <f t="shared" si="6"/>
        <v>0</v>
      </c>
      <c r="N46" s="524">
        <v>0</v>
      </c>
      <c r="O46" s="523">
        <f t="shared" si="7"/>
        <v>0</v>
      </c>
      <c r="P46" s="524">
        <v>0</v>
      </c>
      <c r="Q46" s="523">
        <f t="shared" si="8"/>
        <v>0</v>
      </c>
      <c r="R46" s="524">
        <v>0</v>
      </c>
      <c r="S46" s="523">
        <f t="shared" si="9"/>
        <v>0</v>
      </c>
      <c r="T46" s="524">
        <v>1</v>
      </c>
      <c r="U46" s="523">
        <f t="shared" si="10"/>
        <v>6000</v>
      </c>
      <c r="V46" s="524">
        <v>1</v>
      </c>
      <c r="W46" s="523">
        <f t="shared" si="11"/>
        <v>6000</v>
      </c>
      <c r="X46" s="524">
        <v>0</v>
      </c>
      <c r="Y46" s="523">
        <f t="shared" si="12"/>
        <v>0</v>
      </c>
      <c r="Z46" s="524">
        <v>0</v>
      </c>
      <c r="AA46" s="525">
        <f t="shared" si="13"/>
        <v>0</v>
      </c>
      <c r="AB46" s="538">
        <f t="shared" si="14"/>
        <v>24000</v>
      </c>
    </row>
    <row r="47" spans="1:28" s="429" customFormat="1" ht="28.9" customHeight="1" thickBot="1" x14ac:dyDescent="0.3">
      <c r="A47" s="492" t="s">
        <v>120</v>
      </c>
      <c r="B47" s="520" t="s">
        <v>322</v>
      </c>
      <c r="C47" s="539">
        <v>50</v>
      </c>
      <c r="D47" s="540">
        <f>SUM(D41:D42)</f>
        <v>2</v>
      </c>
      <c r="E47" s="541">
        <f>D47*C47</f>
        <v>100</v>
      </c>
      <c r="F47" s="540">
        <f>SUM(F41:F42)</f>
        <v>1</v>
      </c>
      <c r="G47" s="541">
        <f>F47*$C$47</f>
        <v>50</v>
      </c>
      <c r="H47" s="540">
        <f>SUM(H41:H42)</f>
        <v>3</v>
      </c>
      <c r="I47" s="541">
        <f>H47*$C$47</f>
        <v>150</v>
      </c>
      <c r="J47" s="540">
        <f>SUM(J41:J42)</f>
        <v>2</v>
      </c>
      <c r="K47" s="541">
        <f>J47*$C$47</f>
        <v>100</v>
      </c>
      <c r="L47" s="540">
        <f>SUM(L41:L42)</f>
        <v>4</v>
      </c>
      <c r="M47" s="541">
        <f>L47*$C$47</f>
        <v>200</v>
      </c>
      <c r="N47" s="540">
        <f>SUM(N41:N42)</f>
        <v>3</v>
      </c>
      <c r="O47" s="541">
        <f>N47*$C$47</f>
        <v>150</v>
      </c>
      <c r="P47" s="540">
        <f>SUM(P41:P42)</f>
        <v>5</v>
      </c>
      <c r="Q47" s="541">
        <f>P47*$C$47</f>
        <v>250</v>
      </c>
      <c r="R47" s="540">
        <f>SUM(R41:R42)</f>
        <v>6</v>
      </c>
      <c r="S47" s="541">
        <f>R47*$C$47</f>
        <v>300</v>
      </c>
      <c r="T47" s="540">
        <f>SUM(T41:T42)</f>
        <v>5</v>
      </c>
      <c r="U47" s="541">
        <f>T47*$C$47</f>
        <v>250</v>
      </c>
      <c r="V47" s="540">
        <f>SUM(V41:V42)</f>
        <v>7</v>
      </c>
      <c r="W47" s="541">
        <f>V47*$C$47</f>
        <v>350</v>
      </c>
      <c r="X47" s="540">
        <f>SUM(X41:X42)</f>
        <v>6</v>
      </c>
      <c r="Y47" s="541">
        <f>X47*$C$47</f>
        <v>300</v>
      </c>
      <c r="Z47" s="540">
        <f>SUM(Z41:Z42)</f>
        <v>8</v>
      </c>
      <c r="AA47" s="541">
        <f>Z47*$C$47</f>
        <v>400</v>
      </c>
      <c r="AB47" s="535">
        <f>E47+G47+I47+K47+M47+O47+Q47+S47+U47+W47+Y47+AA47</f>
        <v>2600</v>
      </c>
    </row>
    <row r="48" spans="1:28" ht="15.75" thickBot="1" x14ac:dyDescent="0.3">
      <c r="B48" s="508" t="s">
        <v>121</v>
      </c>
      <c r="C48" s="171"/>
      <c r="D48" s="172"/>
      <c r="E48" s="507">
        <f>SUM(E41:E47)</f>
        <v>60600</v>
      </c>
      <c r="F48" s="174"/>
      <c r="G48" s="507">
        <f>SUM(G41:G47)</f>
        <v>23050</v>
      </c>
      <c r="H48" s="174"/>
      <c r="I48" s="507">
        <f>SUM(I41:I47)</f>
        <v>78650</v>
      </c>
      <c r="J48" s="174"/>
      <c r="K48" s="507">
        <f>SUM(K41:K47)</f>
        <v>29100</v>
      </c>
      <c r="L48" s="174"/>
      <c r="M48" s="507">
        <f>SUM(M41:M47)</f>
        <v>84700</v>
      </c>
      <c r="N48" s="172"/>
      <c r="O48" s="507">
        <f>SUM(O41:O47)</f>
        <v>41150</v>
      </c>
      <c r="P48" s="174"/>
      <c r="Q48" s="507">
        <f>SUM(Q41:Q47)</f>
        <v>96750</v>
      </c>
      <c r="R48" s="174"/>
      <c r="S48" s="507">
        <f>SUM(S41:S47)</f>
        <v>108800</v>
      </c>
      <c r="T48" s="174"/>
      <c r="U48" s="507">
        <f>SUM(U41:U47)</f>
        <v>71250</v>
      </c>
      <c r="V48" s="174"/>
      <c r="W48" s="507">
        <f>SUM(W41:W47)</f>
        <v>126850</v>
      </c>
      <c r="X48" s="174"/>
      <c r="Y48" s="507">
        <f>SUM(Y41:Y47)</f>
        <v>77300</v>
      </c>
      <c r="Z48" s="174"/>
      <c r="AA48" s="506">
        <f>SUM(AA41:AA47)</f>
        <v>132900</v>
      </c>
      <c r="AB48" s="173">
        <f>SUM(E48:AA48)</f>
        <v>931100</v>
      </c>
    </row>
    <row r="50" spans="1:28" ht="15.75" thickBot="1" x14ac:dyDescent="0.3"/>
    <row r="51" spans="1:28" ht="27" thickBot="1" x14ac:dyDescent="0.45">
      <c r="B51" s="952" t="s">
        <v>317</v>
      </c>
      <c r="C51" s="953"/>
      <c r="D51" s="953"/>
      <c r="E51" s="953"/>
      <c r="F51" s="953"/>
      <c r="G51" s="953"/>
      <c r="H51" s="953"/>
      <c r="I51" s="953"/>
      <c r="J51" s="953"/>
      <c r="K51" s="953"/>
      <c r="L51" s="953"/>
      <c r="M51" s="953"/>
      <c r="N51" s="953"/>
      <c r="O51" s="953"/>
      <c r="P51" s="953"/>
      <c r="Q51" s="953"/>
      <c r="R51" s="953"/>
      <c r="S51" s="953"/>
      <c r="T51" s="953"/>
      <c r="U51" s="953"/>
      <c r="V51" s="953"/>
      <c r="W51" s="953"/>
      <c r="X51" s="953"/>
      <c r="Y51" s="953"/>
      <c r="Z51" s="953"/>
      <c r="AA51" s="953"/>
      <c r="AB51" s="954"/>
    </row>
    <row r="52" spans="1:28" x14ac:dyDescent="0.25">
      <c r="B52" s="955" t="s">
        <v>57</v>
      </c>
      <c r="C52" s="956"/>
      <c r="D52" s="951" t="s">
        <v>38</v>
      </c>
      <c r="E52" s="948"/>
      <c r="F52" s="947" t="s">
        <v>39</v>
      </c>
      <c r="G52" s="948"/>
      <c r="H52" s="947" t="s">
        <v>40</v>
      </c>
      <c r="I52" s="948"/>
      <c r="J52" s="947" t="s">
        <v>41</v>
      </c>
      <c r="K52" s="948"/>
      <c r="L52" s="947" t="s">
        <v>42</v>
      </c>
      <c r="M52" s="948"/>
      <c r="N52" s="947" t="s">
        <v>43</v>
      </c>
      <c r="O52" s="948"/>
      <c r="P52" s="947" t="s">
        <v>44</v>
      </c>
      <c r="Q52" s="948"/>
      <c r="R52" s="947" t="s">
        <v>45</v>
      </c>
      <c r="S52" s="948"/>
      <c r="T52" s="947" t="s">
        <v>46</v>
      </c>
      <c r="U52" s="948"/>
      <c r="V52" s="947" t="s">
        <v>47</v>
      </c>
      <c r="W52" s="948"/>
      <c r="X52" s="947" t="s">
        <v>48</v>
      </c>
      <c r="Y52" s="948"/>
      <c r="Z52" s="947" t="s">
        <v>49</v>
      </c>
      <c r="AA52" s="951"/>
      <c r="AB52" s="957" t="s">
        <v>19</v>
      </c>
    </row>
    <row r="53" spans="1:28" ht="15.75" thickBot="1" x14ac:dyDescent="0.3">
      <c r="B53" s="498" t="s">
        <v>81</v>
      </c>
      <c r="C53" s="499" t="s">
        <v>117</v>
      </c>
      <c r="D53" s="500" t="s">
        <v>53</v>
      </c>
      <c r="E53" s="501" t="s">
        <v>70</v>
      </c>
      <c r="F53" s="501" t="s">
        <v>53</v>
      </c>
      <c r="G53" s="501" t="s">
        <v>70</v>
      </c>
      <c r="H53" s="501" t="s">
        <v>53</v>
      </c>
      <c r="I53" s="501" t="s">
        <v>70</v>
      </c>
      <c r="J53" s="501" t="s">
        <v>53</v>
      </c>
      <c r="K53" s="501" t="s">
        <v>70</v>
      </c>
      <c r="L53" s="501" t="s">
        <v>53</v>
      </c>
      <c r="M53" s="501" t="s">
        <v>70</v>
      </c>
      <c r="N53" s="501" t="s">
        <v>53</v>
      </c>
      <c r="O53" s="501" t="s">
        <v>70</v>
      </c>
      <c r="P53" s="501" t="s">
        <v>53</v>
      </c>
      <c r="Q53" s="501" t="s">
        <v>70</v>
      </c>
      <c r="R53" s="501" t="s">
        <v>53</v>
      </c>
      <c r="S53" s="501" t="s">
        <v>70</v>
      </c>
      <c r="T53" s="501" t="s">
        <v>53</v>
      </c>
      <c r="U53" s="501" t="s">
        <v>70</v>
      </c>
      <c r="V53" s="501" t="s">
        <v>53</v>
      </c>
      <c r="W53" s="501" t="s">
        <v>70</v>
      </c>
      <c r="X53" s="501" t="s">
        <v>53</v>
      </c>
      <c r="Y53" s="501" t="s">
        <v>70</v>
      </c>
      <c r="Z53" s="501" t="s">
        <v>53</v>
      </c>
      <c r="AA53" s="502" t="s">
        <v>70</v>
      </c>
      <c r="AB53" s="958"/>
    </row>
    <row r="54" spans="1:28" x14ac:dyDescent="0.25">
      <c r="A54" s="945" t="s">
        <v>118</v>
      </c>
      <c r="B54" s="164" t="s">
        <v>283</v>
      </c>
      <c r="C54" s="165">
        <f>$E$20</f>
        <v>29000</v>
      </c>
      <c r="D54" s="166">
        <f>'2️⃣ Proy. ventas'!E66</f>
        <v>1</v>
      </c>
      <c r="E54" s="119">
        <f t="shared" ref="E54:E59" si="15">D54*C54</f>
        <v>29000</v>
      </c>
      <c r="F54" s="166">
        <f>'2️⃣ Proy. ventas'!G66</f>
        <v>1</v>
      </c>
      <c r="G54" s="119">
        <f t="shared" ref="G54:G59" si="16">F54*C54</f>
        <v>29000</v>
      </c>
      <c r="H54" s="166">
        <f>'2️⃣ Proy. ventas'!I66</f>
        <v>1</v>
      </c>
      <c r="I54" s="119">
        <f t="shared" ref="I54:I59" si="17">H54*C54</f>
        <v>29000</v>
      </c>
      <c r="J54" s="166">
        <f>'2️⃣ Proy. ventas'!K66</f>
        <v>1</v>
      </c>
      <c r="K54" s="119">
        <f t="shared" ref="K54:K59" si="18">J54*C54</f>
        <v>29000</v>
      </c>
      <c r="L54" s="166">
        <f>'2️⃣ Proy. ventas'!M66</f>
        <v>1</v>
      </c>
      <c r="M54" s="119">
        <f t="shared" ref="M54:M59" si="19">L54*C54</f>
        <v>29000</v>
      </c>
      <c r="N54" s="166">
        <f>'2️⃣ Proy. ventas'!O66</f>
        <v>2</v>
      </c>
      <c r="O54" s="119">
        <f t="shared" ref="O54:O59" si="20">N54*C54</f>
        <v>58000</v>
      </c>
      <c r="P54" s="166">
        <f>'2️⃣ Proy. ventas'!Q66</f>
        <v>1</v>
      </c>
      <c r="Q54" s="119">
        <f t="shared" ref="Q54:Q59" si="21">P54*C54</f>
        <v>29000</v>
      </c>
      <c r="R54" s="166">
        <f>'2️⃣ Proy. ventas'!S66</f>
        <v>1</v>
      </c>
      <c r="S54" s="119">
        <f t="shared" ref="S54:S59" si="22">R54*C54</f>
        <v>29000</v>
      </c>
      <c r="T54" s="166">
        <f>'2️⃣ Proy. ventas'!U66</f>
        <v>1</v>
      </c>
      <c r="U54" s="119">
        <f t="shared" ref="U54:U59" si="23">T54*C54</f>
        <v>29000</v>
      </c>
      <c r="V54" s="166">
        <f>'2️⃣ Proy. ventas'!W66</f>
        <v>2</v>
      </c>
      <c r="W54" s="119">
        <f t="shared" ref="W54:W59" si="24">V54*C54</f>
        <v>58000</v>
      </c>
      <c r="X54" s="166">
        <f>'2️⃣ Proy. ventas'!Y66</f>
        <v>0</v>
      </c>
      <c r="Y54" s="119">
        <f t="shared" ref="Y54:Y59" si="25">X54*C54</f>
        <v>0</v>
      </c>
      <c r="Z54" s="166">
        <f>'2️⃣ Proy. ventas'!AA66</f>
        <v>2</v>
      </c>
      <c r="AA54" s="120">
        <f t="shared" ref="AA54:AA59" si="26">Z54*C54</f>
        <v>58000</v>
      </c>
      <c r="AB54" s="503">
        <f>E54+G54+I54+K54+M54+O54+Q54+S54++U54+W54+Y54+AA54</f>
        <v>406000</v>
      </c>
    </row>
    <row r="55" spans="1:28" ht="15.75" thickBot="1" x14ac:dyDescent="0.3">
      <c r="A55" s="959"/>
      <c r="B55" s="167" t="s">
        <v>233</v>
      </c>
      <c r="C55" s="168">
        <f>$E$33</f>
        <v>12000</v>
      </c>
      <c r="D55" s="169">
        <f>'2️⃣ Proy. ventas'!E67</f>
        <v>9</v>
      </c>
      <c r="E55" s="122">
        <f t="shared" si="15"/>
        <v>108000</v>
      </c>
      <c r="F55" s="169">
        <f>'2️⃣ Proy. ventas'!G67</f>
        <v>10</v>
      </c>
      <c r="G55" s="122">
        <f t="shared" si="16"/>
        <v>120000</v>
      </c>
      <c r="H55" s="169">
        <f>'2️⃣ Proy. ventas'!I67</f>
        <v>11</v>
      </c>
      <c r="I55" s="122">
        <f t="shared" si="17"/>
        <v>132000</v>
      </c>
      <c r="J55" s="169">
        <f>'2️⃣ Proy. ventas'!K67</f>
        <v>12</v>
      </c>
      <c r="K55" s="122">
        <f t="shared" si="18"/>
        <v>144000</v>
      </c>
      <c r="L55" s="169">
        <f>'2️⃣ Proy. ventas'!M67</f>
        <v>13</v>
      </c>
      <c r="M55" s="122">
        <f t="shared" si="19"/>
        <v>156000</v>
      </c>
      <c r="N55" s="169">
        <f>'2️⃣ Proy. ventas'!O67</f>
        <v>15</v>
      </c>
      <c r="O55" s="122">
        <f t="shared" si="20"/>
        <v>180000</v>
      </c>
      <c r="P55" s="169">
        <f>'2️⃣ Proy. ventas'!Q67</f>
        <v>16</v>
      </c>
      <c r="Q55" s="122">
        <f t="shared" si="21"/>
        <v>192000</v>
      </c>
      <c r="R55" s="169">
        <f>'2️⃣ Proy. ventas'!S67</f>
        <v>17</v>
      </c>
      <c r="S55" s="122">
        <f t="shared" si="22"/>
        <v>204000</v>
      </c>
      <c r="T55" s="169">
        <f>'2️⃣ Proy. ventas'!U67</f>
        <v>18</v>
      </c>
      <c r="U55" s="122">
        <f t="shared" si="23"/>
        <v>216000</v>
      </c>
      <c r="V55" s="169">
        <f>'2️⃣ Proy. ventas'!W67</f>
        <v>21</v>
      </c>
      <c r="W55" s="122">
        <f t="shared" si="24"/>
        <v>252000</v>
      </c>
      <c r="X55" s="169">
        <f>'2️⃣ Proy. ventas'!Y67</f>
        <v>21</v>
      </c>
      <c r="Y55" s="122">
        <f t="shared" si="25"/>
        <v>252000</v>
      </c>
      <c r="Z55" s="169">
        <f>'2️⃣ Proy. ventas'!AA67</f>
        <v>23</v>
      </c>
      <c r="AA55" s="123">
        <f t="shared" si="26"/>
        <v>276000</v>
      </c>
      <c r="AB55" s="505">
        <f t="shared" ref="AB55:AB59" si="27">E55+G55+I55+K55+M55+O55+Q55+S55++U55+W55+Y55+AA55</f>
        <v>2232000</v>
      </c>
    </row>
    <row r="56" spans="1:28" s="429" customFormat="1" ht="30.75" thickBot="1" x14ac:dyDescent="0.3">
      <c r="A56" s="493" t="s">
        <v>119</v>
      </c>
      <c r="B56" s="175" t="s">
        <v>321</v>
      </c>
      <c r="C56" s="533">
        <v>500</v>
      </c>
      <c r="D56" s="534">
        <v>15</v>
      </c>
      <c r="E56" s="473">
        <f t="shared" si="15"/>
        <v>7500</v>
      </c>
      <c r="F56" s="534">
        <v>15</v>
      </c>
      <c r="G56" s="473">
        <f t="shared" si="16"/>
        <v>7500</v>
      </c>
      <c r="H56" s="534">
        <v>15</v>
      </c>
      <c r="I56" s="473">
        <f t="shared" si="17"/>
        <v>7500</v>
      </c>
      <c r="J56" s="534">
        <v>15</v>
      </c>
      <c r="K56" s="473">
        <f t="shared" si="18"/>
        <v>7500</v>
      </c>
      <c r="L56" s="534">
        <v>15</v>
      </c>
      <c r="M56" s="473">
        <f t="shared" si="19"/>
        <v>7500</v>
      </c>
      <c r="N56" s="534">
        <v>15</v>
      </c>
      <c r="O56" s="473">
        <f t="shared" si="20"/>
        <v>7500</v>
      </c>
      <c r="P56" s="534">
        <v>15</v>
      </c>
      <c r="Q56" s="473">
        <f t="shared" si="21"/>
        <v>7500</v>
      </c>
      <c r="R56" s="534">
        <v>15</v>
      </c>
      <c r="S56" s="473">
        <f t="shared" si="22"/>
        <v>7500</v>
      </c>
      <c r="T56" s="534">
        <v>15</v>
      </c>
      <c r="U56" s="473">
        <f t="shared" si="23"/>
        <v>7500</v>
      </c>
      <c r="V56" s="534">
        <v>15</v>
      </c>
      <c r="W56" s="473">
        <f t="shared" si="24"/>
        <v>7500</v>
      </c>
      <c r="X56" s="534">
        <v>15</v>
      </c>
      <c r="Y56" s="473">
        <f t="shared" si="25"/>
        <v>7500</v>
      </c>
      <c r="Z56" s="534">
        <v>15</v>
      </c>
      <c r="AA56" s="474">
        <f t="shared" si="26"/>
        <v>7500</v>
      </c>
      <c r="AB56" s="535">
        <f t="shared" si="27"/>
        <v>90000</v>
      </c>
    </row>
    <row r="57" spans="1:28" ht="15" customHeight="1" x14ac:dyDescent="0.25">
      <c r="A57" s="945" t="s">
        <v>315</v>
      </c>
      <c r="B57" s="527" t="s">
        <v>323</v>
      </c>
      <c r="C57" s="528">
        <f>C54*0.5</f>
        <v>14500</v>
      </c>
      <c r="D57" s="159">
        <v>0</v>
      </c>
      <c r="E57" s="116">
        <f t="shared" si="15"/>
        <v>0</v>
      </c>
      <c r="F57" s="159">
        <v>0</v>
      </c>
      <c r="G57" s="116">
        <f t="shared" si="16"/>
        <v>0</v>
      </c>
      <c r="H57" s="158">
        <v>0</v>
      </c>
      <c r="I57" s="116">
        <f t="shared" si="17"/>
        <v>0</v>
      </c>
      <c r="J57" s="159">
        <v>0</v>
      </c>
      <c r="K57" s="116">
        <f t="shared" si="18"/>
        <v>0</v>
      </c>
      <c r="L57" s="159">
        <v>0</v>
      </c>
      <c r="M57" s="116">
        <f t="shared" si="19"/>
        <v>0</v>
      </c>
      <c r="N57" s="158">
        <v>0</v>
      </c>
      <c r="O57" s="116">
        <f t="shared" si="20"/>
        <v>0</v>
      </c>
      <c r="P57" s="158">
        <v>0</v>
      </c>
      <c r="Q57" s="116">
        <f t="shared" si="21"/>
        <v>0</v>
      </c>
      <c r="R57" s="158">
        <v>0</v>
      </c>
      <c r="S57" s="116">
        <f t="shared" si="22"/>
        <v>0</v>
      </c>
      <c r="T57" s="159">
        <v>0</v>
      </c>
      <c r="U57" s="116">
        <f t="shared" si="23"/>
        <v>0</v>
      </c>
      <c r="V57" s="158">
        <v>0</v>
      </c>
      <c r="W57" s="116">
        <f t="shared" si="24"/>
        <v>0</v>
      </c>
      <c r="X57" s="158">
        <v>0</v>
      </c>
      <c r="Y57" s="116">
        <f t="shared" si="25"/>
        <v>0</v>
      </c>
      <c r="Z57" s="159">
        <v>0</v>
      </c>
      <c r="AA57" s="117">
        <f t="shared" si="26"/>
        <v>0</v>
      </c>
      <c r="AB57" s="503">
        <f t="shared" si="27"/>
        <v>0</v>
      </c>
    </row>
    <row r="58" spans="1:28" x14ac:dyDescent="0.25">
      <c r="A58" s="946"/>
      <c r="B58" s="190" t="s">
        <v>368</v>
      </c>
      <c r="C58" s="521">
        <f>C54*0.5</f>
        <v>14500</v>
      </c>
      <c r="D58" s="160">
        <v>1</v>
      </c>
      <c r="E58" s="110">
        <f t="shared" si="15"/>
        <v>14500</v>
      </c>
      <c r="F58" s="160">
        <v>1</v>
      </c>
      <c r="G58" s="110">
        <f t="shared" si="16"/>
        <v>14500</v>
      </c>
      <c r="H58" s="157">
        <v>0</v>
      </c>
      <c r="I58" s="110">
        <f t="shared" si="17"/>
        <v>0</v>
      </c>
      <c r="J58" s="160">
        <v>1</v>
      </c>
      <c r="K58" s="110">
        <f t="shared" si="18"/>
        <v>14500</v>
      </c>
      <c r="L58" s="160">
        <v>0</v>
      </c>
      <c r="M58" s="110">
        <f t="shared" si="19"/>
        <v>0</v>
      </c>
      <c r="N58" s="157">
        <v>1</v>
      </c>
      <c r="O58" s="110">
        <f t="shared" si="20"/>
        <v>14500</v>
      </c>
      <c r="P58" s="157">
        <v>0</v>
      </c>
      <c r="Q58" s="110">
        <f t="shared" si="21"/>
        <v>0</v>
      </c>
      <c r="R58" s="157">
        <v>1</v>
      </c>
      <c r="S58" s="110">
        <f t="shared" si="22"/>
        <v>14500</v>
      </c>
      <c r="T58" s="160">
        <v>0</v>
      </c>
      <c r="U58" s="110">
        <f t="shared" si="23"/>
        <v>0</v>
      </c>
      <c r="V58" s="157">
        <v>1</v>
      </c>
      <c r="W58" s="110">
        <f t="shared" si="24"/>
        <v>14500</v>
      </c>
      <c r="X58" s="157">
        <v>0</v>
      </c>
      <c r="Y58" s="110">
        <f t="shared" si="25"/>
        <v>0</v>
      </c>
      <c r="Z58" s="160">
        <v>0</v>
      </c>
      <c r="AA58" s="112">
        <f t="shared" si="26"/>
        <v>0</v>
      </c>
      <c r="AB58" s="504">
        <f t="shared" si="27"/>
        <v>87000</v>
      </c>
    </row>
    <row r="59" spans="1:28" s="429" customFormat="1" ht="30.75" thickBot="1" x14ac:dyDescent="0.3">
      <c r="A59" s="946"/>
      <c r="B59" s="163" t="s">
        <v>369</v>
      </c>
      <c r="C59" s="521">
        <f>C55*0.25</f>
        <v>3000</v>
      </c>
      <c r="D59" s="522">
        <v>2</v>
      </c>
      <c r="E59" s="523">
        <f t="shared" si="15"/>
        <v>6000</v>
      </c>
      <c r="F59" s="522">
        <v>2</v>
      </c>
      <c r="G59" s="523">
        <f t="shared" si="16"/>
        <v>6000</v>
      </c>
      <c r="H59" s="524">
        <v>2</v>
      </c>
      <c r="I59" s="523">
        <f t="shared" si="17"/>
        <v>6000</v>
      </c>
      <c r="J59" s="522">
        <v>1</v>
      </c>
      <c r="K59" s="523">
        <f t="shared" si="18"/>
        <v>3000</v>
      </c>
      <c r="L59" s="522">
        <v>1</v>
      </c>
      <c r="M59" s="523">
        <f t="shared" si="19"/>
        <v>3000</v>
      </c>
      <c r="N59" s="524">
        <v>2</v>
      </c>
      <c r="O59" s="523">
        <f t="shared" si="20"/>
        <v>6000</v>
      </c>
      <c r="P59" s="524">
        <v>1</v>
      </c>
      <c r="Q59" s="523">
        <f t="shared" si="21"/>
        <v>3000</v>
      </c>
      <c r="R59" s="524">
        <v>3</v>
      </c>
      <c r="S59" s="523">
        <f t="shared" si="22"/>
        <v>9000</v>
      </c>
      <c r="T59" s="522">
        <v>1</v>
      </c>
      <c r="U59" s="523">
        <f t="shared" si="23"/>
        <v>3000</v>
      </c>
      <c r="V59" s="524">
        <v>1</v>
      </c>
      <c r="W59" s="523">
        <f t="shared" si="24"/>
        <v>3000</v>
      </c>
      <c r="X59" s="524">
        <v>1</v>
      </c>
      <c r="Y59" s="523">
        <f t="shared" si="25"/>
        <v>3000</v>
      </c>
      <c r="Z59" s="522">
        <v>1</v>
      </c>
      <c r="AA59" s="525">
        <f t="shared" si="26"/>
        <v>3000</v>
      </c>
      <c r="AB59" s="538">
        <f t="shared" si="27"/>
        <v>54000</v>
      </c>
    </row>
    <row r="60" spans="1:28" s="429" customFormat="1" ht="33" customHeight="1" thickBot="1" x14ac:dyDescent="0.3">
      <c r="A60" s="492" t="s">
        <v>120</v>
      </c>
      <c r="B60" s="520" t="s">
        <v>322</v>
      </c>
      <c r="C60" s="539">
        <v>50</v>
      </c>
      <c r="D60" s="540">
        <f>SUM(D54:D55)</f>
        <v>10</v>
      </c>
      <c r="E60" s="541">
        <f>D60*$C$60</f>
        <v>500</v>
      </c>
      <c r="F60" s="540">
        <f>SUM(F54:F55)</f>
        <v>11</v>
      </c>
      <c r="G60" s="541">
        <f>F60*$C$60</f>
        <v>550</v>
      </c>
      <c r="H60" s="540">
        <f>SUM(H54:H55)</f>
        <v>12</v>
      </c>
      <c r="I60" s="541">
        <f>H60*$C$60</f>
        <v>600</v>
      </c>
      <c r="J60" s="540">
        <f>SUM(J54:J55)</f>
        <v>13</v>
      </c>
      <c r="K60" s="541">
        <f>J60*$C$60</f>
        <v>650</v>
      </c>
      <c r="L60" s="540">
        <f>SUM(L54:L55)</f>
        <v>14</v>
      </c>
      <c r="M60" s="541">
        <f>L60*$C$60</f>
        <v>700</v>
      </c>
      <c r="N60" s="540">
        <f>SUM(N54:N55)</f>
        <v>17</v>
      </c>
      <c r="O60" s="541">
        <f>N60*$C$60</f>
        <v>850</v>
      </c>
      <c r="P60" s="540">
        <f>SUM(P54:P55)</f>
        <v>17</v>
      </c>
      <c r="Q60" s="541">
        <f>P60*$C$60</f>
        <v>850</v>
      </c>
      <c r="R60" s="540">
        <f>SUM(R54:R55)</f>
        <v>18</v>
      </c>
      <c r="S60" s="541">
        <f>R60*$C$60</f>
        <v>900</v>
      </c>
      <c r="T60" s="540">
        <f>SUM(T54:T55)</f>
        <v>19</v>
      </c>
      <c r="U60" s="541">
        <f>T60*$C$60</f>
        <v>950</v>
      </c>
      <c r="V60" s="540">
        <f>SUM(V54:V55)</f>
        <v>23</v>
      </c>
      <c r="W60" s="541">
        <f>V60*$C$60</f>
        <v>1150</v>
      </c>
      <c r="X60" s="540">
        <f>SUM(X54:X55)</f>
        <v>21</v>
      </c>
      <c r="Y60" s="541">
        <f>X60*$C$60</f>
        <v>1050</v>
      </c>
      <c r="Z60" s="540">
        <f>SUM(Z54:Z55)</f>
        <v>25</v>
      </c>
      <c r="AA60" s="541">
        <f>Z60*$C$60</f>
        <v>1250</v>
      </c>
      <c r="AB60" s="535">
        <f>E60+G60+I60+K60+M60+O60+Q60+S60+U60+W60+Y60+AA60</f>
        <v>10000</v>
      </c>
    </row>
    <row r="61" spans="1:28" ht="15.75" thickBot="1" x14ac:dyDescent="0.3">
      <c r="B61" s="508" t="s">
        <v>121</v>
      </c>
      <c r="C61" s="171"/>
      <c r="D61" s="172"/>
      <c r="E61" s="507">
        <f>SUM(E54:E60)</f>
        <v>165500</v>
      </c>
      <c r="F61" s="174"/>
      <c r="G61" s="507">
        <f>SUM(G54:G60)</f>
        <v>177550</v>
      </c>
      <c r="H61" s="174"/>
      <c r="I61" s="507">
        <f>SUM(I54:I60)</f>
        <v>175100</v>
      </c>
      <c r="J61" s="174"/>
      <c r="K61" s="507">
        <f>SUM(K54:K60)</f>
        <v>198650</v>
      </c>
      <c r="L61" s="174"/>
      <c r="M61" s="507">
        <f>SUM(M54:M60)</f>
        <v>196200</v>
      </c>
      <c r="N61" s="172"/>
      <c r="O61" s="507">
        <f>SUM(O54:O60)</f>
        <v>266850</v>
      </c>
      <c r="P61" s="174"/>
      <c r="Q61" s="507">
        <f>SUM(Q54:Q60)</f>
        <v>232350</v>
      </c>
      <c r="R61" s="174"/>
      <c r="S61" s="507">
        <f>SUM(S54:S60)</f>
        <v>264900</v>
      </c>
      <c r="T61" s="174"/>
      <c r="U61" s="507">
        <f>SUM(U54:U60)</f>
        <v>256450</v>
      </c>
      <c r="V61" s="174"/>
      <c r="W61" s="507">
        <f>SUM(W54:W60)</f>
        <v>336150</v>
      </c>
      <c r="X61" s="174"/>
      <c r="Y61" s="507">
        <f>SUM(Y54:Y60)</f>
        <v>263550</v>
      </c>
      <c r="Z61" s="174"/>
      <c r="AA61" s="506">
        <f>SUM(AA54:AA60)</f>
        <v>345750</v>
      </c>
      <c r="AB61" s="173">
        <f>SUM(E61:AA61)</f>
        <v>2879000</v>
      </c>
    </row>
    <row r="63" spans="1:28" ht="15.75" thickBot="1" x14ac:dyDescent="0.3"/>
    <row r="64" spans="1:28" ht="27" thickBot="1" x14ac:dyDescent="0.45">
      <c r="B64" s="952" t="s">
        <v>318</v>
      </c>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3"/>
      <c r="AA64" s="953"/>
      <c r="AB64" s="954"/>
    </row>
    <row r="65" spans="1:28" x14ac:dyDescent="0.25">
      <c r="B65" s="955" t="s">
        <v>57</v>
      </c>
      <c r="C65" s="956"/>
      <c r="D65" s="951" t="s">
        <v>38</v>
      </c>
      <c r="E65" s="948"/>
      <c r="F65" s="947" t="s">
        <v>39</v>
      </c>
      <c r="G65" s="948"/>
      <c r="H65" s="947" t="s">
        <v>40</v>
      </c>
      <c r="I65" s="948"/>
      <c r="J65" s="947" t="s">
        <v>41</v>
      </c>
      <c r="K65" s="948"/>
      <c r="L65" s="947" t="s">
        <v>42</v>
      </c>
      <c r="M65" s="948"/>
      <c r="N65" s="947" t="s">
        <v>43</v>
      </c>
      <c r="O65" s="948"/>
      <c r="P65" s="947" t="s">
        <v>44</v>
      </c>
      <c r="Q65" s="948"/>
      <c r="R65" s="947" t="s">
        <v>45</v>
      </c>
      <c r="S65" s="948"/>
      <c r="T65" s="947" t="s">
        <v>46</v>
      </c>
      <c r="U65" s="948"/>
      <c r="V65" s="947" t="s">
        <v>47</v>
      </c>
      <c r="W65" s="948"/>
      <c r="X65" s="947" t="s">
        <v>48</v>
      </c>
      <c r="Y65" s="948"/>
      <c r="Z65" s="947" t="s">
        <v>49</v>
      </c>
      <c r="AA65" s="951"/>
      <c r="AB65" s="957" t="s">
        <v>19</v>
      </c>
    </row>
    <row r="66" spans="1:28" ht="15.75" thickBot="1" x14ac:dyDescent="0.3">
      <c r="B66" s="498" t="s">
        <v>81</v>
      </c>
      <c r="C66" s="499" t="s">
        <v>117</v>
      </c>
      <c r="D66" s="500" t="s">
        <v>53</v>
      </c>
      <c r="E66" s="501" t="s">
        <v>70</v>
      </c>
      <c r="F66" s="501" t="s">
        <v>53</v>
      </c>
      <c r="G66" s="501" t="s">
        <v>70</v>
      </c>
      <c r="H66" s="501" t="s">
        <v>53</v>
      </c>
      <c r="I66" s="501" t="s">
        <v>70</v>
      </c>
      <c r="J66" s="501" t="s">
        <v>53</v>
      </c>
      <c r="K66" s="501" t="s">
        <v>70</v>
      </c>
      <c r="L66" s="501" t="s">
        <v>53</v>
      </c>
      <c r="M66" s="501" t="s">
        <v>70</v>
      </c>
      <c r="N66" s="501" t="s">
        <v>53</v>
      </c>
      <c r="O66" s="501" t="s">
        <v>70</v>
      </c>
      <c r="P66" s="501" t="s">
        <v>53</v>
      </c>
      <c r="Q66" s="501" t="s">
        <v>70</v>
      </c>
      <c r="R66" s="501" t="s">
        <v>53</v>
      </c>
      <c r="S66" s="501" t="s">
        <v>70</v>
      </c>
      <c r="T66" s="501" t="s">
        <v>53</v>
      </c>
      <c r="U66" s="501" t="s">
        <v>70</v>
      </c>
      <c r="V66" s="501" t="s">
        <v>53</v>
      </c>
      <c r="W66" s="501" t="s">
        <v>70</v>
      </c>
      <c r="X66" s="501" t="s">
        <v>53</v>
      </c>
      <c r="Y66" s="501" t="s">
        <v>70</v>
      </c>
      <c r="Z66" s="501" t="s">
        <v>53</v>
      </c>
      <c r="AA66" s="502" t="s">
        <v>70</v>
      </c>
      <c r="AB66" s="958"/>
    </row>
    <row r="67" spans="1:28" x14ac:dyDescent="0.25">
      <c r="A67" s="949" t="s">
        <v>118</v>
      </c>
      <c r="B67" s="164" t="s">
        <v>283</v>
      </c>
      <c r="C67" s="165">
        <f>$E$20</f>
        <v>29000</v>
      </c>
      <c r="D67" s="166">
        <f>'2️⃣ Proy. ventas'!E106</f>
        <v>2</v>
      </c>
      <c r="E67" s="119">
        <f t="shared" ref="E67:E72" si="28">D67*C67</f>
        <v>58000</v>
      </c>
      <c r="F67" s="166">
        <f>'2️⃣ Proy. ventas'!G106</f>
        <v>2</v>
      </c>
      <c r="G67" s="119">
        <f t="shared" ref="G67:G72" si="29">F67*C67</f>
        <v>58000</v>
      </c>
      <c r="H67" s="166">
        <f>'2️⃣ Proy. ventas'!I106</f>
        <v>2</v>
      </c>
      <c r="I67" s="119">
        <f t="shared" ref="I67:I72" si="30">H67*C67</f>
        <v>58000</v>
      </c>
      <c r="J67" s="166">
        <f>'2️⃣ Proy. ventas'!K106</f>
        <v>1</v>
      </c>
      <c r="K67" s="119">
        <f t="shared" ref="K67:K72" si="31">J67*C67</f>
        <v>29000</v>
      </c>
      <c r="L67" s="166">
        <f>'2️⃣ Proy. ventas'!M106</f>
        <v>2</v>
      </c>
      <c r="M67" s="119">
        <f t="shared" ref="M67:M72" si="32">L67*C67</f>
        <v>58000</v>
      </c>
      <c r="N67" s="166">
        <f>'2️⃣ Proy. ventas'!O106</f>
        <v>2</v>
      </c>
      <c r="O67" s="119">
        <f t="shared" ref="O67:O72" si="33">N67*C67</f>
        <v>58000</v>
      </c>
      <c r="P67" s="166">
        <f>'2️⃣ Proy. ventas'!Q106</f>
        <v>2</v>
      </c>
      <c r="Q67" s="119">
        <f t="shared" ref="Q67:Q72" si="34">P67*C67</f>
        <v>58000</v>
      </c>
      <c r="R67" s="166">
        <f>'2️⃣ Proy. ventas'!S106</f>
        <v>1</v>
      </c>
      <c r="S67" s="119">
        <f t="shared" ref="S67:S72" si="35">R67*C67</f>
        <v>29000</v>
      </c>
      <c r="T67" s="166">
        <f>'2️⃣ Proy. ventas'!U106</f>
        <v>1</v>
      </c>
      <c r="U67" s="119">
        <f t="shared" ref="U67:U72" si="36">T67*C67</f>
        <v>29000</v>
      </c>
      <c r="V67" s="166">
        <f>'2️⃣ Proy. ventas'!W106</f>
        <v>1</v>
      </c>
      <c r="W67" s="119">
        <f t="shared" ref="W67:W72" si="37">V67*C67</f>
        <v>29000</v>
      </c>
      <c r="X67" s="166">
        <f>'2️⃣ Proy. ventas'!Y106</f>
        <v>2</v>
      </c>
      <c r="Y67" s="119">
        <f t="shared" ref="Y67:Y72" si="38">X67*C67</f>
        <v>58000</v>
      </c>
      <c r="Z67" s="166">
        <f>'2️⃣ Proy. ventas'!AA106</f>
        <v>2</v>
      </c>
      <c r="AA67" s="120">
        <f t="shared" ref="AA67:AA72" si="39">Z67*C67</f>
        <v>58000</v>
      </c>
      <c r="AB67" s="503">
        <f>E67+G67+I67+K67+M67+O67+Q67+S67++U67+W67+Y67+AA67</f>
        <v>580000</v>
      </c>
    </row>
    <row r="68" spans="1:28" ht="15.75" thickBot="1" x14ac:dyDescent="0.3">
      <c r="A68" s="950"/>
      <c r="B68" s="167" t="s">
        <v>233</v>
      </c>
      <c r="C68" s="168">
        <f>$E$33</f>
        <v>12000</v>
      </c>
      <c r="D68" s="169">
        <f>'2️⃣ Proy. ventas'!E107</f>
        <v>25</v>
      </c>
      <c r="E68" s="122">
        <f t="shared" si="28"/>
        <v>300000</v>
      </c>
      <c r="F68" s="169">
        <f>'2️⃣ Proy. ventas'!G107</f>
        <v>27</v>
      </c>
      <c r="G68" s="122">
        <f t="shared" si="29"/>
        <v>324000</v>
      </c>
      <c r="H68" s="169">
        <f>'2️⃣ Proy. ventas'!I107</f>
        <v>29</v>
      </c>
      <c r="I68" s="122">
        <f t="shared" si="30"/>
        <v>348000</v>
      </c>
      <c r="J68" s="169">
        <f>'2️⃣ Proy. ventas'!K107</f>
        <v>30</v>
      </c>
      <c r="K68" s="122">
        <f t="shared" si="31"/>
        <v>360000</v>
      </c>
      <c r="L68" s="169">
        <f>'2️⃣ Proy. ventas'!M107</f>
        <v>32</v>
      </c>
      <c r="M68" s="122">
        <f t="shared" si="32"/>
        <v>384000</v>
      </c>
      <c r="N68" s="169">
        <f>'2️⃣ Proy. ventas'!O107</f>
        <v>34</v>
      </c>
      <c r="O68" s="122">
        <f t="shared" si="33"/>
        <v>408000</v>
      </c>
      <c r="P68" s="169">
        <f>'2️⃣ Proy. ventas'!Q107</f>
        <v>36</v>
      </c>
      <c r="Q68" s="122">
        <f t="shared" si="34"/>
        <v>432000</v>
      </c>
      <c r="R68" s="169">
        <f>'2️⃣ Proy. ventas'!S107</f>
        <v>37</v>
      </c>
      <c r="S68" s="122">
        <f t="shared" si="35"/>
        <v>444000</v>
      </c>
      <c r="T68" s="169">
        <f>'2️⃣ Proy. ventas'!U107</f>
        <v>38</v>
      </c>
      <c r="U68" s="122">
        <f t="shared" si="36"/>
        <v>456000</v>
      </c>
      <c r="V68" s="169">
        <f>'2️⃣ Proy. ventas'!W107</f>
        <v>39</v>
      </c>
      <c r="W68" s="122">
        <f t="shared" si="37"/>
        <v>468000</v>
      </c>
      <c r="X68" s="169">
        <f>'2️⃣ Proy. ventas'!Y107</f>
        <v>41</v>
      </c>
      <c r="Y68" s="122">
        <f t="shared" si="38"/>
        <v>492000</v>
      </c>
      <c r="Z68" s="169">
        <f>'2️⃣ Proy. ventas'!AA107</f>
        <v>43</v>
      </c>
      <c r="AA68" s="123">
        <f t="shared" si="39"/>
        <v>516000</v>
      </c>
      <c r="AB68" s="505">
        <f t="shared" ref="AB68:AB72" si="40">E68+G68+I68+K68+M68+O68+Q68+S68++U68+W68+Y68+AA68</f>
        <v>4932000</v>
      </c>
    </row>
    <row r="69" spans="1:28" s="429" customFormat="1" ht="30.75" thickBot="1" x14ac:dyDescent="0.3">
      <c r="A69" s="492" t="s">
        <v>119</v>
      </c>
      <c r="B69" s="175" t="s">
        <v>321</v>
      </c>
      <c r="C69" s="533">
        <v>500</v>
      </c>
      <c r="D69" s="534">
        <v>20</v>
      </c>
      <c r="E69" s="473">
        <f t="shared" si="28"/>
        <v>10000</v>
      </c>
      <c r="F69" s="534">
        <v>20</v>
      </c>
      <c r="G69" s="473">
        <f t="shared" si="29"/>
        <v>10000</v>
      </c>
      <c r="H69" s="534">
        <v>20</v>
      </c>
      <c r="I69" s="473">
        <f t="shared" si="30"/>
        <v>10000</v>
      </c>
      <c r="J69" s="534">
        <v>20</v>
      </c>
      <c r="K69" s="473">
        <f t="shared" si="31"/>
        <v>10000</v>
      </c>
      <c r="L69" s="534">
        <v>20</v>
      </c>
      <c r="M69" s="473">
        <f t="shared" si="32"/>
        <v>10000</v>
      </c>
      <c r="N69" s="534">
        <v>20</v>
      </c>
      <c r="O69" s="473">
        <f t="shared" si="33"/>
        <v>10000</v>
      </c>
      <c r="P69" s="534">
        <v>20</v>
      </c>
      <c r="Q69" s="473">
        <f t="shared" si="34"/>
        <v>10000</v>
      </c>
      <c r="R69" s="534">
        <v>20</v>
      </c>
      <c r="S69" s="473">
        <f t="shared" si="35"/>
        <v>10000</v>
      </c>
      <c r="T69" s="534">
        <v>20</v>
      </c>
      <c r="U69" s="473">
        <f t="shared" si="36"/>
        <v>10000</v>
      </c>
      <c r="V69" s="534">
        <v>20</v>
      </c>
      <c r="W69" s="473">
        <f t="shared" si="37"/>
        <v>10000</v>
      </c>
      <c r="X69" s="534">
        <v>20</v>
      </c>
      <c r="Y69" s="473">
        <f t="shared" si="38"/>
        <v>10000</v>
      </c>
      <c r="Z69" s="534">
        <v>20</v>
      </c>
      <c r="AA69" s="474">
        <f t="shared" si="39"/>
        <v>10000</v>
      </c>
      <c r="AB69" s="535">
        <f t="shared" si="40"/>
        <v>120000</v>
      </c>
    </row>
    <row r="70" spans="1:28" ht="15" customHeight="1" x14ac:dyDescent="0.25">
      <c r="A70" s="945" t="s">
        <v>315</v>
      </c>
      <c r="B70" s="527" t="s">
        <v>323</v>
      </c>
      <c r="C70" s="528">
        <f>C67*0.5</f>
        <v>14500</v>
      </c>
      <c r="D70" s="159">
        <v>0</v>
      </c>
      <c r="E70" s="116">
        <f t="shared" si="28"/>
        <v>0</v>
      </c>
      <c r="F70" s="159">
        <v>0</v>
      </c>
      <c r="G70" s="116">
        <f t="shared" si="29"/>
        <v>0</v>
      </c>
      <c r="H70" s="158">
        <v>0</v>
      </c>
      <c r="I70" s="116">
        <f t="shared" si="30"/>
        <v>0</v>
      </c>
      <c r="J70" s="158">
        <v>1</v>
      </c>
      <c r="K70" s="116">
        <f t="shared" si="31"/>
        <v>14500</v>
      </c>
      <c r="L70" s="159">
        <v>0</v>
      </c>
      <c r="M70" s="116">
        <f t="shared" si="32"/>
        <v>0</v>
      </c>
      <c r="N70" s="158">
        <v>0</v>
      </c>
      <c r="O70" s="116">
        <f t="shared" si="33"/>
        <v>0</v>
      </c>
      <c r="P70" s="158">
        <v>0</v>
      </c>
      <c r="Q70" s="116">
        <f t="shared" si="34"/>
        <v>0</v>
      </c>
      <c r="R70" s="158">
        <v>0</v>
      </c>
      <c r="S70" s="116">
        <f t="shared" si="35"/>
        <v>0</v>
      </c>
      <c r="T70" s="159">
        <v>0</v>
      </c>
      <c r="U70" s="116">
        <f t="shared" si="36"/>
        <v>0</v>
      </c>
      <c r="V70" s="158">
        <v>0</v>
      </c>
      <c r="W70" s="116">
        <f t="shared" si="37"/>
        <v>0</v>
      </c>
      <c r="X70" s="158">
        <v>0</v>
      </c>
      <c r="Y70" s="116">
        <f t="shared" si="38"/>
        <v>0</v>
      </c>
      <c r="Z70" s="159">
        <v>0</v>
      </c>
      <c r="AA70" s="117">
        <f t="shared" si="39"/>
        <v>0</v>
      </c>
      <c r="AB70" s="503">
        <f t="shared" si="40"/>
        <v>14500</v>
      </c>
    </row>
    <row r="71" spans="1:28" x14ac:dyDescent="0.25">
      <c r="A71" s="946"/>
      <c r="B71" s="190" t="s">
        <v>368</v>
      </c>
      <c r="C71" s="521">
        <f>C67*0.5</f>
        <v>14500</v>
      </c>
      <c r="D71" s="160">
        <v>3</v>
      </c>
      <c r="E71" s="110">
        <f t="shared" si="28"/>
        <v>43500</v>
      </c>
      <c r="F71" s="160">
        <v>4</v>
      </c>
      <c r="G71" s="110">
        <f t="shared" si="29"/>
        <v>58000</v>
      </c>
      <c r="H71" s="157">
        <v>1</v>
      </c>
      <c r="I71" s="110">
        <f t="shared" si="30"/>
        <v>14500</v>
      </c>
      <c r="J71" s="157">
        <v>2</v>
      </c>
      <c r="K71" s="110">
        <f t="shared" si="31"/>
        <v>29000</v>
      </c>
      <c r="L71" s="160">
        <v>1</v>
      </c>
      <c r="M71" s="110">
        <f t="shared" si="32"/>
        <v>14500</v>
      </c>
      <c r="N71" s="157">
        <v>1</v>
      </c>
      <c r="O71" s="110">
        <f t="shared" si="33"/>
        <v>14500</v>
      </c>
      <c r="P71" s="157">
        <v>2</v>
      </c>
      <c r="Q71" s="110">
        <f t="shared" si="34"/>
        <v>29000</v>
      </c>
      <c r="R71" s="157">
        <v>1</v>
      </c>
      <c r="S71" s="110">
        <f t="shared" si="35"/>
        <v>14500</v>
      </c>
      <c r="T71" s="160">
        <v>2</v>
      </c>
      <c r="U71" s="110">
        <f t="shared" si="36"/>
        <v>29000</v>
      </c>
      <c r="V71" s="157">
        <v>3</v>
      </c>
      <c r="W71" s="110">
        <f t="shared" si="37"/>
        <v>43500</v>
      </c>
      <c r="X71" s="157">
        <v>2</v>
      </c>
      <c r="Y71" s="110">
        <f t="shared" si="38"/>
        <v>29000</v>
      </c>
      <c r="Z71" s="160">
        <v>1</v>
      </c>
      <c r="AA71" s="112">
        <f t="shared" si="39"/>
        <v>14500</v>
      </c>
      <c r="AB71" s="504">
        <f t="shared" si="40"/>
        <v>333500</v>
      </c>
    </row>
    <row r="72" spans="1:28" s="429" customFormat="1" ht="30.75" thickBot="1" x14ac:dyDescent="0.3">
      <c r="A72" s="946"/>
      <c r="B72" s="163" t="s">
        <v>369</v>
      </c>
      <c r="C72" s="521">
        <f>C68*0.25</f>
        <v>3000</v>
      </c>
      <c r="D72" s="522">
        <v>1</v>
      </c>
      <c r="E72" s="523">
        <f t="shared" si="28"/>
        <v>3000</v>
      </c>
      <c r="F72" s="522">
        <v>2</v>
      </c>
      <c r="G72" s="523">
        <f t="shared" si="29"/>
        <v>6000</v>
      </c>
      <c r="H72" s="524">
        <v>1</v>
      </c>
      <c r="I72" s="523">
        <f t="shared" si="30"/>
        <v>3000</v>
      </c>
      <c r="J72" s="524">
        <v>1</v>
      </c>
      <c r="K72" s="523">
        <f t="shared" si="31"/>
        <v>3000</v>
      </c>
      <c r="L72" s="522">
        <v>1</v>
      </c>
      <c r="M72" s="523">
        <f t="shared" si="32"/>
        <v>3000</v>
      </c>
      <c r="N72" s="524">
        <v>1</v>
      </c>
      <c r="O72" s="523">
        <f t="shared" si="33"/>
        <v>3000</v>
      </c>
      <c r="P72" s="524">
        <v>1</v>
      </c>
      <c r="Q72" s="523">
        <f t="shared" si="34"/>
        <v>3000</v>
      </c>
      <c r="R72" s="524">
        <v>1</v>
      </c>
      <c r="S72" s="523">
        <f t="shared" si="35"/>
        <v>3000</v>
      </c>
      <c r="T72" s="522">
        <v>1</v>
      </c>
      <c r="U72" s="523">
        <f t="shared" si="36"/>
        <v>3000</v>
      </c>
      <c r="V72" s="524">
        <v>1</v>
      </c>
      <c r="W72" s="523">
        <f t="shared" si="37"/>
        <v>3000</v>
      </c>
      <c r="X72" s="524">
        <v>1</v>
      </c>
      <c r="Y72" s="523">
        <f t="shared" si="38"/>
        <v>3000</v>
      </c>
      <c r="Z72" s="522">
        <v>2</v>
      </c>
      <c r="AA72" s="525">
        <f t="shared" si="39"/>
        <v>6000</v>
      </c>
      <c r="AB72" s="538">
        <f t="shared" si="40"/>
        <v>42000</v>
      </c>
    </row>
    <row r="73" spans="1:28" s="429" customFormat="1" ht="33.75" customHeight="1" thickBot="1" x14ac:dyDescent="0.3">
      <c r="A73" s="492" t="s">
        <v>120</v>
      </c>
      <c r="B73" s="520" t="s">
        <v>322</v>
      </c>
      <c r="C73" s="539">
        <v>50</v>
      </c>
      <c r="D73" s="540">
        <f>SUM(D67:D68)</f>
        <v>27</v>
      </c>
      <c r="E73" s="541">
        <f>D73*$C$73</f>
        <v>1350</v>
      </c>
      <c r="F73" s="540">
        <f>SUM(F67:F68)</f>
        <v>29</v>
      </c>
      <c r="G73" s="541">
        <f>F73*$C$73</f>
        <v>1450</v>
      </c>
      <c r="H73" s="540">
        <f>SUM(H67:H68)</f>
        <v>31</v>
      </c>
      <c r="I73" s="541">
        <f>H73*$C$73</f>
        <v>1550</v>
      </c>
      <c r="J73" s="540">
        <f>SUM(J67:J68)</f>
        <v>31</v>
      </c>
      <c r="K73" s="541">
        <f>J73*$C$73</f>
        <v>1550</v>
      </c>
      <c r="L73" s="540">
        <f>SUM(L67:L68)</f>
        <v>34</v>
      </c>
      <c r="M73" s="541">
        <f>L73*$C$73</f>
        <v>1700</v>
      </c>
      <c r="N73" s="540">
        <f>SUM(N67:N68)</f>
        <v>36</v>
      </c>
      <c r="O73" s="541">
        <f>N73*$C$73</f>
        <v>1800</v>
      </c>
      <c r="P73" s="540">
        <f>SUM(P67:P68)</f>
        <v>38</v>
      </c>
      <c r="Q73" s="541">
        <f>P73*$C$73</f>
        <v>1900</v>
      </c>
      <c r="R73" s="540">
        <f>SUM(R67:R68)</f>
        <v>38</v>
      </c>
      <c r="S73" s="541">
        <f>R73*$C$73</f>
        <v>1900</v>
      </c>
      <c r="T73" s="540">
        <f>SUM(T67:T68)</f>
        <v>39</v>
      </c>
      <c r="U73" s="541">
        <f>T73*$C$73</f>
        <v>1950</v>
      </c>
      <c r="V73" s="540">
        <f>SUM(V67:V68)</f>
        <v>40</v>
      </c>
      <c r="W73" s="541">
        <f>V73*$C$73</f>
        <v>2000</v>
      </c>
      <c r="X73" s="540">
        <f>SUM(X67:X68)</f>
        <v>43</v>
      </c>
      <c r="Y73" s="541">
        <f>X73*$C$73</f>
        <v>2150</v>
      </c>
      <c r="Z73" s="540">
        <f>SUM(Z67:Z68)</f>
        <v>45</v>
      </c>
      <c r="AA73" s="541">
        <f>Z73*$C$73</f>
        <v>2250</v>
      </c>
      <c r="AB73" s="535">
        <f>E73+G73+I73+K73+M73+O73+Q73+S73+U73+W73+Y73+AA73</f>
        <v>21550</v>
      </c>
    </row>
    <row r="74" spans="1:28" ht="15.75" thickBot="1" x14ac:dyDescent="0.3">
      <c r="B74" s="508" t="s">
        <v>121</v>
      </c>
      <c r="C74" s="171"/>
      <c r="D74" s="172"/>
      <c r="E74" s="507">
        <f>SUM(E67:E73)</f>
        <v>415850</v>
      </c>
      <c r="F74" s="174"/>
      <c r="G74" s="507">
        <f>SUM(G67:G73)</f>
        <v>457450</v>
      </c>
      <c r="H74" s="174"/>
      <c r="I74" s="507">
        <f>SUM(I67:I73)</f>
        <v>435050</v>
      </c>
      <c r="J74" s="174"/>
      <c r="K74" s="507">
        <f>SUM(K67:K73)</f>
        <v>447050</v>
      </c>
      <c r="L74" s="174"/>
      <c r="M74" s="507">
        <f>SUM(M67:M73)</f>
        <v>471200</v>
      </c>
      <c r="N74" s="172"/>
      <c r="O74" s="507">
        <f>SUM(O67:O73)</f>
        <v>495300</v>
      </c>
      <c r="P74" s="174"/>
      <c r="Q74" s="507">
        <f>SUM(Q67:Q73)</f>
        <v>533900</v>
      </c>
      <c r="R74" s="174"/>
      <c r="S74" s="507">
        <f>SUM(S67:S73)</f>
        <v>502400</v>
      </c>
      <c r="T74" s="174"/>
      <c r="U74" s="507">
        <f>SUM(U67:U73)</f>
        <v>528950</v>
      </c>
      <c r="V74" s="174"/>
      <c r="W74" s="507">
        <f>SUM(W67:W73)</f>
        <v>555500</v>
      </c>
      <c r="X74" s="174"/>
      <c r="Y74" s="507">
        <f>SUM(Y67:Y73)</f>
        <v>594150</v>
      </c>
      <c r="Z74" s="174"/>
      <c r="AA74" s="506">
        <f>SUM(AA67:AA73)</f>
        <v>606750</v>
      </c>
      <c r="AB74" s="173">
        <f>SUM(E74:AA74)</f>
        <v>6043550</v>
      </c>
    </row>
  </sheetData>
  <mergeCells count="56">
    <mergeCell ref="H4:J4"/>
    <mergeCell ref="B4:D4"/>
    <mergeCell ref="B11:E11"/>
    <mergeCell ref="X39:Y39"/>
    <mergeCell ref="Z39:AA39"/>
    <mergeCell ref="B10:E10"/>
    <mergeCell ref="B39:C39"/>
    <mergeCell ref="B38:AB38"/>
    <mergeCell ref="AB39:AB40"/>
    <mergeCell ref="L39:M39"/>
    <mergeCell ref="N39:O39"/>
    <mergeCell ref="P39:Q39"/>
    <mergeCell ref="R39:S39"/>
    <mergeCell ref="T39:U39"/>
    <mergeCell ref="V39:W39"/>
    <mergeCell ref="B22:E22"/>
    <mergeCell ref="D39:E39"/>
    <mergeCell ref="F39:G39"/>
    <mergeCell ref="H39:I39"/>
    <mergeCell ref="J39:K39"/>
    <mergeCell ref="A41:A42"/>
    <mergeCell ref="A44:A46"/>
    <mergeCell ref="B51:AB51"/>
    <mergeCell ref="B52:C52"/>
    <mergeCell ref="D52:E52"/>
    <mergeCell ref="F52:G52"/>
    <mergeCell ref="H52:I52"/>
    <mergeCell ref="J52:K52"/>
    <mergeCell ref="X52:Y52"/>
    <mergeCell ref="Z52:AA52"/>
    <mergeCell ref="AB52:AB53"/>
    <mergeCell ref="T52:U52"/>
    <mergeCell ref="V52:W52"/>
    <mergeCell ref="A57:A59"/>
    <mergeCell ref="L52:M52"/>
    <mergeCell ref="N52:O52"/>
    <mergeCell ref="P52:Q52"/>
    <mergeCell ref="R52:S52"/>
    <mergeCell ref="A54:A55"/>
    <mergeCell ref="X65:Y65"/>
    <mergeCell ref="Z65:AA65"/>
    <mergeCell ref="B64:AB64"/>
    <mergeCell ref="B65:C65"/>
    <mergeCell ref="D65:E65"/>
    <mergeCell ref="F65:G65"/>
    <mergeCell ref="H65:I65"/>
    <mergeCell ref="J65:K65"/>
    <mergeCell ref="L65:M65"/>
    <mergeCell ref="N65:O65"/>
    <mergeCell ref="AB65:AB66"/>
    <mergeCell ref="A70:A72"/>
    <mergeCell ref="P65:Q65"/>
    <mergeCell ref="R65:S65"/>
    <mergeCell ref="T65:U65"/>
    <mergeCell ref="V65:W65"/>
    <mergeCell ref="A67:A68"/>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86"/>
  <sheetViews>
    <sheetView zoomScale="85" zoomScaleNormal="85" workbookViewId="0">
      <pane xSplit="2" ySplit="1" topLeftCell="C46" activePane="bottomRight" state="frozen"/>
      <selection pane="topRight" activeCell="C1" sqref="C1"/>
      <selection pane="bottomLeft" activeCell="A2" sqref="A2"/>
      <selection pane="bottomRight" activeCell="C80" sqref="C80"/>
    </sheetView>
  </sheetViews>
  <sheetFormatPr defaultColWidth="11.42578125" defaultRowHeight="15" x14ac:dyDescent="0.25"/>
  <cols>
    <col min="1" max="1" width="11.42578125" style="1"/>
    <col min="2" max="2" width="36.5703125" style="1" customWidth="1"/>
    <col min="3" max="3" width="36.140625" style="1" bestFit="1" customWidth="1"/>
    <col min="4" max="4" width="19.85546875" style="1" bestFit="1" customWidth="1"/>
    <col min="5" max="5" width="22" style="1" customWidth="1"/>
    <col min="6" max="6" width="23" style="1" customWidth="1"/>
    <col min="7" max="7" width="16" style="1" customWidth="1"/>
    <col min="8" max="8" width="19.85546875" style="1" bestFit="1" customWidth="1"/>
    <col min="9" max="9" width="17" style="1" customWidth="1"/>
    <col min="10" max="10" width="19.85546875" style="1" bestFit="1" customWidth="1"/>
    <col min="11" max="11" width="16.7109375" style="1" bestFit="1" customWidth="1"/>
    <col min="12" max="12" width="21.28515625" style="1" customWidth="1"/>
    <col min="13" max="13" width="11.42578125" style="1"/>
    <col min="14" max="14" width="19.42578125" style="1" bestFit="1" customWidth="1"/>
    <col min="15" max="15" width="11.42578125" style="1"/>
    <col min="16" max="16" width="19.85546875" style="1" bestFit="1" customWidth="1"/>
    <col min="17" max="17" width="11.42578125" style="1"/>
    <col min="18" max="18" width="19.85546875" style="1" bestFit="1" customWidth="1"/>
    <col min="19" max="19" width="11.42578125" style="1"/>
    <col min="20" max="20" width="19.85546875" style="1" bestFit="1" customWidth="1"/>
    <col min="21" max="21" width="11.42578125" style="1"/>
    <col min="22" max="22" width="19.85546875" style="1" bestFit="1" customWidth="1"/>
    <col min="23" max="23" width="17.85546875" style="1" customWidth="1"/>
    <col min="24" max="24" width="19.85546875" style="1" bestFit="1" customWidth="1"/>
    <col min="25" max="25" width="12.42578125" style="1" bestFit="1" customWidth="1"/>
    <col min="26" max="26" width="19.42578125" style="1" bestFit="1" customWidth="1"/>
    <col min="27" max="27" width="21.42578125" style="1" bestFit="1" customWidth="1"/>
    <col min="28" max="28" width="11.42578125" style="1"/>
    <col min="29" max="29" width="12.42578125" style="1" bestFit="1" customWidth="1"/>
    <col min="30" max="16384" width="11.42578125" style="1"/>
  </cols>
  <sheetData>
    <row r="1" spans="1:12" s="543" customFormat="1" ht="58.5" customHeight="1" thickTop="1" thickBot="1" x14ac:dyDescent="0.3">
      <c r="A1" s="542"/>
      <c r="E1" s="544" t="s">
        <v>6</v>
      </c>
      <c r="F1" s="545"/>
      <c r="G1" s="545"/>
    </row>
    <row r="2" spans="1:12" ht="15.75" thickTop="1" x14ac:dyDescent="0.25"/>
    <row r="3" spans="1:12" ht="15.75" thickBot="1" x14ac:dyDescent="0.3"/>
    <row r="4" spans="1:12" ht="27" thickBot="1" x14ac:dyDescent="0.45">
      <c r="B4" s="824" t="s">
        <v>32</v>
      </c>
      <c r="C4" s="825"/>
      <c r="D4" s="826"/>
      <c r="E4" s="35"/>
      <c r="H4" s="824" t="s">
        <v>123</v>
      </c>
      <c r="I4" s="825"/>
      <c r="J4" s="826"/>
    </row>
    <row r="5" spans="1:12" x14ac:dyDescent="0.25">
      <c r="B5" s="418">
        <v>2022</v>
      </c>
      <c r="C5" s="419">
        <v>2023</v>
      </c>
      <c r="D5" s="420">
        <v>2024</v>
      </c>
      <c r="E5" s="72"/>
      <c r="H5" s="418">
        <v>2022</v>
      </c>
      <c r="I5" s="419">
        <v>2023</v>
      </c>
      <c r="J5" s="420">
        <v>2024</v>
      </c>
    </row>
    <row r="6" spans="1:12" ht="15.75" thickBot="1" x14ac:dyDescent="0.3">
      <c r="B6" s="40">
        <f>'1️⃣ Hipótesis'!C24</f>
        <v>0.03</v>
      </c>
      <c r="C6" s="36">
        <f>'1️⃣ Hipótesis'!C25</f>
        <v>7.0000000000000007E-2</v>
      </c>
      <c r="D6" s="41">
        <f>'1️⃣ Hipótesis'!C26</f>
        <v>0.12</v>
      </c>
      <c r="E6" s="143"/>
      <c r="H6" s="42">
        <f>$AA$42</f>
        <v>16346610.640000002</v>
      </c>
      <c r="I6" s="43">
        <f>$AA$59</f>
        <v>29562208.922499999</v>
      </c>
      <c r="J6" s="44">
        <f>$AA$82</f>
        <v>53106550.25</v>
      </c>
    </row>
    <row r="7" spans="1:12" ht="15.75" thickBot="1" x14ac:dyDescent="0.3">
      <c r="B7" s="42">
        <f>'1️⃣ Hipótesis'!D24</f>
        <v>18750000</v>
      </c>
      <c r="C7" s="43">
        <f>'1️⃣ Hipótesis'!D25</f>
        <v>43750000.000000007</v>
      </c>
      <c r="D7" s="44">
        <f>'1️⃣ Hipótesis'!D26</f>
        <v>75000000</v>
      </c>
      <c r="E7" s="140"/>
    </row>
    <row r="10" spans="1:12" ht="15.75" thickBot="1" x14ac:dyDescent="0.3"/>
    <row r="11" spans="1:12" ht="27" thickBot="1" x14ac:dyDescent="0.45">
      <c r="B11" s="824" t="s">
        <v>139</v>
      </c>
      <c r="C11" s="825"/>
      <c r="D11" s="825"/>
      <c r="E11" s="825"/>
      <c r="F11" s="825"/>
      <c r="G11" s="825"/>
      <c r="H11" s="825"/>
      <c r="I11" s="825"/>
      <c r="J11" s="825"/>
      <c r="K11" s="825"/>
      <c r="L11" s="826"/>
    </row>
    <row r="12" spans="1:12" ht="15.75" x14ac:dyDescent="0.25">
      <c r="B12" s="963" t="s">
        <v>130</v>
      </c>
      <c r="C12" s="978" t="s">
        <v>131</v>
      </c>
      <c r="D12" s="976" t="s">
        <v>132</v>
      </c>
      <c r="E12" s="546" t="s">
        <v>124</v>
      </c>
      <c r="F12" s="495" t="s">
        <v>125</v>
      </c>
      <c r="G12" s="495" t="s">
        <v>126</v>
      </c>
      <c r="H12" s="495" t="s">
        <v>127</v>
      </c>
      <c r="I12" s="547" t="s">
        <v>128</v>
      </c>
      <c r="J12" s="548" t="s">
        <v>129</v>
      </c>
      <c r="K12" s="971" t="s">
        <v>141</v>
      </c>
      <c r="L12" s="971" t="s">
        <v>142</v>
      </c>
    </row>
    <row r="13" spans="1:12" ht="16.5" thickBot="1" x14ac:dyDescent="0.3">
      <c r="B13" s="969"/>
      <c r="C13" s="979"/>
      <c r="D13" s="977"/>
      <c r="E13" s="549">
        <v>0.1047</v>
      </c>
      <c r="F13" s="550">
        <v>1.54E-2</v>
      </c>
      <c r="G13" s="551">
        <v>0.06</v>
      </c>
      <c r="H13" s="550">
        <v>9.1999999999999998E-3</v>
      </c>
      <c r="I13" s="551" t="s">
        <v>140</v>
      </c>
      <c r="J13" s="552">
        <v>0.03</v>
      </c>
      <c r="K13" s="972"/>
      <c r="L13" s="972"/>
    </row>
    <row r="14" spans="1:12" ht="15.75" thickBot="1" x14ac:dyDescent="0.3">
      <c r="B14" s="570" t="s">
        <v>133</v>
      </c>
      <c r="C14" s="566" t="s">
        <v>261</v>
      </c>
      <c r="D14" s="176">
        <v>200000</v>
      </c>
      <c r="E14" s="134">
        <f>$D$14*E13</f>
        <v>20940</v>
      </c>
      <c r="F14" s="127">
        <f>$D$14*F13</f>
        <v>3080</v>
      </c>
      <c r="G14" s="127">
        <f>$D$14*G13</f>
        <v>12000</v>
      </c>
      <c r="H14" s="127">
        <f>$D$14*H13</f>
        <v>1840</v>
      </c>
      <c r="I14" s="127">
        <v>18.57</v>
      </c>
      <c r="J14" s="128">
        <f>$D$14*J13</f>
        <v>6000</v>
      </c>
      <c r="K14" s="180">
        <f>SUM(E14:J14)</f>
        <v>43878.57</v>
      </c>
      <c r="L14" s="553">
        <f>D14+K14</f>
        <v>243878.57</v>
      </c>
    </row>
    <row r="15" spans="1:12" x14ac:dyDescent="0.25">
      <c r="B15" s="973" t="s">
        <v>136</v>
      </c>
      <c r="C15" s="567" t="s">
        <v>271</v>
      </c>
      <c r="D15" s="177">
        <v>160000</v>
      </c>
      <c r="E15" s="130">
        <f>$D$15*E13</f>
        <v>16752</v>
      </c>
      <c r="F15" s="119">
        <f>$D$15*F13</f>
        <v>2464</v>
      </c>
      <c r="G15" s="119">
        <f>$D$15*G13</f>
        <v>9600</v>
      </c>
      <c r="H15" s="119">
        <f>$D$15*H13</f>
        <v>1472</v>
      </c>
      <c r="I15" s="119">
        <v>18.57</v>
      </c>
      <c r="J15" s="120">
        <f>$D$15*J13</f>
        <v>4800</v>
      </c>
      <c r="K15" s="181">
        <f t="shared" ref="K15:K29" si="0">SUM(E15:J15)</f>
        <v>35106.57</v>
      </c>
      <c r="L15" s="554">
        <f t="shared" ref="L15:L29" si="1">D15+K15</f>
        <v>195106.57</v>
      </c>
    </row>
    <row r="16" spans="1:12" x14ac:dyDescent="0.25">
      <c r="B16" s="974"/>
      <c r="C16" s="568" t="s">
        <v>324</v>
      </c>
      <c r="D16" s="178">
        <v>100000</v>
      </c>
      <c r="E16" s="131">
        <f>$D$16*E13</f>
        <v>10470</v>
      </c>
      <c r="F16" s="110">
        <f>$D$16*F13</f>
        <v>1540</v>
      </c>
      <c r="G16" s="110">
        <f>$D$16*G13</f>
        <v>6000</v>
      </c>
      <c r="H16" s="110">
        <f>$D$16*H13</f>
        <v>920</v>
      </c>
      <c r="I16" s="110">
        <v>18.57</v>
      </c>
      <c r="J16" s="112">
        <f>$D$16*J13</f>
        <v>3000</v>
      </c>
      <c r="K16" s="182">
        <f t="shared" si="0"/>
        <v>21948.57</v>
      </c>
      <c r="L16" s="555">
        <f t="shared" si="1"/>
        <v>121948.57</v>
      </c>
    </row>
    <row r="17" spans="2:12" x14ac:dyDescent="0.25">
      <c r="B17" s="974"/>
      <c r="C17" s="568" t="s">
        <v>325</v>
      </c>
      <c r="D17" s="178">
        <v>100000</v>
      </c>
      <c r="E17" s="131">
        <f>$D$17*E13</f>
        <v>10470</v>
      </c>
      <c r="F17" s="110">
        <f>$D$17*F13</f>
        <v>1540</v>
      </c>
      <c r="G17" s="110">
        <f>$D$17*G13</f>
        <v>6000</v>
      </c>
      <c r="H17" s="110">
        <f>$D$17*H13</f>
        <v>920</v>
      </c>
      <c r="I17" s="110">
        <v>18.57</v>
      </c>
      <c r="J17" s="112">
        <f>$D$17*J13</f>
        <v>3000</v>
      </c>
      <c r="K17" s="182">
        <f t="shared" si="0"/>
        <v>21948.57</v>
      </c>
      <c r="L17" s="555">
        <f t="shared" si="1"/>
        <v>121948.57</v>
      </c>
    </row>
    <row r="18" spans="2:12" x14ac:dyDescent="0.25">
      <c r="B18" s="974"/>
      <c r="C18" s="568" t="s">
        <v>263</v>
      </c>
      <c r="D18" s="178">
        <v>100000</v>
      </c>
      <c r="E18" s="131">
        <f>$D$18*E13</f>
        <v>10470</v>
      </c>
      <c r="F18" s="131">
        <f t="shared" ref="F18:J18" si="2">$D$18*F13</f>
        <v>1540</v>
      </c>
      <c r="G18" s="131">
        <f t="shared" si="2"/>
        <v>6000</v>
      </c>
      <c r="H18" s="131">
        <f t="shared" si="2"/>
        <v>920</v>
      </c>
      <c r="I18" s="110">
        <v>18.57</v>
      </c>
      <c r="J18" s="131">
        <f t="shared" si="2"/>
        <v>3000</v>
      </c>
      <c r="K18" s="131">
        <f>SUM(E18:J18)</f>
        <v>21948.57</v>
      </c>
      <c r="L18" s="555">
        <f t="shared" si="1"/>
        <v>121948.57</v>
      </c>
    </row>
    <row r="19" spans="2:12" x14ac:dyDescent="0.25">
      <c r="B19" s="974"/>
      <c r="C19" s="568" t="s">
        <v>326</v>
      </c>
      <c r="D19" s="178">
        <v>100000</v>
      </c>
      <c r="E19" s="131">
        <f>$D$19*E13</f>
        <v>10470</v>
      </c>
      <c r="F19" s="110">
        <f>$D$19*F13</f>
        <v>1540</v>
      </c>
      <c r="G19" s="110">
        <f>$D$19*G13</f>
        <v>6000</v>
      </c>
      <c r="H19" s="110">
        <f>$D$19*H13</f>
        <v>920</v>
      </c>
      <c r="I19" s="110">
        <v>18.57</v>
      </c>
      <c r="J19" s="112">
        <f>$D$19*J13</f>
        <v>3000</v>
      </c>
      <c r="K19" s="182">
        <f t="shared" si="0"/>
        <v>21948.57</v>
      </c>
      <c r="L19" s="555">
        <f t="shared" si="1"/>
        <v>121948.57</v>
      </c>
    </row>
    <row r="20" spans="2:12" ht="15.75" thickBot="1" x14ac:dyDescent="0.3">
      <c r="B20" s="975"/>
      <c r="C20" s="569" t="s">
        <v>327</v>
      </c>
      <c r="D20" s="178">
        <v>100000</v>
      </c>
      <c r="E20" s="132">
        <f>$D$20*E13</f>
        <v>10470</v>
      </c>
      <c r="F20" s="122">
        <f>$D$20*F13</f>
        <v>1540</v>
      </c>
      <c r="G20" s="122">
        <f>$D$20*G13</f>
        <v>6000</v>
      </c>
      <c r="H20" s="122">
        <f>$D$20*H13</f>
        <v>920</v>
      </c>
      <c r="I20" s="122">
        <v>18.57</v>
      </c>
      <c r="J20" s="123">
        <f>$D$20*J13</f>
        <v>3000</v>
      </c>
      <c r="K20" s="183">
        <f t="shared" si="0"/>
        <v>21948.57</v>
      </c>
      <c r="L20" s="556">
        <f t="shared" si="1"/>
        <v>121948.57</v>
      </c>
    </row>
    <row r="21" spans="2:12" x14ac:dyDescent="0.25">
      <c r="B21" s="973" t="s">
        <v>134</v>
      </c>
      <c r="C21" s="567" t="s">
        <v>329</v>
      </c>
      <c r="D21" s="177">
        <v>160000</v>
      </c>
      <c r="E21" s="130">
        <f>$D$21*E13</f>
        <v>16752</v>
      </c>
      <c r="F21" s="119">
        <f>$D$21*F13</f>
        <v>2464</v>
      </c>
      <c r="G21" s="119">
        <f>$D$21*G13</f>
        <v>9600</v>
      </c>
      <c r="H21" s="119">
        <f>$D$21*H13</f>
        <v>1472</v>
      </c>
      <c r="I21" s="119">
        <v>18.57</v>
      </c>
      <c r="J21" s="120">
        <f>$D$21*J13</f>
        <v>4800</v>
      </c>
      <c r="K21" s="181">
        <f t="shared" si="0"/>
        <v>35106.57</v>
      </c>
      <c r="L21" s="554">
        <f t="shared" si="1"/>
        <v>195106.57</v>
      </c>
    </row>
    <row r="22" spans="2:12" ht="15.75" thickBot="1" x14ac:dyDescent="0.3">
      <c r="B22" s="975"/>
      <c r="C22" s="569" t="s">
        <v>340</v>
      </c>
      <c r="D22" s="178">
        <v>100000</v>
      </c>
      <c r="E22" s="132">
        <f>$D$22*E13</f>
        <v>10470</v>
      </c>
      <c r="F22" s="122">
        <f>$D$22*F13</f>
        <v>1540</v>
      </c>
      <c r="G22" s="122">
        <f>$D$22*G13</f>
        <v>6000</v>
      </c>
      <c r="H22" s="122">
        <f>$D$22*H13</f>
        <v>920</v>
      </c>
      <c r="I22" s="122">
        <v>18.57</v>
      </c>
      <c r="J22" s="123">
        <f>$D$22*J13</f>
        <v>3000</v>
      </c>
      <c r="K22" s="183">
        <f t="shared" si="0"/>
        <v>21948.57</v>
      </c>
      <c r="L22" s="556">
        <f t="shared" si="1"/>
        <v>121948.57</v>
      </c>
    </row>
    <row r="23" spans="2:12" x14ac:dyDescent="0.25">
      <c r="B23" s="973" t="s">
        <v>137</v>
      </c>
      <c r="C23" s="567" t="s">
        <v>272</v>
      </c>
      <c r="D23" s="177">
        <v>160000</v>
      </c>
      <c r="E23" s="130">
        <f>$D$23*E13</f>
        <v>16752</v>
      </c>
      <c r="F23" s="119">
        <f>$D$23*F13</f>
        <v>2464</v>
      </c>
      <c r="G23" s="119">
        <f>$D$23*G13</f>
        <v>9600</v>
      </c>
      <c r="H23" s="119">
        <f>$D$23*H13</f>
        <v>1472</v>
      </c>
      <c r="I23" s="119">
        <v>18.57</v>
      </c>
      <c r="J23" s="120">
        <f>$D$23*J13</f>
        <v>4800</v>
      </c>
      <c r="K23" s="181">
        <f t="shared" si="0"/>
        <v>35106.57</v>
      </c>
      <c r="L23" s="554">
        <f t="shared" si="1"/>
        <v>195106.57</v>
      </c>
    </row>
    <row r="24" spans="2:12" ht="15.75" thickBot="1" x14ac:dyDescent="0.3">
      <c r="B24" s="974"/>
      <c r="C24" s="568" t="s">
        <v>341</v>
      </c>
      <c r="D24" s="178">
        <v>90000</v>
      </c>
      <c r="E24" s="131">
        <f>$D$24*E13</f>
        <v>9423</v>
      </c>
      <c r="F24" s="110">
        <f>$D$24*F13</f>
        <v>1386</v>
      </c>
      <c r="G24" s="110">
        <f>$D$24*G13</f>
        <v>5400</v>
      </c>
      <c r="H24" s="110">
        <f>$D$24*H13</f>
        <v>828</v>
      </c>
      <c r="I24" s="110">
        <v>18.57</v>
      </c>
      <c r="J24" s="112">
        <f>$D$24*J13</f>
        <v>2700</v>
      </c>
      <c r="K24" s="182">
        <f t="shared" si="0"/>
        <v>19755.57</v>
      </c>
      <c r="L24" s="555">
        <f t="shared" si="1"/>
        <v>109755.57</v>
      </c>
    </row>
    <row r="25" spans="2:12" x14ac:dyDescent="0.25">
      <c r="B25" s="973" t="s">
        <v>135</v>
      </c>
      <c r="C25" s="567" t="s">
        <v>330</v>
      </c>
      <c r="D25" s="177">
        <v>160000</v>
      </c>
      <c r="E25" s="130">
        <f>$D$25*E13</f>
        <v>16752</v>
      </c>
      <c r="F25" s="119">
        <f>$D$25*F13</f>
        <v>2464</v>
      </c>
      <c r="G25" s="119">
        <f>$D$25*G13</f>
        <v>9600</v>
      </c>
      <c r="H25" s="119">
        <f>$D$25*H13</f>
        <v>1472</v>
      </c>
      <c r="I25" s="119">
        <v>18.57</v>
      </c>
      <c r="J25" s="120">
        <f>$D$25*J13</f>
        <v>4800</v>
      </c>
      <c r="K25" s="181">
        <f t="shared" si="0"/>
        <v>35106.57</v>
      </c>
      <c r="L25" s="554">
        <f t="shared" si="1"/>
        <v>195106.57</v>
      </c>
    </row>
    <row r="26" spans="2:12" ht="15.75" thickBot="1" x14ac:dyDescent="0.3">
      <c r="B26" s="974"/>
      <c r="C26" s="568" t="s">
        <v>331</v>
      </c>
      <c r="D26" s="178">
        <v>70000</v>
      </c>
      <c r="E26" s="131">
        <f>$D$26*E13</f>
        <v>7329</v>
      </c>
      <c r="F26" s="110">
        <f>$D$26*F13</f>
        <v>1078</v>
      </c>
      <c r="G26" s="110">
        <f>$D$26*G13</f>
        <v>4200</v>
      </c>
      <c r="H26" s="110">
        <f>$D$26*H13</f>
        <v>644</v>
      </c>
      <c r="I26" s="110">
        <v>18.57</v>
      </c>
      <c r="J26" s="112">
        <f>$D$26*J13</f>
        <v>2100</v>
      </c>
      <c r="K26" s="182">
        <f t="shared" si="0"/>
        <v>15369.57</v>
      </c>
      <c r="L26" s="555">
        <f t="shared" si="1"/>
        <v>85369.57</v>
      </c>
    </row>
    <row r="27" spans="2:12" x14ac:dyDescent="0.25">
      <c r="B27" s="973" t="s">
        <v>138</v>
      </c>
      <c r="C27" s="567" t="s">
        <v>328</v>
      </c>
      <c r="D27" s="177">
        <v>160000</v>
      </c>
      <c r="E27" s="130">
        <f>$D$27*E13</f>
        <v>16752</v>
      </c>
      <c r="F27" s="119">
        <f>$D$27*F13</f>
        <v>2464</v>
      </c>
      <c r="G27" s="119">
        <f>$D$27*G13</f>
        <v>9600</v>
      </c>
      <c r="H27" s="119">
        <f>$D$27*H13</f>
        <v>1472</v>
      </c>
      <c r="I27" s="119">
        <v>18.57</v>
      </c>
      <c r="J27" s="120">
        <f>$D$27*J13</f>
        <v>4800</v>
      </c>
      <c r="K27" s="181">
        <f t="shared" si="0"/>
        <v>35106.57</v>
      </c>
      <c r="L27" s="554">
        <f t="shared" si="1"/>
        <v>195106.57</v>
      </c>
    </row>
    <row r="28" spans="2:12" x14ac:dyDescent="0.25">
      <c r="B28" s="974"/>
      <c r="C28" s="568" t="s">
        <v>262</v>
      </c>
      <c r="D28" s="178">
        <v>150000</v>
      </c>
      <c r="E28" s="131">
        <f>$D$28*E13</f>
        <v>15705</v>
      </c>
      <c r="F28" s="110">
        <f>$D$28*F13</f>
        <v>2310</v>
      </c>
      <c r="G28" s="110">
        <f>$D$28*G13</f>
        <v>9000</v>
      </c>
      <c r="H28" s="110">
        <f>$D$28*H13</f>
        <v>1380</v>
      </c>
      <c r="I28" s="110">
        <v>18.57</v>
      </c>
      <c r="J28" s="112">
        <f>$D$28*J13</f>
        <v>4500</v>
      </c>
      <c r="K28" s="182">
        <f t="shared" si="0"/>
        <v>32913.57</v>
      </c>
      <c r="L28" s="555">
        <f t="shared" si="1"/>
        <v>182913.57</v>
      </c>
    </row>
    <row r="29" spans="2:12" ht="15.75" thickBot="1" x14ac:dyDescent="0.3">
      <c r="B29" s="975"/>
      <c r="C29" s="569" t="s">
        <v>264</v>
      </c>
      <c r="D29" s="179">
        <v>130000</v>
      </c>
      <c r="E29" s="132">
        <f>$D$29*E13</f>
        <v>13611</v>
      </c>
      <c r="F29" s="122">
        <f>$D$29*F13</f>
        <v>2002</v>
      </c>
      <c r="G29" s="122">
        <f>$D$29*G13</f>
        <v>7800</v>
      </c>
      <c r="H29" s="122">
        <f>$D$29*H13</f>
        <v>1196</v>
      </c>
      <c r="I29" s="122">
        <v>18.57</v>
      </c>
      <c r="J29" s="123">
        <f>$D$29*J13</f>
        <v>3900</v>
      </c>
      <c r="K29" s="183">
        <f t="shared" si="0"/>
        <v>28527.57</v>
      </c>
      <c r="L29" s="556">
        <f t="shared" si="1"/>
        <v>158527.57</v>
      </c>
    </row>
    <row r="32" spans="2:12" ht="15.75" thickBot="1" x14ac:dyDescent="0.3"/>
    <row r="33" spans="2:27" ht="27" thickBot="1" x14ac:dyDescent="0.45">
      <c r="B33" s="970" t="s">
        <v>332</v>
      </c>
      <c r="C33" s="953"/>
      <c r="D33" s="953"/>
      <c r="E33" s="953"/>
      <c r="F33" s="953"/>
      <c r="G33" s="953"/>
      <c r="H33" s="953"/>
      <c r="I33" s="953"/>
      <c r="J33" s="953"/>
      <c r="K33" s="953"/>
      <c r="L33" s="953"/>
      <c r="M33" s="953"/>
      <c r="N33" s="953"/>
      <c r="O33" s="953"/>
      <c r="P33" s="953"/>
      <c r="Q33" s="953"/>
      <c r="R33" s="953"/>
      <c r="S33" s="953"/>
      <c r="T33" s="953"/>
      <c r="U33" s="953"/>
      <c r="V33" s="953"/>
      <c r="W33" s="953"/>
      <c r="X33" s="953"/>
      <c r="Y33" s="953"/>
      <c r="Z33" s="953"/>
      <c r="AA33" s="954"/>
    </row>
    <row r="34" spans="2:27" ht="15.75" x14ac:dyDescent="0.25">
      <c r="B34" s="963" t="s">
        <v>131</v>
      </c>
      <c r="C34" s="965" t="s">
        <v>38</v>
      </c>
      <c r="D34" s="966"/>
      <c r="E34" s="966" t="s">
        <v>39</v>
      </c>
      <c r="F34" s="966"/>
      <c r="G34" s="966" t="s">
        <v>40</v>
      </c>
      <c r="H34" s="966"/>
      <c r="I34" s="966" t="s">
        <v>41</v>
      </c>
      <c r="J34" s="966"/>
      <c r="K34" s="966" t="s">
        <v>42</v>
      </c>
      <c r="L34" s="966"/>
      <c r="M34" s="966" t="s">
        <v>143</v>
      </c>
      <c r="N34" s="966"/>
      <c r="O34" s="966" t="s">
        <v>44</v>
      </c>
      <c r="P34" s="966"/>
      <c r="Q34" s="966" t="s">
        <v>45</v>
      </c>
      <c r="R34" s="966"/>
      <c r="S34" s="966" t="s">
        <v>46</v>
      </c>
      <c r="T34" s="966"/>
      <c r="U34" s="966" t="s">
        <v>47</v>
      </c>
      <c r="V34" s="966"/>
      <c r="W34" s="966" t="s">
        <v>48</v>
      </c>
      <c r="X34" s="966"/>
      <c r="Y34" s="966" t="s">
        <v>144</v>
      </c>
      <c r="Z34" s="966"/>
      <c r="AA34" s="967" t="s">
        <v>108</v>
      </c>
    </row>
    <row r="35" spans="2:27" ht="15.75" x14ac:dyDescent="0.25">
      <c r="B35" s="964"/>
      <c r="C35" s="561" t="s">
        <v>53</v>
      </c>
      <c r="D35" s="557" t="s">
        <v>70</v>
      </c>
      <c r="E35" s="557" t="s">
        <v>53</v>
      </c>
      <c r="F35" s="557" t="s">
        <v>70</v>
      </c>
      <c r="G35" s="557" t="s">
        <v>53</v>
      </c>
      <c r="H35" s="557" t="s">
        <v>70</v>
      </c>
      <c r="I35" s="557" t="s">
        <v>53</v>
      </c>
      <c r="J35" s="557" t="s">
        <v>70</v>
      </c>
      <c r="K35" s="557" t="s">
        <v>53</v>
      </c>
      <c r="L35" s="557" t="s">
        <v>70</v>
      </c>
      <c r="M35" s="557" t="s">
        <v>53</v>
      </c>
      <c r="N35" s="557" t="s">
        <v>70</v>
      </c>
      <c r="O35" s="557" t="s">
        <v>53</v>
      </c>
      <c r="P35" s="557" t="s">
        <v>70</v>
      </c>
      <c r="Q35" s="557" t="s">
        <v>53</v>
      </c>
      <c r="R35" s="557" t="s">
        <v>70</v>
      </c>
      <c r="S35" s="557" t="s">
        <v>53</v>
      </c>
      <c r="T35" s="557" t="s">
        <v>70</v>
      </c>
      <c r="U35" s="557" t="s">
        <v>53</v>
      </c>
      <c r="V35" s="557" t="s">
        <v>70</v>
      </c>
      <c r="W35" s="557" t="s">
        <v>53</v>
      </c>
      <c r="X35" s="557" t="s">
        <v>70</v>
      </c>
      <c r="Y35" s="557" t="s">
        <v>53</v>
      </c>
      <c r="Z35" s="557" t="s">
        <v>70</v>
      </c>
      <c r="AA35" s="968"/>
    </row>
    <row r="36" spans="2:27" x14ac:dyDescent="0.25">
      <c r="B36" s="563" t="s">
        <v>337</v>
      </c>
      <c r="C36" s="201">
        <v>1</v>
      </c>
      <c r="D36" s="142">
        <f>C36*$L$14</f>
        <v>243878.57</v>
      </c>
      <c r="E36" s="201">
        <v>1</v>
      </c>
      <c r="F36" s="142">
        <f>E36*$L$14</f>
        <v>243878.57</v>
      </c>
      <c r="G36" s="201">
        <v>1</v>
      </c>
      <c r="H36" s="142">
        <f>G36*$L$14</f>
        <v>243878.57</v>
      </c>
      <c r="I36" s="201">
        <v>1</v>
      </c>
      <c r="J36" s="142">
        <f>I36*$L$14</f>
        <v>243878.57</v>
      </c>
      <c r="K36" s="201">
        <v>1</v>
      </c>
      <c r="L36" s="142">
        <f>K36*$L$14</f>
        <v>243878.57</v>
      </c>
      <c r="M36" s="201">
        <v>1</v>
      </c>
      <c r="N36" s="142">
        <f>M36*$L14 + (M36*$L14/2)</f>
        <v>365817.85499999998</v>
      </c>
      <c r="O36" s="201">
        <v>1</v>
      </c>
      <c r="P36" s="142">
        <f>O36*$L$14</f>
        <v>243878.57</v>
      </c>
      <c r="Q36" s="201">
        <v>1</v>
      </c>
      <c r="R36" s="142">
        <f>Q36*$L$14</f>
        <v>243878.57</v>
      </c>
      <c r="S36" s="201">
        <v>1</v>
      </c>
      <c r="T36" s="142">
        <f>S36*$L$14</f>
        <v>243878.57</v>
      </c>
      <c r="U36" s="201">
        <v>1</v>
      </c>
      <c r="V36" s="142">
        <f>U36*$L$14</f>
        <v>243878.57</v>
      </c>
      <c r="W36" s="201">
        <v>1</v>
      </c>
      <c r="X36" s="142">
        <f>W36*$L$14</f>
        <v>243878.57</v>
      </c>
      <c r="Y36" s="201">
        <v>1</v>
      </c>
      <c r="Z36" s="142">
        <f>Y36*$L14+(Y36*$L14/2)</f>
        <v>365817.85499999998</v>
      </c>
      <c r="AA36" s="558">
        <f>D36+F36+H36+J36+L36+N36+P36+R36+T36+V36+X36+Z36</f>
        <v>3170421.4099999997</v>
      </c>
    </row>
    <row r="37" spans="2:27" x14ac:dyDescent="0.25">
      <c r="B37" s="564" t="s">
        <v>335</v>
      </c>
      <c r="C37" s="201">
        <v>1</v>
      </c>
      <c r="D37" s="142">
        <f>C37*$L$16</f>
        <v>121948.57</v>
      </c>
      <c r="E37" s="201">
        <v>1</v>
      </c>
      <c r="F37" s="142">
        <f>E37*$L$16</f>
        <v>121948.57</v>
      </c>
      <c r="G37" s="201">
        <v>1</v>
      </c>
      <c r="H37" s="142">
        <f>G37*$L$16</f>
        <v>121948.57</v>
      </c>
      <c r="I37" s="201">
        <v>1</v>
      </c>
      <c r="J37" s="142">
        <f>I37*$L$16</f>
        <v>121948.57</v>
      </c>
      <c r="K37" s="201">
        <v>1</v>
      </c>
      <c r="L37" s="142">
        <f>K37*$L$16</f>
        <v>121948.57</v>
      </c>
      <c r="M37" s="201">
        <v>1</v>
      </c>
      <c r="N37" s="142">
        <f>M37*$L$16</f>
        <v>121948.57</v>
      </c>
      <c r="O37" s="201">
        <v>1</v>
      </c>
      <c r="P37" s="142">
        <f>O37*$L$16</f>
        <v>121948.57</v>
      </c>
      <c r="Q37" s="201">
        <v>1</v>
      </c>
      <c r="R37" s="142">
        <f>Q37*$L$16</f>
        <v>121948.57</v>
      </c>
      <c r="S37" s="201">
        <v>1</v>
      </c>
      <c r="T37" s="142">
        <f>S37*$L$16</f>
        <v>121948.57</v>
      </c>
      <c r="U37" s="201">
        <v>1</v>
      </c>
      <c r="V37" s="142">
        <f>U37*$L$16</f>
        <v>121948.57</v>
      </c>
      <c r="W37" s="201">
        <v>1</v>
      </c>
      <c r="X37" s="142">
        <f>W37*$L$16</f>
        <v>121948.57</v>
      </c>
      <c r="Y37" s="201">
        <v>1</v>
      </c>
      <c r="Z37" s="142">
        <f>Y37*$L16+(Y37*$L16/2)</f>
        <v>182922.85500000001</v>
      </c>
      <c r="AA37" s="558">
        <f t="shared" ref="AA37:AA41" si="3">D37+F37+H37+J37+L37+N37+P37+R37+T37+V37+X37+Z37</f>
        <v>1524357.1250000005</v>
      </c>
    </row>
    <row r="38" spans="2:27" x14ac:dyDescent="0.25">
      <c r="B38" s="564" t="s">
        <v>336</v>
      </c>
      <c r="C38" s="201">
        <v>1</v>
      </c>
      <c r="D38" s="142">
        <f>C38*$L17</f>
        <v>121948.57</v>
      </c>
      <c r="E38" s="201">
        <v>1</v>
      </c>
      <c r="F38" s="142">
        <f>E38*$L16</f>
        <v>121948.57</v>
      </c>
      <c r="G38" s="201">
        <v>1</v>
      </c>
      <c r="H38" s="142">
        <f>G38*$L16</f>
        <v>121948.57</v>
      </c>
      <c r="I38" s="201">
        <v>1</v>
      </c>
      <c r="J38" s="142">
        <f>I38*$L16</f>
        <v>121948.57</v>
      </c>
      <c r="K38" s="201">
        <v>1</v>
      </c>
      <c r="L38" s="142">
        <f>K38*$L16</f>
        <v>121948.57</v>
      </c>
      <c r="M38" s="201">
        <v>1</v>
      </c>
      <c r="N38" s="142">
        <f t="shared" ref="N38" si="4">M38*$L16 + (M38*$L16/2)</f>
        <v>182922.85500000001</v>
      </c>
      <c r="O38" s="201">
        <v>1</v>
      </c>
      <c r="P38" s="142">
        <f>O38*$L16</f>
        <v>121948.57</v>
      </c>
      <c r="Q38" s="201">
        <v>1</v>
      </c>
      <c r="R38" s="142">
        <f>Q38*$L16</f>
        <v>121948.57</v>
      </c>
      <c r="S38" s="201">
        <v>1</v>
      </c>
      <c r="T38" s="142">
        <f>S38*$L16</f>
        <v>121948.57</v>
      </c>
      <c r="U38" s="201">
        <v>1</v>
      </c>
      <c r="V38" s="142">
        <f>U38*$L16</f>
        <v>121948.57</v>
      </c>
      <c r="W38" s="201">
        <v>1</v>
      </c>
      <c r="X38" s="142">
        <f>W38*$L16</f>
        <v>121948.57</v>
      </c>
      <c r="Y38" s="201">
        <v>1</v>
      </c>
      <c r="Z38" s="142">
        <f t="shared" ref="Z38" si="5">Y38*$L16+(Y38*$L16/2)</f>
        <v>182922.85500000001</v>
      </c>
      <c r="AA38" s="558">
        <f t="shared" si="3"/>
        <v>1585331.4100000004</v>
      </c>
    </row>
    <row r="39" spans="2:27" x14ac:dyDescent="0.25">
      <c r="B39" s="564" t="s">
        <v>262</v>
      </c>
      <c r="C39" s="201">
        <v>3</v>
      </c>
      <c r="D39" s="142">
        <f>C39*$L28</f>
        <v>548740.71</v>
      </c>
      <c r="E39" s="201">
        <v>3</v>
      </c>
      <c r="F39" s="142">
        <f>E39*$L28</f>
        <v>548740.71</v>
      </c>
      <c r="G39" s="201">
        <v>3</v>
      </c>
      <c r="H39" s="142">
        <f>G39*$L28</f>
        <v>548740.71</v>
      </c>
      <c r="I39" s="201">
        <v>3</v>
      </c>
      <c r="J39" s="142">
        <f>I39*$L28</f>
        <v>548740.71</v>
      </c>
      <c r="K39" s="201">
        <v>3</v>
      </c>
      <c r="L39" s="142">
        <f>K39*$L28</f>
        <v>548740.71</v>
      </c>
      <c r="M39" s="201">
        <v>3</v>
      </c>
      <c r="N39" s="142">
        <f>M39*$L28</f>
        <v>548740.71</v>
      </c>
      <c r="O39" s="201">
        <v>3</v>
      </c>
      <c r="P39" s="142">
        <f>O39*$L28</f>
        <v>548740.71</v>
      </c>
      <c r="Q39" s="201">
        <v>3</v>
      </c>
      <c r="R39" s="142">
        <f>Q39*$L28</f>
        <v>548740.71</v>
      </c>
      <c r="S39" s="201">
        <v>3</v>
      </c>
      <c r="T39" s="142">
        <f>S39*$L28</f>
        <v>548740.71</v>
      </c>
      <c r="U39" s="201">
        <v>3</v>
      </c>
      <c r="V39" s="142">
        <f>U39*$L28</f>
        <v>548740.71</v>
      </c>
      <c r="W39" s="201">
        <v>3</v>
      </c>
      <c r="X39" s="142">
        <f>W39*$L28</f>
        <v>548740.71</v>
      </c>
      <c r="Y39" s="201">
        <v>3</v>
      </c>
      <c r="Z39" s="142">
        <f>Y39*$L28+(Y39*$L28/2)</f>
        <v>823111.06499999994</v>
      </c>
      <c r="AA39" s="558">
        <f t="shared" si="3"/>
        <v>6859258.875</v>
      </c>
    </row>
    <row r="40" spans="2:27" x14ac:dyDescent="0.25">
      <c r="B40" s="564" t="s">
        <v>264</v>
      </c>
      <c r="C40" s="201">
        <v>1</v>
      </c>
      <c r="D40" s="142">
        <f>C40*$L29</f>
        <v>158527.57</v>
      </c>
      <c r="E40" s="201">
        <v>1</v>
      </c>
      <c r="F40" s="142">
        <f>E40*$L20</f>
        <v>121948.57</v>
      </c>
      <c r="G40" s="201">
        <v>1</v>
      </c>
      <c r="H40" s="142">
        <f>G40*$L20</f>
        <v>121948.57</v>
      </c>
      <c r="I40" s="201">
        <v>1</v>
      </c>
      <c r="J40" s="142">
        <f>I40*$L20</f>
        <v>121948.57</v>
      </c>
      <c r="K40" s="201">
        <v>1</v>
      </c>
      <c r="L40" s="142">
        <f>K40*$L20</f>
        <v>121948.57</v>
      </c>
      <c r="M40" s="201">
        <v>1</v>
      </c>
      <c r="N40" s="142">
        <f>M40*$L20 + (M40*$L20/2)</f>
        <v>182922.85500000001</v>
      </c>
      <c r="O40" s="201">
        <v>1</v>
      </c>
      <c r="P40" s="142">
        <f>O40*$L20</f>
        <v>121948.57</v>
      </c>
      <c r="Q40" s="201">
        <v>1</v>
      </c>
      <c r="R40" s="142">
        <f>Q40*$L20</f>
        <v>121948.57</v>
      </c>
      <c r="S40" s="201">
        <v>1</v>
      </c>
      <c r="T40" s="142">
        <f>S40*$L20</f>
        <v>121948.57</v>
      </c>
      <c r="U40" s="201">
        <v>1</v>
      </c>
      <c r="V40" s="142">
        <f>U40*$L20</f>
        <v>121948.57</v>
      </c>
      <c r="W40" s="201">
        <v>1</v>
      </c>
      <c r="X40" s="142">
        <f>W40*$L20</f>
        <v>121948.57</v>
      </c>
      <c r="Y40" s="201">
        <v>1</v>
      </c>
      <c r="Z40" s="142">
        <f>Y40*$L20+(Y40*$L20/2)</f>
        <v>182922.85500000001</v>
      </c>
      <c r="AA40" s="558">
        <f t="shared" si="3"/>
        <v>1621910.4100000004</v>
      </c>
    </row>
    <row r="41" spans="2:27" x14ac:dyDescent="0.25">
      <c r="B41" s="564" t="s">
        <v>263</v>
      </c>
      <c r="C41" s="201">
        <v>1</v>
      </c>
      <c r="D41" s="142">
        <f>C41*$L18</f>
        <v>121948.57</v>
      </c>
      <c r="E41" s="201">
        <v>1</v>
      </c>
      <c r="F41" s="142">
        <f>E41*$L18</f>
        <v>121948.57</v>
      </c>
      <c r="G41" s="201">
        <v>1</v>
      </c>
      <c r="H41" s="142">
        <f>G41*$L18</f>
        <v>121948.57</v>
      </c>
      <c r="I41" s="201">
        <v>1</v>
      </c>
      <c r="J41" s="142">
        <f>I41*$L18</f>
        <v>121948.57</v>
      </c>
      <c r="K41" s="201">
        <v>1</v>
      </c>
      <c r="L41" s="142">
        <f>K41*$L18</f>
        <v>121948.57</v>
      </c>
      <c r="M41" s="201">
        <v>1</v>
      </c>
      <c r="N41" s="142">
        <f>M41*$L18 + (M41*$L18/2)</f>
        <v>182922.85500000001</v>
      </c>
      <c r="O41" s="201">
        <v>1</v>
      </c>
      <c r="P41" s="142">
        <f>O41*$L18</f>
        <v>121948.57</v>
      </c>
      <c r="Q41" s="201">
        <v>1</v>
      </c>
      <c r="R41" s="142">
        <f>Q41*$L18</f>
        <v>121948.57</v>
      </c>
      <c r="S41" s="201">
        <v>1</v>
      </c>
      <c r="T41" s="142">
        <f>S41*$L18</f>
        <v>121948.57</v>
      </c>
      <c r="U41" s="201">
        <v>1</v>
      </c>
      <c r="V41" s="142">
        <f>U41*$L18</f>
        <v>121948.57</v>
      </c>
      <c r="W41" s="201">
        <v>1</v>
      </c>
      <c r="X41" s="142">
        <f>W41*$L18</f>
        <v>121948.57</v>
      </c>
      <c r="Y41" s="201">
        <v>1</v>
      </c>
      <c r="Z41" s="142">
        <f>Y41*$L18+(Y41*$L18/2)</f>
        <v>182922.85500000001</v>
      </c>
      <c r="AA41" s="558">
        <f t="shared" si="3"/>
        <v>1585331.4100000004</v>
      </c>
    </row>
    <row r="42" spans="2:27" ht="16.5" thickBot="1" x14ac:dyDescent="0.3">
      <c r="B42" s="565" t="s">
        <v>145</v>
      </c>
      <c r="C42" s="562">
        <f t="shared" ref="C42:Z42" si="6">SUM(C36:C41)</f>
        <v>8</v>
      </c>
      <c r="D42" s="560">
        <f t="shared" si="6"/>
        <v>1316992.56</v>
      </c>
      <c r="E42" s="559">
        <f t="shared" si="6"/>
        <v>8</v>
      </c>
      <c r="F42" s="560">
        <f t="shared" si="6"/>
        <v>1280413.56</v>
      </c>
      <c r="G42" s="559">
        <f t="shared" si="6"/>
        <v>8</v>
      </c>
      <c r="H42" s="560">
        <f t="shared" si="6"/>
        <v>1280413.56</v>
      </c>
      <c r="I42" s="559">
        <f t="shared" si="6"/>
        <v>8</v>
      </c>
      <c r="J42" s="560">
        <f t="shared" si="6"/>
        <v>1280413.56</v>
      </c>
      <c r="K42" s="559">
        <f t="shared" si="6"/>
        <v>8</v>
      </c>
      <c r="L42" s="560">
        <f t="shared" si="6"/>
        <v>1280413.56</v>
      </c>
      <c r="M42" s="559">
        <f t="shared" si="6"/>
        <v>8</v>
      </c>
      <c r="N42" s="560">
        <f t="shared" si="6"/>
        <v>1585275.7</v>
      </c>
      <c r="O42" s="559">
        <f t="shared" si="6"/>
        <v>8</v>
      </c>
      <c r="P42" s="560">
        <f t="shared" si="6"/>
        <v>1280413.56</v>
      </c>
      <c r="Q42" s="559">
        <f t="shared" si="6"/>
        <v>8</v>
      </c>
      <c r="R42" s="560">
        <f t="shared" si="6"/>
        <v>1280413.56</v>
      </c>
      <c r="S42" s="559">
        <f t="shared" si="6"/>
        <v>8</v>
      </c>
      <c r="T42" s="560">
        <f t="shared" si="6"/>
        <v>1280413.56</v>
      </c>
      <c r="U42" s="559">
        <f t="shared" si="6"/>
        <v>8</v>
      </c>
      <c r="V42" s="560">
        <f t="shared" si="6"/>
        <v>1280413.56</v>
      </c>
      <c r="W42" s="559">
        <f t="shared" si="6"/>
        <v>8</v>
      </c>
      <c r="X42" s="560">
        <f t="shared" si="6"/>
        <v>1280413.56</v>
      </c>
      <c r="Y42" s="559">
        <f t="shared" si="6"/>
        <v>8</v>
      </c>
      <c r="Z42" s="560">
        <f t="shared" si="6"/>
        <v>1920620.3399999999</v>
      </c>
      <c r="AA42" s="191">
        <f>Z42+X42+V42+T42+R42+P42+N42+L42+J42+H42+F42+D42</f>
        <v>16346610.640000002</v>
      </c>
    </row>
    <row r="45" spans="2:27" ht="15.75" thickBot="1" x14ac:dyDescent="0.3"/>
    <row r="46" spans="2:27" ht="27" thickBot="1" x14ac:dyDescent="0.45">
      <c r="B46" s="952" t="s">
        <v>333</v>
      </c>
      <c r="C46" s="953"/>
      <c r="D46" s="953"/>
      <c r="E46" s="953"/>
      <c r="F46" s="953"/>
      <c r="G46" s="953"/>
      <c r="H46" s="953"/>
      <c r="I46" s="953"/>
      <c r="J46" s="953"/>
      <c r="K46" s="953"/>
      <c r="L46" s="953"/>
      <c r="M46" s="953"/>
      <c r="N46" s="953"/>
      <c r="O46" s="953"/>
      <c r="P46" s="953"/>
      <c r="Q46" s="953"/>
      <c r="R46" s="953"/>
      <c r="S46" s="953"/>
      <c r="T46" s="953"/>
      <c r="U46" s="953"/>
      <c r="V46" s="953"/>
      <c r="W46" s="953"/>
      <c r="X46" s="953"/>
      <c r="Y46" s="953"/>
      <c r="Z46" s="953"/>
      <c r="AA46" s="954"/>
    </row>
    <row r="47" spans="2:27" ht="15.75" x14ac:dyDescent="0.25">
      <c r="B47" s="963" t="s">
        <v>131</v>
      </c>
      <c r="C47" s="965" t="s">
        <v>38</v>
      </c>
      <c r="D47" s="966"/>
      <c r="E47" s="966" t="s">
        <v>39</v>
      </c>
      <c r="F47" s="966"/>
      <c r="G47" s="966" t="s">
        <v>40</v>
      </c>
      <c r="H47" s="966"/>
      <c r="I47" s="966" t="s">
        <v>41</v>
      </c>
      <c r="J47" s="966"/>
      <c r="K47" s="966" t="s">
        <v>42</v>
      </c>
      <c r="L47" s="966"/>
      <c r="M47" s="966" t="s">
        <v>143</v>
      </c>
      <c r="N47" s="966"/>
      <c r="O47" s="966" t="s">
        <v>44</v>
      </c>
      <c r="P47" s="966"/>
      <c r="Q47" s="966" t="s">
        <v>45</v>
      </c>
      <c r="R47" s="966"/>
      <c r="S47" s="966" t="s">
        <v>46</v>
      </c>
      <c r="T47" s="966"/>
      <c r="U47" s="966" t="s">
        <v>47</v>
      </c>
      <c r="V47" s="966"/>
      <c r="W47" s="966" t="s">
        <v>48</v>
      </c>
      <c r="X47" s="966"/>
      <c r="Y47" s="966" t="s">
        <v>144</v>
      </c>
      <c r="Z47" s="966"/>
      <c r="AA47" s="967" t="s">
        <v>108</v>
      </c>
    </row>
    <row r="48" spans="2:27" ht="15.75" x14ac:dyDescent="0.25">
      <c r="B48" s="964"/>
      <c r="C48" s="561" t="s">
        <v>53</v>
      </c>
      <c r="D48" s="557" t="s">
        <v>70</v>
      </c>
      <c r="E48" s="557" t="s">
        <v>53</v>
      </c>
      <c r="F48" s="557" t="s">
        <v>70</v>
      </c>
      <c r="G48" s="557" t="s">
        <v>53</v>
      </c>
      <c r="H48" s="557" t="s">
        <v>70</v>
      </c>
      <c r="I48" s="557" t="s">
        <v>53</v>
      </c>
      <c r="J48" s="557" t="s">
        <v>70</v>
      </c>
      <c r="K48" s="557" t="s">
        <v>53</v>
      </c>
      <c r="L48" s="557" t="s">
        <v>70</v>
      </c>
      <c r="M48" s="557" t="s">
        <v>53</v>
      </c>
      <c r="N48" s="557" t="s">
        <v>70</v>
      </c>
      <c r="O48" s="557" t="s">
        <v>53</v>
      </c>
      <c r="P48" s="557" t="s">
        <v>70</v>
      </c>
      <c r="Q48" s="557" t="s">
        <v>53</v>
      </c>
      <c r="R48" s="557" t="s">
        <v>70</v>
      </c>
      <c r="S48" s="557" t="s">
        <v>53</v>
      </c>
      <c r="T48" s="557" t="s">
        <v>70</v>
      </c>
      <c r="U48" s="557" t="s">
        <v>53</v>
      </c>
      <c r="V48" s="557" t="s">
        <v>70</v>
      </c>
      <c r="W48" s="557" t="s">
        <v>53</v>
      </c>
      <c r="X48" s="557" t="s">
        <v>70</v>
      </c>
      <c r="Y48" s="557" t="s">
        <v>53</v>
      </c>
      <c r="Z48" s="557" t="s">
        <v>70</v>
      </c>
      <c r="AA48" s="968"/>
    </row>
    <row r="49" spans="2:27" x14ac:dyDescent="0.25">
      <c r="B49" s="563" t="s">
        <v>337</v>
      </c>
      <c r="C49" s="201">
        <v>1</v>
      </c>
      <c r="D49" s="142">
        <f>C49*$L$14</f>
        <v>243878.57</v>
      </c>
      <c r="E49" s="201">
        <v>1</v>
      </c>
      <c r="F49" s="142">
        <f>E49*$L$14</f>
        <v>243878.57</v>
      </c>
      <c r="G49" s="201">
        <v>1</v>
      </c>
      <c r="H49" s="142">
        <f>G49*$L14</f>
        <v>243878.57</v>
      </c>
      <c r="I49" s="201">
        <v>1</v>
      </c>
      <c r="J49" s="142">
        <f>I49*$L14</f>
        <v>243878.57</v>
      </c>
      <c r="K49" s="201">
        <v>1</v>
      </c>
      <c r="L49" s="142">
        <f>K49*$L14</f>
        <v>243878.57</v>
      </c>
      <c r="M49" s="201">
        <v>1</v>
      </c>
      <c r="N49" s="142">
        <f>M49*$L$14+(M49*$L$14/2)</f>
        <v>365817.85499999998</v>
      </c>
      <c r="O49" s="201">
        <v>1</v>
      </c>
      <c r="P49" s="142">
        <f>O49*$L14</f>
        <v>243878.57</v>
      </c>
      <c r="Q49" s="201">
        <v>1</v>
      </c>
      <c r="R49" s="142">
        <f>Q49*$L14</f>
        <v>243878.57</v>
      </c>
      <c r="S49" s="201">
        <v>1</v>
      </c>
      <c r="T49" s="142">
        <f>S49*$L14</f>
        <v>243878.57</v>
      </c>
      <c r="U49" s="201">
        <v>1</v>
      </c>
      <c r="V49" s="142">
        <f>U49*$L14</f>
        <v>243878.57</v>
      </c>
      <c r="W49" s="201">
        <v>1</v>
      </c>
      <c r="X49" s="142">
        <f>W49*$L$14</f>
        <v>243878.57</v>
      </c>
      <c r="Y49" s="201">
        <v>1</v>
      </c>
      <c r="Z49" s="142">
        <f>Y49*$L$14+(Y49*$L$14/2)</f>
        <v>365817.85499999998</v>
      </c>
      <c r="AA49" s="558">
        <f>D49+F49+H49+J49+L49+N49+P49+R49+T49+V49+X49+Z49</f>
        <v>3170421.4099999997</v>
      </c>
    </row>
    <row r="50" spans="2:27" x14ac:dyDescent="0.25">
      <c r="B50" s="564" t="s">
        <v>335</v>
      </c>
      <c r="C50" s="201">
        <v>1</v>
      </c>
      <c r="D50" s="142">
        <f>C50*$L$16</f>
        <v>121948.57</v>
      </c>
      <c r="E50" s="201">
        <v>1</v>
      </c>
      <c r="F50" s="142">
        <f>E50*$L$16</f>
        <v>121948.57</v>
      </c>
      <c r="G50" s="201">
        <v>1</v>
      </c>
      <c r="H50" s="142">
        <f>G50*$L16</f>
        <v>121948.57</v>
      </c>
      <c r="I50" s="201">
        <v>1</v>
      </c>
      <c r="J50" s="142">
        <f>I50*$L16</f>
        <v>121948.57</v>
      </c>
      <c r="K50" s="201">
        <v>1</v>
      </c>
      <c r="L50" s="142">
        <f>K50*$L16</f>
        <v>121948.57</v>
      </c>
      <c r="M50" s="201">
        <v>1</v>
      </c>
      <c r="N50" s="142">
        <f>M50*$L$16+(M50*$L$16/2)</f>
        <v>182922.85500000001</v>
      </c>
      <c r="O50" s="201">
        <v>1</v>
      </c>
      <c r="P50" s="142">
        <f>O50*$L16</f>
        <v>121948.57</v>
      </c>
      <c r="Q50" s="201">
        <v>1</v>
      </c>
      <c r="R50" s="142">
        <f>Q50*$L16</f>
        <v>121948.57</v>
      </c>
      <c r="S50" s="201">
        <v>1</v>
      </c>
      <c r="T50" s="142">
        <f>S50*$L16</f>
        <v>121948.57</v>
      </c>
      <c r="U50" s="201">
        <v>1</v>
      </c>
      <c r="V50" s="142">
        <f>U50*$L16</f>
        <v>121948.57</v>
      </c>
      <c r="W50" s="201">
        <v>1</v>
      </c>
      <c r="X50" s="142">
        <f>W50*$L$16</f>
        <v>121948.57</v>
      </c>
      <c r="Y50" s="201">
        <v>1</v>
      </c>
      <c r="Z50" s="142">
        <f>Y50*$L$16+(Y50*$L$16/2)</f>
        <v>182922.85500000001</v>
      </c>
      <c r="AA50" s="558">
        <f t="shared" ref="AA50:AA58" si="7">D50+F50+H50+J50+L50+N50+P50+R50+T50+V50+X50+Z50</f>
        <v>1585331.4100000004</v>
      </c>
    </row>
    <row r="51" spans="2:27" x14ac:dyDescent="0.25">
      <c r="B51" s="564" t="s">
        <v>263</v>
      </c>
      <c r="C51" s="201">
        <v>1</v>
      </c>
      <c r="D51" s="142">
        <f>C51*$L$18</f>
        <v>121948.57</v>
      </c>
      <c r="E51" s="201">
        <v>1</v>
      </c>
      <c r="F51" s="142">
        <f>E51*$L$18</f>
        <v>121948.57</v>
      </c>
      <c r="G51" s="201">
        <v>1</v>
      </c>
      <c r="H51" s="142">
        <f>G51*$L18</f>
        <v>121948.57</v>
      </c>
      <c r="I51" s="201">
        <v>1</v>
      </c>
      <c r="J51" s="142">
        <f>I51*$L18</f>
        <v>121948.57</v>
      </c>
      <c r="K51" s="201">
        <v>1</v>
      </c>
      <c r="L51" s="142">
        <f>K51*$L18</f>
        <v>121948.57</v>
      </c>
      <c r="M51" s="201">
        <v>1</v>
      </c>
      <c r="N51" s="142">
        <f>M51*$L$18+(M51*$L$18/2)</f>
        <v>182922.85500000001</v>
      </c>
      <c r="O51" s="201">
        <v>1</v>
      </c>
      <c r="P51" s="142">
        <f>O51*$L18</f>
        <v>121948.57</v>
      </c>
      <c r="Q51" s="201">
        <v>1</v>
      </c>
      <c r="R51" s="142">
        <f>Q51*$L18</f>
        <v>121948.57</v>
      </c>
      <c r="S51" s="201">
        <v>1</v>
      </c>
      <c r="T51" s="142">
        <f>S51*$L18</f>
        <v>121948.57</v>
      </c>
      <c r="U51" s="201">
        <v>1</v>
      </c>
      <c r="V51" s="142">
        <f>U51*$L18</f>
        <v>121948.57</v>
      </c>
      <c r="W51" s="201">
        <v>1</v>
      </c>
      <c r="X51" s="142">
        <f>W51*$L$18</f>
        <v>121948.57</v>
      </c>
      <c r="Y51" s="201">
        <v>1</v>
      </c>
      <c r="Z51" s="142">
        <f>Y51*$L$18+(Y51*$L$18/2)</f>
        <v>182922.85500000001</v>
      </c>
      <c r="AA51" s="558">
        <f t="shared" si="7"/>
        <v>1585331.4100000004</v>
      </c>
    </row>
    <row r="52" spans="2:27" x14ac:dyDescent="0.25">
      <c r="B52" s="564" t="s">
        <v>336</v>
      </c>
      <c r="C52" s="201">
        <v>1</v>
      </c>
      <c r="D52" s="142">
        <f>C52*$L$20</f>
        <v>121948.57</v>
      </c>
      <c r="E52" s="201">
        <v>1</v>
      </c>
      <c r="F52" s="142">
        <f>E52*$L$20</f>
        <v>121948.57</v>
      </c>
      <c r="G52" s="201">
        <v>1</v>
      </c>
      <c r="H52" s="142">
        <f>G52*$L20</f>
        <v>121948.57</v>
      </c>
      <c r="I52" s="201">
        <v>1</v>
      </c>
      <c r="J52" s="142">
        <f>I52*$L20</f>
        <v>121948.57</v>
      </c>
      <c r="K52" s="201">
        <v>1</v>
      </c>
      <c r="L52" s="142">
        <f>K52*$L20</f>
        <v>121948.57</v>
      </c>
      <c r="M52" s="201">
        <v>1</v>
      </c>
      <c r="N52" s="142">
        <f>M52*$L$20+(M52*$L$20/2)</f>
        <v>182922.85500000001</v>
      </c>
      <c r="O52" s="201">
        <v>1</v>
      </c>
      <c r="P52" s="142">
        <f>O52*$L20</f>
        <v>121948.57</v>
      </c>
      <c r="Q52" s="201">
        <v>1</v>
      </c>
      <c r="R52" s="142">
        <f>Q52*$L20</f>
        <v>121948.57</v>
      </c>
      <c r="S52" s="201">
        <v>1</v>
      </c>
      <c r="T52" s="142">
        <f>S52*$L20</f>
        <v>121948.57</v>
      </c>
      <c r="U52" s="201">
        <v>1</v>
      </c>
      <c r="V52" s="142">
        <f>U52*$L20</f>
        <v>121948.57</v>
      </c>
      <c r="W52" s="201">
        <v>1</v>
      </c>
      <c r="X52" s="142">
        <f>W52*$L$20</f>
        <v>121948.57</v>
      </c>
      <c r="Y52" s="201">
        <v>1</v>
      </c>
      <c r="Z52" s="142">
        <f>Y52*$L$20+(Y52*$L$20/2)</f>
        <v>182922.85500000001</v>
      </c>
      <c r="AA52" s="558">
        <f t="shared" si="7"/>
        <v>1585331.4100000004</v>
      </c>
    </row>
    <row r="53" spans="2:27" x14ac:dyDescent="0.25">
      <c r="B53" s="564" t="s">
        <v>329</v>
      </c>
      <c r="C53" s="201">
        <v>1</v>
      </c>
      <c r="D53" s="142">
        <f>C53*$L$21</f>
        <v>195106.57</v>
      </c>
      <c r="E53" s="201">
        <v>1</v>
      </c>
      <c r="F53" s="142">
        <f>E53*$L$21</f>
        <v>195106.57</v>
      </c>
      <c r="G53" s="201">
        <v>1</v>
      </c>
      <c r="H53" s="142">
        <f>G53*$L21</f>
        <v>195106.57</v>
      </c>
      <c r="I53" s="201">
        <v>1</v>
      </c>
      <c r="J53" s="142">
        <f>I53*$L21</f>
        <v>195106.57</v>
      </c>
      <c r="K53" s="201">
        <v>1</v>
      </c>
      <c r="L53" s="142">
        <f>K53*$L21</f>
        <v>195106.57</v>
      </c>
      <c r="M53" s="201">
        <v>1</v>
      </c>
      <c r="N53" s="142">
        <f>M53*$L$21+(M53*$L$21/2)</f>
        <v>292659.85499999998</v>
      </c>
      <c r="O53" s="201">
        <v>1</v>
      </c>
      <c r="P53" s="142">
        <f>O53*$L21</f>
        <v>195106.57</v>
      </c>
      <c r="Q53" s="201">
        <v>1</v>
      </c>
      <c r="R53" s="142">
        <f>Q53*$L21</f>
        <v>195106.57</v>
      </c>
      <c r="S53" s="201">
        <v>1</v>
      </c>
      <c r="T53" s="142">
        <f>S53*$L21</f>
        <v>195106.57</v>
      </c>
      <c r="U53" s="201">
        <v>1</v>
      </c>
      <c r="V53" s="142">
        <f>U53*$L21</f>
        <v>195106.57</v>
      </c>
      <c r="W53" s="201">
        <v>1</v>
      </c>
      <c r="X53" s="142">
        <f>W53*$L$21</f>
        <v>195106.57</v>
      </c>
      <c r="Y53" s="201">
        <v>1</v>
      </c>
      <c r="Z53" s="142">
        <f>Y53*$L$21+(Y53*$L$21/2)</f>
        <v>292659.85499999998</v>
      </c>
      <c r="AA53" s="558">
        <f t="shared" si="7"/>
        <v>2536385.41</v>
      </c>
    </row>
    <row r="54" spans="2:27" x14ac:dyDescent="0.25">
      <c r="B54" s="564" t="s">
        <v>331</v>
      </c>
      <c r="C54" s="201">
        <v>1</v>
      </c>
      <c r="D54" s="142">
        <f>C54*$L$26</f>
        <v>85369.57</v>
      </c>
      <c r="E54" s="201">
        <v>1</v>
      </c>
      <c r="F54" s="142">
        <f>E54*$L$26</f>
        <v>85369.57</v>
      </c>
      <c r="G54" s="201">
        <v>1</v>
      </c>
      <c r="H54" s="142">
        <f>G54*$L26</f>
        <v>85369.57</v>
      </c>
      <c r="I54" s="201">
        <v>1</v>
      </c>
      <c r="J54" s="142">
        <f>I54*$L26</f>
        <v>85369.57</v>
      </c>
      <c r="K54" s="201">
        <v>1</v>
      </c>
      <c r="L54" s="142">
        <f>K54*$L26</f>
        <v>85369.57</v>
      </c>
      <c r="M54" s="201">
        <v>1</v>
      </c>
      <c r="N54" s="142">
        <f>M54*$L$26+(M54*$L$26/2)</f>
        <v>128054.35500000001</v>
      </c>
      <c r="O54" s="201">
        <v>1</v>
      </c>
      <c r="P54" s="142">
        <f>O54*$L26</f>
        <v>85369.57</v>
      </c>
      <c r="Q54" s="201">
        <v>1</v>
      </c>
      <c r="R54" s="142">
        <f>Q54*$L26</f>
        <v>85369.57</v>
      </c>
      <c r="S54" s="201">
        <v>1</v>
      </c>
      <c r="T54" s="142">
        <f>S54*$L26</f>
        <v>85369.57</v>
      </c>
      <c r="U54" s="201">
        <v>1</v>
      </c>
      <c r="V54" s="142">
        <f>U54*$L26</f>
        <v>85369.57</v>
      </c>
      <c r="W54" s="201">
        <v>1</v>
      </c>
      <c r="X54" s="142">
        <f>W54*$L$26</f>
        <v>85369.57</v>
      </c>
      <c r="Y54" s="201">
        <v>1</v>
      </c>
      <c r="Z54" s="142">
        <f>Y54*$L$26+(Y54*$L$26/2)</f>
        <v>128054.35500000001</v>
      </c>
      <c r="AA54" s="558">
        <f t="shared" si="7"/>
        <v>1109804.4100000004</v>
      </c>
    </row>
    <row r="55" spans="2:27" x14ac:dyDescent="0.25">
      <c r="B55" s="564" t="s">
        <v>262</v>
      </c>
      <c r="C55" s="201">
        <v>5</v>
      </c>
      <c r="D55" s="142">
        <f>C55*$L$28</f>
        <v>914567.85000000009</v>
      </c>
      <c r="E55" s="201">
        <v>5</v>
      </c>
      <c r="F55" s="142">
        <f>E55*$L$28</f>
        <v>914567.85000000009</v>
      </c>
      <c r="G55" s="201">
        <v>5</v>
      </c>
      <c r="H55" s="142">
        <f>G55*$L28</f>
        <v>914567.85000000009</v>
      </c>
      <c r="I55" s="201">
        <v>5</v>
      </c>
      <c r="J55" s="142">
        <f>I55*$L28</f>
        <v>914567.85000000009</v>
      </c>
      <c r="K55" s="201">
        <v>5</v>
      </c>
      <c r="L55" s="142">
        <f>K55*$L28</f>
        <v>914567.85000000009</v>
      </c>
      <c r="M55" s="201">
        <v>5</v>
      </c>
      <c r="N55" s="142">
        <f>M55*$L$28+(M55*$L$28/2)</f>
        <v>1371851.7750000001</v>
      </c>
      <c r="O55" s="201">
        <v>5</v>
      </c>
      <c r="P55" s="142">
        <f>O55*$L28</f>
        <v>914567.85000000009</v>
      </c>
      <c r="Q55" s="201">
        <v>5</v>
      </c>
      <c r="R55" s="142">
        <f>Q55*$L28</f>
        <v>914567.85000000009</v>
      </c>
      <c r="S55" s="201">
        <v>5</v>
      </c>
      <c r="T55" s="142">
        <f>S55*$L28</f>
        <v>914567.85000000009</v>
      </c>
      <c r="U55" s="201">
        <v>5</v>
      </c>
      <c r="V55" s="142">
        <f>U55*$L28</f>
        <v>914567.85000000009</v>
      </c>
      <c r="W55" s="201">
        <v>5</v>
      </c>
      <c r="X55" s="142">
        <f>W55*$L$28</f>
        <v>914567.85000000009</v>
      </c>
      <c r="Y55" s="201">
        <v>5</v>
      </c>
      <c r="Z55" s="142">
        <f>Y55*$L$28+(Y55*$L$28/2)</f>
        <v>1371851.7750000001</v>
      </c>
      <c r="AA55" s="558">
        <f t="shared" si="7"/>
        <v>11889382.049999999</v>
      </c>
    </row>
    <row r="56" spans="2:27" x14ac:dyDescent="0.25">
      <c r="B56" s="564" t="s">
        <v>262</v>
      </c>
      <c r="C56" s="201">
        <v>0</v>
      </c>
      <c r="D56" s="142">
        <f>C56*$L$28</f>
        <v>0</v>
      </c>
      <c r="E56" s="201">
        <v>0</v>
      </c>
      <c r="F56" s="142">
        <f>E56*$L$28</f>
        <v>0</v>
      </c>
      <c r="G56" s="201">
        <v>0</v>
      </c>
      <c r="H56" s="142">
        <f>G56*$L29</f>
        <v>0</v>
      </c>
      <c r="I56" s="201">
        <v>0</v>
      </c>
      <c r="J56" s="142">
        <f>I56*$L29</f>
        <v>0</v>
      </c>
      <c r="K56" s="201">
        <v>0</v>
      </c>
      <c r="L56" s="142">
        <f>K56*$L29</f>
        <v>0</v>
      </c>
      <c r="M56" s="201">
        <v>2</v>
      </c>
      <c r="N56" s="142">
        <f>M56*$L$28+(M56*$L$28/2)</f>
        <v>548740.71</v>
      </c>
      <c r="O56" s="201">
        <v>2</v>
      </c>
      <c r="P56" s="142">
        <f>O56*$L29</f>
        <v>317055.14</v>
      </c>
      <c r="Q56" s="201">
        <v>2</v>
      </c>
      <c r="R56" s="142">
        <f>Q56*$L29</f>
        <v>317055.14</v>
      </c>
      <c r="S56" s="201">
        <v>2</v>
      </c>
      <c r="T56" s="142">
        <f>S56*$L29</f>
        <v>317055.14</v>
      </c>
      <c r="U56" s="201">
        <v>2</v>
      </c>
      <c r="V56" s="142">
        <f>U56*$L29</f>
        <v>317055.14</v>
      </c>
      <c r="W56" s="201">
        <v>2</v>
      </c>
      <c r="X56" s="142">
        <f>W56*$L$28</f>
        <v>365827.14</v>
      </c>
      <c r="Y56" s="201">
        <v>2</v>
      </c>
      <c r="Z56" s="142">
        <f>Y56*$L$28+(Y56*$L$28/4)</f>
        <v>457283.92500000005</v>
      </c>
      <c r="AA56" s="558">
        <f t="shared" ref="AA56" si="8">D56+F56+H56+J56+L56+N56+P56+R56+T56+V56+X56+Z56</f>
        <v>2640072.335</v>
      </c>
    </row>
    <row r="57" spans="2:27" x14ac:dyDescent="0.25">
      <c r="B57" s="564" t="s">
        <v>264</v>
      </c>
      <c r="C57" s="201">
        <v>1</v>
      </c>
      <c r="D57" s="142">
        <f>C57*$L$29</f>
        <v>158527.57</v>
      </c>
      <c r="E57" s="201">
        <v>1</v>
      </c>
      <c r="F57" s="142">
        <f>E57*$L$29</f>
        <v>158527.57</v>
      </c>
      <c r="G57" s="201">
        <v>1</v>
      </c>
      <c r="H57" s="142">
        <f>G57*$L28</f>
        <v>182913.57</v>
      </c>
      <c r="I57" s="201">
        <v>1</v>
      </c>
      <c r="J57" s="142">
        <f>I57*$L28</f>
        <v>182913.57</v>
      </c>
      <c r="K57" s="201">
        <v>1</v>
      </c>
      <c r="L57" s="142">
        <f>K57*$L28</f>
        <v>182913.57</v>
      </c>
      <c r="M57" s="201">
        <v>1</v>
      </c>
      <c r="N57" s="142">
        <f>M57*$L$29+(M57*$L$29/2)</f>
        <v>237791.35500000001</v>
      </c>
      <c r="O57" s="201">
        <v>1</v>
      </c>
      <c r="P57" s="142">
        <f>O57*$L28</f>
        <v>182913.57</v>
      </c>
      <c r="Q57" s="201">
        <v>1</v>
      </c>
      <c r="R57" s="142">
        <f>Q57*$L28</f>
        <v>182913.57</v>
      </c>
      <c r="S57" s="201">
        <v>1</v>
      </c>
      <c r="T57" s="142">
        <f>S57*$L28</f>
        <v>182913.57</v>
      </c>
      <c r="U57" s="201">
        <v>1</v>
      </c>
      <c r="V57" s="142">
        <f>U57*$L28</f>
        <v>182913.57</v>
      </c>
      <c r="W57" s="201">
        <v>1</v>
      </c>
      <c r="X57" s="142">
        <f>W57*$L$29</f>
        <v>158527.57</v>
      </c>
      <c r="Y57" s="201">
        <v>1</v>
      </c>
      <c r="Z57" s="142">
        <f>Y57*$L$29+(Y57*$L$29/2)</f>
        <v>237791.35500000001</v>
      </c>
      <c r="AA57" s="558">
        <f t="shared" si="7"/>
        <v>2231560.4100000006</v>
      </c>
    </row>
    <row r="58" spans="2:27" x14ac:dyDescent="0.25">
      <c r="B58" s="564" t="s">
        <v>264</v>
      </c>
      <c r="C58" s="201">
        <v>0</v>
      </c>
      <c r="D58" s="142">
        <f>C58*$L$29</f>
        <v>0</v>
      </c>
      <c r="E58" s="201">
        <v>0</v>
      </c>
      <c r="F58" s="142">
        <f>E58*$L$29</f>
        <v>0</v>
      </c>
      <c r="G58" s="201">
        <v>0</v>
      </c>
      <c r="H58" s="142">
        <f>G58*$L29</f>
        <v>0</v>
      </c>
      <c r="I58" s="201">
        <v>0</v>
      </c>
      <c r="J58" s="142">
        <f>I58*$L29</f>
        <v>0</v>
      </c>
      <c r="K58" s="201">
        <v>0</v>
      </c>
      <c r="L58" s="142">
        <f>K58*$L29</f>
        <v>0</v>
      </c>
      <c r="M58" s="201">
        <v>1</v>
      </c>
      <c r="N58" s="142">
        <f>M58*$L$29+(M58*$L$29/2)</f>
        <v>237791.35500000001</v>
      </c>
      <c r="O58" s="201">
        <v>1</v>
      </c>
      <c r="P58" s="142">
        <f>O58*$L29</f>
        <v>158527.57</v>
      </c>
      <c r="Q58" s="201">
        <v>1</v>
      </c>
      <c r="R58" s="142">
        <f>Q58*$L29</f>
        <v>158527.57</v>
      </c>
      <c r="S58" s="201">
        <v>1</v>
      </c>
      <c r="T58" s="142">
        <f>S58*$L29</f>
        <v>158527.57</v>
      </c>
      <c r="U58" s="201">
        <v>1</v>
      </c>
      <c r="V58" s="142">
        <f>U58*$L29</f>
        <v>158527.57</v>
      </c>
      <c r="W58" s="201">
        <v>1</v>
      </c>
      <c r="X58" s="142">
        <f>W58*$L$29</f>
        <v>158527.57</v>
      </c>
      <c r="Y58" s="201">
        <v>1</v>
      </c>
      <c r="Z58" s="142">
        <f>Y58*$L$29+(Y58*$L$29/4)</f>
        <v>198159.46250000002</v>
      </c>
      <c r="AA58" s="558">
        <f t="shared" si="7"/>
        <v>1228588.6675000004</v>
      </c>
    </row>
    <row r="59" spans="2:27" ht="16.5" thickBot="1" x14ac:dyDescent="0.3">
      <c r="B59" s="565" t="s">
        <v>145</v>
      </c>
      <c r="C59" s="562">
        <f t="shared" ref="C59:Z59" si="9">SUM(C49:C58)</f>
        <v>12</v>
      </c>
      <c r="D59" s="560">
        <f t="shared" si="9"/>
        <v>1963295.8400000003</v>
      </c>
      <c r="E59" s="559">
        <f t="shared" si="9"/>
        <v>12</v>
      </c>
      <c r="F59" s="560">
        <f t="shared" si="9"/>
        <v>1963295.8400000003</v>
      </c>
      <c r="G59" s="559">
        <f t="shared" si="9"/>
        <v>12</v>
      </c>
      <c r="H59" s="560">
        <f t="shared" si="9"/>
        <v>1987681.8400000003</v>
      </c>
      <c r="I59" s="559">
        <f t="shared" si="9"/>
        <v>12</v>
      </c>
      <c r="J59" s="560">
        <f t="shared" si="9"/>
        <v>1987681.8400000003</v>
      </c>
      <c r="K59" s="559">
        <f t="shared" si="9"/>
        <v>12</v>
      </c>
      <c r="L59" s="560">
        <f t="shared" si="9"/>
        <v>1987681.8400000003</v>
      </c>
      <c r="M59" s="559">
        <f t="shared" si="9"/>
        <v>15</v>
      </c>
      <c r="N59" s="560">
        <f t="shared" si="9"/>
        <v>3731475.8250000002</v>
      </c>
      <c r="O59" s="559">
        <f t="shared" si="9"/>
        <v>15</v>
      </c>
      <c r="P59" s="560">
        <f t="shared" si="9"/>
        <v>2463264.5499999998</v>
      </c>
      <c r="Q59" s="559">
        <f t="shared" si="9"/>
        <v>15</v>
      </c>
      <c r="R59" s="560">
        <f t="shared" si="9"/>
        <v>2463264.5499999998</v>
      </c>
      <c r="S59" s="559">
        <f t="shared" si="9"/>
        <v>15</v>
      </c>
      <c r="T59" s="560">
        <f t="shared" si="9"/>
        <v>2463264.5499999998</v>
      </c>
      <c r="U59" s="559">
        <f t="shared" si="9"/>
        <v>15</v>
      </c>
      <c r="V59" s="560">
        <f t="shared" si="9"/>
        <v>2463264.5499999998</v>
      </c>
      <c r="W59" s="559">
        <f t="shared" si="9"/>
        <v>15</v>
      </c>
      <c r="X59" s="560">
        <f t="shared" si="9"/>
        <v>2487650.5499999998</v>
      </c>
      <c r="Y59" s="559">
        <f t="shared" si="9"/>
        <v>15</v>
      </c>
      <c r="Z59" s="560">
        <f t="shared" si="9"/>
        <v>3600387.1475</v>
      </c>
      <c r="AA59" s="191">
        <f>Z59+X59+V59+T59+R59+P59+N59+L59+J59+H59+F59+D59</f>
        <v>29562208.922499999</v>
      </c>
    </row>
    <row r="62" spans="2:27" ht="15.75" thickBot="1" x14ac:dyDescent="0.3"/>
    <row r="63" spans="2:27" ht="27" thickBot="1" x14ac:dyDescent="0.45">
      <c r="B63" s="952" t="s">
        <v>334</v>
      </c>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3"/>
      <c r="AA63" s="954"/>
    </row>
    <row r="64" spans="2:27" ht="15.75" x14ac:dyDescent="0.25">
      <c r="B64" s="963" t="s">
        <v>131</v>
      </c>
      <c r="C64" s="965" t="s">
        <v>38</v>
      </c>
      <c r="D64" s="966"/>
      <c r="E64" s="966" t="s">
        <v>39</v>
      </c>
      <c r="F64" s="966"/>
      <c r="G64" s="966" t="s">
        <v>40</v>
      </c>
      <c r="H64" s="966"/>
      <c r="I64" s="966" t="s">
        <v>41</v>
      </c>
      <c r="J64" s="966"/>
      <c r="K64" s="966" t="s">
        <v>42</v>
      </c>
      <c r="L64" s="966"/>
      <c r="M64" s="966" t="s">
        <v>143</v>
      </c>
      <c r="N64" s="966"/>
      <c r="O64" s="966" t="s">
        <v>44</v>
      </c>
      <c r="P64" s="966"/>
      <c r="Q64" s="966" t="s">
        <v>45</v>
      </c>
      <c r="R64" s="966"/>
      <c r="S64" s="966" t="s">
        <v>46</v>
      </c>
      <c r="T64" s="966"/>
      <c r="U64" s="966" t="s">
        <v>47</v>
      </c>
      <c r="V64" s="966"/>
      <c r="W64" s="966" t="s">
        <v>48</v>
      </c>
      <c r="X64" s="966"/>
      <c r="Y64" s="966" t="s">
        <v>144</v>
      </c>
      <c r="Z64" s="966"/>
      <c r="AA64" s="967" t="s">
        <v>108</v>
      </c>
    </row>
    <row r="65" spans="2:29" ht="16.5" thickBot="1" x14ac:dyDescent="0.3">
      <c r="B65" s="969"/>
      <c r="C65" s="561" t="s">
        <v>53</v>
      </c>
      <c r="D65" s="557" t="s">
        <v>70</v>
      </c>
      <c r="E65" s="557" t="s">
        <v>53</v>
      </c>
      <c r="F65" s="557" t="s">
        <v>70</v>
      </c>
      <c r="G65" s="557" t="s">
        <v>53</v>
      </c>
      <c r="H65" s="557" t="s">
        <v>70</v>
      </c>
      <c r="I65" s="557" t="s">
        <v>53</v>
      </c>
      <c r="J65" s="557" t="s">
        <v>70</v>
      </c>
      <c r="K65" s="557" t="s">
        <v>53</v>
      </c>
      <c r="L65" s="557" t="s">
        <v>70</v>
      </c>
      <c r="M65" s="557" t="s">
        <v>53</v>
      </c>
      <c r="N65" s="557" t="s">
        <v>70</v>
      </c>
      <c r="O65" s="557" t="s">
        <v>53</v>
      </c>
      <c r="P65" s="557" t="s">
        <v>70</v>
      </c>
      <c r="Q65" s="557" t="s">
        <v>53</v>
      </c>
      <c r="R65" s="557" t="s">
        <v>70</v>
      </c>
      <c r="S65" s="557" t="s">
        <v>53</v>
      </c>
      <c r="T65" s="557" t="s">
        <v>70</v>
      </c>
      <c r="U65" s="557" t="s">
        <v>53</v>
      </c>
      <c r="V65" s="557" t="s">
        <v>70</v>
      </c>
      <c r="W65" s="557" t="s">
        <v>53</v>
      </c>
      <c r="X65" s="557" t="s">
        <v>70</v>
      </c>
      <c r="Y65" s="557" t="s">
        <v>53</v>
      </c>
      <c r="Z65" s="557" t="s">
        <v>70</v>
      </c>
      <c r="AA65" s="968"/>
    </row>
    <row r="66" spans="2:29" x14ac:dyDescent="0.25">
      <c r="B66" s="581" t="s">
        <v>261</v>
      </c>
      <c r="C66" s="652">
        <v>1</v>
      </c>
      <c r="D66" s="142">
        <f t="shared" ref="D66:D81" si="10">C66*$L14</f>
        <v>243878.57</v>
      </c>
      <c r="E66" s="201">
        <v>1</v>
      </c>
      <c r="F66" s="142">
        <f t="shared" ref="F66:F81" si="11">E66*$L14</f>
        <v>243878.57</v>
      </c>
      <c r="G66" s="201">
        <v>1</v>
      </c>
      <c r="H66" s="142">
        <f t="shared" ref="H66:H81" si="12">G66*$L14</f>
        <v>243878.57</v>
      </c>
      <c r="I66" s="201">
        <v>1</v>
      </c>
      <c r="J66" s="142">
        <f t="shared" ref="J66:J81" si="13">I66*$L14</f>
        <v>243878.57</v>
      </c>
      <c r="K66" s="201">
        <v>1</v>
      </c>
      <c r="L66" s="142">
        <f t="shared" ref="L66:L81" si="14">K66*$L14</f>
        <v>243878.57</v>
      </c>
      <c r="M66" s="201">
        <v>1</v>
      </c>
      <c r="N66" s="142">
        <f t="shared" ref="N66:N81" si="15">M66*$L14+(M66*$L14/2)</f>
        <v>365817.85499999998</v>
      </c>
      <c r="O66" s="201">
        <v>1</v>
      </c>
      <c r="P66" s="142">
        <f t="shared" ref="P66:P81" si="16">O66*$L14</f>
        <v>243878.57</v>
      </c>
      <c r="Q66" s="201">
        <v>1</v>
      </c>
      <c r="R66" s="142">
        <f t="shared" ref="R66:R81" si="17">Q66*$L14</f>
        <v>243878.57</v>
      </c>
      <c r="S66" s="201">
        <v>1</v>
      </c>
      <c r="T66" s="142">
        <f t="shared" ref="T66:T81" si="18">S66*$L14</f>
        <v>243878.57</v>
      </c>
      <c r="U66" s="201">
        <v>1</v>
      </c>
      <c r="V66" s="142">
        <f t="shared" ref="V66:V81" si="19">U66*$L14</f>
        <v>243878.57</v>
      </c>
      <c r="W66" s="201">
        <v>1</v>
      </c>
      <c r="X66" s="142">
        <f t="shared" ref="X66:X81" si="20">W66*$L14</f>
        <v>243878.57</v>
      </c>
      <c r="Y66" s="201">
        <v>1</v>
      </c>
      <c r="Z66" s="142">
        <f t="shared" ref="Z66:Z81" si="21">Y66*$L14+(Y66*$L14/2)</f>
        <v>365817.85499999998</v>
      </c>
      <c r="AA66" s="558">
        <f>D66+F66+H66+J66+L66+N66+P66+R66+T66+V66+X66+Z66</f>
        <v>3170421.4099999997</v>
      </c>
    </row>
    <row r="67" spans="2:29" x14ac:dyDescent="0.25">
      <c r="B67" s="564" t="s">
        <v>271</v>
      </c>
      <c r="C67" s="652">
        <v>1</v>
      </c>
      <c r="D67" s="142">
        <f t="shared" si="10"/>
        <v>195106.57</v>
      </c>
      <c r="E67" s="201">
        <v>1</v>
      </c>
      <c r="F67" s="142">
        <f t="shared" si="11"/>
        <v>195106.57</v>
      </c>
      <c r="G67" s="201">
        <v>1</v>
      </c>
      <c r="H67" s="142">
        <f t="shared" si="12"/>
        <v>195106.57</v>
      </c>
      <c r="I67" s="201">
        <v>1</v>
      </c>
      <c r="J67" s="142">
        <f t="shared" si="13"/>
        <v>195106.57</v>
      </c>
      <c r="K67" s="201">
        <v>1</v>
      </c>
      <c r="L67" s="142">
        <f t="shared" si="14"/>
        <v>195106.57</v>
      </c>
      <c r="M67" s="201">
        <v>1</v>
      </c>
      <c r="N67" s="142">
        <f t="shared" si="15"/>
        <v>292659.85499999998</v>
      </c>
      <c r="O67" s="201">
        <v>1</v>
      </c>
      <c r="P67" s="142">
        <f t="shared" si="16"/>
        <v>195106.57</v>
      </c>
      <c r="Q67" s="201">
        <v>1</v>
      </c>
      <c r="R67" s="142">
        <f t="shared" si="17"/>
        <v>195106.57</v>
      </c>
      <c r="S67" s="201">
        <v>1</v>
      </c>
      <c r="T67" s="142">
        <f t="shared" si="18"/>
        <v>195106.57</v>
      </c>
      <c r="U67" s="201">
        <v>1</v>
      </c>
      <c r="V67" s="142">
        <f t="shared" si="19"/>
        <v>195106.57</v>
      </c>
      <c r="W67" s="201">
        <v>1</v>
      </c>
      <c r="X67" s="142">
        <f t="shared" si="20"/>
        <v>195106.57</v>
      </c>
      <c r="Y67" s="201">
        <v>1</v>
      </c>
      <c r="Z67" s="142">
        <f t="shared" si="21"/>
        <v>292659.85499999998</v>
      </c>
      <c r="AA67" s="558">
        <f t="shared" ref="AA67:AA81" si="22">D67+F67+H67+J67+L67+N67+P67+R67+T67+V67+X67+Z67</f>
        <v>2536385.41</v>
      </c>
    </row>
    <row r="68" spans="2:29" x14ac:dyDescent="0.25">
      <c r="B68" s="564" t="s">
        <v>324</v>
      </c>
      <c r="C68" s="652">
        <v>1</v>
      </c>
      <c r="D68" s="142">
        <f t="shared" si="10"/>
        <v>121948.57</v>
      </c>
      <c r="E68" s="201">
        <v>1</v>
      </c>
      <c r="F68" s="142">
        <f t="shared" si="11"/>
        <v>121948.57</v>
      </c>
      <c r="G68" s="201">
        <v>1</v>
      </c>
      <c r="H68" s="142">
        <f t="shared" si="12"/>
        <v>121948.57</v>
      </c>
      <c r="I68" s="201">
        <v>1</v>
      </c>
      <c r="J68" s="142">
        <f t="shared" si="13"/>
        <v>121948.57</v>
      </c>
      <c r="K68" s="201">
        <v>1</v>
      </c>
      <c r="L68" s="142">
        <f t="shared" si="14"/>
        <v>121948.57</v>
      </c>
      <c r="M68" s="201">
        <v>1</v>
      </c>
      <c r="N68" s="142">
        <f t="shared" si="15"/>
        <v>182922.85500000001</v>
      </c>
      <c r="O68" s="201">
        <v>1</v>
      </c>
      <c r="P68" s="142">
        <f t="shared" si="16"/>
        <v>121948.57</v>
      </c>
      <c r="Q68" s="201">
        <v>1</v>
      </c>
      <c r="R68" s="142">
        <f t="shared" si="17"/>
        <v>121948.57</v>
      </c>
      <c r="S68" s="201">
        <v>1</v>
      </c>
      <c r="T68" s="142">
        <f t="shared" si="18"/>
        <v>121948.57</v>
      </c>
      <c r="U68" s="201">
        <v>1</v>
      </c>
      <c r="V68" s="142">
        <f t="shared" si="19"/>
        <v>121948.57</v>
      </c>
      <c r="W68" s="201">
        <v>1</v>
      </c>
      <c r="X68" s="142">
        <f t="shared" si="20"/>
        <v>121948.57</v>
      </c>
      <c r="Y68" s="201">
        <v>1</v>
      </c>
      <c r="Z68" s="142">
        <f t="shared" si="21"/>
        <v>182922.85500000001</v>
      </c>
      <c r="AA68" s="558">
        <f t="shared" si="22"/>
        <v>1585331.4100000004</v>
      </c>
    </row>
    <row r="69" spans="2:29" x14ac:dyDescent="0.25">
      <c r="B69" s="564" t="s">
        <v>325</v>
      </c>
      <c r="C69" s="652">
        <v>1</v>
      </c>
      <c r="D69" s="142">
        <f t="shared" si="10"/>
        <v>121948.57</v>
      </c>
      <c r="E69" s="201">
        <v>1</v>
      </c>
      <c r="F69" s="142">
        <f t="shared" si="11"/>
        <v>121948.57</v>
      </c>
      <c r="G69" s="201">
        <v>1</v>
      </c>
      <c r="H69" s="142">
        <f t="shared" si="12"/>
        <v>121948.57</v>
      </c>
      <c r="I69" s="201">
        <v>1</v>
      </c>
      <c r="J69" s="142">
        <f t="shared" si="13"/>
        <v>121948.57</v>
      </c>
      <c r="K69" s="201">
        <v>1</v>
      </c>
      <c r="L69" s="142">
        <f t="shared" si="14"/>
        <v>121948.57</v>
      </c>
      <c r="M69" s="201">
        <v>1</v>
      </c>
      <c r="N69" s="142">
        <f t="shared" si="15"/>
        <v>182922.85500000001</v>
      </c>
      <c r="O69" s="201">
        <v>1</v>
      </c>
      <c r="P69" s="142">
        <f t="shared" si="16"/>
        <v>121948.57</v>
      </c>
      <c r="Q69" s="201">
        <v>1</v>
      </c>
      <c r="R69" s="142">
        <f t="shared" si="17"/>
        <v>121948.57</v>
      </c>
      <c r="S69" s="201">
        <v>1</v>
      </c>
      <c r="T69" s="142">
        <f t="shared" si="18"/>
        <v>121948.57</v>
      </c>
      <c r="U69" s="201">
        <v>1</v>
      </c>
      <c r="V69" s="142">
        <f t="shared" si="19"/>
        <v>121948.57</v>
      </c>
      <c r="W69" s="201">
        <v>1</v>
      </c>
      <c r="X69" s="142">
        <f t="shared" si="20"/>
        <v>121948.57</v>
      </c>
      <c r="Y69" s="201">
        <v>1</v>
      </c>
      <c r="Z69" s="142">
        <f t="shared" si="21"/>
        <v>182922.85500000001</v>
      </c>
      <c r="AA69" s="558">
        <f t="shared" si="22"/>
        <v>1585331.4100000004</v>
      </c>
    </row>
    <row r="70" spans="2:29" x14ac:dyDescent="0.25">
      <c r="B70" s="564" t="s">
        <v>263</v>
      </c>
      <c r="C70" s="652">
        <v>1</v>
      </c>
      <c r="D70" s="142">
        <f t="shared" si="10"/>
        <v>121948.57</v>
      </c>
      <c r="E70" s="201">
        <v>1</v>
      </c>
      <c r="F70" s="142">
        <f t="shared" si="11"/>
        <v>121948.57</v>
      </c>
      <c r="G70" s="201">
        <v>1</v>
      </c>
      <c r="H70" s="142">
        <f t="shared" si="12"/>
        <v>121948.57</v>
      </c>
      <c r="I70" s="201">
        <v>1</v>
      </c>
      <c r="J70" s="142">
        <f t="shared" si="13"/>
        <v>121948.57</v>
      </c>
      <c r="K70" s="201">
        <v>1</v>
      </c>
      <c r="L70" s="142">
        <f t="shared" si="14"/>
        <v>121948.57</v>
      </c>
      <c r="M70" s="201">
        <v>1</v>
      </c>
      <c r="N70" s="142">
        <f t="shared" si="15"/>
        <v>182922.85500000001</v>
      </c>
      <c r="O70" s="201">
        <v>1</v>
      </c>
      <c r="P70" s="142">
        <f t="shared" si="16"/>
        <v>121948.57</v>
      </c>
      <c r="Q70" s="201">
        <v>1</v>
      </c>
      <c r="R70" s="142">
        <f t="shared" si="17"/>
        <v>121948.57</v>
      </c>
      <c r="S70" s="201">
        <v>1</v>
      </c>
      <c r="T70" s="142">
        <f t="shared" si="18"/>
        <v>121948.57</v>
      </c>
      <c r="U70" s="201">
        <v>1</v>
      </c>
      <c r="V70" s="142">
        <f t="shared" si="19"/>
        <v>121948.57</v>
      </c>
      <c r="W70" s="201">
        <v>1</v>
      </c>
      <c r="X70" s="142">
        <f t="shared" si="20"/>
        <v>121948.57</v>
      </c>
      <c r="Y70" s="201">
        <v>1</v>
      </c>
      <c r="Z70" s="142">
        <f t="shared" si="21"/>
        <v>182922.85500000001</v>
      </c>
      <c r="AA70" s="558">
        <f t="shared" si="22"/>
        <v>1585331.4100000004</v>
      </c>
    </row>
    <row r="71" spans="2:29" x14ac:dyDescent="0.25">
      <c r="B71" s="564" t="s">
        <v>326</v>
      </c>
      <c r="C71" s="652">
        <v>1</v>
      </c>
      <c r="D71" s="142">
        <f t="shared" si="10"/>
        <v>121948.57</v>
      </c>
      <c r="E71" s="201">
        <v>1</v>
      </c>
      <c r="F71" s="142">
        <f t="shared" si="11"/>
        <v>121948.57</v>
      </c>
      <c r="G71" s="201">
        <v>1</v>
      </c>
      <c r="H71" s="142">
        <f t="shared" si="12"/>
        <v>121948.57</v>
      </c>
      <c r="I71" s="201">
        <v>1</v>
      </c>
      <c r="J71" s="142">
        <f t="shared" si="13"/>
        <v>121948.57</v>
      </c>
      <c r="K71" s="201">
        <v>1</v>
      </c>
      <c r="L71" s="142">
        <f t="shared" si="14"/>
        <v>121948.57</v>
      </c>
      <c r="M71" s="201">
        <v>1</v>
      </c>
      <c r="N71" s="142">
        <f t="shared" si="15"/>
        <v>182922.85500000001</v>
      </c>
      <c r="O71" s="201">
        <v>1</v>
      </c>
      <c r="P71" s="142">
        <f t="shared" si="16"/>
        <v>121948.57</v>
      </c>
      <c r="Q71" s="201">
        <v>1</v>
      </c>
      <c r="R71" s="142">
        <f t="shared" si="17"/>
        <v>121948.57</v>
      </c>
      <c r="S71" s="201">
        <v>1</v>
      </c>
      <c r="T71" s="142">
        <f t="shared" si="18"/>
        <v>121948.57</v>
      </c>
      <c r="U71" s="201">
        <v>1</v>
      </c>
      <c r="V71" s="142">
        <f t="shared" si="19"/>
        <v>121948.57</v>
      </c>
      <c r="W71" s="201">
        <v>1</v>
      </c>
      <c r="X71" s="142">
        <f t="shared" si="20"/>
        <v>121948.57</v>
      </c>
      <c r="Y71" s="201">
        <v>1</v>
      </c>
      <c r="Z71" s="142">
        <f t="shared" si="21"/>
        <v>182922.85500000001</v>
      </c>
      <c r="AA71" s="558">
        <f t="shared" si="22"/>
        <v>1585331.4100000004</v>
      </c>
    </row>
    <row r="72" spans="2:29" x14ac:dyDescent="0.25">
      <c r="B72" s="564" t="s">
        <v>327</v>
      </c>
      <c r="C72" s="652">
        <v>1</v>
      </c>
      <c r="D72" s="142">
        <f t="shared" si="10"/>
        <v>121948.57</v>
      </c>
      <c r="E72" s="201">
        <v>1</v>
      </c>
      <c r="F72" s="142">
        <f t="shared" si="11"/>
        <v>121948.57</v>
      </c>
      <c r="G72" s="201">
        <v>1</v>
      </c>
      <c r="H72" s="142">
        <f t="shared" si="12"/>
        <v>121948.57</v>
      </c>
      <c r="I72" s="201">
        <v>1</v>
      </c>
      <c r="J72" s="142">
        <f t="shared" si="13"/>
        <v>121948.57</v>
      </c>
      <c r="K72" s="201">
        <v>1</v>
      </c>
      <c r="L72" s="142">
        <f t="shared" si="14"/>
        <v>121948.57</v>
      </c>
      <c r="M72" s="201">
        <v>1</v>
      </c>
      <c r="N72" s="142">
        <f t="shared" si="15"/>
        <v>182922.85500000001</v>
      </c>
      <c r="O72" s="201">
        <v>1</v>
      </c>
      <c r="P72" s="142">
        <f t="shared" si="16"/>
        <v>121948.57</v>
      </c>
      <c r="Q72" s="201">
        <v>1</v>
      </c>
      <c r="R72" s="142">
        <f t="shared" si="17"/>
        <v>121948.57</v>
      </c>
      <c r="S72" s="201">
        <v>1</v>
      </c>
      <c r="T72" s="142">
        <f t="shared" si="18"/>
        <v>121948.57</v>
      </c>
      <c r="U72" s="201">
        <v>1</v>
      </c>
      <c r="V72" s="142">
        <f t="shared" si="19"/>
        <v>121948.57</v>
      </c>
      <c r="W72" s="201">
        <v>1</v>
      </c>
      <c r="X72" s="142">
        <f t="shared" si="20"/>
        <v>121948.57</v>
      </c>
      <c r="Y72" s="201">
        <v>1</v>
      </c>
      <c r="Z72" s="142">
        <f t="shared" si="21"/>
        <v>182922.85500000001</v>
      </c>
      <c r="AA72" s="558">
        <f t="shared" si="22"/>
        <v>1585331.4100000004</v>
      </c>
    </row>
    <row r="73" spans="2:29" x14ac:dyDescent="0.25">
      <c r="B73" s="564" t="s">
        <v>329</v>
      </c>
      <c r="C73" s="652">
        <v>1</v>
      </c>
      <c r="D73" s="142">
        <f t="shared" si="10"/>
        <v>195106.57</v>
      </c>
      <c r="E73" s="201">
        <v>1</v>
      </c>
      <c r="F73" s="142">
        <f t="shared" si="11"/>
        <v>195106.57</v>
      </c>
      <c r="G73" s="201">
        <v>1</v>
      </c>
      <c r="H73" s="142">
        <f t="shared" si="12"/>
        <v>195106.57</v>
      </c>
      <c r="I73" s="201">
        <v>1</v>
      </c>
      <c r="J73" s="142">
        <f t="shared" si="13"/>
        <v>195106.57</v>
      </c>
      <c r="K73" s="201">
        <v>1</v>
      </c>
      <c r="L73" s="142">
        <f t="shared" si="14"/>
        <v>195106.57</v>
      </c>
      <c r="M73" s="201">
        <v>1</v>
      </c>
      <c r="N73" s="142">
        <f t="shared" si="15"/>
        <v>292659.85499999998</v>
      </c>
      <c r="O73" s="201">
        <v>1</v>
      </c>
      <c r="P73" s="142">
        <f t="shared" si="16"/>
        <v>195106.57</v>
      </c>
      <c r="Q73" s="201">
        <v>1</v>
      </c>
      <c r="R73" s="142">
        <f t="shared" si="17"/>
        <v>195106.57</v>
      </c>
      <c r="S73" s="201">
        <v>1</v>
      </c>
      <c r="T73" s="142">
        <f t="shared" si="18"/>
        <v>195106.57</v>
      </c>
      <c r="U73" s="201">
        <v>1</v>
      </c>
      <c r="V73" s="142">
        <f t="shared" si="19"/>
        <v>195106.57</v>
      </c>
      <c r="W73" s="201">
        <v>1</v>
      </c>
      <c r="X73" s="142">
        <f t="shared" si="20"/>
        <v>195106.57</v>
      </c>
      <c r="Y73" s="201">
        <v>1</v>
      </c>
      <c r="Z73" s="142">
        <f t="shared" si="21"/>
        <v>292659.85499999998</v>
      </c>
      <c r="AA73" s="558">
        <f t="shared" si="22"/>
        <v>2536385.41</v>
      </c>
    </row>
    <row r="74" spans="2:29" x14ac:dyDescent="0.25">
      <c r="B74" s="564" t="s">
        <v>340</v>
      </c>
      <c r="C74" s="652">
        <v>1</v>
      </c>
      <c r="D74" s="142">
        <f t="shared" si="10"/>
        <v>121948.57</v>
      </c>
      <c r="E74" s="201">
        <v>1</v>
      </c>
      <c r="F74" s="142">
        <f t="shared" si="11"/>
        <v>121948.57</v>
      </c>
      <c r="G74" s="201">
        <v>1</v>
      </c>
      <c r="H74" s="142">
        <f t="shared" si="12"/>
        <v>121948.57</v>
      </c>
      <c r="I74" s="201">
        <v>1</v>
      </c>
      <c r="J74" s="142">
        <f t="shared" si="13"/>
        <v>121948.57</v>
      </c>
      <c r="K74" s="201">
        <v>1</v>
      </c>
      <c r="L74" s="142">
        <f t="shared" si="14"/>
        <v>121948.57</v>
      </c>
      <c r="M74" s="201">
        <v>1</v>
      </c>
      <c r="N74" s="142">
        <f t="shared" si="15"/>
        <v>182922.85500000001</v>
      </c>
      <c r="O74" s="201">
        <v>1</v>
      </c>
      <c r="P74" s="142">
        <f t="shared" si="16"/>
        <v>121948.57</v>
      </c>
      <c r="Q74" s="201">
        <v>1</v>
      </c>
      <c r="R74" s="142">
        <f t="shared" si="17"/>
        <v>121948.57</v>
      </c>
      <c r="S74" s="201">
        <v>1</v>
      </c>
      <c r="T74" s="142">
        <f t="shared" si="18"/>
        <v>121948.57</v>
      </c>
      <c r="U74" s="201">
        <v>1</v>
      </c>
      <c r="V74" s="142">
        <f t="shared" si="19"/>
        <v>121948.57</v>
      </c>
      <c r="W74" s="201">
        <v>1</v>
      </c>
      <c r="X74" s="142">
        <f t="shared" si="20"/>
        <v>121948.57</v>
      </c>
      <c r="Y74" s="201">
        <v>1</v>
      </c>
      <c r="Z74" s="142">
        <f t="shared" si="21"/>
        <v>182922.85500000001</v>
      </c>
      <c r="AA74" s="558">
        <f t="shared" si="22"/>
        <v>1585331.4100000004</v>
      </c>
    </row>
    <row r="75" spans="2:29" x14ac:dyDescent="0.25">
      <c r="B75" s="564" t="s">
        <v>272</v>
      </c>
      <c r="C75" s="652">
        <v>1</v>
      </c>
      <c r="D75" s="142">
        <f t="shared" si="10"/>
        <v>195106.57</v>
      </c>
      <c r="E75" s="201">
        <v>1</v>
      </c>
      <c r="F75" s="142">
        <f t="shared" si="11"/>
        <v>195106.57</v>
      </c>
      <c r="G75" s="201">
        <v>1</v>
      </c>
      <c r="H75" s="142">
        <f t="shared" si="12"/>
        <v>195106.57</v>
      </c>
      <c r="I75" s="201">
        <v>1</v>
      </c>
      <c r="J75" s="142">
        <f t="shared" si="13"/>
        <v>195106.57</v>
      </c>
      <c r="K75" s="201">
        <v>1</v>
      </c>
      <c r="L75" s="142">
        <f t="shared" si="14"/>
        <v>195106.57</v>
      </c>
      <c r="M75" s="201">
        <v>1</v>
      </c>
      <c r="N75" s="142">
        <f t="shared" si="15"/>
        <v>292659.85499999998</v>
      </c>
      <c r="O75" s="201">
        <v>1</v>
      </c>
      <c r="P75" s="142">
        <f t="shared" si="16"/>
        <v>195106.57</v>
      </c>
      <c r="Q75" s="201">
        <v>1</v>
      </c>
      <c r="R75" s="142">
        <f t="shared" si="17"/>
        <v>195106.57</v>
      </c>
      <c r="S75" s="201">
        <v>1</v>
      </c>
      <c r="T75" s="142">
        <f t="shared" si="18"/>
        <v>195106.57</v>
      </c>
      <c r="U75" s="201">
        <v>1</v>
      </c>
      <c r="V75" s="142">
        <f t="shared" si="19"/>
        <v>195106.57</v>
      </c>
      <c r="W75" s="201">
        <v>1</v>
      </c>
      <c r="X75" s="142">
        <f t="shared" si="20"/>
        <v>195106.57</v>
      </c>
      <c r="Y75" s="201">
        <v>1</v>
      </c>
      <c r="Z75" s="142">
        <f t="shared" si="21"/>
        <v>292659.85499999998</v>
      </c>
      <c r="AA75" s="558">
        <f t="shared" si="22"/>
        <v>2536385.41</v>
      </c>
    </row>
    <row r="76" spans="2:29" x14ac:dyDescent="0.25">
      <c r="B76" s="564" t="s">
        <v>341</v>
      </c>
      <c r="C76" s="652">
        <v>1</v>
      </c>
      <c r="D76" s="142">
        <f t="shared" si="10"/>
        <v>109755.57</v>
      </c>
      <c r="E76" s="201">
        <v>1</v>
      </c>
      <c r="F76" s="142">
        <f t="shared" si="11"/>
        <v>109755.57</v>
      </c>
      <c r="G76" s="201">
        <v>1</v>
      </c>
      <c r="H76" s="142">
        <f t="shared" si="12"/>
        <v>109755.57</v>
      </c>
      <c r="I76" s="201">
        <v>1</v>
      </c>
      <c r="J76" s="142">
        <f t="shared" si="13"/>
        <v>109755.57</v>
      </c>
      <c r="K76" s="201">
        <v>1</v>
      </c>
      <c r="L76" s="142">
        <f t="shared" si="14"/>
        <v>109755.57</v>
      </c>
      <c r="M76" s="201">
        <v>1</v>
      </c>
      <c r="N76" s="142">
        <f t="shared" si="15"/>
        <v>164633.35500000001</v>
      </c>
      <c r="O76" s="201">
        <v>1</v>
      </c>
      <c r="P76" s="142">
        <f t="shared" si="16"/>
        <v>109755.57</v>
      </c>
      <c r="Q76" s="201">
        <v>1</v>
      </c>
      <c r="R76" s="142">
        <f t="shared" si="17"/>
        <v>109755.57</v>
      </c>
      <c r="S76" s="201">
        <v>1</v>
      </c>
      <c r="T76" s="142">
        <f t="shared" si="18"/>
        <v>109755.57</v>
      </c>
      <c r="U76" s="201">
        <v>1</v>
      </c>
      <c r="V76" s="142">
        <f t="shared" si="19"/>
        <v>109755.57</v>
      </c>
      <c r="W76" s="201">
        <v>1</v>
      </c>
      <c r="X76" s="142">
        <f t="shared" si="20"/>
        <v>109755.57</v>
      </c>
      <c r="Y76" s="201">
        <v>1</v>
      </c>
      <c r="Z76" s="142">
        <f t="shared" si="21"/>
        <v>164633.35500000001</v>
      </c>
      <c r="AA76" s="558">
        <f t="shared" si="22"/>
        <v>1426822.4100000004</v>
      </c>
    </row>
    <row r="77" spans="2:29" x14ac:dyDescent="0.25">
      <c r="B77" s="564" t="s">
        <v>330</v>
      </c>
      <c r="C77" s="653">
        <v>1</v>
      </c>
      <c r="D77" s="142">
        <f t="shared" si="10"/>
        <v>195106.57</v>
      </c>
      <c r="E77" s="580">
        <v>1</v>
      </c>
      <c r="F77" s="142">
        <f t="shared" si="11"/>
        <v>195106.57</v>
      </c>
      <c r="G77" s="580">
        <v>1</v>
      </c>
      <c r="H77" s="142">
        <f t="shared" si="12"/>
        <v>195106.57</v>
      </c>
      <c r="I77" s="580">
        <v>1</v>
      </c>
      <c r="J77" s="142">
        <f t="shared" si="13"/>
        <v>195106.57</v>
      </c>
      <c r="K77" s="580">
        <v>1</v>
      </c>
      <c r="L77" s="142">
        <f t="shared" si="14"/>
        <v>195106.57</v>
      </c>
      <c r="M77" s="580">
        <v>1</v>
      </c>
      <c r="N77" s="142">
        <f t="shared" si="15"/>
        <v>292659.85499999998</v>
      </c>
      <c r="O77" s="580">
        <v>1</v>
      </c>
      <c r="P77" s="142">
        <f t="shared" si="16"/>
        <v>195106.57</v>
      </c>
      <c r="Q77" s="580">
        <v>1</v>
      </c>
      <c r="R77" s="142">
        <f t="shared" si="17"/>
        <v>195106.57</v>
      </c>
      <c r="S77" s="580">
        <v>1</v>
      </c>
      <c r="T77" s="142">
        <f t="shared" si="18"/>
        <v>195106.57</v>
      </c>
      <c r="U77" s="580">
        <v>1</v>
      </c>
      <c r="V77" s="142">
        <f t="shared" si="19"/>
        <v>195106.57</v>
      </c>
      <c r="W77" s="580">
        <v>1</v>
      </c>
      <c r="X77" s="142">
        <f t="shared" si="20"/>
        <v>195106.57</v>
      </c>
      <c r="Y77" s="580">
        <v>1</v>
      </c>
      <c r="Z77" s="142">
        <f t="shared" si="21"/>
        <v>292659.85499999998</v>
      </c>
      <c r="AA77" s="558">
        <f t="shared" si="22"/>
        <v>2536385.41</v>
      </c>
      <c r="AC77" s="31"/>
    </row>
    <row r="78" spans="2:29" x14ac:dyDescent="0.25">
      <c r="B78" s="564" t="s">
        <v>331</v>
      </c>
      <c r="C78" s="652">
        <v>1</v>
      </c>
      <c r="D78" s="142">
        <f t="shared" si="10"/>
        <v>85369.57</v>
      </c>
      <c r="E78" s="201">
        <v>1</v>
      </c>
      <c r="F78" s="142">
        <f t="shared" si="11"/>
        <v>85369.57</v>
      </c>
      <c r="G78" s="201">
        <v>1</v>
      </c>
      <c r="H78" s="142">
        <f t="shared" si="12"/>
        <v>85369.57</v>
      </c>
      <c r="I78" s="201">
        <v>1</v>
      </c>
      <c r="J78" s="142">
        <f t="shared" si="13"/>
        <v>85369.57</v>
      </c>
      <c r="K78" s="201">
        <v>1</v>
      </c>
      <c r="L78" s="142">
        <f t="shared" si="14"/>
        <v>85369.57</v>
      </c>
      <c r="M78" s="201">
        <v>1</v>
      </c>
      <c r="N78" s="142">
        <f t="shared" si="15"/>
        <v>128054.35500000001</v>
      </c>
      <c r="O78" s="201">
        <v>1</v>
      </c>
      <c r="P78" s="142">
        <f t="shared" si="16"/>
        <v>85369.57</v>
      </c>
      <c r="Q78" s="201">
        <v>1</v>
      </c>
      <c r="R78" s="142">
        <f t="shared" si="17"/>
        <v>85369.57</v>
      </c>
      <c r="S78" s="201">
        <v>1</v>
      </c>
      <c r="T78" s="142">
        <f t="shared" si="18"/>
        <v>85369.57</v>
      </c>
      <c r="U78" s="201">
        <v>1</v>
      </c>
      <c r="V78" s="142">
        <f t="shared" si="19"/>
        <v>85369.57</v>
      </c>
      <c r="W78" s="201">
        <v>1</v>
      </c>
      <c r="X78" s="142">
        <f t="shared" si="20"/>
        <v>85369.57</v>
      </c>
      <c r="Y78" s="201">
        <v>1</v>
      </c>
      <c r="Z78" s="142">
        <f t="shared" si="21"/>
        <v>128054.35500000001</v>
      </c>
      <c r="AA78" s="558">
        <f t="shared" si="22"/>
        <v>1109804.4100000004</v>
      </c>
    </row>
    <row r="79" spans="2:29" x14ac:dyDescent="0.25">
      <c r="B79" s="564" t="s">
        <v>328</v>
      </c>
      <c r="C79" s="652">
        <v>1</v>
      </c>
      <c r="D79" s="142">
        <f t="shared" si="10"/>
        <v>195106.57</v>
      </c>
      <c r="E79" s="201">
        <v>1</v>
      </c>
      <c r="F79" s="142">
        <f t="shared" si="11"/>
        <v>195106.57</v>
      </c>
      <c r="G79" s="201">
        <v>1</v>
      </c>
      <c r="H79" s="142">
        <f t="shared" si="12"/>
        <v>195106.57</v>
      </c>
      <c r="I79" s="201">
        <v>1</v>
      </c>
      <c r="J79" s="142">
        <f t="shared" si="13"/>
        <v>195106.57</v>
      </c>
      <c r="K79" s="201">
        <v>1</v>
      </c>
      <c r="L79" s="142">
        <f t="shared" si="14"/>
        <v>195106.57</v>
      </c>
      <c r="M79" s="201">
        <v>1</v>
      </c>
      <c r="N79" s="142">
        <f t="shared" si="15"/>
        <v>292659.85499999998</v>
      </c>
      <c r="O79" s="201">
        <v>1</v>
      </c>
      <c r="P79" s="142">
        <f t="shared" si="16"/>
        <v>195106.57</v>
      </c>
      <c r="Q79" s="201">
        <v>1</v>
      </c>
      <c r="R79" s="142">
        <f t="shared" si="17"/>
        <v>195106.57</v>
      </c>
      <c r="S79" s="201">
        <v>1</v>
      </c>
      <c r="T79" s="142">
        <f t="shared" si="18"/>
        <v>195106.57</v>
      </c>
      <c r="U79" s="201">
        <v>1</v>
      </c>
      <c r="V79" s="142">
        <f t="shared" si="19"/>
        <v>195106.57</v>
      </c>
      <c r="W79" s="201">
        <v>1</v>
      </c>
      <c r="X79" s="142">
        <f t="shared" si="20"/>
        <v>195106.57</v>
      </c>
      <c r="Y79" s="201">
        <v>1</v>
      </c>
      <c r="Z79" s="142">
        <f t="shared" si="21"/>
        <v>292659.85499999998</v>
      </c>
      <c r="AA79" s="558">
        <f t="shared" si="22"/>
        <v>2536385.41</v>
      </c>
    </row>
    <row r="80" spans="2:29" x14ac:dyDescent="0.25">
      <c r="B80" s="564" t="s">
        <v>262</v>
      </c>
      <c r="C80" s="652">
        <v>8</v>
      </c>
      <c r="D80" s="142">
        <f t="shared" si="10"/>
        <v>1463308.56</v>
      </c>
      <c r="E80" s="201">
        <v>8</v>
      </c>
      <c r="F80" s="142">
        <f t="shared" si="11"/>
        <v>1463308.56</v>
      </c>
      <c r="G80" s="201">
        <v>8</v>
      </c>
      <c r="H80" s="142">
        <f t="shared" si="12"/>
        <v>1463308.56</v>
      </c>
      <c r="I80" s="201">
        <v>8</v>
      </c>
      <c r="J80" s="142">
        <f t="shared" si="13"/>
        <v>1463308.56</v>
      </c>
      <c r="K80" s="201">
        <v>8</v>
      </c>
      <c r="L80" s="142">
        <f t="shared" si="14"/>
        <v>1463308.56</v>
      </c>
      <c r="M80" s="201">
        <v>8</v>
      </c>
      <c r="N80" s="142">
        <f t="shared" si="15"/>
        <v>2194962.84</v>
      </c>
      <c r="O80" s="201">
        <v>8</v>
      </c>
      <c r="P80" s="142">
        <f t="shared" si="16"/>
        <v>1463308.56</v>
      </c>
      <c r="Q80" s="201">
        <v>8</v>
      </c>
      <c r="R80" s="142">
        <f t="shared" si="17"/>
        <v>1463308.56</v>
      </c>
      <c r="S80" s="201">
        <v>8</v>
      </c>
      <c r="T80" s="142">
        <f t="shared" si="18"/>
        <v>1463308.56</v>
      </c>
      <c r="U80" s="201">
        <v>8</v>
      </c>
      <c r="V80" s="142">
        <f t="shared" si="19"/>
        <v>1463308.56</v>
      </c>
      <c r="W80" s="201">
        <v>8</v>
      </c>
      <c r="X80" s="142">
        <f t="shared" si="20"/>
        <v>1463308.56</v>
      </c>
      <c r="Y80" s="201">
        <v>8</v>
      </c>
      <c r="Z80" s="142">
        <f t="shared" si="21"/>
        <v>2194962.84</v>
      </c>
      <c r="AA80" s="558">
        <f t="shared" si="22"/>
        <v>19023011.280000001</v>
      </c>
    </row>
    <row r="81" spans="2:27" ht="15.75" thickBot="1" x14ac:dyDescent="0.3">
      <c r="B81" s="582" t="s">
        <v>264</v>
      </c>
      <c r="C81" s="652">
        <v>3</v>
      </c>
      <c r="D81" s="142">
        <f t="shared" si="10"/>
        <v>475582.71</v>
      </c>
      <c r="E81" s="201">
        <v>3</v>
      </c>
      <c r="F81" s="142">
        <f t="shared" si="11"/>
        <v>475582.71</v>
      </c>
      <c r="G81" s="201">
        <v>3</v>
      </c>
      <c r="H81" s="142">
        <f t="shared" si="12"/>
        <v>475582.71</v>
      </c>
      <c r="I81" s="201">
        <v>3</v>
      </c>
      <c r="J81" s="142">
        <f t="shared" si="13"/>
        <v>475582.71</v>
      </c>
      <c r="K81" s="201">
        <v>3</v>
      </c>
      <c r="L81" s="142">
        <f t="shared" si="14"/>
        <v>475582.71</v>
      </c>
      <c r="M81" s="201">
        <v>3</v>
      </c>
      <c r="N81" s="142">
        <f t="shared" si="15"/>
        <v>713374.06500000006</v>
      </c>
      <c r="O81" s="201">
        <v>3</v>
      </c>
      <c r="P81" s="142">
        <f t="shared" si="16"/>
        <v>475582.71</v>
      </c>
      <c r="Q81" s="201">
        <v>3</v>
      </c>
      <c r="R81" s="142">
        <f t="shared" si="17"/>
        <v>475582.71</v>
      </c>
      <c r="S81" s="201">
        <v>3</v>
      </c>
      <c r="T81" s="142">
        <f t="shared" si="18"/>
        <v>475582.71</v>
      </c>
      <c r="U81" s="201">
        <v>3</v>
      </c>
      <c r="V81" s="142">
        <f t="shared" si="19"/>
        <v>475582.71</v>
      </c>
      <c r="W81" s="201">
        <v>3</v>
      </c>
      <c r="X81" s="142">
        <f t="shared" si="20"/>
        <v>475582.71</v>
      </c>
      <c r="Y81" s="201">
        <v>3</v>
      </c>
      <c r="Z81" s="142">
        <f t="shared" si="21"/>
        <v>713374.06500000006</v>
      </c>
      <c r="AA81" s="558">
        <f t="shared" si="22"/>
        <v>6182575.2300000004</v>
      </c>
    </row>
    <row r="82" spans="2:27" ht="16.5" thickBot="1" x14ac:dyDescent="0.3">
      <c r="B82" s="573" t="s">
        <v>145</v>
      </c>
      <c r="C82" s="562">
        <f t="shared" ref="C82:Z82" si="23">SUM(C66:C81)</f>
        <v>25</v>
      </c>
      <c r="D82" s="560">
        <f t="shared" si="23"/>
        <v>4085119.2500000005</v>
      </c>
      <c r="E82" s="559">
        <f t="shared" si="23"/>
        <v>25</v>
      </c>
      <c r="F82" s="560">
        <f t="shared" si="23"/>
        <v>4085119.2500000005</v>
      </c>
      <c r="G82" s="559">
        <f t="shared" si="23"/>
        <v>25</v>
      </c>
      <c r="H82" s="560">
        <f t="shared" si="23"/>
        <v>4085119.2500000005</v>
      </c>
      <c r="I82" s="559">
        <f t="shared" si="23"/>
        <v>25</v>
      </c>
      <c r="J82" s="560">
        <f t="shared" si="23"/>
        <v>4085119.2500000005</v>
      </c>
      <c r="K82" s="559">
        <f t="shared" si="23"/>
        <v>25</v>
      </c>
      <c r="L82" s="560">
        <f t="shared" si="23"/>
        <v>4085119.2500000005</v>
      </c>
      <c r="M82" s="559">
        <f t="shared" si="23"/>
        <v>25</v>
      </c>
      <c r="N82" s="560">
        <f t="shared" si="23"/>
        <v>6127678.875</v>
      </c>
      <c r="O82" s="559">
        <f t="shared" si="23"/>
        <v>25</v>
      </c>
      <c r="P82" s="560">
        <f t="shared" si="23"/>
        <v>4085119.2500000005</v>
      </c>
      <c r="Q82" s="559">
        <f t="shared" si="23"/>
        <v>25</v>
      </c>
      <c r="R82" s="560">
        <f t="shared" si="23"/>
        <v>4085119.2500000005</v>
      </c>
      <c r="S82" s="559">
        <f t="shared" si="23"/>
        <v>25</v>
      </c>
      <c r="T82" s="560">
        <f t="shared" si="23"/>
        <v>4085119.2500000005</v>
      </c>
      <c r="U82" s="559">
        <f t="shared" si="23"/>
        <v>25</v>
      </c>
      <c r="V82" s="560">
        <f t="shared" si="23"/>
        <v>4085119.2500000005</v>
      </c>
      <c r="W82" s="559">
        <f t="shared" si="23"/>
        <v>25</v>
      </c>
      <c r="X82" s="560">
        <f t="shared" si="23"/>
        <v>4085119.2500000005</v>
      </c>
      <c r="Y82" s="559">
        <f t="shared" si="23"/>
        <v>25</v>
      </c>
      <c r="Z82" s="560">
        <f t="shared" si="23"/>
        <v>6127678.875</v>
      </c>
      <c r="AA82" s="191">
        <f>Z82+X82+V82+T82+R82+P82+N82+L82+J82+H82+F82+D82</f>
        <v>53106550.25</v>
      </c>
    </row>
    <row r="86" spans="2:27" x14ac:dyDescent="0.25">
      <c r="U86" s="31"/>
      <c r="W86" s="31"/>
      <c r="X86" s="31"/>
      <c r="Y86" s="31"/>
      <c r="Z86" s="31"/>
    </row>
  </sheetData>
  <mergeCells count="58">
    <mergeCell ref="AA64:AA65"/>
    <mergeCell ref="B4:D4"/>
    <mergeCell ref="H4:J4"/>
    <mergeCell ref="B63:AA63"/>
    <mergeCell ref="B64:B65"/>
    <mergeCell ref="C64:D64"/>
    <mergeCell ref="E64:F64"/>
    <mergeCell ref="G64:H64"/>
    <mergeCell ref="I64:J64"/>
    <mergeCell ref="K64:L64"/>
    <mergeCell ref="M64:N64"/>
    <mergeCell ref="O64:P64"/>
    <mergeCell ref="Q64:R64"/>
    <mergeCell ref="S64:T64"/>
    <mergeCell ref="U64:V64"/>
    <mergeCell ref="W64:X64"/>
    <mergeCell ref="Y64:Z64"/>
    <mergeCell ref="K12:K13"/>
    <mergeCell ref="L12:L13"/>
    <mergeCell ref="B11:L11"/>
    <mergeCell ref="C34:D34"/>
    <mergeCell ref="E34:F34"/>
    <mergeCell ref="G34:H34"/>
    <mergeCell ref="I34:J34"/>
    <mergeCell ref="K34:L34"/>
    <mergeCell ref="B15:B20"/>
    <mergeCell ref="B21:B22"/>
    <mergeCell ref="B23:B24"/>
    <mergeCell ref="B25:B26"/>
    <mergeCell ref="B27:B29"/>
    <mergeCell ref="D12:D13"/>
    <mergeCell ref="C12:C13"/>
    <mergeCell ref="B12:B13"/>
    <mergeCell ref="Y34:Z34"/>
    <mergeCell ref="B34:B35"/>
    <mergeCell ref="B33:AA33"/>
    <mergeCell ref="AA34:AA35"/>
    <mergeCell ref="M34:N34"/>
    <mergeCell ref="O34:P34"/>
    <mergeCell ref="Q34:R34"/>
    <mergeCell ref="S34:T34"/>
    <mergeCell ref="U34:V34"/>
    <mergeCell ref="W34:X34"/>
    <mergeCell ref="B46:AA46"/>
    <mergeCell ref="B47:B48"/>
    <mergeCell ref="C47:D47"/>
    <mergeCell ref="E47:F47"/>
    <mergeCell ref="G47:H47"/>
    <mergeCell ref="I47:J47"/>
    <mergeCell ref="K47:L47"/>
    <mergeCell ref="M47:N47"/>
    <mergeCell ref="AA47:AA48"/>
    <mergeCell ref="O47:P47"/>
    <mergeCell ref="Q47:R47"/>
    <mergeCell ref="S47:T47"/>
    <mergeCell ref="U47:V47"/>
    <mergeCell ref="W47:X47"/>
    <mergeCell ref="Y47:Z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Portada</vt:lpstr>
      <vt:lpstr>Indice</vt:lpstr>
      <vt:lpstr>1️⃣ Hipótesis</vt:lpstr>
      <vt:lpstr>2️⃣ Proy. ventas</vt:lpstr>
      <vt:lpstr>Anexo capacidad operativa</vt:lpstr>
      <vt:lpstr>3️⃣ Mod. ingresos</vt:lpstr>
      <vt:lpstr>4️⃣ Costos fijos</vt:lpstr>
      <vt:lpstr>5️⃣ Costos variables</vt:lpstr>
      <vt:lpstr>6️⃣ Costos RRHH</vt:lpstr>
      <vt:lpstr>7️⃣ Mod. egresos</vt:lpstr>
      <vt:lpstr>8️⃣ Mod. inversión</vt:lpstr>
      <vt:lpstr>9️⃣ Amortizaciones</vt:lpstr>
      <vt:lpstr>🔟 Presupuesto financiero</vt:lpstr>
      <vt:lpstr>1️⃣ Matriz riesgo</vt:lpstr>
      <vt:lpstr>2️⃣ Escenario 1</vt:lpstr>
      <vt:lpstr>3️⃣ Escenario 2</vt:lpstr>
      <vt:lpstr>4️⃣ Escenario 3</vt:lpstr>
      <vt:lpstr>5️⃣ 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dc:creator>
  <cp:lastModifiedBy>Martin</cp:lastModifiedBy>
  <dcterms:created xsi:type="dcterms:W3CDTF">2019-08-27T12:23:32Z</dcterms:created>
  <dcterms:modified xsi:type="dcterms:W3CDTF">2021-11-12T01:00:45Z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