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529AA0C6-5698-4049-AFFE-F947CF185441}" xr6:coauthVersionLast="47" xr6:coauthVersionMax="47" xr10:uidLastSave="{00000000-0000-0000-0000-000000000000}"/>
  <bookViews>
    <workbookView xWindow="-120" yWindow="-120" windowWidth="29040" windowHeight="15990" tabRatio="986"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1" i="22" l="1"/>
  <c r="N51" i="22"/>
  <c r="M51" i="22"/>
  <c r="L51" i="22"/>
  <c r="K51" i="22"/>
  <c r="J51" i="22"/>
  <c r="I51" i="22"/>
  <c r="H51" i="22"/>
  <c r="G51" i="22"/>
  <c r="F51" i="22"/>
  <c r="E51" i="22"/>
  <c r="D51" i="22"/>
  <c r="O33" i="22"/>
  <c r="N33" i="22"/>
  <c r="M33" i="22"/>
  <c r="L33" i="22"/>
  <c r="K33" i="22"/>
  <c r="J33" i="22"/>
  <c r="I33" i="22"/>
  <c r="H33" i="22"/>
  <c r="G33" i="22"/>
  <c r="F33" i="22"/>
  <c r="E33" i="22"/>
  <c r="D33" i="22"/>
  <c r="D53" i="22"/>
  <c r="D35" i="22"/>
  <c r="J18" i="22"/>
  <c r="J35" i="22"/>
  <c r="O16" i="22"/>
  <c r="F16" i="22"/>
  <c r="G16" i="22"/>
  <c r="H16" i="22"/>
  <c r="I16" i="22"/>
  <c r="J16" i="22"/>
  <c r="K16" i="22"/>
  <c r="L16" i="22"/>
  <c r="M16" i="22"/>
  <c r="N16" i="22"/>
  <c r="E16" i="22"/>
  <c r="D16" i="22"/>
  <c r="E21" i="34"/>
  <c r="E22" i="34"/>
  <c r="E23" i="34"/>
  <c r="E24" i="34"/>
  <c r="C108" i="20" l="1"/>
  <c r="A101" i="20"/>
  <c r="A102" i="20"/>
  <c r="A103" i="20"/>
  <c r="A104" i="20"/>
  <c r="A105" i="20"/>
  <c r="A106" i="20"/>
  <c r="A100" i="20"/>
  <c r="A99" i="20"/>
  <c r="C109" i="20"/>
  <c r="C69" i="20"/>
  <c r="C68" i="20"/>
  <c r="A61" i="20"/>
  <c r="A62" i="20"/>
  <c r="A63" i="20"/>
  <c r="A64" i="20"/>
  <c r="A65" i="20"/>
  <c r="A66" i="20"/>
  <c r="A60" i="20"/>
  <c r="A59" i="20"/>
  <c r="C28" i="20"/>
  <c r="C29" i="20"/>
  <c r="B7" i="20"/>
  <c r="A20" i="20"/>
  <c r="A21" i="20"/>
  <c r="A22" i="20"/>
  <c r="A23" i="20"/>
  <c r="A24" i="20"/>
  <c r="A25" i="20"/>
  <c r="A26" i="20"/>
  <c r="A19" i="20"/>
  <c r="N31" i="30" l="1"/>
  <c r="N30" i="30"/>
  <c r="AA60" i="20" l="1"/>
  <c r="AA61" i="20"/>
  <c r="AA62" i="20"/>
  <c r="AA63" i="20"/>
  <c r="AA64" i="20"/>
  <c r="AA65" i="20"/>
  <c r="AA66" i="20"/>
  <c r="AA59" i="20"/>
  <c r="Y60" i="20"/>
  <c r="Y61" i="20"/>
  <c r="Y62" i="20"/>
  <c r="Y63" i="20"/>
  <c r="Y64" i="20"/>
  <c r="Y65" i="20"/>
  <c r="Y66" i="20"/>
  <c r="Y59" i="20"/>
  <c r="W60" i="20"/>
  <c r="W61" i="20"/>
  <c r="W62" i="20"/>
  <c r="W63" i="20"/>
  <c r="W64" i="20"/>
  <c r="W65" i="20"/>
  <c r="W66" i="20"/>
  <c r="W59" i="20"/>
  <c r="U60" i="20"/>
  <c r="U61" i="20"/>
  <c r="U62" i="20"/>
  <c r="U63" i="20"/>
  <c r="U64" i="20"/>
  <c r="U65" i="20"/>
  <c r="U66" i="20"/>
  <c r="U59" i="20"/>
  <c r="S60" i="20"/>
  <c r="S61" i="20"/>
  <c r="S62" i="20"/>
  <c r="S63" i="20"/>
  <c r="S64" i="20"/>
  <c r="S65" i="20"/>
  <c r="S66" i="20"/>
  <c r="S59" i="20"/>
  <c r="Q60" i="20"/>
  <c r="Q61" i="20"/>
  <c r="Q62" i="20"/>
  <c r="Q63" i="20"/>
  <c r="Q64" i="20"/>
  <c r="Q65" i="20"/>
  <c r="Q66" i="20"/>
  <c r="Q59" i="20"/>
  <c r="O60" i="20"/>
  <c r="O61" i="20"/>
  <c r="O62" i="20"/>
  <c r="O63" i="20"/>
  <c r="O64" i="20"/>
  <c r="O65" i="20"/>
  <c r="O66" i="20"/>
  <c r="O59" i="20"/>
  <c r="M60" i="20"/>
  <c r="M61" i="20"/>
  <c r="M62" i="20"/>
  <c r="M63" i="20"/>
  <c r="M64" i="20"/>
  <c r="M65" i="20"/>
  <c r="M66" i="20"/>
  <c r="M59" i="20"/>
  <c r="K60" i="20"/>
  <c r="K61" i="20"/>
  <c r="K62" i="20"/>
  <c r="K63" i="20"/>
  <c r="K64" i="20"/>
  <c r="K65" i="20"/>
  <c r="K66" i="20"/>
  <c r="K59" i="20"/>
  <c r="I60" i="20"/>
  <c r="I61" i="20"/>
  <c r="I62" i="20"/>
  <c r="I63" i="20"/>
  <c r="I64" i="20"/>
  <c r="I65" i="20"/>
  <c r="I66" i="20"/>
  <c r="I59" i="20"/>
  <c r="G60" i="20"/>
  <c r="G61" i="20"/>
  <c r="G62" i="20"/>
  <c r="G63" i="20"/>
  <c r="G64" i="20"/>
  <c r="G65" i="20"/>
  <c r="G66" i="20"/>
  <c r="G59" i="20"/>
  <c r="E60" i="20"/>
  <c r="E61" i="20"/>
  <c r="E62" i="20"/>
  <c r="E63" i="20"/>
  <c r="E64" i="20"/>
  <c r="E65" i="20"/>
  <c r="E66" i="20"/>
  <c r="E59" i="20"/>
  <c r="AA100" i="20"/>
  <c r="AA101" i="20"/>
  <c r="AA102" i="20"/>
  <c r="AA103" i="20"/>
  <c r="AA104" i="20"/>
  <c r="AA105" i="20"/>
  <c r="AA106" i="20"/>
  <c r="AA99" i="20"/>
  <c r="Y100" i="20"/>
  <c r="Y101" i="20"/>
  <c r="Y102" i="20"/>
  <c r="Y103" i="20"/>
  <c r="Y104" i="20"/>
  <c r="Y105" i="20"/>
  <c r="Y106" i="20"/>
  <c r="Y99" i="20"/>
  <c r="W100" i="20"/>
  <c r="W101" i="20"/>
  <c r="W102" i="20"/>
  <c r="W103" i="20"/>
  <c r="W104" i="20"/>
  <c r="W105" i="20"/>
  <c r="W106" i="20"/>
  <c r="W99" i="20"/>
  <c r="U100" i="20"/>
  <c r="U101" i="20"/>
  <c r="U102" i="20"/>
  <c r="U103" i="20"/>
  <c r="U104" i="20"/>
  <c r="U105" i="20"/>
  <c r="U106" i="20"/>
  <c r="U99" i="20"/>
  <c r="S100" i="20"/>
  <c r="S101" i="20"/>
  <c r="S102" i="20"/>
  <c r="S103" i="20"/>
  <c r="S104" i="20"/>
  <c r="S105" i="20"/>
  <c r="S106" i="20"/>
  <c r="S99" i="20"/>
  <c r="Q100" i="20"/>
  <c r="Q101" i="20"/>
  <c r="Q102" i="20"/>
  <c r="Q103" i="20"/>
  <c r="Q104" i="20"/>
  <c r="Q105" i="20"/>
  <c r="Q106" i="20"/>
  <c r="Q99" i="20"/>
  <c r="O100" i="20"/>
  <c r="O101" i="20"/>
  <c r="O102" i="20"/>
  <c r="O103" i="20"/>
  <c r="O104" i="20"/>
  <c r="O105" i="20"/>
  <c r="O106" i="20"/>
  <c r="O99" i="20"/>
  <c r="M100" i="20"/>
  <c r="M101" i="20"/>
  <c r="M102" i="20"/>
  <c r="M103" i="20"/>
  <c r="M104" i="20"/>
  <c r="M105" i="20"/>
  <c r="M106" i="20"/>
  <c r="M99" i="20"/>
  <c r="K100" i="20"/>
  <c r="K101" i="20"/>
  <c r="K102" i="20"/>
  <c r="K103" i="20"/>
  <c r="K104" i="20"/>
  <c r="K105" i="20"/>
  <c r="K106" i="20"/>
  <c r="K99" i="20"/>
  <c r="I100" i="20"/>
  <c r="I101" i="20"/>
  <c r="I102" i="20"/>
  <c r="I103" i="20"/>
  <c r="I104" i="20"/>
  <c r="I105" i="20"/>
  <c r="I106" i="20"/>
  <c r="I99" i="20"/>
  <c r="G100" i="20"/>
  <c r="G101" i="20"/>
  <c r="G102" i="20"/>
  <c r="G103" i="20"/>
  <c r="G104" i="20"/>
  <c r="G105" i="20"/>
  <c r="G106" i="20"/>
  <c r="G99" i="20"/>
  <c r="E100" i="20"/>
  <c r="E101" i="20"/>
  <c r="E102" i="20"/>
  <c r="E103" i="20"/>
  <c r="E104" i="20"/>
  <c r="E105" i="20"/>
  <c r="E106" i="20"/>
  <c r="E99" i="20"/>
  <c r="M5" i="21" l="1"/>
  <c r="L5" i="21"/>
  <c r="K5" i="21"/>
  <c r="L36" i="19"/>
  <c r="L35" i="19"/>
  <c r="L28" i="19"/>
  <c r="M28" i="19"/>
  <c r="L23" i="19"/>
  <c r="K22" i="19"/>
  <c r="M14" i="19"/>
  <c r="M12" i="19"/>
  <c r="J38" i="19"/>
  <c r="J34" i="19"/>
  <c r="I37" i="19"/>
  <c r="M37" i="19" s="1"/>
  <c r="I33" i="19"/>
  <c r="M33" i="19" s="1"/>
  <c r="H32" i="19"/>
  <c r="M32" i="19" s="1"/>
  <c r="H36" i="19"/>
  <c r="M36" i="19" s="1"/>
  <c r="I30" i="19"/>
  <c r="M30" i="19" s="1"/>
  <c r="J27" i="19"/>
  <c r="J25" i="19"/>
  <c r="I24" i="19"/>
  <c r="M24" i="19" s="1"/>
  <c r="H23" i="19"/>
  <c r="M23" i="19" s="1"/>
  <c r="I15" i="19"/>
  <c r="M15" i="19" s="1"/>
  <c r="G35" i="19"/>
  <c r="M35" i="19" s="1"/>
  <c r="G12" i="19"/>
  <c r="K12" i="19" s="1"/>
  <c r="G14" i="19"/>
  <c r="L14" i="19" s="1"/>
  <c r="G16" i="19"/>
  <c r="L16" i="19" s="1"/>
  <c r="G18" i="19"/>
  <c r="K18" i="19" s="1"/>
  <c r="G20" i="19"/>
  <c r="K20" i="19" s="1"/>
  <c r="G22" i="19"/>
  <c r="L22" i="19" s="1"/>
  <c r="G26" i="19"/>
  <c r="L26" i="19" s="1"/>
  <c r="G28" i="19"/>
  <c r="K28" i="19" s="1"/>
  <c r="G29" i="19"/>
  <c r="L29" i="19" s="1"/>
  <c r="G31" i="19"/>
  <c r="K31" i="19" s="1"/>
  <c r="E19" i="19"/>
  <c r="I19" i="19" s="1"/>
  <c r="M19" i="19" s="1"/>
  <c r="E21" i="19"/>
  <c r="J21" i="19" s="1"/>
  <c r="E17" i="19"/>
  <c r="I17" i="19" s="1"/>
  <c r="M17" i="19" s="1"/>
  <c r="E15" i="19"/>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M18" i="19" l="1"/>
  <c r="M31" i="19"/>
  <c r="L12" i="19"/>
  <c r="K16" i="19"/>
  <c r="L18" i="19"/>
  <c r="L31" i="19"/>
  <c r="K11" i="19"/>
  <c r="K14" i="19"/>
  <c r="M16" i="19"/>
  <c r="K26" i="19"/>
  <c r="K29" i="19"/>
  <c r="L32" i="19"/>
  <c r="M11" i="19"/>
  <c r="M26" i="19"/>
  <c r="M29" i="19"/>
  <c r="M22" i="19"/>
  <c r="K35" i="19"/>
  <c r="K39" i="19"/>
  <c r="I5" i="19" s="1"/>
  <c r="K16" i="21" s="1"/>
  <c r="G8" i="29"/>
  <c r="G8" i="38"/>
  <c r="J7" i="30" s="1"/>
  <c r="G9" i="37"/>
  <c r="H8" i="38"/>
  <c r="K7" i="30" s="1"/>
  <c r="H9" i="37"/>
  <c r="H8" i="29"/>
  <c r="F8" i="29"/>
  <c r="F9" i="37"/>
  <c r="F8" i="38"/>
  <c r="I7" i="30" s="1"/>
  <c r="M20" i="19"/>
  <c r="M39" i="19" s="1"/>
  <c r="K5" i="19" s="1"/>
  <c r="M16" i="21" s="1"/>
  <c r="L20" i="19"/>
  <c r="L39" i="19" s="1"/>
  <c r="J5" i="19" s="1"/>
  <c r="L16" i="21" s="1"/>
  <c r="E81" i="23"/>
  <c r="J5" i="23" s="1"/>
  <c r="M20" i="21" s="1"/>
  <c r="E63" i="23"/>
  <c r="I5" i="23" s="1"/>
  <c r="L20" i="21" s="1"/>
  <c r="E45" i="23"/>
  <c r="H5" i="23" s="1"/>
  <c r="K20" i="21" s="1"/>
  <c r="G16" i="38" l="1"/>
  <c r="J15" i="30" s="1"/>
  <c r="G17" i="37"/>
  <c r="G16" i="29"/>
  <c r="F16" i="29"/>
  <c r="F16" i="38"/>
  <c r="I15" i="30" s="1"/>
  <c r="F17" i="37"/>
  <c r="H20" i="29"/>
  <c r="H32" i="29" s="1"/>
  <c r="H21" i="37"/>
  <c r="H33" i="37" s="1"/>
  <c r="H20" i="38"/>
  <c r="F21" i="37"/>
  <c r="F33" i="37" s="1"/>
  <c r="F20" i="29"/>
  <c r="F32" i="29" s="1"/>
  <c r="F20" i="38"/>
  <c r="H16" i="38"/>
  <c r="K15" i="30" s="1"/>
  <c r="H17" i="37"/>
  <c r="H16" i="29"/>
  <c r="G20" i="38"/>
  <c r="G20" i="29"/>
  <c r="G32" i="29" s="1"/>
  <c r="G21" i="37"/>
  <c r="G33" i="37" s="1"/>
  <c r="F21" i="21"/>
  <c r="E21" i="21"/>
  <c r="G21" i="21"/>
  <c r="E15" i="23"/>
  <c r="D5" i="23"/>
  <c r="C5" i="23"/>
  <c r="B5" i="23"/>
  <c r="D5" i="24"/>
  <c r="C5" i="24"/>
  <c r="B5" i="24"/>
  <c r="F32" i="38" l="1"/>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G88"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K94" i="27" l="1"/>
  <c r="M94" i="27"/>
  <c r="O94" i="27"/>
  <c r="I94" i="27"/>
  <c r="U94" i="27"/>
  <c r="W94" i="27"/>
  <c r="Y94" i="27"/>
  <c r="AA94" i="27"/>
  <c r="E94" i="27"/>
  <c r="G94" i="27"/>
  <c r="Q94" i="27"/>
  <c r="S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3" i="22"/>
  <c r="P55" i="22"/>
  <c r="P54" i="22"/>
  <c r="P52" i="22"/>
  <c r="P50" i="22"/>
  <c r="P49" i="22"/>
  <c r="P48" i="22"/>
  <c r="P47" i="22"/>
  <c r="P46" i="22"/>
  <c r="P37" i="22"/>
  <c r="P36" i="22"/>
  <c r="P34" i="22"/>
  <c r="P32" i="22"/>
  <c r="P31" i="22"/>
  <c r="P30" i="22"/>
  <c r="P29" i="22"/>
  <c r="P28" i="22"/>
  <c r="M23" i="22"/>
  <c r="P18" i="22"/>
  <c r="P19" i="22"/>
  <c r="P20" i="22"/>
  <c r="P15" i="22"/>
  <c r="P13" i="22"/>
  <c r="P14" i="22"/>
  <c r="P12" i="22"/>
  <c r="P17" i="22"/>
  <c r="P11" i="22"/>
  <c r="E5" i="22"/>
  <c r="D5" i="22"/>
  <c r="C5" i="22"/>
  <c r="F58" i="22" l="1"/>
  <c r="AB94" i="27"/>
  <c r="E14" i="23"/>
  <c r="E28" i="23" s="1"/>
  <c r="G5" i="23" s="1"/>
  <c r="J20" i="21" s="1"/>
  <c r="E13" i="23"/>
  <c r="I23" i="22"/>
  <c r="P35" i="22"/>
  <c r="L23" i="22"/>
  <c r="G23" i="22"/>
  <c r="J58" i="22"/>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1" i="22"/>
  <c r="E23" i="22"/>
  <c r="H58" i="22"/>
  <c r="F40" i="22"/>
  <c r="P22" i="22"/>
  <c r="O40" i="22"/>
  <c r="P38" i="22"/>
  <c r="P39" i="22"/>
  <c r="N40" i="22"/>
  <c r="O23" i="22"/>
  <c r="P16" i="22"/>
  <c r="E58" i="22"/>
  <c r="I58" i="22"/>
  <c r="J40" i="22"/>
  <c r="N23" i="22"/>
  <c r="G40" i="22"/>
  <c r="K40" i="22"/>
  <c r="P51" i="22"/>
  <c r="P56" i="22"/>
  <c r="P57" i="22"/>
  <c r="J23" i="22"/>
  <c r="D40" i="22"/>
  <c r="L40" i="22"/>
  <c r="D23" i="22"/>
  <c r="F23" i="22"/>
  <c r="K23" i="22"/>
  <c r="E40" i="22"/>
  <c r="I40" i="22"/>
  <c r="M40" i="22"/>
  <c r="P33" i="22"/>
  <c r="G58" i="22"/>
  <c r="K58" i="22"/>
  <c r="O58" i="22"/>
  <c r="L58" i="22"/>
  <c r="P53" i="22"/>
  <c r="M58" i="22"/>
  <c r="N58" i="22"/>
  <c r="D58" i="22"/>
  <c r="H40" i="22"/>
  <c r="H23" i="22"/>
  <c r="E20" i="38" l="1"/>
  <c r="E21" i="37"/>
  <c r="E33" i="37" s="1"/>
  <c r="E34" i="37" s="1"/>
  <c r="E20" i="29"/>
  <c r="E32" i="29" s="1"/>
  <c r="E33" i="29" s="1"/>
  <c r="D21" i="21"/>
  <c r="D22" i="21" s="1"/>
  <c r="T51" i="25"/>
  <c r="M93" i="27"/>
  <c r="O93" i="27"/>
  <c r="Q93" i="27"/>
  <c r="AA80" i="25"/>
  <c r="N51" i="25"/>
  <c r="F51" i="25"/>
  <c r="AA76" i="25"/>
  <c r="AA81" i="25"/>
  <c r="AA83" i="25"/>
  <c r="J51" i="25"/>
  <c r="V51" i="25"/>
  <c r="AA86" i="25"/>
  <c r="AA79" i="25"/>
  <c r="AA84" i="25"/>
  <c r="X78" i="25"/>
  <c r="X87" i="25" s="1"/>
  <c r="P78" i="25"/>
  <c r="P87" i="25" s="1"/>
  <c r="H78" i="25"/>
  <c r="H87" i="25" s="1"/>
  <c r="T61" i="25"/>
  <c r="T69" i="25" s="1"/>
  <c r="Z78" i="25"/>
  <c r="Z87" i="25" s="1"/>
  <c r="J78" i="25"/>
  <c r="V61" i="25"/>
  <c r="V78" i="25"/>
  <c r="V87" i="25" s="1"/>
  <c r="N78" i="25"/>
  <c r="N87" i="25" s="1"/>
  <c r="F78" i="25"/>
  <c r="Z61" i="25"/>
  <c r="R61" i="25"/>
  <c r="R69" i="25" s="1"/>
  <c r="D78" i="25"/>
  <c r="D87" i="25" s="1"/>
  <c r="N61" i="25"/>
  <c r="N69" i="25" s="1"/>
  <c r="R78" i="25"/>
  <c r="T78" i="25"/>
  <c r="T87" i="25" s="1"/>
  <c r="L78" i="25"/>
  <c r="L87" i="25" s="1"/>
  <c r="P61" i="25"/>
  <c r="L61" i="25"/>
  <c r="L69" i="25" s="1"/>
  <c r="Z69" i="25"/>
  <c r="AA75" i="25"/>
  <c r="AA82" i="25"/>
  <c r="H51" i="25"/>
  <c r="AA41" i="25"/>
  <c r="D51" i="25"/>
  <c r="P51" i="25"/>
  <c r="R51" i="25"/>
  <c r="AA48" i="25"/>
  <c r="AA58" i="25"/>
  <c r="AA67" i="25"/>
  <c r="AA68" i="25"/>
  <c r="L51" i="25"/>
  <c r="P69" i="25"/>
  <c r="V69" i="25"/>
  <c r="AA85" i="25"/>
  <c r="AA77" i="25"/>
  <c r="F87" i="25"/>
  <c r="R87" i="25"/>
  <c r="J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3" i="22"/>
  <c r="G5" i="22" s="1"/>
  <c r="K10" i="21" s="1"/>
  <c r="P40" i="22"/>
  <c r="H5" i="22" s="1"/>
  <c r="L10" i="21" s="1"/>
  <c r="P58" i="22"/>
  <c r="I5" i="22" s="1"/>
  <c r="M10" i="21" s="1"/>
  <c r="W95" i="27" l="1"/>
  <c r="AB93" i="27"/>
  <c r="I95" i="27"/>
  <c r="G95" i="27"/>
  <c r="F11" i="37"/>
  <c r="F25" i="37" s="1"/>
  <c r="F10" i="38"/>
  <c r="F10" i="29"/>
  <c r="F24" i="29" s="1"/>
  <c r="Y95" i="27"/>
  <c r="H10" i="29"/>
  <c r="H24" i="29" s="1"/>
  <c r="H11" i="37"/>
  <c r="H25" i="37" s="1"/>
  <c r="H10" i="38"/>
  <c r="G10" i="38"/>
  <c r="G11" i="37"/>
  <c r="G25" i="37" s="1"/>
  <c r="G10" i="29"/>
  <c r="G24" i="29" s="1"/>
  <c r="M95" i="27"/>
  <c r="O95" i="27"/>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F24" i="38"/>
  <c r="I9" i="30"/>
  <c r="I23" i="30" s="1"/>
  <c r="H24" i="38"/>
  <c r="K9" i="30"/>
  <c r="K23" i="30" s="1"/>
  <c r="G9" i="29"/>
  <c r="G23" i="29" s="1"/>
  <c r="G28" i="29" s="1"/>
  <c r="L6" i="21"/>
  <c r="C6" i="19"/>
  <c r="C6" i="23"/>
  <c r="C6" i="24"/>
  <c r="C14" i="24" s="1"/>
  <c r="C7" i="25"/>
  <c r="C7" i="27"/>
  <c r="D6" i="22"/>
  <c r="M12" i="21"/>
  <c r="D12" i="24"/>
  <c r="L12" i="21"/>
  <c r="C12" i="24"/>
  <c r="AB95" i="27"/>
  <c r="I6" i="27" s="1"/>
  <c r="L11" i="21" s="1"/>
  <c r="D24" i="3"/>
  <c r="D26" i="3"/>
  <c r="H9" i="29" s="1"/>
  <c r="H23" i="29" s="1"/>
  <c r="H28" i="29" s="1"/>
  <c r="Y53" i="34"/>
  <c r="Y52" i="34"/>
  <c r="W53" i="34"/>
  <c r="W52" i="34"/>
  <c r="U53" i="34"/>
  <c r="U52" i="34"/>
  <c r="S53" i="34"/>
  <c r="S52" i="34"/>
  <c r="Q53" i="34"/>
  <c r="Q52" i="34"/>
  <c r="O53" i="34"/>
  <c r="O52" i="34"/>
  <c r="M53" i="34"/>
  <c r="M52" i="34"/>
  <c r="K53" i="34"/>
  <c r="K52" i="34"/>
  <c r="I53" i="34"/>
  <c r="I52" i="34"/>
  <c r="G53" i="34"/>
  <c r="G52" i="34"/>
  <c r="E53" i="34"/>
  <c r="E52" i="34"/>
  <c r="C53" i="34"/>
  <c r="G11" i="29" l="1"/>
  <c r="G25" i="29" s="1"/>
  <c r="F14" i="21"/>
  <c r="G11" i="38"/>
  <c r="G12" i="37"/>
  <c r="G26" i="37" s="1"/>
  <c r="F9" i="29"/>
  <c r="F23" i="29" s="1"/>
  <c r="F28" i="29" s="1"/>
  <c r="K6" i="21"/>
  <c r="B6" i="19"/>
  <c r="B6" i="24"/>
  <c r="B14" i="24" s="1"/>
  <c r="B6" i="23"/>
  <c r="B7" i="25"/>
  <c r="B7" i="27"/>
  <c r="C6" i="22"/>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G54" i="34"/>
  <c r="K54" i="34"/>
  <c r="O54" i="34"/>
  <c r="S54" i="34"/>
  <c r="W54" i="34"/>
  <c r="E54" i="34"/>
  <c r="I54" i="34"/>
  <c r="M54" i="34"/>
  <c r="Q54" i="34"/>
  <c r="U54" i="34"/>
  <c r="Y54" i="34"/>
  <c r="E33" i="34"/>
  <c r="E34" i="34"/>
  <c r="E35" i="34"/>
  <c r="E36" i="34"/>
  <c r="E32" i="34"/>
  <c r="E20" i="34"/>
  <c r="B14" i="34"/>
  <c r="B10" i="34"/>
  <c r="B12" i="34" s="1"/>
  <c r="E19" i="20"/>
  <c r="C18" i="33"/>
  <c r="C19" i="33" s="1"/>
  <c r="G27" i="29" l="1"/>
  <c r="G29" i="29" s="1"/>
  <c r="H30" i="29" s="1"/>
  <c r="E28" i="20"/>
  <c r="C45" i="34" s="1"/>
  <c r="D53" i="27"/>
  <c r="E53" i="27" s="1"/>
  <c r="G25" i="38"/>
  <c r="J10" i="30"/>
  <c r="J24" i="30" s="1"/>
  <c r="G23" i="38"/>
  <c r="G28" i="38" s="1"/>
  <c r="J8" i="30"/>
  <c r="J22" i="30" s="1"/>
  <c r="J27" i="30" s="1"/>
  <c r="F9" i="38"/>
  <c r="F10" i="37"/>
  <c r="F24" i="37" s="1"/>
  <c r="F29" i="37" s="1"/>
  <c r="G28" i="37"/>
  <c r="G30" i="37" s="1"/>
  <c r="H9" i="38"/>
  <c r="H10" i="37"/>
  <c r="H24" i="37" s="1"/>
  <c r="H29" i="37" s="1"/>
  <c r="K11" i="30"/>
  <c r="H26" i="38"/>
  <c r="J11" i="30"/>
  <c r="J25" i="30" s="1"/>
  <c r="G26" i="38"/>
  <c r="E37" i="34"/>
  <c r="E25" i="34"/>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69" i="20"/>
  <c r="Y69" i="20"/>
  <c r="W69" i="20"/>
  <c r="U69" i="20"/>
  <c r="S69" i="20"/>
  <c r="Q69" i="20"/>
  <c r="O69" i="20"/>
  <c r="M69" i="20"/>
  <c r="K69" i="20"/>
  <c r="I69" i="20"/>
  <c r="G69" i="20"/>
  <c r="E69" i="20"/>
  <c r="AA68" i="20"/>
  <c r="Y68" i="20"/>
  <c r="W68" i="20"/>
  <c r="U68" i="20"/>
  <c r="S68" i="20"/>
  <c r="Q68" i="20"/>
  <c r="O68" i="20"/>
  <c r="M68" i="20"/>
  <c r="K68" i="20"/>
  <c r="I68" i="20"/>
  <c r="G68" i="20"/>
  <c r="E68" i="20"/>
  <c r="C52" i="34" s="1"/>
  <c r="AA21" i="20"/>
  <c r="AA22" i="20"/>
  <c r="Z56" i="27" s="1"/>
  <c r="AA56" i="27" s="1"/>
  <c r="AA23" i="20"/>
  <c r="Z57" i="27" s="1"/>
  <c r="AA57" i="27" s="1"/>
  <c r="AA24" i="20"/>
  <c r="Z58" i="27" s="1"/>
  <c r="AA58" i="27" s="1"/>
  <c r="AA25" i="20"/>
  <c r="Z59" i="27" s="1"/>
  <c r="AA59" i="27" s="1"/>
  <c r="AA26" i="20"/>
  <c r="Z60" i="27" s="1"/>
  <c r="AA60" i="27" s="1"/>
  <c r="Z61" i="27"/>
  <c r="AA61" i="27" s="1"/>
  <c r="Z62" i="27"/>
  <c r="AA62" i="27" s="1"/>
  <c r="Z63" i="27"/>
  <c r="AA63" i="27" s="1"/>
  <c r="Z64" i="27"/>
  <c r="AA64" i="27" s="1"/>
  <c r="AA20" i="20"/>
  <c r="AA19" i="20"/>
  <c r="Y21" i="20"/>
  <c r="Y22" i="20"/>
  <c r="X56" i="27" s="1"/>
  <c r="Y56" i="27" s="1"/>
  <c r="Y23" i="20"/>
  <c r="X57" i="27" s="1"/>
  <c r="Y57" i="27" s="1"/>
  <c r="Y24" i="20"/>
  <c r="X58" i="27" s="1"/>
  <c r="Y58" i="27" s="1"/>
  <c r="Y25" i="20"/>
  <c r="X59" i="27" s="1"/>
  <c r="Y59" i="27" s="1"/>
  <c r="Y26" i="20"/>
  <c r="X60" i="27" s="1"/>
  <c r="Y60" i="27" s="1"/>
  <c r="X61" i="27"/>
  <c r="Y61" i="27" s="1"/>
  <c r="X62" i="27"/>
  <c r="Y62" i="27" s="1"/>
  <c r="X63" i="27"/>
  <c r="Y63" i="27" s="1"/>
  <c r="X64" i="27"/>
  <c r="Y64" i="27" s="1"/>
  <c r="Y20" i="20"/>
  <c r="Y19" i="20"/>
  <c r="W21" i="20"/>
  <c r="W22" i="20"/>
  <c r="W23" i="20"/>
  <c r="V57" i="27" s="1"/>
  <c r="W57" i="27" s="1"/>
  <c r="W24" i="20"/>
  <c r="V58" i="27" s="1"/>
  <c r="W58" i="27" s="1"/>
  <c r="W25" i="20"/>
  <c r="V59" i="27" s="1"/>
  <c r="W59" i="27" s="1"/>
  <c r="W26" i="20"/>
  <c r="V60" i="27" s="1"/>
  <c r="W60" i="27" s="1"/>
  <c r="V61" i="27"/>
  <c r="W61" i="27" s="1"/>
  <c r="V62" i="27"/>
  <c r="W62" i="27" s="1"/>
  <c r="V63" i="27"/>
  <c r="W63" i="27" s="1"/>
  <c r="V64" i="27"/>
  <c r="W64" i="27" s="1"/>
  <c r="W20" i="20"/>
  <c r="W19" i="20"/>
  <c r="U21" i="20"/>
  <c r="U22" i="20"/>
  <c r="T56" i="27" s="1"/>
  <c r="U56" i="27" s="1"/>
  <c r="U23" i="20"/>
  <c r="T57" i="27" s="1"/>
  <c r="U57" i="27" s="1"/>
  <c r="U24" i="20"/>
  <c r="T58" i="27" s="1"/>
  <c r="U58" i="27" s="1"/>
  <c r="U25" i="20"/>
  <c r="T59" i="27" s="1"/>
  <c r="U59" i="27" s="1"/>
  <c r="U26" i="20"/>
  <c r="T60" i="27" s="1"/>
  <c r="U60" i="27" s="1"/>
  <c r="T61" i="27"/>
  <c r="U61" i="27" s="1"/>
  <c r="T62" i="27"/>
  <c r="U62" i="27" s="1"/>
  <c r="T63" i="27"/>
  <c r="U63" i="27" s="1"/>
  <c r="T64" i="27"/>
  <c r="U64" i="27" s="1"/>
  <c r="U20" i="20"/>
  <c r="U19" i="20"/>
  <c r="S21" i="20"/>
  <c r="S22" i="20"/>
  <c r="R56" i="27" s="1"/>
  <c r="S56" i="27" s="1"/>
  <c r="S23" i="20"/>
  <c r="R57" i="27" s="1"/>
  <c r="S57" i="27" s="1"/>
  <c r="S24" i="20"/>
  <c r="R58" i="27" s="1"/>
  <c r="S58" i="27" s="1"/>
  <c r="S25" i="20"/>
  <c r="R59" i="27" s="1"/>
  <c r="S59" i="27" s="1"/>
  <c r="S26" i="20"/>
  <c r="R60" i="27" s="1"/>
  <c r="S60" i="27" s="1"/>
  <c r="R61" i="27"/>
  <c r="S61" i="27" s="1"/>
  <c r="R62" i="27"/>
  <c r="S62" i="27" s="1"/>
  <c r="R63" i="27"/>
  <c r="S63" i="27" s="1"/>
  <c r="R64" i="27"/>
  <c r="S64" i="27" s="1"/>
  <c r="S20" i="20"/>
  <c r="S19" i="20"/>
  <c r="Q21" i="20"/>
  <c r="Q22" i="20"/>
  <c r="P56" i="27" s="1"/>
  <c r="Q56" i="27" s="1"/>
  <c r="Q23" i="20"/>
  <c r="P57" i="27" s="1"/>
  <c r="Q57" i="27" s="1"/>
  <c r="Q24" i="20"/>
  <c r="P58" i="27" s="1"/>
  <c r="Q58" i="27" s="1"/>
  <c r="Q25" i="20"/>
  <c r="P59" i="27" s="1"/>
  <c r="Q59" i="27" s="1"/>
  <c r="Q26" i="20"/>
  <c r="P60" i="27" s="1"/>
  <c r="Q60" i="27" s="1"/>
  <c r="P61" i="27"/>
  <c r="Q61" i="27" s="1"/>
  <c r="P62" i="27"/>
  <c r="Q62" i="27" s="1"/>
  <c r="P63" i="27"/>
  <c r="Q63" i="27" s="1"/>
  <c r="P64" i="27"/>
  <c r="Q64" i="27" s="1"/>
  <c r="Q20" i="20"/>
  <c r="Q19" i="20"/>
  <c r="O21" i="20"/>
  <c r="O22" i="20"/>
  <c r="O23" i="20"/>
  <c r="N57" i="27" s="1"/>
  <c r="O57" i="27" s="1"/>
  <c r="O24" i="20"/>
  <c r="N58" i="27" s="1"/>
  <c r="O58" i="27" s="1"/>
  <c r="O25" i="20"/>
  <c r="N59" i="27" s="1"/>
  <c r="O59" i="27" s="1"/>
  <c r="O26" i="20"/>
  <c r="N60" i="27" s="1"/>
  <c r="O60" i="27" s="1"/>
  <c r="N61" i="27"/>
  <c r="O61" i="27" s="1"/>
  <c r="N62" i="27"/>
  <c r="O62" i="27" s="1"/>
  <c r="N63" i="27"/>
  <c r="O63" i="27" s="1"/>
  <c r="N64" i="27"/>
  <c r="O64" i="27" s="1"/>
  <c r="O20" i="20"/>
  <c r="O19" i="20"/>
  <c r="M20" i="20"/>
  <c r="M21" i="20"/>
  <c r="M22" i="20"/>
  <c r="L56" i="27" s="1"/>
  <c r="M56" i="27" s="1"/>
  <c r="M23" i="20"/>
  <c r="L57" i="27" s="1"/>
  <c r="M57" i="27" s="1"/>
  <c r="M24" i="20"/>
  <c r="L58" i="27" s="1"/>
  <c r="M58" i="27" s="1"/>
  <c r="M25" i="20"/>
  <c r="L59" i="27" s="1"/>
  <c r="M59" i="27" s="1"/>
  <c r="M26" i="20"/>
  <c r="L60" i="27" s="1"/>
  <c r="M60" i="27" s="1"/>
  <c r="L61" i="27"/>
  <c r="M61" i="27" s="1"/>
  <c r="L62" i="27"/>
  <c r="M62" i="27" s="1"/>
  <c r="L63" i="27"/>
  <c r="M63" i="27" s="1"/>
  <c r="L64" i="27"/>
  <c r="M64" i="27" s="1"/>
  <c r="M19" i="20"/>
  <c r="K21" i="20"/>
  <c r="K22" i="20"/>
  <c r="J56" i="27" s="1"/>
  <c r="K56" i="27" s="1"/>
  <c r="K23" i="20"/>
  <c r="J57" i="27" s="1"/>
  <c r="K57" i="27" s="1"/>
  <c r="K24" i="20"/>
  <c r="J58" i="27" s="1"/>
  <c r="K58" i="27" s="1"/>
  <c r="K25" i="20"/>
  <c r="J59" i="27" s="1"/>
  <c r="K59" i="27" s="1"/>
  <c r="K26" i="20"/>
  <c r="J60" i="27" s="1"/>
  <c r="K60" i="27" s="1"/>
  <c r="J61" i="27"/>
  <c r="K61" i="27" s="1"/>
  <c r="J62" i="27"/>
  <c r="K62" i="27" s="1"/>
  <c r="J63" i="27"/>
  <c r="K63" i="27" s="1"/>
  <c r="J64" i="27"/>
  <c r="K64" i="27" s="1"/>
  <c r="K20" i="20"/>
  <c r="K19" i="20"/>
  <c r="I21" i="20"/>
  <c r="I22" i="20"/>
  <c r="H56" i="27" s="1"/>
  <c r="I56" i="27" s="1"/>
  <c r="I23" i="20"/>
  <c r="H57" i="27" s="1"/>
  <c r="I57" i="27" s="1"/>
  <c r="I24" i="20"/>
  <c r="H58" i="27" s="1"/>
  <c r="I58" i="27" s="1"/>
  <c r="I25" i="20"/>
  <c r="H59" i="27" s="1"/>
  <c r="I59" i="27" s="1"/>
  <c r="I26" i="20"/>
  <c r="H60" i="27" s="1"/>
  <c r="I60" i="27" s="1"/>
  <c r="H61" i="27"/>
  <c r="I61" i="27" s="1"/>
  <c r="H62" i="27"/>
  <c r="I62" i="27" s="1"/>
  <c r="H63" i="27"/>
  <c r="I63" i="27" s="1"/>
  <c r="H64" i="27"/>
  <c r="I64" i="27" s="1"/>
  <c r="I20" i="20"/>
  <c r="I19" i="20"/>
  <c r="G20" i="20"/>
  <c r="G21" i="20"/>
  <c r="G22" i="20"/>
  <c r="F56" i="27" s="1"/>
  <c r="G56" i="27" s="1"/>
  <c r="G23" i="20"/>
  <c r="F57" i="27" s="1"/>
  <c r="G57" i="27" s="1"/>
  <c r="G24" i="20"/>
  <c r="F58" i="27" s="1"/>
  <c r="G58" i="27" s="1"/>
  <c r="G25" i="20"/>
  <c r="F59" i="27" s="1"/>
  <c r="G59" i="27" s="1"/>
  <c r="G26" i="20"/>
  <c r="F60" i="27" s="1"/>
  <c r="G60" i="27" s="1"/>
  <c r="F61" i="27"/>
  <c r="G61" i="27" s="1"/>
  <c r="F62" i="27"/>
  <c r="G62" i="27" s="1"/>
  <c r="F63" i="27"/>
  <c r="G63" i="27" s="1"/>
  <c r="F64" i="27"/>
  <c r="G64" i="27" s="1"/>
  <c r="G19" i="20"/>
  <c r="E20" i="20"/>
  <c r="E21" i="20"/>
  <c r="E22" i="20"/>
  <c r="D56" i="27" s="1"/>
  <c r="E56" i="27" s="1"/>
  <c r="E23" i="20"/>
  <c r="D57" i="27" s="1"/>
  <c r="E57" i="27" s="1"/>
  <c r="E24" i="20"/>
  <c r="D58" i="27" s="1"/>
  <c r="E58" i="27" s="1"/>
  <c r="E25" i="20"/>
  <c r="D59" i="27" s="1"/>
  <c r="E59" i="27" s="1"/>
  <c r="E26" i="20"/>
  <c r="D60" i="27" s="1"/>
  <c r="E60" i="27" s="1"/>
  <c r="D61" i="27"/>
  <c r="E61" i="27" s="1"/>
  <c r="D62" i="27"/>
  <c r="E62" i="27" s="1"/>
  <c r="D63" i="27"/>
  <c r="E63" i="27" s="1"/>
  <c r="D64" i="27"/>
  <c r="E64" i="27" s="1"/>
  <c r="G31" i="29" l="1"/>
  <c r="G33" i="29" s="1"/>
  <c r="AB59" i="27"/>
  <c r="AB58" i="27"/>
  <c r="T55" i="27"/>
  <c r="V56" i="27"/>
  <c r="W56" i="27" s="1"/>
  <c r="AB63" i="27"/>
  <c r="AB57" i="27"/>
  <c r="I29" i="20"/>
  <c r="G46" i="34" s="1"/>
  <c r="H46" i="34" s="1"/>
  <c r="H54" i="27"/>
  <c r="I54" i="27" s="1"/>
  <c r="K28" i="20"/>
  <c r="I45" i="34" s="1"/>
  <c r="J45" i="34" s="1"/>
  <c r="J53" i="27"/>
  <c r="K53" i="27" s="1"/>
  <c r="J55" i="27"/>
  <c r="L55" i="27"/>
  <c r="U29" i="20"/>
  <c r="S46" i="34" s="1"/>
  <c r="T46" i="34" s="1"/>
  <c r="T54" i="27"/>
  <c r="U54" i="27" s="1"/>
  <c r="W28" i="20"/>
  <c r="U45" i="34" s="1"/>
  <c r="V45" i="34" s="1"/>
  <c r="V53" i="27"/>
  <c r="W53" i="27" s="1"/>
  <c r="V55" i="27"/>
  <c r="AB64" i="27"/>
  <c r="I28" i="20"/>
  <c r="G45" i="34" s="1"/>
  <c r="H53" i="27"/>
  <c r="I53" i="27" s="1"/>
  <c r="H55" i="27"/>
  <c r="S29" i="20"/>
  <c r="Q46" i="34" s="1"/>
  <c r="R46" i="34" s="1"/>
  <c r="R54" i="27"/>
  <c r="S54" i="27" s="1"/>
  <c r="U28" i="20"/>
  <c r="S45" i="34" s="1"/>
  <c r="T53" i="27"/>
  <c r="U53" i="27" s="1"/>
  <c r="AB62" i="27"/>
  <c r="K29" i="20"/>
  <c r="I46" i="34" s="1"/>
  <c r="J46" i="34" s="1"/>
  <c r="J54" i="27"/>
  <c r="K54" i="27" s="1"/>
  <c r="M28" i="20"/>
  <c r="K45" i="34" s="1"/>
  <c r="L45" i="34" s="1"/>
  <c r="L53" i="27"/>
  <c r="M29" i="20"/>
  <c r="K46" i="34" s="1"/>
  <c r="L46" i="34" s="1"/>
  <c r="L54" i="27"/>
  <c r="M54" i="27" s="1"/>
  <c r="N56" i="27"/>
  <c r="O56" i="27" s="1"/>
  <c r="W29" i="20"/>
  <c r="U46" i="34" s="1"/>
  <c r="V46" i="34" s="1"/>
  <c r="V54" i="27"/>
  <c r="W54" i="27" s="1"/>
  <c r="Y28" i="20"/>
  <c r="W45" i="34" s="1"/>
  <c r="X45" i="34" s="1"/>
  <c r="X53" i="27"/>
  <c r="Y53" i="27" s="1"/>
  <c r="X55" i="27"/>
  <c r="G27" i="38"/>
  <c r="G31" i="38" s="1"/>
  <c r="G33" i="38" s="1"/>
  <c r="R55" i="27"/>
  <c r="V53" i="34"/>
  <c r="P53" i="34"/>
  <c r="D53" i="34"/>
  <c r="Z53" i="34"/>
  <c r="R53" i="34"/>
  <c r="X53" i="34"/>
  <c r="L53" i="34"/>
  <c r="F53" i="34"/>
  <c r="T53" i="34"/>
  <c r="H53" i="34"/>
  <c r="J53" i="34"/>
  <c r="N53" i="34"/>
  <c r="AB61" i="27"/>
  <c r="D55" i="27"/>
  <c r="O28" i="20"/>
  <c r="M45" i="34" s="1"/>
  <c r="N45" i="34" s="1"/>
  <c r="N53" i="27"/>
  <c r="N55" i="27"/>
  <c r="Y29" i="20"/>
  <c r="W46" i="34" s="1"/>
  <c r="X46" i="34" s="1"/>
  <c r="X54" i="27"/>
  <c r="Y54" i="27" s="1"/>
  <c r="AA28" i="20"/>
  <c r="Y45" i="34" s="1"/>
  <c r="Z45" i="34" s="1"/>
  <c r="Z53" i="27"/>
  <c r="AA53" i="27" s="1"/>
  <c r="Z55" i="27"/>
  <c r="G28" i="20"/>
  <c r="E45" i="34" s="1"/>
  <c r="F45" i="34" s="1"/>
  <c r="F53" i="27"/>
  <c r="G53" i="27" s="1"/>
  <c r="G29" i="20"/>
  <c r="E46" i="34" s="1"/>
  <c r="F46" i="34" s="1"/>
  <c r="F54" i="27"/>
  <c r="G54" i="27" s="1"/>
  <c r="Q29" i="20"/>
  <c r="O46" i="34" s="1"/>
  <c r="P46" i="34" s="1"/>
  <c r="P54" i="27"/>
  <c r="Q54" i="27" s="1"/>
  <c r="S28" i="20"/>
  <c r="Q45" i="34" s="1"/>
  <c r="R53" i="27"/>
  <c r="S53" i="27" s="1"/>
  <c r="AB60" i="27"/>
  <c r="E29" i="20"/>
  <c r="C46" i="34" s="1"/>
  <c r="D46" i="34" s="1"/>
  <c r="D54" i="27"/>
  <c r="E54" i="27" s="1"/>
  <c r="F55" i="27"/>
  <c r="O29" i="20"/>
  <c r="M46" i="34" s="1"/>
  <c r="N46" i="34" s="1"/>
  <c r="N54" i="27"/>
  <c r="O54" i="27" s="1"/>
  <c r="Q28" i="20"/>
  <c r="O45" i="34" s="1"/>
  <c r="P45" i="34" s="1"/>
  <c r="P53" i="27"/>
  <c r="P55" i="27"/>
  <c r="AA29" i="20"/>
  <c r="Y46" i="34" s="1"/>
  <c r="Z46" i="34" s="1"/>
  <c r="Z54" i="27"/>
  <c r="AA54" i="27" s="1"/>
  <c r="J52" i="34"/>
  <c r="Z52" i="34"/>
  <c r="H52" i="34"/>
  <c r="T52" i="34"/>
  <c r="P52" i="34"/>
  <c r="F52" i="34"/>
  <c r="L52" i="34"/>
  <c r="R52" i="34"/>
  <c r="N52" i="34"/>
  <c r="X52" i="34"/>
  <c r="V52" i="34"/>
  <c r="G32" i="37"/>
  <c r="G34" i="37" s="1"/>
  <c r="F23" i="38"/>
  <c r="F28" i="38" s="1"/>
  <c r="I8" i="30"/>
  <c r="I22" i="30" s="1"/>
  <c r="I27" i="30" s="1"/>
  <c r="K8" i="30"/>
  <c r="K22" i="30" s="1"/>
  <c r="K27" i="30" s="1"/>
  <c r="H23" i="38"/>
  <c r="H28" i="38" s="1"/>
  <c r="K25" i="30"/>
  <c r="J26" i="30"/>
  <c r="D52" i="34"/>
  <c r="C54" i="34"/>
  <c r="AB109" i="27"/>
  <c r="AB110" i="27"/>
  <c r="AB111" i="27"/>
  <c r="AB112" i="27"/>
  <c r="AB107" i="27"/>
  <c r="AB105" i="27"/>
  <c r="L108" i="27"/>
  <c r="M108" i="27" s="1"/>
  <c r="F108" i="27"/>
  <c r="G108" i="27" s="1"/>
  <c r="N108" i="27"/>
  <c r="O108" i="27" s="1"/>
  <c r="V108" i="27"/>
  <c r="W108" i="27" s="1"/>
  <c r="T108" i="27"/>
  <c r="U108" i="27" s="1"/>
  <c r="H108" i="27"/>
  <c r="I108" i="27" s="1"/>
  <c r="P108" i="27"/>
  <c r="Q108" i="27" s="1"/>
  <c r="X108" i="27"/>
  <c r="Y108" i="27" s="1"/>
  <c r="D108" i="27"/>
  <c r="E108" i="27" s="1"/>
  <c r="J108" i="27"/>
  <c r="K108" i="27" s="1"/>
  <c r="R108" i="27"/>
  <c r="S108" i="27" s="1"/>
  <c r="Z108" i="27"/>
  <c r="AA108" i="27" s="1"/>
  <c r="AB106" i="27"/>
  <c r="M109" i="20"/>
  <c r="L102" i="27"/>
  <c r="M102" i="27" s="1"/>
  <c r="K60" i="34"/>
  <c r="L60" i="34" s="1"/>
  <c r="G109" i="20"/>
  <c r="F102" i="27"/>
  <c r="G102" i="27" s="1"/>
  <c r="E60" i="34"/>
  <c r="F60" i="34" s="1"/>
  <c r="O109" i="20"/>
  <c r="N102" i="27"/>
  <c r="O102" i="27" s="1"/>
  <c r="M60" i="34"/>
  <c r="N60" i="34" s="1"/>
  <c r="W109" i="20"/>
  <c r="V102" i="27"/>
  <c r="W102" i="27" s="1"/>
  <c r="U60" i="34"/>
  <c r="V60" i="34" s="1"/>
  <c r="E109" i="20"/>
  <c r="D102" i="27"/>
  <c r="E102" i="27" s="1"/>
  <c r="C60" i="34"/>
  <c r="D60" i="34" s="1"/>
  <c r="I109" i="20"/>
  <c r="H102" i="27"/>
  <c r="I102" i="27" s="1"/>
  <c r="G60" i="34"/>
  <c r="H60" i="34" s="1"/>
  <c r="Q109" i="20"/>
  <c r="P102" i="27"/>
  <c r="Q102" i="27" s="1"/>
  <c r="O60" i="34"/>
  <c r="P60" i="34" s="1"/>
  <c r="Y109" i="20"/>
  <c r="X102" i="27"/>
  <c r="Y102" i="27" s="1"/>
  <c r="W60" i="34"/>
  <c r="X60" i="34" s="1"/>
  <c r="U109" i="20"/>
  <c r="T102" i="27"/>
  <c r="U102" i="27" s="1"/>
  <c r="S60" i="34"/>
  <c r="T60" i="34" s="1"/>
  <c r="K109" i="20"/>
  <c r="J102" i="27"/>
  <c r="K102" i="27" s="1"/>
  <c r="I60" i="34"/>
  <c r="J60" i="34" s="1"/>
  <c r="S109" i="20"/>
  <c r="R102" i="27"/>
  <c r="S102" i="27" s="1"/>
  <c r="Q60" i="34"/>
  <c r="R60" i="34" s="1"/>
  <c r="AA109" i="20"/>
  <c r="Z102" i="27"/>
  <c r="AA102" i="27" s="1"/>
  <c r="Y60" i="34"/>
  <c r="Z60" i="34" s="1"/>
  <c r="D104" i="27"/>
  <c r="E104" i="27" s="1"/>
  <c r="F104" i="27"/>
  <c r="G104" i="27" s="1"/>
  <c r="N104" i="27"/>
  <c r="O104" i="27" s="1"/>
  <c r="V104" i="27"/>
  <c r="W104" i="27" s="1"/>
  <c r="L104" i="27"/>
  <c r="M104" i="27" s="1"/>
  <c r="H104" i="27"/>
  <c r="I104" i="27" s="1"/>
  <c r="P104" i="27"/>
  <c r="Q104" i="27" s="1"/>
  <c r="X104" i="27"/>
  <c r="Y104" i="27" s="1"/>
  <c r="T104" i="27"/>
  <c r="U104" i="27" s="1"/>
  <c r="J104" i="27"/>
  <c r="K104" i="27" s="1"/>
  <c r="R104" i="27"/>
  <c r="S104" i="27" s="1"/>
  <c r="Z104" i="27"/>
  <c r="AA104" i="27" s="1"/>
  <c r="D103" i="27"/>
  <c r="F103" i="27"/>
  <c r="N103" i="27"/>
  <c r="V103" i="27"/>
  <c r="L103" i="27"/>
  <c r="H103" i="27"/>
  <c r="P103" i="27"/>
  <c r="X103" i="27"/>
  <c r="T103" i="27"/>
  <c r="J103" i="27"/>
  <c r="R103" i="27"/>
  <c r="Z103" i="27"/>
  <c r="W108" i="20"/>
  <c r="V101" i="27"/>
  <c r="W101" i="27" s="1"/>
  <c r="U59" i="34"/>
  <c r="I108" i="20"/>
  <c r="H101" i="27"/>
  <c r="I101" i="27" s="1"/>
  <c r="G59" i="34"/>
  <c r="Q108" i="20"/>
  <c r="P101" i="27"/>
  <c r="O59" i="34"/>
  <c r="Y108" i="20"/>
  <c r="X101" i="27"/>
  <c r="Y101" i="27" s="1"/>
  <c r="W59" i="34"/>
  <c r="O108" i="20"/>
  <c r="N101" i="27"/>
  <c r="M59" i="34"/>
  <c r="K108" i="20"/>
  <c r="J101" i="27"/>
  <c r="K101" i="27" s="1"/>
  <c r="I59" i="34"/>
  <c r="S108" i="20"/>
  <c r="R101" i="27"/>
  <c r="S101" i="27" s="1"/>
  <c r="Q59" i="34"/>
  <c r="AA108" i="20"/>
  <c r="Z101" i="27"/>
  <c r="AA101" i="27" s="1"/>
  <c r="Y59" i="34"/>
  <c r="G108" i="20"/>
  <c r="F101" i="27"/>
  <c r="G101" i="27" s="1"/>
  <c r="E59" i="34"/>
  <c r="E108" i="20"/>
  <c r="D101" i="27"/>
  <c r="E101" i="27" s="1"/>
  <c r="C59" i="34"/>
  <c r="M108" i="20"/>
  <c r="L101" i="27"/>
  <c r="K59" i="34"/>
  <c r="U108" i="20"/>
  <c r="T101" i="27"/>
  <c r="U101" i="27" s="1"/>
  <c r="S59" i="34"/>
  <c r="E38" i="34"/>
  <c r="E26" i="34"/>
  <c r="D45" i="34"/>
  <c r="D9" i="26"/>
  <c r="C9" i="26"/>
  <c r="B9" i="26"/>
  <c r="R54" i="34" l="1"/>
  <c r="S47" i="34"/>
  <c r="Q47" i="34"/>
  <c r="C47" i="34"/>
  <c r="G47" i="34"/>
  <c r="X54" i="34"/>
  <c r="R45" i="34"/>
  <c r="R47" i="34" s="1"/>
  <c r="D47" i="34"/>
  <c r="J54" i="34"/>
  <c r="V54" i="34"/>
  <c r="AB56" i="27"/>
  <c r="N54" i="34"/>
  <c r="H54" i="34"/>
  <c r="F47" i="34"/>
  <c r="Z54" i="34"/>
  <c r="L54" i="34"/>
  <c r="U47" i="34"/>
  <c r="G29" i="38"/>
  <c r="H30" i="38" s="1"/>
  <c r="E70" i="27"/>
  <c r="E55" i="27"/>
  <c r="K103" i="27"/>
  <c r="K118" i="27"/>
  <c r="G103" i="27"/>
  <c r="G118" i="27"/>
  <c r="D54" i="34"/>
  <c r="O47" i="34"/>
  <c r="AA70" i="27"/>
  <c r="AA55" i="27"/>
  <c r="AA71" i="27" s="1"/>
  <c r="O70" i="27"/>
  <c r="O55" i="27"/>
  <c r="I47" i="34"/>
  <c r="AA103" i="27"/>
  <c r="AA118" i="27"/>
  <c r="W103" i="27"/>
  <c r="W118" i="27"/>
  <c r="Q53" i="27"/>
  <c r="Q69" i="27"/>
  <c r="H45" i="34"/>
  <c r="H47" i="34" s="1"/>
  <c r="F54" i="34"/>
  <c r="S70" i="27"/>
  <c r="S55" i="27"/>
  <c r="S71" i="27" s="1"/>
  <c r="W47" i="34"/>
  <c r="I70" i="27"/>
  <c r="I55" i="27"/>
  <c r="I71" i="27" s="1"/>
  <c r="W70" i="27"/>
  <c r="W55" i="27"/>
  <c r="W71" i="27" s="1"/>
  <c r="M70" i="27"/>
  <c r="M55" i="27"/>
  <c r="U70" i="27"/>
  <c r="U55" i="27"/>
  <c r="U71" i="27" s="1"/>
  <c r="Y70" i="27"/>
  <c r="Y55" i="27"/>
  <c r="Y71" i="27" s="1"/>
  <c r="I103" i="27"/>
  <c r="I119" i="27" s="1"/>
  <c r="I118" i="27"/>
  <c r="O101" i="27"/>
  <c r="O117" i="27"/>
  <c r="S103" i="27"/>
  <c r="S118" i="27"/>
  <c r="U103" i="27"/>
  <c r="U119" i="27" s="1"/>
  <c r="U118" i="27"/>
  <c r="Q103" i="27"/>
  <c r="Q118" i="27"/>
  <c r="M103" i="27"/>
  <c r="M118" i="27"/>
  <c r="O103" i="27"/>
  <c r="O118" i="27"/>
  <c r="E103" i="27"/>
  <c r="E118" i="27"/>
  <c r="P54" i="34"/>
  <c r="O53" i="27"/>
  <c r="O69" i="27"/>
  <c r="M53" i="27"/>
  <c r="M69" i="27"/>
  <c r="Y103" i="27"/>
  <c r="Y118" i="27"/>
  <c r="AB54" i="27"/>
  <c r="T45" i="34"/>
  <c r="T47" i="34" s="1"/>
  <c r="Z47" i="34"/>
  <c r="M101" i="27"/>
  <c r="M117" i="27"/>
  <c r="Q101" i="27"/>
  <c r="Q117" i="27"/>
  <c r="T54" i="34"/>
  <c r="Q70" i="27"/>
  <c r="Q55" i="27"/>
  <c r="G70" i="27"/>
  <c r="G55" i="27"/>
  <c r="G71" i="27" s="1"/>
  <c r="E47" i="34"/>
  <c r="Y47" i="34"/>
  <c r="M47" i="34"/>
  <c r="K47" i="34"/>
  <c r="K70" i="27"/>
  <c r="K55" i="27"/>
  <c r="J30" i="30"/>
  <c r="J32" i="30" s="1"/>
  <c r="J28" i="30"/>
  <c r="K29" i="30" s="1"/>
  <c r="AB108" i="27"/>
  <c r="AB102" i="27"/>
  <c r="AB104"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100" i="20"/>
  <c r="D100" i="20" s="1"/>
  <c r="B101" i="20"/>
  <c r="D101" i="20" s="1"/>
  <c r="B102" i="20"/>
  <c r="D102" i="20" s="1"/>
  <c r="B103" i="20"/>
  <c r="D103" i="20" s="1"/>
  <c r="B104" i="20"/>
  <c r="D104" i="20" s="1"/>
  <c r="B105" i="20"/>
  <c r="D105" i="20" s="1"/>
  <c r="B106" i="20"/>
  <c r="D106" i="20" s="1"/>
  <c r="B99" i="20"/>
  <c r="D99" i="20" s="1"/>
  <c r="B60" i="20"/>
  <c r="D60" i="20" s="1"/>
  <c r="B61" i="20"/>
  <c r="D61" i="20" s="1"/>
  <c r="B62" i="20"/>
  <c r="D62" i="20" s="1"/>
  <c r="B63" i="20"/>
  <c r="D63" i="20" s="1"/>
  <c r="B64" i="20"/>
  <c r="D64" i="20" s="1"/>
  <c r="B65" i="20"/>
  <c r="D65" i="20" s="1"/>
  <c r="B66" i="20"/>
  <c r="D66" i="20" s="1"/>
  <c r="B59" i="20"/>
  <c r="D59" i="20" s="1"/>
  <c r="B20" i="20"/>
  <c r="D20" i="20" s="1"/>
  <c r="B21" i="20"/>
  <c r="D21" i="20" s="1"/>
  <c r="B22" i="20"/>
  <c r="D22" i="20" s="1"/>
  <c r="B23" i="20"/>
  <c r="D23" i="20" s="1"/>
  <c r="B24" i="20"/>
  <c r="D24" i="20" s="1"/>
  <c r="B25" i="20"/>
  <c r="D25" i="20" s="1"/>
  <c r="B26" i="20"/>
  <c r="D26" i="20" s="1"/>
  <c r="B19" i="20"/>
  <c r="D19" i="20" s="1"/>
  <c r="D7" i="20"/>
  <c r="C7" i="20"/>
  <c r="Y119" i="27" l="1"/>
  <c r="S119" i="27"/>
  <c r="O71" i="27"/>
  <c r="K119" i="27"/>
  <c r="M119" i="27"/>
  <c r="AB103" i="27"/>
  <c r="O119" i="27"/>
  <c r="AA119" i="27"/>
  <c r="E119" i="27"/>
  <c r="K71" i="27"/>
  <c r="Q119" i="27"/>
  <c r="G119" i="27"/>
  <c r="W119" i="27"/>
  <c r="AB117" i="27"/>
  <c r="AB55" i="27"/>
  <c r="AB69" i="27"/>
  <c r="Q71" i="27"/>
  <c r="AB70" i="27"/>
  <c r="AB101" i="27"/>
  <c r="M71" i="27"/>
  <c r="AB53" i="27"/>
  <c r="AB118" i="27"/>
  <c r="E71" i="27"/>
  <c r="AB71" i="27" s="1"/>
  <c r="H6" i="27" s="1"/>
  <c r="AA51" i="25"/>
  <c r="H6" i="25" s="1"/>
  <c r="D107" i="20"/>
  <c r="D67" i="20"/>
  <c r="Z99" i="20"/>
  <c r="V99" i="20"/>
  <c r="R99" i="20"/>
  <c r="N99" i="20"/>
  <c r="J99" i="20"/>
  <c r="F99" i="20"/>
  <c r="X99" i="20"/>
  <c r="H99" i="20"/>
  <c r="T99" i="20"/>
  <c r="AB99" i="20"/>
  <c r="L99" i="20"/>
  <c r="P99" i="20"/>
  <c r="Z104" i="20"/>
  <c r="V104" i="20"/>
  <c r="R104" i="20"/>
  <c r="N104" i="20"/>
  <c r="J104" i="20"/>
  <c r="F104" i="20"/>
  <c r="AB104" i="20"/>
  <c r="X104" i="20"/>
  <c r="T104" i="20"/>
  <c r="P104" i="20"/>
  <c r="L104" i="20"/>
  <c r="H104" i="20"/>
  <c r="Z100" i="20"/>
  <c r="V100" i="20"/>
  <c r="R100" i="20"/>
  <c r="N100" i="20"/>
  <c r="J100" i="20"/>
  <c r="F100" i="20"/>
  <c r="P100" i="20"/>
  <c r="T100" i="20"/>
  <c r="X100" i="20"/>
  <c r="H100" i="20"/>
  <c r="AB100" i="20"/>
  <c r="L100" i="20"/>
  <c r="Z103" i="20"/>
  <c r="V103" i="20"/>
  <c r="R103" i="20"/>
  <c r="N103" i="20"/>
  <c r="J103" i="20"/>
  <c r="F103" i="20"/>
  <c r="X103" i="20"/>
  <c r="P103" i="20"/>
  <c r="H103" i="20"/>
  <c r="AB103" i="20"/>
  <c r="T103" i="20"/>
  <c r="L103" i="20"/>
  <c r="Z106" i="20"/>
  <c r="V106" i="20"/>
  <c r="R106" i="20"/>
  <c r="N106" i="20"/>
  <c r="J106" i="20"/>
  <c r="F106" i="20"/>
  <c r="AB106" i="20"/>
  <c r="X106" i="20"/>
  <c r="T106" i="20"/>
  <c r="P106" i="20"/>
  <c r="L106" i="20"/>
  <c r="H106" i="20"/>
  <c r="Z102" i="20"/>
  <c r="V102" i="20"/>
  <c r="R102" i="20"/>
  <c r="N102" i="20"/>
  <c r="J102" i="20"/>
  <c r="F102" i="20"/>
  <c r="X102" i="20"/>
  <c r="P102" i="20"/>
  <c r="H102" i="20"/>
  <c r="AB102" i="20"/>
  <c r="T102" i="20"/>
  <c r="L102" i="20"/>
  <c r="Z105" i="20"/>
  <c r="V105" i="20"/>
  <c r="R105" i="20"/>
  <c r="N105" i="20"/>
  <c r="J105" i="20"/>
  <c r="F105" i="20"/>
  <c r="L105" i="20"/>
  <c r="AB105" i="20"/>
  <c r="X105" i="20"/>
  <c r="T105" i="20"/>
  <c r="P105" i="20"/>
  <c r="H105" i="20"/>
  <c r="Z101" i="20"/>
  <c r="V101" i="20"/>
  <c r="R101" i="20"/>
  <c r="N101" i="20"/>
  <c r="J101" i="20"/>
  <c r="F101" i="20"/>
  <c r="AB101" i="20"/>
  <c r="X101" i="20"/>
  <c r="H101" i="20"/>
  <c r="T101" i="20"/>
  <c r="L101" i="20"/>
  <c r="P101" i="20"/>
  <c r="AB61" i="20"/>
  <c r="X61" i="20"/>
  <c r="T61" i="20"/>
  <c r="P61" i="20"/>
  <c r="L61" i="20"/>
  <c r="H61" i="20"/>
  <c r="F61" i="20"/>
  <c r="Z61" i="20"/>
  <c r="V61" i="20"/>
  <c r="R61" i="20"/>
  <c r="N61" i="20"/>
  <c r="J61" i="20"/>
  <c r="AB60" i="20"/>
  <c r="X60" i="20"/>
  <c r="T60" i="20"/>
  <c r="P60" i="20"/>
  <c r="L60" i="20"/>
  <c r="H60" i="20"/>
  <c r="N60" i="20"/>
  <c r="F60" i="20"/>
  <c r="Z60" i="20"/>
  <c r="V60" i="20"/>
  <c r="R60" i="20"/>
  <c r="J60" i="20"/>
  <c r="AB63" i="20"/>
  <c r="X63" i="20"/>
  <c r="T63" i="20"/>
  <c r="P63" i="20"/>
  <c r="L63" i="20"/>
  <c r="H63" i="20"/>
  <c r="Z63" i="20"/>
  <c r="V63" i="20"/>
  <c r="R63" i="20"/>
  <c r="N63" i="20"/>
  <c r="J63" i="20"/>
  <c r="F63" i="20"/>
  <c r="AB66" i="20"/>
  <c r="X66" i="20"/>
  <c r="T66" i="20"/>
  <c r="P66" i="20"/>
  <c r="L66" i="20"/>
  <c r="H66" i="20"/>
  <c r="Z66" i="20"/>
  <c r="V66" i="20"/>
  <c r="R66" i="20"/>
  <c r="N66" i="20"/>
  <c r="J66" i="20"/>
  <c r="F66" i="20"/>
  <c r="AB65" i="20"/>
  <c r="X65" i="20"/>
  <c r="T65" i="20"/>
  <c r="P65" i="20"/>
  <c r="L65" i="20"/>
  <c r="H65" i="20"/>
  <c r="Z65" i="20"/>
  <c r="V65" i="20"/>
  <c r="R65" i="20"/>
  <c r="N65" i="20"/>
  <c r="J65" i="20"/>
  <c r="F65" i="20"/>
  <c r="AB59" i="20"/>
  <c r="X59" i="20"/>
  <c r="T59" i="20"/>
  <c r="P59" i="20"/>
  <c r="L59" i="20"/>
  <c r="H59" i="20"/>
  <c r="Z59" i="20"/>
  <c r="V59" i="20"/>
  <c r="R59" i="20"/>
  <c r="J59" i="20"/>
  <c r="N59" i="20"/>
  <c r="F59" i="20"/>
  <c r="AB64" i="20"/>
  <c r="X64" i="20"/>
  <c r="T64" i="20"/>
  <c r="P64" i="20"/>
  <c r="L64" i="20"/>
  <c r="H64" i="20"/>
  <c r="Z64" i="20"/>
  <c r="V64" i="20"/>
  <c r="R64" i="20"/>
  <c r="N64" i="20"/>
  <c r="J64" i="20"/>
  <c r="F64" i="20"/>
  <c r="AB62" i="20"/>
  <c r="X62" i="20"/>
  <c r="T62" i="20"/>
  <c r="P62" i="20"/>
  <c r="L62" i="20"/>
  <c r="H62" i="20"/>
  <c r="Z62" i="20"/>
  <c r="V62" i="20"/>
  <c r="R62" i="20"/>
  <c r="N62" i="20"/>
  <c r="J62" i="20"/>
  <c r="F62" i="20"/>
  <c r="D23" i="26"/>
  <c r="E17" i="26"/>
  <c r="E22" i="26"/>
  <c r="D18" i="26"/>
  <c r="D21" i="26"/>
  <c r="E24" i="26"/>
  <c r="E20" i="26"/>
  <c r="D19" i="26"/>
  <c r="E18" i="26"/>
  <c r="D17" i="26"/>
  <c r="D22" i="26"/>
  <c r="E21" i="26"/>
  <c r="D24" i="26"/>
  <c r="D20" i="26"/>
  <c r="E23" i="26"/>
  <c r="E19" i="26"/>
  <c r="C21" i="26"/>
  <c r="F23" i="20"/>
  <c r="AB23" i="20"/>
  <c r="X23" i="20"/>
  <c r="T23" i="20"/>
  <c r="P23" i="20"/>
  <c r="L23" i="20"/>
  <c r="H23" i="20"/>
  <c r="Z23" i="20"/>
  <c r="V23" i="20"/>
  <c r="R23" i="20"/>
  <c r="N23" i="20"/>
  <c r="J23" i="20"/>
  <c r="C24" i="26"/>
  <c r="Z26" i="20"/>
  <c r="V26" i="20"/>
  <c r="R26" i="20"/>
  <c r="N26" i="20"/>
  <c r="J26" i="20"/>
  <c r="X26" i="20"/>
  <c r="P26" i="20"/>
  <c r="L26" i="20"/>
  <c r="F26" i="20"/>
  <c r="AB26" i="20"/>
  <c r="T26" i="20"/>
  <c r="H26" i="20"/>
  <c r="C20" i="26"/>
  <c r="Z22" i="20"/>
  <c r="V22" i="20"/>
  <c r="R22" i="20"/>
  <c r="N22" i="20"/>
  <c r="J22" i="20"/>
  <c r="AB22" i="20"/>
  <c r="X22" i="20"/>
  <c r="T22" i="20"/>
  <c r="P22" i="20"/>
  <c r="H22" i="20"/>
  <c r="F22" i="20"/>
  <c r="L22" i="20"/>
  <c r="C23" i="26"/>
  <c r="F25" i="20"/>
  <c r="Z25" i="20"/>
  <c r="V25" i="20"/>
  <c r="R25" i="20"/>
  <c r="N25" i="20"/>
  <c r="AB25" i="20"/>
  <c r="X25" i="20"/>
  <c r="T25" i="20"/>
  <c r="P25" i="20"/>
  <c r="L25" i="20"/>
  <c r="H25" i="20"/>
  <c r="J25" i="20"/>
  <c r="C19" i="26"/>
  <c r="F21" i="20"/>
  <c r="N21" i="20"/>
  <c r="AB21" i="20"/>
  <c r="X21" i="20"/>
  <c r="T21" i="20"/>
  <c r="P21" i="20"/>
  <c r="L21" i="20"/>
  <c r="H21" i="20"/>
  <c r="Z21" i="20"/>
  <c r="V21" i="20"/>
  <c r="R21" i="20"/>
  <c r="J21" i="20"/>
  <c r="C17" i="26"/>
  <c r="AB19" i="20"/>
  <c r="X19" i="20"/>
  <c r="T19" i="20"/>
  <c r="P19" i="20"/>
  <c r="L19" i="20"/>
  <c r="H19" i="20"/>
  <c r="R19" i="20"/>
  <c r="N19" i="20"/>
  <c r="J19" i="20"/>
  <c r="Z19" i="20"/>
  <c r="V19" i="20"/>
  <c r="F19" i="20"/>
  <c r="C22" i="26"/>
  <c r="AB24" i="20"/>
  <c r="X24" i="20"/>
  <c r="T24" i="20"/>
  <c r="P24" i="20"/>
  <c r="L24" i="20"/>
  <c r="H24" i="20"/>
  <c r="Z24" i="20"/>
  <c r="R24" i="20"/>
  <c r="N24" i="20"/>
  <c r="J24" i="20"/>
  <c r="V24" i="20"/>
  <c r="F24" i="20"/>
  <c r="C18" i="26"/>
  <c r="AB20" i="20"/>
  <c r="X20" i="20"/>
  <c r="T20" i="20"/>
  <c r="P20" i="20"/>
  <c r="L20" i="20"/>
  <c r="H20" i="20"/>
  <c r="V20" i="20"/>
  <c r="Z20" i="20"/>
  <c r="R20" i="20"/>
  <c r="N20" i="20"/>
  <c r="J20" i="20"/>
  <c r="F20" i="20"/>
  <c r="D27" i="20"/>
  <c r="AB119" i="27" l="1"/>
  <c r="J6" i="27" s="1"/>
  <c r="M11" i="21" s="1"/>
  <c r="H12" i="37" s="1"/>
  <c r="H26" i="37" s="1"/>
  <c r="H28" i="37" s="1"/>
  <c r="K11" i="21"/>
  <c r="B11" i="24"/>
  <c r="K12" i="21"/>
  <c r="B12" i="24"/>
  <c r="V107" i="20"/>
  <c r="T107" i="20"/>
  <c r="J107" i="20"/>
  <c r="Z107" i="20"/>
  <c r="AB107" i="20"/>
  <c r="P107" i="20"/>
  <c r="H107" i="20"/>
  <c r="N107" i="20"/>
  <c r="F107" i="20"/>
  <c r="N67" i="20"/>
  <c r="L107" i="20"/>
  <c r="X107" i="20"/>
  <c r="R107" i="20"/>
  <c r="T67" i="20"/>
  <c r="X67" i="20"/>
  <c r="L67" i="20"/>
  <c r="Z67" i="20"/>
  <c r="J67" i="20"/>
  <c r="H67" i="20"/>
  <c r="R67" i="20"/>
  <c r="AB67" i="20"/>
  <c r="F67" i="20"/>
  <c r="V67" i="20"/>
  <c r="P67" i="20"/>
  <c r="E25" i="26"/>
  <c r="G12" i="21" s="1"/>
  <c r="G17" i="21" s="1"/>
  <c r="F27" i="20"/>
  <c r="N27" i="20"/>
  <c r="P27" i="20"/>
  <c r="V27" i="20"/>
  <c r="R27" i="20"/>
  <c r="Z27" i="20"/>
  <c r="H27" i="20"/>
  <c r="X27" i="20"/>
  <c r="T27" i="20"/>
  <c r="J27" i="20"/>
  <c r="L27" i="20"/>
  <c r="AB27" i="20"/>
  <c r="D25" i="26"/>
  <c r="F12" i="21" s="1"/>
  <c r="C25" i="26"/>
  <c r="E12" i="21" s="1"/>
  <c r="E17" i="21" s="1"/>
  <c r="D11" i="24" l="1"/>
  <c r="D13" i="24" s="1"/>
  <c r="H11" i="38"/>
  <c r="K10" i="30" s="1"/>
  <c r="K24" i="30" s="1"/>
  <c r="K26" i="30" s="1"/>
  <c r="G14" i="21"/>
  <c r="G16" i="21" s="1"/>
  <c r="G18" i="21" s="1"/>
  <c r="H11" i="29"/>
  <c r="H25" i="29" s="1"/>
  <c r="H27" i="29" s="1"/>
  <c r="H29" i="29" s="1"/>
  <c r="E14" i="21"/>
  <c r="F12" i="37"/>
  <c r="F26" i="37" s="1"/>
  <c r="F11" i="38"/>
  <c r="F11" i="29"/>
  <c r="F25" i="29" s="1"/>
  <c r="F17" i="21"/>
  <c r="F16" i="21"/>
  <c r="H32" i="37"/>
  <c r="H34" i="37" s="1"/>
  <c r="H30" i="37"/>
  <c r="B13" i="24"/>
  <c r="F12" i="29"/>
  <c r="F26" i="29" s="1"/>
  <c r="F12" i="38"/>
  <c r="F13" i="37"/>
  <c r="F27" i="37" s="1"/>
  <c r="E15" i="21"/>
  <c r="C4" i="33"/>
  <c r="C5" i="33" s="1"/>
  <c r="J4" i="33"/>
  <c r="H25" i="38" l="1"/>
  <c r="H27" i="38" s="1"/>
  <c r="H29" i="38" s="1"/>
  <c r="H31" i="29"/>
  <c r="H33" i="29" s="1"/>
  <c r="F28" i="37"/>
  <c r="F32" i="37" s="1"/>
  <c r="F34" i="37" s="1"/>
  <c r="E16" i="21"/>
  <c r="E20" i="21" s="1"/>
  <c r="E22" i="21" s="1"/>
  <c r="F27" i="29"/>
  <c r="F31" i="29" s="1"/>
  <c r="F33" i="29" s="1"/>
  <c r="K28" i="30"/>
  <c r="K30" i="30"/>
  <c r="K32" i="30" s="1"/>
  <c r="F18" i="21"/>
  <c r="G19" i="21" s="1"/>
  <c r="G20" i="21" s="1"/>
  <c r="G22" i="21" s="1"/>
  <c r="F20" i="21"/>
  <c r="F22" i="21" s="1"/>
  <c r="F25" i="38"/>
  <c r="I10" i="30"/>
  <c r="I24" i="30" s="1"/>
  <c r="F26" i="38"/>
  <c r="I11" i="30"/>
  <c r="I25" i="30" s="1"/>
  <c r="B10" i="26"/>
  <c r="C8" i="20"/>
  <c r="C10" i="26"/>
  <c r="H31" i="38" l="1"/>
  <c r="H33" i="38" s="1"/>
  <c r="E18" i="21"/>
  <c r="F30" i="37"/>
  <c r="F29" i="29"/>
  <c r="G28" i="21"/>
  <c r="G27" i="21"/>
  <c r="I26" i="30"/>
  <c r="I28" i="30" s="1"/>
  <c r="F27" i="38"/>
  <c r="F31" i="38" s="1"/>
  <c r="F33" i="38" s="1"/>
  <c r="B8" i="20"/>
  <c r="D8" i="20"/>
  <c r="D10" i="26"/>
  <c r="F29" i="38" l="1"/>
  <c r="I30" i="30"/>
  <c r="I32" i="30" s="1"/>
</calcChain>
</file>

<file path=xl/sharedStrings.xml><?xml version="1.0" encoding="utf-8"?>
<sst xmlns="http://schemas.openxmlformats.org/spreadsheetml/2006/main" count="1584" uniqueCount="395">
  <si>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</si>
  <si>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</si>
  <si>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</si>
  <si>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</si>
  <si>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</si>
  <si>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</si>
  <si>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</si>
  <si>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</si>
  <si>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</si>
  <si>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</si>
  <si>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</si>
  <si>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</si>
  <si>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</si>
  <si>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</si>
  <si>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</si>
  <si>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</si>
  <si>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</si>
  <si>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</si>
  <si>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</si>
  <si>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</si>
  <si>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</si>
  <si>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</si>
  <si>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</si>
  <si>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</si>
  <si>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</si>
  <si>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</si>
  <si>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</si>
  <si>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</si>
  <si>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</si>
  <si>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</si>
  <si>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AMPLITUD DE LA MEZCLA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</si>
  <si>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</si>
  <si>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</si>
  <si>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</si>
  <si>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</si>
  <si>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</si>
  <si>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</si>
  <si>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</si>
  <si>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</si>
  <si>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</si>
  <si>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</si>
  <si>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</si>
  <si>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</si>
  <si>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</si>
  <si>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</si>
  <si>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</si>
  <si>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</si>
  <si>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</si>
  <si>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</si>
  <si>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</si>
  <si>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</si>
  <si>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</si>
  <si>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</si>
  <si>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</si>
  <si>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</si>
  <si>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</si>
  <si>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</si>
  <si>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</si>
  <si>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</si>
  <si>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</si>
  <si>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</si>
  <si>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</si>
  <si>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</si>
  <si>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Año 2019</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</si>
  <si>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</si>
  <si>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</si>
  <si>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</si>
  <si>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</si>
  <si>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</si>
  <si>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</si>
  <si>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</si>
  <si>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</si>
  <si>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</si>
  <si>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</si>
  <si>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</si>
  <si>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</si>
  <si>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</si>
  <si>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</si>
  <si>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</si>
  <si>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</si>
  <si>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</si>
  <si>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</si>
  <si>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</si>
  <si>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</si>
  <si>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</si>
  <si>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</si>
  <si>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</si>
  <si>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</si>
  <si>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</si>
  <si>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</si>
  <si>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</si>
  <si>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</si>
  <si>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</si>
  <si>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</si>
  <si>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</si>
  <si>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</si>
  <si>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</si>
  <si>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</si>
  <si>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</si>
  <si>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</si>
  <si>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</si>
  <si>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</si>
  <si>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</si>
  <si>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</si>
  <si>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</si>
  <si>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</si>
  <si>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CONCLUSIÓN</t>
  </si>
  <si>
    <t>Considerando en promedio que un operario trabaja 150 horas mensuales, podemos observar que nuestra capacidad productiva puede ser llevada a cabo por 2 personas hasta diciembre de 2020. Luego se requerirá la contratación de un nuevo operario ya que se superan las 300hs hombres requeridas para los niveles de producción especulados.</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</si>
  <si>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</si>
  <si>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</si>
  <si>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</si>
  <si>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</si>
  <si>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</si>
  <si>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</si>
  <si>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</si>
  <si>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</si>
  <si>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</si>
  <si>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</si>
  <si>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</si>
  <si>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</si>
  <si>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</si>
  <si>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</si>
  <si>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</si>
  <si>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</si>
  <si>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</si>
  <si>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</si>
  <si>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</si>
  <si>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</si>
  <si>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</si>
  <si>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</si>
  <si>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</si>
  <si>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</si>
  <si>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</si>
  <si>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</si>
  <si>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</si>
  <si>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</si>
  <si>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</si>
  <si>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</si>
  <si>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</si>
  <si>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</si>
  <si>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</si>
  <si>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</si>
  <si>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</si>
  <si>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</si>
  <si>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</si>
  <si>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</si>
  <si>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</si>
  <si>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</si>
  <si>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</si>
  <si>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</si>
  <si>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</si>
  <si>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</si>
  <si>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</si>
  <si>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</si>
  <si>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</si>
  <si>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</si>
  <si>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</si>
  <si>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</si>
  <si>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</si>
  <si>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</si>
  <si>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</si>
  <si>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</si>
  <si>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</si>
  <si>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</si>
  <si>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</si>
  <si>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</si>
  <si>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</si>
  <si>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</si>
  <si>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</si>
  <si>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</si>
  <si>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</si>
  <si>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</si>
  <si>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</si>
  <si>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</si>
  <si>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</si>
  <si>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</si>
  <si>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</si>
  <si>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</si>
  <si>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</si>
  <si>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</si>
  <si>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</si>
  <si>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</si>
  <si>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</si>
  <si>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</si>
  <si>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</si>
  <si>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</si>
  <si>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</si>
  <si>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</si>
  <si>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</si>
  <si>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</si>
  <si>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</si>
  <si>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</si>
  <si>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</si>
  <si>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</si>
  <si>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</si>
  <si>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</si>
  <si>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</si>
  <si>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</si>
  <si>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</si>
  <si>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</si>
  <si>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</si>
  <si>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</si>
  <si>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</si>
  <si>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</si>
  <si>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</si>
  <si>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</si>
  <si>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</si>
  <si>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</si>
  <si>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</si>
  <si>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</si>
  <si>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</si>
  <si>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</si>
  <si>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</si>
  <si>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</si>
  <si>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</si>
  <si>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</si>
  <si>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</si>
  <si>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</si>
  <si>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</si>
  <si>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</si>
  <si>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</si>
  <si>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</si>
  <si>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</si>
  <si>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</si>
  <si>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</si>
  <si>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</si>
  <si>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</si>
  <si>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</si>
  <si>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</si>
  <si>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</si>
  <si>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</si>
  <si>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</si>
  <si>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</si>
  <si>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</si>
  <si>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</si>
  <si>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</si>
  <si>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</si>
  <si>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</si>
  <si>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</si>
  <si>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</si>
  <si>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</si>
  <si>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</si>
  <si>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</si>
  <si>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</si>
  <si>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</si>
  <si>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</si>
  <si>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</si>
  <si>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</si>
  <si>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</si>
  <si>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</si>
  <si>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</si>
  <si>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</si>
  <si>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</si>
  <si>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</si>
  <si>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</si>
  <si>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</si>
  <si>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</si>
  <si>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</si>
  <si>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</si>
  <si>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</si>
  <si>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</si>
  <si>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</si>
  <si>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</si>
  <si>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</si>
  <si>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</si>
  <si>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</si>
  <si>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</si>
  <si>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</si>
  <si>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</si>
  <si>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</si>
  <si>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</si>
  <si>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</si>
  <si>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</si>
  <si>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</si>
  <si>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</si>
  <si>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</si>
  <si>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</si>
  <si>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</si>
  <si>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</si>
  <si>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</si>
  <si>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</si>
  <si>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</si>
  <si>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</si>
  <si>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</si>
  <si>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</si>
  <si>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</si>
  <si>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</si>
  <si>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</si>
  <si>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</si>
  <si>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</si>
  <si>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</si>
  <si>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</si>
  <si>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</si>
  <si>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</si>
  <si>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</si>
  <si>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</si>
  <si>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</si>
  <si>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</si>
  <si>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</si>
  <si>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</si>
  <si>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</si>
  <si>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</si>
  <si>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</si>
  <si>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</si>
  <si>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</si>
  <si>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</si>
  <si>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</si>
  <si>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</si>
  <si>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Producción de </t>
  </si>
  <si>
    <t xml:space="preserve">Modelo </t>
  </si>
  <si>
    <t>Local comercial d</t>
  </si>
  <si>
    <t xml:space="preserve">Publicidad </t>
  </si>
  <si>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</si>
  <si>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</si>
  <si>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</si>
  <si>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</si>
  <si>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</si>
  <si>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</si>
  <si>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</si>
  <si>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</si>
  <si>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</si>
  <si>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</si>
  <si>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</si>
  <si>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</si>
  <si>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</si>
  <si>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</si>
  <si>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</si>
  <si>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</si>
  <si>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</si>
  <si>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</si>
  <si>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</si>
  <si>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</si>
  <si>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</si>
  <si>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</si>
  <si>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</si>
  <si>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</si>
  <si>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</si>
  <si>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</si>
  <si>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</si>
  <si>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</si>
  <si>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</si>
  <si>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</si>
  <si>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</si>
  <si>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</si>
  <si>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</si>
  <si>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Jefe Ventas y Pagos</t>
  </si>
  <si>
    <t>Jefe Compras y Cobranzas</t>
  </si>
  <si>
    <t>Gerente Tecnología</t>
  </si>
  <si>
    <t>Soporte Técnico</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</si>
  <si>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</si>
  <si>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</si>
  <si>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</si>
  <si>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</si>
  <si>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</si>
  <si>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</si>
  <si>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</si>
  <si>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</si>
  <si>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</si>
  <si>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</si>
  <si>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</si>
  <si>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</si>
  <si>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Soporte técnico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</si>
  <si>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</si>
  <si>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</si>
  <si>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</si>
  <si>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</si>
  <si>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</si>
  <si>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</si>
  <si>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</si>
  <si>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</si>
  <si>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</si>
  <si>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</si>
  <si>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</si>
  <si>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</si>
  <si>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</si>
  <si>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</si>
  <si>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</si>
  <si>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</si>
  <si>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</si>
  <si>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</si>
  <si>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</si>
  <si>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Cloud Hosting (AWS AR$ 36,000.00 /Año)</t>
  </si>
  <si>
    <t>Oficina</t>
  </si>
  <si>
    <t>Publicidad</t>
  </si>
  <si>
    <t>Alumno</t>
  </si>
  <si>
    <t>Sobrero, Martin</t>
  </si>
  <si>
    <t xml:space="preserve">Legajo </t>
  </si>
  <si>
    <t>Docentes</t>
  </si>
  <si>
    <t>Scali, Jorge</t>
  </si>
  <si>
    <t>Comisión</t>
  </si>
  <si>
    <t>5A</t>
  </si>
  <si>
    <t>Localización</t>
  </si>
  <si>
    <t>Centro</t>
  </si>
  <si>
    <t>Email</t>
  </si>
  <si>
    <t>martin.sobrero.m@gmail.com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</si>
</sst>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0"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rgb="FFF5FAFD"/>
        <bgColor indexed="64"/>
      </patternFill>
    </fill>
  </fills>
  <borders count="1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theme="8" tint="0.59996337778862885"/>
      </left>
      <right style="medium">
        <color theme="8" tint="0.59996337778862885"/>
      </right>
      <top style="medium">
        <color theme="8" tint="0.59996337778862885"/>
      </top>
      <bottom/>
      <diagonal/>
    </border>
    <border>
      <left style="medium">
        <color theme="8" tint="0.59996337778862885"/>
      </left>
      <right style="medium">
        <color theme="8" tint="0.59996337778862885"/>
      </right>
      <top/>
      <bottom/>
      <diagonal/>
    </border>
    <border>
      <left style="medium">
        <color theme="8" tint="0.59996337778862885"/>
      </left>
      <right style="medium">
        <color theme="8" tint="0.59996337778862885"/>
      </right>
      <top/>
      <bottom style="medium">
        <color theme="8" tint="0.59996337778862885"/>
      </bottom>
      <diagonal/>
    </border>
    <border>
      <left style="double">
        <color theme="8" tint="0.39994506668294322"/>
      </left>
      <right style="double">
        <color theme="8" tint="0.39994506668294322"/>
      </right>
      <top style="double">
        <color theme="8" tint="0.39994506668294322"/>
      </top>
      <bottom style="double">
        <color theme="8" tint="0.39994506668294322"/>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medium">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theme="1"/>
      </left>
      <right/>
      <top style="medium">
        <color theme="1"/>
      </top>
      <bottom style="thin">
        <color indexed="64"/>
      </bottom>
      <diagonal/>
    </border>
    <border>
      <left style="thin">
        <color indexed="64"/>
      </left>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7">
    <xf numFmtId="0" fontId="0" fillId="0" borderId="0"/>
    <xf numFmtId="0" fontId="2" fillId="0" borderId="0" applyNumberForma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8" fontId="16" fillId="0" borderId="0"/>
    <xf numFmtId="168" fontId="16" fillId="0" borderId="0"/>
    <xf numFmtId="165" fontId="9" fillId="0" borderId="0" applyFont="0" applyFill="0" applyBorder="0" applyAlignment="0" applyProtection="0"/>
  </cellStyleXfs>
  <cellXfs count="1057">
    <xf numFmtId="0" fontId="0" fillId="0" borderId="0" xfId="0"/>
    <xf numFmtId="0" fontId="0" fillId="2" borderId="0" xfId="0" applyFill="1"/>
    <xf numFmtId="0" fontId="0" fillId="2" borderId="0" xfId="0" applyFill="1" applyAlignment="1">
      <alignment vertical="center" wrapText="1"/>
    </xf>
    <xf numFmtId="0" fontId="12" fillId="2" borderId="0" xfId="0" applyFont="1" applyFill="1"/>
    <xf numFmtId="0" fontId="2"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7" fillId="4" borderId="0" xfId="4" applyNumberFormat="1" applyFont="1" applyFill="1" applyAlignment="1">
      <alignment horizontal="center"/>
    </xf>
    <xf numFmtId="3" fontId="17" fillId="4" borderId="0" xfId="4" applyNumberFormat="1" applyFont="1" applyFill="1" applyAlignment="1">
      <alignment horizontal="right"/>
    </xf>
    <xf numFmtId="0" fontId="0" fillId="4" borderId="0" xfId="0" applyFill="1" applyBorder="1"/>
    <xf numFmtId="0" fontId="17" fillId="4" borderId="0" xfId="5" applyNumberFormat="1" applyFont="1" applyFill="1" applyAlignment="1">
      <alignment horizontal="center"/>
    </xf>
    <xf numFmtId="3" fontId="17"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8" fillId="2" borderId="0" xfId="0" applyFont="1" applyFill="1" applyBorder="1" applyAlignment="1">
      <alignment horizontal="left" vertical="top" wrapText="1"/>
    </xf>
    <xf numFmtId="0" fontId="10"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0" fillId="5" borderId="1" xfId="0" applyNumberFormat="1" applyFont="1" applyFill="1" applyBorder="1" applyAlignment="1">
      <alignment horizontal="right"/>
    </xf>
    <xf numFmtId="0" fontId="18"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0"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0" fillId="5" borderId="1" xfId="0" applyFont="1" applyFill="1" applyBorder="1" applyAlignment="1">
      <alignment wrapText="1"/>
    </xf>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0" fontId="10" fillId="6" borderId="33" xfId="0" applyFont="1" applyFill="1" applyBorder="1" applyAlignment="1">
      <alignment horizontal="center"/>
    </xf>
    <xf numFmtId="0" fontId="10" fillId="6"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70" fontId="11" fillId="8" borderId="1" xfId="0" applyNumberFormat="1" applyFont="1" applyFill="1" applyBorder="1"/>
    <xf numFmtId="0" fontId="11" fillId="8" borderId="30" xfId="0" applyFont="1" applyFill="1" applyBorder="1"/>
    <xf numFmtId="170" fontId="11" fillId="8" borderId="31" xfId="0" applyNumberFormat="1" applyFont="1" applyFill="1" applyBorder="1"/>
    <xf numFmtId="0" fontId="11" fillId="8" borderId="33" xfId="0" applyFont="1" applyFill="1" applyBorder="1"/>
    <xf numFmtId="0" fontId="11" fillId="8" borderId="35" xfId="0" applyFont="1" applyFill="1" applyBorder="1"/>
    <xf numFmtId="170" fontId="11" fillId="8" borderId="36" xfId="0" applyNumberFormat="1" applyFont="1"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9"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0" fontId="19" fillId="12" borderId="0" xfId="0" applyFont="1" applyFill="1" applyBorder="1" applyAlignment="1">
      <alignment horizontal="center" vertical="center"/>
    </xf>
    <xf numFmtId="0" fontId="0" fillId="12" borderId="0" xfId="0" applyFill="1" applyBorder="1"/>
    <xf numFmtId="171" fontId="0" fillId="12" borderId="0" xfId="0" applyNumberFormat="1" applyFill="1" applyBorder="1"/>
    <xf numFmtId="0" fontId="0" fillId="12" borderId="0" xfId="0" applyFont="1" applyFill="1" applyBorder="1" applyAlignment="1">
      <alignment horizontal="center" vertical="center"/>
    </xf>
    <xf numFmtId="0" fontId="0" fillId="12" borderId="0" xfId="0" applyFill="1"/>
    <xf numFmtId="171" fontId="0" fillId="12" borderId="0" xfId="0" applyNumberFormat="1" applyFill="1" applyBorder="1" applyAlignment="1"/>
    <xf numFmtId="0" fontId="6" fillId="2" borderId="0" xfId="0" applyFont="1" applyFill="1" applyBorder="1" applyAlignment="1">
      <alignment horizontal="left" vertical="top" wrapText="1"/>
    </xf>
    <xf numFmtId="165" fontId="10" fillId="2" borderId="46" xfId="0" applyNumberFormat="1" applyFont="1" applyFill="1" applyBorder="1"/>
    <xf numFmtId="169" fontId="10" fillId="12" borderId="45" xfId="0" applyNumberFormat="1" applyFont="1" applyFill="1" applyBorder="1"/>
    <xf numFmtId="165" fontId="10" fillId="2" borderId="46" xfId="6" applyFont="1" applyFill="1" applyBorder="1"/>
    <xf numFmtId="0" fontId="0" fillId="2" borderId="1" xfId="0" applyFill="1" applyBorder="1"/>
    <xf numFmtId="166" fontId="8" fillId="12" borderId="36" xfId="2" applyFont="1" applyFill="1" applyBorder="1" applyAlignment="1"/>
    <xf numFmtId="166" fontId="8" fillId="12"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2" borderId="0" xfId="0" applyFont="1" applyFill="1" applyBorder="1" applyAlignment="1">
      <alignment horizontal="center"/>
    </xf>
    <xf numFmtId="1" fontId="10" fillId="12"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2" borderId="0" xfId="0" applyFill="1" applyBorder="1" applyAlignment="1">
      <alignment horizontal="center" vertical="center" wrapText="1"/>
    </xf>
    <xf numFmtId="0" fontId="10" fillId="12"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0" fillId="12" borderId="0" xfId="0" applyFill="1" applyAlignment="1">
      <alignment wrapText="1"/>
    </xf>
    <xf numFmtId="0" fontId="13"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0" fillId="2" borderId="28" xfId="0" applyFont="1" applyFill="1" applyBorder="1" applyAlignment="1">
      <alignment horizontal="center" vertical="center" wrapText="1"/>
    </xf>
    <xf numFmtId="0" fontId="10" fillId="7"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0" fillId="5"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0" fillId="7" borderId="1" xfId="0" applyNumberFormat="1" applyFont="1" applyFill="1" applyBorder="1"/>
    <xf numFmtId="0" fontId="10" fillId="2" borderId="55" xfId="0" applyFont="1" applyFill="1" applyBorder="1" applyAlignment="1">
      <alignment horizontal="center" vertical="center" wrapText="1"/>
    </xf>
    <xf numFmtId="0" fontId="10" fillId="7" borderId="20" xfId="0" applyFont="1" applyFill="1" applyBorder="1" applyAlignment="1">
      <alignment horizontal="center" vertical="center" wrapText="1"/>
    </xf>
    <xf numFmtId="2" fontId="10"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2"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0" fontId="10" fillId="5" borderId="53"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0" fontId="0" fillId="2" borderId="7" xfId="0" applyFill="1" applyBorder="1" applyAlignment="1">
      <alignment horizontal="left"/>
    </xf>
    <xf numFmtId="165" fontId="10" fillId="7"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1" fillId="5" borderId="3" xfId="0" applyFont="1" applyFill="1" applyBorder="1" applyAlignment="1">
      <alignment horizontal="center" vertic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1" fillId="5" borderId="19" xfId="0" applyFont="1" applyFill="1" applyBorder="1" applyAlignment="1">
      <alignment horizontal="center" vertical="center"/>
    </xf>
    <xf numFmtId="0" fontId="11" fillId="5" borderId="61" xfId="0" applyFont="1" applyFill="1" applyBorder="1" applyAlignment="1">
      <alignment horizontal="center" vertical="center" wrapText="1"/>
    </xf>
    <xf numFmtId="0" fontId="11" fillId="5" borderId="62" xfId="0" applyFont="1" applyFill="1" applyBorder="1" applyAlignment="1">
      <alignment horizontal="center" vertical="center"/>
    </xf>
    <xf numFmtId="0" fontId="11"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1" fillId="2" borderId="0" xfId="0" applyFont="1" applyFill="1" applyBorder="1"/>
    <xf numFmtId="165" fontId="10" fillId="7" borderId="20" xfId="0" applyNumberFormat="1" applyFont="1" applyFill="1" applyBorder="1"/>
    <xf numFmtId="0" fontId="11" fillId="6" borderId="61" xfId="0" applyFont="1" applyFill="1" applyBorder="1" applyAlignment="1">
      <alignment horizontal="center" vertical="center" wrapText="1"/>
    </xf>
    <xf numFmtId="0" fontId="11" fillId="6" borderId="3" xfId="0" applyFont="1" applyFill="1" applyBorder="1" applyAlignment="1">
      <alignment horizontal="center" vertical="center"/>
    </xf>
    <xf numFmtId="0" fontId="11" fillId="6" borderId="62"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173" fontId="0" fillId="0" borderId="6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10" fillId="5" borderId="41" xfId="0" applyFont="1" applyFill="1" applyBorder="1" applyAlignment="1">
      <alignment horizontal="center"/>
    </xf>
    <xf numFmtId="0" fontId="10" fillId="5" borderId="34" xfId="0" applyFont="1" applyFill="1" applyBorder="1" applyAlignment="1">
      <alignment horizontal="center"/>
    </xf>
    <xf numFmtId="0" fontId="10" fillId="5" borderId="69" xfId="0" applyFont="1" applyFill="1" applyBorder="1" applyAlignment="1">
      <alignment horizontal="center"/>
    </xf>
    <xf numFmtId="0" fontId="10" fillId="5" borderId="63" xfId="0" applyFont="1" applyFill="1" applyBorder="1" applyAlignment="1">
      <alignment horizontal="center"/>
    </xf>
    <xf numFmtId="0" fontId="10" fillId="5" borderId="29" xfId="0" applyFont="1" applyFill="1" applyBorder="1" applyAlignment="1">
      <alignment horizontal="center"/>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10" fillId="5"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1" xfId="0" applyNumberFormat="1" applyBorder="1" applyAlignment="1">
      <alignment horizontal="center"/>
    </xf>
    <xf numFmtId="0" fontId="0" fillId="0" borderId="35" xfId="0" applyBorder="1" applyAlignment="1">
      <alignment horizontal="left" vertical="center" wrapText="1"/>
    </xf>
    <xf numFmtId="173" fontId="0" fillId="12" borderId="44" xfId="0" applyNumberFormat="1" applyFill="1" applyBorder="1" applyAlignment="1">
      <alignment horizontal="center"/>
    </xf>
    <xf numFmtId="1" fontId="0" fillId="12" borderId="54" xfId="0" applyNumberFormat="1" applyFill="1" applyBorder="1" applyAlignment="1">
      <alignment horizontal="center"/>
    </xf>
    <xf numFmtId="0" fontId="0" fillId="12" borderId="12" xfId="0" applyFill="1" applyBorder="1"/>
    <xf numFmtId="0" fontId="0" fillId="12" borderId="11" xfId="0" applyFill="1" applyBorder="1"/>
    <xf numFmtId="165" fontId="0" fillId="0" borderId="37" xfId="6" applyFont="1" applyBorder="1" applyAlignment="1">
      <alignment horizontal="center"/>
    </xf>
    <xf numFmtId="173" fontId="0" fillId="12" borderId="20" xfId="0" applyNumberFormat="1" applyFill="1" applyBorder="1" applyAlignment="1">
      <alignment horizontal="center"/>
    </xf>
    <xf numFmtId="1" fontId="0" fillId="12" borderId="71" xfId="0" applyNumberFormat="1" applyFill="1" applyBorder="1" applyAlignment="1">
      <alignment horizontal="center"/>
    </xf>
    <xf numFmtId="0" fontId="0" fillId="0" borderId="61" xfId="0" applyBorder="1"/>
    <xf numFmtId="0" fontId="0" fillId="0" borderId="33" xfId="0" applyBorder="1"/>
    <xf numFmtId="174" fontId="10" fillId="7" borderId="6" xfId="0" applyNumberFormat="1" applyFont="1" applyFill="1" applyBorder="1"/>
    <xf numFmtId="0" fontId="10" fillId="6" borderId="15" xfId="0" applyFont="1" applyFill="1" applyBorder="1" applyAlignment="1">
      <alignment horizontal="center"/>
    </xf>
    <xf numFmtId="165" fontId="0" fillId="6" borderId="57" xfId="0" applyNumberFormat="1" applyFill="1" applyBorder="1"/>
    <xf numFmtId="165" fontId="0" fillId="6" borderId="58" xfId="0" applyNumberFormat="1" applyFill="1" applyBorder="1"/>
    <xf numFmtId="165" fontId="0" fillId="6" borderId="59" xfId="0" applyNumberFormat="1" applyFill="1" applyBorder="1"/>
    <xf numFmtId="165" fontId="0" fillId="6" borderId="53" xfId="0" applyNumberFormat="1" applyFill="1" applyBorder="1"/>
    <xf numFmtId="165" fontId="0" fillId="6" borderId="68" xfId="0" applyNumberFormat="1" applyFill="1" applyBorder="1"/>
    <xf numFmtId="174" fontId="0" fillId="6" borderId="73" xfId="0" applyNumberFormat="1" applyFill="1" applyBorder="1"/>
    <xf numFmtId="174" fontId="0" fillId="6" borderId="37" xfId="0" applyNumberFormat="1" applyFill="1" applyBorder="1"/>
    <xf numFmtId="1" fontId="0" fillId="0" borderId="31" xfId="0" applyNumberFormat="1" applyBorder="1" applyAlignment="1">
      <alignment horizontal="center"/>
    </xf>
    <xf numFmtId="1" fontId="0" fillId="0" borderId="36" xfId="0" applyNumberFormat="1" applyBorder="1" applyAlignment="1">
      <alignment horizontal="center"/>
    </xf>
    <xf numFmtId="1" fontId="0" fillId="0" borderId="21" xfId="0" applyNumberFormat="1" applyBorder="1" applyAlignment="1">
      <alignment horizontal="center"/>
    </xf>
    <xf numFmtId="1" fontId="0" fillId="12" borderId="36" xfId="0" applyNumberFormat="1" applyFill="1" applyBorder="1" applyAlignment="1">
      <alignment horizontal="center"/>
    </xf>
    <xf numFmtId="1" fontId="0" fillId="12" borderId="21" xfId="0" applyNumberFormat="1" applyFill="1" applyBorder="1" applyAlignment="1">
      <alignment horizontal="center"/>
    </xf>
    <xf numFmtId="1" fontId="0" fillId="12" borderId="11" xfId="0" applyNumberFormat="1" applyFill="1" applyBorder="1"/>
    <xf numFmtId="1" fontId="0" fillId="0" borderId="74" xfId="0" applyNumberFormat="1" applyBorder="1" applyAlignment="1">
      <alignment horizontal="center"/>
    </xf>
    <xf numFmtId="1" fontId="0" fillId="0" borderId="37" xfId="0" applyNumberFormat="1" applyBorder="1" applyAlignment="1">
      <alignment horizontal="center"/>
    </xf>
    <xf numFmtId="165" fontId="0" fillId="0" borderId="73" xfId="6" applyFont="1" applyBorder="1" applyAlignment="1">
      <alignment horizontal="center"/>
    </xf>
    <xf numFmtId="165" fontId="0" fillId="6" borderId="6" xfId="0" applyNumberFormat="1" applyFill="1" applyBorder="1"/>
    <xf numFmtId="0" fontId="10" fillId="5" borderId="15" xfId="0" applyFont="1" applyFill="1" applyBorder="1" applyAlignment="1">
      <alignment horizontal="center" vertical="center" wrapText="1"/>
    </xf>
    <xf numFmtId="0" fontId="0" fillId="0" borderId="42" xfId="0" applyBorder="1" applyAlignment="1">
      <alignment horizontal="left" vertical="center"/>
    </xf>
    <xf numFmtId="173" fontId="0" fillId="0" borderId="38" xfId="0" applyNumberFormat="1" applyBorder="1" applyAlignment="1">
      <alignment horizontal="center"/>
    </xf>
    <xf numFmtId="0" fontId="11" fillId="6" borderId="3" xfId="0" applyFont="1" applyFill="1" applyBorder="1" applyAlignment="1">
      <alignment horizontal="center" vertical="center" wrapText="1"/>
    </xf>
    <xf numFmtId="10" fontId="11" fillId="6" borderId="63" xfId="0" applyNumberFormat="1" applyFont="1" applyFill="1" applyBorder="1" applyAlignment="1">
      <alignment horizontal="center" vertical="center"/>
    </xf>
    <xf numFmtId="9" fontId="11" fillId="6" borderId="63"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1" xfId="0" applyFill="1" applyBorder="1"/>
    <xf numFmtId="0" fontId="0" fillId="2" borderId="36" xfId="0" applyFill="1" applyBorder="1"/>
    <xf numFmtId="0" fontId="11" fillId="6" borderId="66" xfId="0" applyFont="1" applyFill="1" applyBorder="1" applyAlignment="1">
      <alignment horizontal="center" vertical="center"/>
    </xf>
    <xf numFmtId="10" fontId="11" fillId="6" borderId="69"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10" fillId="6" borderId="53" xfId="6" applyFont="1" applyFill="1" applyBorder="1"/>
    <xf numFmtId="165" fontId="10" fillId="6" borderId="57" xfId="6" applyFont="1" applyFill="1" applyBorder="1"/>
    <xf numFmtId="165" fontId="10" fillId="6" borderId="58" xfId="6" applyFont="1" applyFill="1" applyBorder="1"/>
    <xf numFmtId="165" fontId="10" fillId="6" borderId="59" xfId="6" applyFont="1" applyFill="1" applyBorder="1"/>
    <xf numFmtId="0" fontId="11" fillId="6" borderId="27" xfId="0" applyFont="1" applyFill="1" applyBorder="1" applyAlignment="1">
      <alignment horizontal="center" vertical="center" wrapText="1"/>
    </xf>
    <xf numFmtId="9" fontId="11" fillId="6" borderId="29" xfId="0" applyNumberFormat="1" applyFont="1" applyFill="1" applyBorder="1" applyAlignment="1">
      <alignment horizontal="center" vertical="center"/>
    </xf>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65" fontId="0" fillId="2" borderId="34" xfId="6" applyFont="1" applyFill="1" applyBorder="1"/>
    <xf numFmtId="0" fontId="11" fillId="6" borderId="1" xfId="0" applyFont="1" applyFill="1" applyBorder="1" applyAlignment="1">
      <alignment horizontal="center" vertical="center"/>
    </xf>
    <xf numFmtId="173" fontId="10" fillId="6" borderId="1" xfId="0" applyNumberFormat="1" applyFont="1" applyFill="1" applyBorder="1" applyAlignment="1">
      <alignment horizontal="center"/>
    </xf>
    <xf numFmtId="0" fontId="10" fillId="7" borderId="1" xfId="0" applyFont="1" applyFill="1" applyBorder="1" applyAlignment="1">
      <alignment horizontal="center"/>
    </xf>
    <xf numFmtId="171" fontId="0" fillId="2" borderId="1" xfId="0" applyNumberFormat="1" applyFont="1" applyFill="1" applyBorder="1" applyAlignment="1">
      <alignment horizontal="right"/>
    </xf>
    <xf numFmtId="0" fontId="10" fillId="6" borderId="1" xfId="0" applyFont="1" applyFill="1" applyBorder="1" applyAlignment="1">
      <alignment horizontal="left"/>
    </xf>
    <xf numFmtId="171" fontId="10" fillId="7"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0" fillId="6" borderId="61" xfId="0" applyFont="1" applyFill="1" applyBorder="1" applyAlignment="1">
      <alignment horizontal="center"/>
    </xf>
    <xf numFmtId="0" fontId="10" fillId="6" borderId="3" xfId="0" applyFont="1" applyFill="1" applyBorder="1" applyAlignment="1">
      <alignment horizontal="center"/>
    </xf>
    <xf numFmtId="0" fontId="10" fillId="6"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0" fillId="6" borderId="43" xfId="0" applyNumberFormat="1" applyFill="1" applyBorder="1"/>
    <xf numFmtId="0" fontId="0" fillId="2" borderId="33" xfId="0" applyFill="1" applyBorder="1"/>
    <xf numFmtId="0" fontId="11" fillId="6" borderId="35" xfId="0" applyFont="1" applyFill="1" applyBorder="1" applyAlignment="1">
      <alignment horizontal="center" vertical="center"/>
    </xf>
    <xf numFmtId="0" fontId="10" fillId="6" borderId="36" xfId="0" applyFont="1" applyFill="1" applyBorder="1" applyAlignment="1">
      <alignment horizontal="center"/>
    </xf>
    <xf numFmtId="173" fontId="10" fillId="6" borderId="36" xfId="0" applyNumberFormat="1" applyFont="1" applyFill="1" applyBorder="1" applyAlignment="1">
      <alignment horizontal="center"/>
    </xf>
    <xf numFmtId="171" fontId="10" fillId="7" borderId="44" xfId="0" applyNumberFormat="1" applyFont="1" applyFill="1" applyBorder="1"/>
    <xf numFmtId="0" fontId="11" fillId="6" borderId="33" xfId="0" applyFont="1" applyFill="1" applyBorder="1" applyAlignment="1">
      <alignment horizontal="center" vertical="center"/>
    </xf>
    <xf numFmtId="171" fontId="10" fillId="7" borderId="43"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2" fillId="2" borderId="43" xfId="1" applyFill="1" applyBorder="1"/>
    <xf numFmtId="0" fontId="2"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0" fillId="7" borderId="53" xfId="0" applyNumberFormat="1" applyFont="1" applyFill="1" applyBorder="1" applyAlignment="1">
      <alignment horizontal="center"/>
    </xf>
    <xf numFmtId="171" fontId="0" fillId="0" borderId="63" xfId="0" applyNumberFormat="1" applyBorder="1" applyAlignment="1">
      <alignment horizontal="center"/>
    </xf>
    <xf numFmtId="0" fontId="11" fillId="6" borderId="61" xfId="0" applyFont="1" applyFill="1" applyBorder="1" applyAlignment="1">
      <alignment horizontal="center"/>
    </xf>
    <xf numFmtId="0" fontId="11" fillId="6" borderId="3" xfId="0" applyFont="1" applyFill="1" applyBorder="1" applyAlignment="1">
      <alignment horizontal="center"/>
    </xf>
    <xf numFmtId="0" fontId="11" fillId="6" borderId="62" xfId="0" applyFont="1" applyFill="1" applyBorder="1" applyAlignment="1">
      <alignment horizontal="center"/>
    </xf>
    <xf numFmtId="171" fontId="10" fillId="7" borderId="6" xfId="0" applyNumberFormat="1" applyFont="1" applyFill="1" applyBorder="1" applyAlignment="1">
      <alignment horizontal="center"/>
    </xf>
    <xf numFmtId="0" fontId="13"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6" xfId="0" applyBorder="1" applyAlignment="1">
      <alignment horizontal="center"/>
    </xf>
    <xf numFmtId="0" fontId="0" fillId="0" borderId="2" xfId="0" applyBorder="1" applyAlignment="1">
      <alignment vertical="center"/>
    </xf>
    <xf numFmtId="171" fontId="0" fillId="13" borderId="1" xfId="0" applyNumberFormat="1" applyFill="1" applyBorder="1" applyAlignment="1">
      <alignment horizontal="center"/>
    </xf>
    <xf numFmtId="171" fontId="0" fillId="7" borderId="1" xfId="0" applyNumberFormat="1" applyFill="1" applyBorder="1" applyAlignment="1">
      <alignment horizontal="center"/>
    </xf>
    <xf numFmtId="171" fontId="0" fillId="7" borderId="1" xfId="0" applyNumberFormat="1" applyFill="1" applyBorder="1"/>
    <xf numFmtId="171" fontId="0" fillId="13"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7" borderId="33" xfId="0" applyNumberFormat="1" applyFill="1" applyBorder="1" applyAlignment="1">
      <alignment horizontal="center"/>
    </xf>
    <xf numFmtId="171" fontId="0" fillId="13" borderId="43" xfId="0" applyNumberFormat="1" applyFill="1" applyBorder="1" applyAlignment="1">
      <alignment horizontal="center"/>
    </xf>
    <xf numFmtId="171" fontId="0" fillId="13" borderId="33" xfId="0" applyNumberFormat="1" applyFill="1" applyBorder="1" applyAlignment="1">
      <alignment horizontal="center"/>
    </xf>
    <xf numFmtId="171" fontId="0" fillId="7" borderId="43" xfId="0" applyNumberFormat="1" applyFill="1" applyBorder="1" applyAlignment="1">
      <alignment horizontal="center"/>
    </xf>
    <xf numFmtId="171" fontId="0" fillId="13" borderId="35" xfId="0" applyNumberFormat="1" applyFill="1" applyBorder="1" applyAlignment="1">
      <alignment horizontal="center"/>
    </xf>
    <xf numFmtId="171" fontId="0" fillId="13" borderId="36" xfId="0" applyNumberFormat="1" applyFill="1" applyBorder="1" applyAlignment="1">
      <alignment horizontal="center"/>
    </xf>
    <xf numFmtId="171" fontId="0" fillId="7" borderId="44" xfId="0" applyNumberFormat="1" applyFill="1" applyBorder="1" applyAlignment="1">
      <alignment horizontal="center"/>
    </xf>
    <xf numFmtId="171" fontId="0" fillId="7" borderId="33" xfId="0" applyNumberFormat="1" applyFill="1" applyBorder="1"/>
    <xf numFmtId="171" fontId="0" fillId="7" borderId="43" xfId="0" applyNumberFormat="1" applyFill="1" applyBorder="1"/>
    <xf numFmtId="171" fontId="0" fillId="13" borderId="33" xfId="0" applyNumberFormat="1" applyFill="1" applyBorder="1"/>
    <xf numFmtId="171" fontId="0" fillId="13" borderId="43" xfId="0" applyNumberFormat="1" applyFill="1" applyBorder="1"/>
    <xf numFmtId="171" fontId="0" fillId="13" borderId="35" xfId="0" applyNumberFormat="1" applyFill="1" applyBorder="1"/>
    <xf numFmtId="171" fontId="0" fillId="13" borderId="36" xfId="0" applyNumberFormat="1" applyFill="1" applyBorder="1"/>
    <xf numFmtId="171" fontId="0" fillId="13" borderId="44" xfId="0" applyNumberFormat="1" applyFill="1" applyBorder="1"/>
    <xf numFmtId="171" fontId="11" fillId="7" borderId="21" xfId="0" applyNumberFormat="1" applyFont="1" applyFill="1" applyBorder="1"/>
    <xf numFmtId="171" fontId="11" fillId="7"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7" borderId="30" xfId="0" applyNumberFormat="1" applyFill="1" applyBorder="1" applyAlignment="1">
      <alignment horizontal="center"/>
    </xf>
    <xf numFmtId="171" fontId="0" fillId="13" borderId="31" xfId="0" applyNumberFormat="1" applyFill="1" applyBorder="1" applyAlignment="1">
      <alignment horizontal="center"/>
    </xf>
    <xf numFmtId="171" fontId="0" fillId="13" borderId="47" xfId="0" applyNumberFormat="1" applyFill="1" applyBorder="1" applyAlignment="1">
      <alignment horizontal="center"/>
    </xf>
    <xf numFmtId="171" fontId="0" fillId="7" borderId="30" xfId="0" applyNumberFormat="1" applyFill="1" applyBorder="1"/>
    <xf numFmtId="171" fontId="0" fillId="7"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7" borderId="31" xfId="0" applyNumberFormat="1" applyFill="1" applyBorder="1"/>
    <xf numFmtId="171" fontId="0" fillId="7" borderId="36" xfId="0" applyNumberFormat="1" applyFill="1" applyBorder="1" applyAlignment="1">
      <alignment horizontal="center"/>
    </xf>
    <xf numFmtId="171" fontId="0" fillId="13" borderId="44" xfId="0" applyNumberFormat="1" applyFill="1" applyBorder="1" applyAlignment="1">
      <alignment horizontal="center"/>
    </xf>
    <xf numFmtId="171" fontId="0" fillId="7" borderId="44" xfId="0" applyNumberFormat="1" applyFill="1" applyBorder="1"/>
    <xf numFmtId="0" fontId="0" fillId="0" borderId="73" xfId="0" applyBorder="1" applyAlignment="1">
      <alignment horizont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44" xfId="0" applyFont="1" applyFill="1" applyBorder="1" applyAlignment="1">
      <alignment horizontal="center" vertical="center"/>
    </xf>
    <xf numFmtId="171" fontId="11" fillId="7" borderId="71"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0" fillId="6" borderId="71" xfId="0" applyFont="1" applyFill="1" applyBorder="1" applyAlignment="1">
      <alignment horizontal="center"/>
    </xf>
    <xf numFmtId="0" fontId="10" fillId="6" borderId="21" xfId="0" applyFont="1" applyFill="1" applyBorder="1" applyAlignment="1">
      <alignment horizontal="center"/>
    </xf>
    <xf numFmtId="0" fontId="10" fillId="6" borderId="20" xfId="0" applyFont="1" applyFill="1" applyBorder="1" applyAlignment="1">
      <alignment horizontal="center"/>
    </xf>
    <xf numFmtId="0" fontId="0" fillId="0" borderId="34" xfId="0" applyBorder="1"/>
    <xf numFmtId="0" fontId="0" fillId="0" borderId="69" xfId="0" applyBorder="1" applyAlignment="1">
      <alignment horizontal="center"/>
    </xf>
    <xf numFmtId="0" fontId="0" fillId="7" borderId="71" xfId="0" applyFill="1" applyBorder="1" applyAlignment="1">
      <alignment horizontal="center"/>
    </xf>
    <xf numFmtId="171" fontId="0" fillId="7" borderId="21" xfId="0" applyNumberFormat="1" applyFill="1" applyBorder="1" applyAlignment="1">
      <alignment horizontal="center"/>
    </xf>
    <xf numFmtId="171" fontId="0" fillId="7" borderId="20" xfId="0" applyNumberFormat="1" applyFill="1" applyBorder="1" applyAlignment="1">
      <alignment horizontal="center"/>
    </xf>
    <xf numFmtId="171" fontId="0" fillId="0" borderId="75"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0" fillId="7" borderId="30" xfId="0" applyNumberFormat="1" applyFont="1" applyFill="1" applyBorder="1"/>
    <xf numFmtId="171" fontId="10" fillId="7" borderId="33" xfId="0" applyNumberFormat="1" applyFont="1" applyFill="1" applyBorder="1"/>
    <xf numFmtId="175" fontId="10" fillId="10" borderId="43" xfId="0" applyNumberFormat="1" applyFont="1" applyFill="1" applyBorder="1" applyAlignment="1">
      <alignment horizontal="center"/>
    </xf>
    <xf numFmtId="171" fontId="10" fillId="7" borderId="35" xfId="0" applyNumberFormat="1" applyFont="1" applyFill="1" applyBorder="1"/>
    <xf numFmtId="171" fontId="0" fillId="7" borderId="71" xfId="0" applyNumberFormat="1" applyFill="1" applyBorder="1" applyAlignment="1">
      <alignment horizontal="center"/>
    </xf>
    <xf numFmtId="165" fontId="10"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1" fillId="2" borderId="3" xfId="0" applyFont="1" applyFill="1" applyBorder="1" applyAlignment="1">
      <alignment horizontal="center"/>
    </xf>
    <xf numFmtId="0" fontId="0" fillId="2" borderId="3" xfId="0" applyFont="1" applyFill="1" applyBorder="1" applyAlignment="1">
      <alignment horizontal="center" vertical="center"/>
    </xf>
    <xf numFmtId="0" fontId="0" fillId="7" borderId="24" xfId="0" applyFill="1" applyBorder="1"/>
    <xf numFmtId="0" fontId="0" fillId="7" borderId="2" xfId="0" applyFill="1" applyBorder="1"/>
    <xf numFmtId="0" fontId="25" fillId="5" borderId="25" xfId="0" applyFont="1" applyFill="1" applyBorder="1" applyAlignment="1">
      <alignment vertical="center"/>
    </xf>
    <xf numFmtId="0" fontId="25"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0"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7" borderId="1" xfId="0" applyFill="1" applyBorder="1" applyAlignment="1">
      <alignment horizontal="center" vertical="center"/>
    </xf>
    <xf numFmtId="171" fontId="0" fillId="7" borderId="1" xfId="0" applyNumberFormat="1" applyFill="1" applyBorder="1" applyAlignment="1">
      <alignment horizontal="center" vertical="center"/>
    </xf>
    <xf numFmtId="0" fontId="10" fillId="5" borderId="24" xfId="0" applyFont="1" applyFill="1" applyBorder="1"/>
    <xf numFmtId="0" fontId="10" fillId="5" borderId="2" xfId="0" applyFont="1" applyFill="1" applyBorder="1"/>
    <xf numFmtId="0" fontId="21"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0" fillId="14" borderId="1" xfId="0" applyNumberFormat="1" applyFont="1" applyFill="1" applyBorder="1" applyAlignment="1">
      <alignment horizontal="center" vertical="center"/>
    </xf>
    <xf numFmtId="171" fontId="10" fillId="5" borderId="1" xfId="0" applyNumberFormat="1" applyFont="1" applyFill="1" applyBorder="1" applyAlignment="1">
      <alignment horizontal="right"/>
    </xf>
    <xf numFmtId="9" fontId="10" fillId="2" borderId="1" xfId="0" applyNumberFormat="1" applyFont="1" applyFill="1" applyBorder="1" applyAlignment="1">
      <alignment horizontal="center"/>
    </xf>
    <xf numFmtId="175" fontId="10" fillId="2" borderId="1" xfId="0" applyNumberFormat="1" applyFont="1" applyFill="1" applyBorder="1" applyAlignment="1">
      <alignment horizontal="center"/>
    </xf>
    <xf numFmtId="167" fontId="10"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0" fillId="5" borderId="35" xfId="0" applyFont="1" applyFill="1" applyBorder="1" applyAlignment="1">
      <alignment horizontal="center"/>
    </xf>
    <xf numFmtId="0" fontId="10" fillId="5" borderId="36" xfId="0" applyFont="1" applyFill="1" applyBorder="1" applyAlignment="1">
      <alignment horizontal="center" vertical="center" wrapText="1"/>
    </xf>
    <xf numFmtId="0" fontId="10" fillId="5" borderId="36" xfId="0" applyFont="1" applyFill="1" applyBorder="1" applyAlignment="1">
      <alignment horizontal="center"/>
    </xf>
    <xf numFmtId="0" fontId="10" fillId="5" borderId="44" xfId="0" applyFont="1" applyFill="1" applyBorder="1" applyAlignment="1">
      <alignment horizontal="center"/>
    </xf>
    <xf numFmtId="0" fontId="0" fillId="2" borderId="66"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0" fillId="5" borderId="57" xfId="0" applyFont="1" applyFill="1" applyBorder="1" applyAlignment="1">
      <alignment horizontal="center" vertical="center"/>
    </xf>
    <xf numFmtId="0" fontId="10" fillId="5" borderId="58" xfId="0" applyFont="1" applyFill="1" applyBorder="1" applyAlignment="1">
      <alignment horizontal="center" vertical="center"/>
    </xf>
    <xf numFmtId="0" fontId="10" fillId="5" borderId="59" xfId="0" applyFont="1" applyFill="1" applyBorder="1" applyAlignment="1">
      <alignment horizontal="center" vertical="center"/>
    </xf>
    <xf numFmtId="0" fontId="10" fillId="5" borderId="67" xfId="0" applyFont="1" applyFill="1" applyBorder="1" applyAlignment="1">
      <alignment horizontal="center" vertical="center"/>
    </xf>
    <xf numFmtId="0" fontId="0" fillId="2" borderId="69"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0" fillId="5" borderId="68" xfId="0" applyFont="1" applyFill="1" applyBorder="1" applyAlignment="1">
      <alignment horizontal="center" vertical="center"/>
    </xf>
    <xf numFmtId="0" fontId="10" fillId="5" borderId="53" xfId="0" applyFont="1" applyFill="1" applyBorder="1" applyAlignment="1">
      <alignment horizontal="center" vertical="center"/>
    </xf>
    <xf numFmtId="0" fontId="0" fillId="5" borderId="71"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5"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5" borderId="19" xfId="0" applyFill="1" applyBorder="1" applyAlignment="1">
      <alignment horizontal="left" vertical="center" wrapText="1"/>
    </xf>
    <xf numFmtId="171" fontId="10"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0" fontId="0" fillId="2" borderId="3" xfId="0" applyFont="1" applyFill="1" applyBorder="1" applyAlignment="1">
      <alignment vertic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6" fillId="15" borderId="53" xfId="0" applyFont="1" applyFill="1" applyBorder="1" applyAlignment="1">
      <alignment horizontal="center"/>
    </xf>
    <xf numFmtId="171" fontId="10" fillId="16" borderId="1" xfId="0" applyNumberFormat="1" applyFont="1" applyFill="1" applyBorder="1" applyAlignment="1">
      <alignment horizontal="center" vertical="center"/>
    </xf>
    <xf numFmtId="171" fontId="10" fillId="11" borderId="1" xfId="0" applyNumberFormat="1" applyFont="1" applyFill="1" applyBorder="1" applyAlignment="1">
      <alignment horizontal="center" vertical="center"/>
    </xf>
    <xf numFmtId="171" fontId="10" fillId="15"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17" borderId="0" xfId="0" applyFill="1"/>
    <xf numFmtId="0" fontId="0" fillId="18" borderId="0" xfId="0" applyFill="1"/>
    <xf numFmtId="0" fontId="14" fillId="17" borderId="0" xfId="0" applyFont="1" applyFill="1" applyAlignment="1">
      <alignment vertical="center"/>
    </xf>
    <xf numFmtId="0" fontId="4" fillId="17" borderId="0" xfId="0" applyFont="1" applyFill="1" applyAlignment="1">
      <alignment vertical="center"/>
    </xf>
    <xf numFmtId="0" fontId="14" fillId="18" borderId="0" xfId="0" applyFont="1" applyFill="1" applyAlignment="1">
      <alignment vertical="center"/>
    </xf>
    <xf numFmtId="0" fontId="4" fillId="18" borderId="0" xfId="0" applyFont="1" applyFill="1" applyAlignment="1">
      <alignment vertical="center"/>
    </xf>
    <xf numFmtId="0" fontId="5" fillId="18" borderId="0" xfId="0" applyFont="1" applyFill="1" applyAlignment="1">
      <alignment vertical="center"/>
    </xf>
    <xf numFmtId="10" fontId="10" fillId="10" borderId="47" xfId="0" applyNumberFormat="1" applyFont="1" applyFill="1" applyBorder="1" applyAlignment="1">
      <alignment horizontal="center"/>
    </xf>
    <xf numFmtId="10" fontId="10" fillId="10" borderId="44" xfId="0" applyNumberFormat="1" applyFont="1" applyFill="1" applyBorder="1" applyAlignment="1">
      <alignment horizontal="center"/>
    </xf>
    <xf numFmtId="0" fontId="0" fillId="2" borderId="0" xfId="0" applyFont="1" applyFill="1" applyBorder="1" applyAlignment="1">
      <alignment horizontal="center" vertical="center"/>
    </xf>
    <xf numFmtId="0" fontId="6" fillId="11" borderId="76" xfId="1" applyFont="1" applyFill="1" applyBorder="1" applyAlignment="1">
      <alignment horizontal="center" vertical="center"/>
    </xf>
    <xf numFmtId="0" fontId="6" fillId="11" borderId="77" xfId="1" applyFont="1" applyFill="1" applyBorder="1" applyAlignment="1">
      <alignment horizontal="center" vertical="center"/>
    </xf>
    <xf numFmtId="0" fontId="6" fillId="11" borderId="78" xfId="1" applyFont="1" applyFill="1" applyBorder="1" applyAlignment="1">
      <alignment horizontal="center" vertical="center"/>
    </xf>
    <xf numFmtId="0" fontId="7" fillId="11" borderId="79" xfId="0" applyFont="1" applyFill="1" applyBorder="1" applyAlignment="1">
      <alignment horizontal="center"/>
    </xf>
    <xf numFmtId="0" fontId="0" fillId="11" borderId="0" xfId="0" applyFill="1"/>
    <xf numFmtId="0" fontId="0" fillId="11" borderId="80" xfId="0" applyFill="1" applyBorder="1" applyAlignment="1">
      <alignment vertical="center"/>
    </xf>
    <xf numFmtId="0" fontId="0" fillId="11" borderId="81" xfId="0" applyFill="1" applyBorder="1" applyAlignment="1">
      <alignment vertical="center"/>
    </xf>
    <xf numFmtId="0" fontId="14" fillId="11" borderId="81" xfId="0" applyFont="1" applyFill="1" applyBorder="1" applyAlignment="1">
      <alignment horizontal="center" vertical="center"/>
    </xf>
    <xf numFmtId="0" fontId="15" fillId="11" borderId="81" xfId="0" applyFont="1" applyFill="1" applyBorder="1" applyAlignment="1">
      <alignment horizontal="center" vertical="center"/>
    </xf>
    <xf numFmtId="0" fontId="20" fillId="11" borderId="96" xfId="0" applyFont="1" applyFill="1" applyBorder="1" applyAlignment="1">
      <alignment horizontal="left" vertical="top" wrapText="1"/>
    </xf>
    <xf numFmtId="0" fontId="8" fillId="2" borderId="96" xfId="0" applyFont="1" applyFill="1" applyBorder="1" applyAlignment="1">
      <alignment horizontal="left" vertical="top" wrapText="1"/>
    </xf>
    <xf numFmtId="9" fontId="8" fillId="2" borderId="96" xfId="3" applyFont="1" applyFill="1" applyBorder="1" applyAlignment="1">
      <alignment horizontal="left" vertical="top" wrapText="1"/>
    </xf>
    <xf numFmtId="165" fontId="8" fillId="2" borderId="96" xfId="0" applyNumberFormat="1" applyFont="1" applyFill="1" applyBorder="1" applyAlignment="1">
      <alignment horizontal="left" vertical="top" wrapText="1"/>
    </xf>
    <xf numFmtId="0" fontId="11" fillId="11" borderId="96" xfId="0" applyFont="1" applyFill="1" applyBorder="1" applyAlignment="1">
      <alignment horizontal="center" vertical="center" wrapText="1"/>
    </xf>
    <xf numFmtId="169" fontId="6" fillId="2" borderId="96" xfId="2" applyNumberFormat="1" applyFont="1" applyFill="1" applyBorder="1" applyAlignment="1">
      <alignment horizontal="center" vertical="top" wrapText="1"/>
    </xf>
    <xf numFmtId="169" fontId="6" fillId="2" borderId="96" xfId="2" applyNumberFormat="1" applyFont="1" applyFill="1" applyBorder="1" applyAlignment="1">
      <alignment horizontal="left" vertical="top" wrapText="1"/>
    </xf>
    <xf numFmtId="165" fontId="20" fillId="19" borderId="96" xfId="6" applyFont="1" applyFill="1" applyBorder="1" applyAlignment="1">
      <alignment horizontal="left" vertical="top" wrapText="1"/>
    </xf>
    <xf numFmtId="0" fontId="18" fillId="20" borderId="53" xfId="0" applyFont="1" applyFill="1" applyBorder="1" applyAlignment="1">
      <alignment horizontal="center" vertical="center" wrapText="1"/>
    </xf>
    <xf numFmtId="0" fontId="8" fillId="6" borderId="33" xfId="0" applyFont="1" applyFill="1" applyBorder="1"/>
    <xf numFmtId="170" fontId="8" fillId="6" borderId="1" xfId="0" applyNumberFormat="1" applyFont="1" applyFill="1" applyBorder="1"/>
    <xf numFmtId="0" fontId="8" fillId="6" borderId="35" xfId="0" applyFont="1" applyFill="1" applyBorder="1"/>
    <xf numFmtId="170" fontId="8" fillId="6" borderId="36" xfId="0" applyNumberFormat="1" applyFont="1" applyFill="1" applyBorder="1"/>
    <xf numFmtId="0" fontId="8" fillId="10" borderId="30" xfId="0" applyFont="1" applyFill="1" applyBorder="1"/>
    <xf numFmtId="170" fontId="8" fillId="10" borderId="31" xfId="0" applyNumberFormat="1" applyFont="1" applyFill="1" applyBorder="1"/>
    <xf numFmtId="0" fontId="8" fillId="10" borderId="61" xfId="0" applyFont="1" applyFill="1" applyBorder="1"/>
    <xf numFmtId="170" fontId="8" fillId="10" borderId="1" xfId="0" applyNumberFormat="1" applyFont="1" applyFill="1" applyBorder="1"/>
    <xf numFmtId="0" fontId="8" fillId="10" borderId="42" xfId="0" applyFont="1" applyFill="1" applyBorder="1"/>
    <xf numFmtId="170" fontId="8" fillId="10" borderId="36" xfId="0" applyNumberFormat="1" applyFont="1" applyFill="1" applyBorder="1"/>
    <xf numFmtId="0" fontId="0" fillId="6" borderId="43" xfId="0" applyFont="1" applyFill="1" applyBorder="1" applyAlignment="1">
      <alignment horizontal="center"/>
    </xf>
    <xf numFmtId="0" fontId="0" fillId="10" borderId="47" xfId="0" applyFont="1" applyFill="1" applyBorder="1" applyAlignment="1">
      <alignment horizontal="center"/>
    </xf>
    <xf numFmtId="0" fontId="0" fillId="10" borderId="43" xfId="0" applyFont="1" applyFill="1" applyBorder="1" applyAlignment="1">
      <alignment horizontal="center"/>
    </xf>
    <xf numFmtId="0" fontId="0" fillId="10" borderId="44" xfId="0" applyFont="1" applyFill="1" applyBorder="1" applyAlignment="1">
      <alignment horizontal="center"/>
    </xf>
    <xf numFmtId="166" fontId="8" fillId="6" borderId="30" xfId="2" applyFont="1" applyFill="1" applyBorder="1" applyAlignment="1"/>
    <xf numFmtId="165" fontId="0" fillId="6" borderId="22" xfId="6" applyFont="1" applyFill="1" applyBorder="1"/>
    <xf numFmtId="165" fontId="0" fillId="6" borderId="24" xfId="6" applyFont="1" applyFill="1" applyBorder="1"/>
    <xf numFmtId="165" fontId="0" fillId="6" borderId="39" xfId="6" applyFont="1" applyFill="1" applyBorder="1"/>
    <xf numFmtId="165" fontId="0" fillId="6" borderId="1" xfId="6" applyFont="1" applyFill="1" applyBorder="1"/>
    <xf numFmtId="169" fontId="0" fillId="6" borderId="1" xfId="2" applyNumberFormat="1" applyFont="1" applyFill="1" applyBorder="1"/>
    <xf numFmtId="169" fontId="0" fillId="6" borderId="1" xfId="0" applyNumberFormat="1" applyFill="1" applyBorder="1"/>
    <xf numFmtId="0" fontId="0" fillId="6" borderId="1" xfId="0" applyFill="1" applyBorder="1"/>
    <xf numFmtId="165" fontId="0" fillId="6" borderId="31" xfId="6" applyFont="1" applyFill="1" applyBorder="1"/>
    <xf numFmtId="169" fontId="0" fillId="6" borderId="31" xfId="2" applyNumberFormat="1" applyFont="1" applyFill="1" applyBorder="1"/>
    <xf numFmtId="169" fontId="0" fillId="6" borderId="31" xfId="0" applyNumberFormat="1" applyFill="1" applyBorder="1"/>
    <xf numFmtId="0" fontId="0" fillId="6" borderId="31" xfId="0" applyFill="1" applyBorder="1"/>
    <xf numFmtId="166" fontId="8" fillId="6" borderId="33" xfId="2" applyFont="1" applyFill="1" applyBorder="1" applyAlignment="1"/>
    <xf numFmtId="166" fontId="8" fillId="6" borderId="35" xfId="2" applyFont="1" applyFill="1" applyBorder="1" applyAlignment="1"/>
    <xf numFmtId="165" fontId="0" fillId="6" borderId="36" xfId="6" applyFont="1" applyFill="1" applyBorder="1"/>
    <xf numFmtId="169" fontId="0" fillId="6" borderId="36" xfId="2" applyNumberFormat="1" applyFont="1" applyFill="1" applyBorder="1"/>
    <xf numFmtId="169" fontId="0" fillId="6" borderId="36" xfId="0" applyNumberFormat="1" applyFill="1" applyBorder="1"/>
    <xf numFmtId="0" fontId="0" fillId="6" borderId="36" xfId="0" applyFill="1" applyBorder="1"/>
    <xf numFmtId="0" fontId="10" fillId="11" borderId="41"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0" fillId="19" borderId="0" xfId="0" applyFill="1"/>
    <xf numFmtId="0" fontId="21" fillId="11"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0" fillId="11" borderId="64" xfId="0" applyFont="1" applyFill="1" applyBorder="1" applyAlignment="1">
      <alignment horizontal="center" vertical="center" wrapText="1"/>
    </xf>
    <xf numFmtId="0" fontId="10" fillId="11" borderId="65" xfId="0" applyFont="1" applyFill="1" applyBorder="1" applyAlignment="1">
      <alignment horizontal="center" vertical="center" wrapText="1"/>
    </xf>
    <xf numFmtId="0" fontId="10" fillId="11" borderId="55" xfId="0" applyFont="1" applyFill="1" applyBorder="1" applyAlignment="1">
      <alignment horizontal="center" vertical="center" wrapText="1"/>
    </xf>
    <xf numFmtId="0" fontId="10" fillId="11" borderId="1" xfId="0" applyFont="1" applyFill="1" applyBorder="1" applyAlignment="1">
      <alignment horizontal="center" vertical="center" wrapText="1"/>
    </xf>
    <xf numFmtId="166" fontId="8" fillId="10" borderId="30" xfId="2" applyFont="1" applyFill="1" applyBorder="1" applyAlignment="1"/>
    <xf numFmtId="165" fontId="0" fillId="10" borderId="31" xfId="6" applyFont="1" applyFill="1" applyBorder="1"/>
    <xf numFmtId="169" fontId="0" fillId="10" borderId="31" xfId="2" applyNumberFormat="1" applyFont="1" applyFill="1" applyBorder="1"/>
    <xf numFmtId="169" fontId="0" fillId="10" borderId="31" xfId="0" applyNumberFormat="1" applyFill="1" applyBorder="1"/>
    <xf numFmtId="0" fontId="0" fillId="10" borderId="31" xfId="0" applyFill="1" applyBorder="1"/>
    <xf numFmtId="166" fontId="8" fillId="10" borderId="33" xfId="2" applyFont="1" applyFill="1" applyBorder="1" applyAlignment="1"/>
    <xf numFmtId="165" fontId="0" fillId="10" borderId="1" xfId="6" applyFont="1" applyFill="1" applyBorder="1"/>
    <xf numFmtId="169" fontId="0" fillId="10" borderId="1" xfId="2" applyNumberFormat="1" applyFont="1" applyFill="1" applyBorder="1"/>
    <xf numFmtId="169" fontId="0" fillId="10" borderId="1" xfId="0" applyNumberFormat="1" applyFill="1" applyBorder="1"/>
    <xf numFmtId="0" fontId="0" fillId="10" borderId="1" xfId="0" applyFill="1" applyBorder="1"/>
    <xf numFmtId="166" fontId="8" fillId="10" borderId="35" xfId="2" applyFont="1" applyFill="1" applyBorder="1" applyAlignment="1"/>
    <xf numFmtId="165" fontId="0" fillId="10" borderId="36" xfId="6" applyFont="1" applyFill="1" applyBorder="1"/>
    <xf numFmtId="169" fontId="0" fillId="10" borderId="36" xfId="2" applyNumberFormat="1" applyFont="1" applyFill="1" applyBorder="1"/>
    <xf numFmtId="169" fontId="0" fillId="10" borderId="36" xfId="0" applyNumberFormat="1" applyFill="1" applyBorder="1"/>
    <xf numFmtId="0" fontId="0" fillId="10" borderId="36" xfId="0" applyFill="1" applyBorder="1"/>
    <xf numFmtId="0" fontId="10" fillId="11" borderId="29" xfId="0" applyFont="1" applyFill="1" applyBorder="1" applyAlignment="1">
      <alignment horizontal="center" vertical="center" wrapText="1"/>
    </xf>
    <xf numFmtId="165" fontId="0" fillId="10" borderId="22" xfId="6" applyFont="1" applyFill="1" applyBorder="1"/>
    <xf numFmtId="165" fontId="0" fillId="10" borderId="24" xfId="6" applyFont="1" applyFill="1" applyBorder="1"/>
    <xf numFmtId="165" fontId="0" fillId="10" borderId="39" xfId="6" applyFont="1" applyFill="1" applyBorder="1"/>
    <xf numFmtId="0" fontId="0" fillId="0" borderId="101" xfId="0" applyFont="1" applyFill="1" applyBorder="1"/>
    <xf numFmtId="0" fontId="0" fillId="0" borderId="102" xfId="0" applyFont="1" applyFill="1" applyBorder="1"/>
    <xf numFmtId="0" fontId="0" fillId="0" borderId="102" xfId="0" applyFill="1" applyBorder="1"/>
    <xf numFmtId="0" fontId="0" fillId="19" borderId="102" xfId="0" applyFill="1" applyBorder="1"/>
    <xf numFmtId="0" fontId="0" fillId="11" borderId="102" xfId="0" applyFill="1" applyBorder="1"/>
    <xf numFmtId="0" fontId="0" fillId="2" borderId="102" xfId="0" applyFill="1" applyBorder="1"/>
    <xf numFmtId="0" fontId="0" fillId="0" borderId="101" xfId="0" applyFill="1" applyBorder="1"/>
    <xf numFmtId="0" fontId="0" fillId="6" borderId="102" xfId="0" applyFill="1" applyBorder="1"/>
    <xf numFmtId="0" fontId="0" fillId="10" borderId="102" xfId="0" applyFill="1" applyBorder="1"/>
    <xf numFmtId="172" fontId="8" fillId="10" borderId="54" xfId="2" applyNumberFormat="1" applyFont="1" applyFill="1" applyBorder="1" applyAlignment="1">
      <alignment vertical="center"/>
    </xf>
    <xf numFmtId="172" fontId="8" fillId="10" borderId="35" xfId="2" applyNumberFormat="1" applyFont="1" applyFill="1" applyBorder="1" applyAlignment="1">
      <alignment vertical="center"/>
    </xf>
    <xf numFmtId="172" fontId="8" fillId="6" borderId="66" xfId="2" applyNumberFormat="1" applyFont="1" applyFill="1" applyBorder="1" applyAlignment="1">
      <alignment vertical="center"/>
    </xf>
    <xf numFmtId="166" fontId="8" fillId="12" borderId="62" xfId="2" applyFont="1" applyFill="1" applyBorder="1" applyAlignment="1"/>
    <xf numFmtId="172" fontId="8" fillId="6" borderId="61" xfId="2" applyNumberFormat="1" applyFont="1" applyFill="1" applyBorder="1" applyAlignment="1">
      <alignment vertical="center"/>
    </xf>
    <xf numFmtId="166" fontId="8" fillId="12" borderId="3" xfId="2" applyFont="1" applyFill="1" applyBorder="1" applyAlignment="1"/>
    <xf numFmtId="0" fontId="0" fillId="12" borderId="17" xfId="0" applyFill="1" applyBorder="1"/>
    <xf numFmtId="165" fontId="10" fillId="2" borderId="20" xfId="0" applyNumberFormat="1" applyFont="1" applyFill="1" applyBorder="1"/>
    <xf numFmtId="169" fontId="10" fillId="12" borderId="19" xfId="0" applyNumberFormat="1" applyFont="1" applyFill="1" applyBorder="1"/>
    <xf numFmtId="165" fontId="10"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0" fillId="11" borderId="35" xfId="0" applyFont="1" applyFill="1" applyBorder="1" applyAlignment="1">
      <alignment horizontal="center" vertical="center" wrapText="1"/>
    </xf>
    <xf numFmtId="0" fontId="10" fillId="11" borderId="44" xfId="0" applyFont="1" applyFill="1" applyBorder="1" applyAlignment="1">
      <alignment horizontal="center" vertical="center" wrapText="1"/>
    </xf>
    <xf numFmtId="0" fontId="28" fillId="8" borderId="53" xfId="0" applyFont="1" applyFill="1" applyBorder="1" applyAlignment="1">
      <alignment horizontal="center" vertical="center"/>
    </xf>
    <xf numFmtId="0" fontId="28" fillId="11" borderId="53" xfId="0" applyFont="1" applyFill="1" applyBorder="1" applyAlignment="1">
      <alignment horizontal="center" vertical="center"/>
    </xf>
    <xf numFmtId="0" fontId="10" fillId="21" borderId="18" xfId="0" applyFont="1" applyFill="1" applyBorder="1" applyAlignment="1">
      <alignment horizontal="center" vertical="center"/>
    </xf>
    <xf numFmtId="0" fontId="0" fillId="21" borderId="57" xfId="0" applyFill="1" applyBorder="1" applyAlignment="1">
      <alignment horizontal="left" wrapText="1"/>
    </xf>
    <xf numFmtId="0" fontId="10" fillId="21" borderId="25" xfId="0" applyFont="1" applyFill="1" applyBorder="1" applyAlignment="1">
      <alignment horizontal="center" vertical="center"/>
    </xf>
    <xf numFmtId="171" fontId="0" fillId="21" borderId="58" xfId="0" applyNumberFormat="1" applyFill="1" applyBorder="1" applyAlignment="1">
      <alignment horizontal="left" wrapText="1"/>
    </xf>
    <xf numFmtId="171" fontId="0" fillId="21" borderId="57" xfId="0" applyNumberFormat="1" applyFill="1" applyBorder="1" applyAlignment="1">
      <alignment horizontal="left" wrapText="1"/>
    </xf>
    <xf numFmtId="0" fontId="10" fillId="21" borderId="56" xfId="0" applyFont="1" applyFill="1" applyBorder="1" applyAlignment="1">
      <alignment horizontal="center" vertical="center"/>
    </xf>
    <xf numFmtId="171" fontId="0" fillId="21" borderId="59" xfId="0" applyNumberFormat="1" applyFill="1" applyBorder="1"/>
    <xf numFmtId="169" fontId="0" fillId="6" borderId="31" xfId="2" applyNumberFormat="1" applyFont="1" applyFill="1" applyBorder="1" applyAlignment="1">
      <alignment horizontal="center"/>
    </xf>
    <xf numFmtId="165" fontId="0" fillId="6" borderId="47" xfId="6" applyFont="1" applyFill="1" applyBorder="1"/>
    <xf numFmtId="169" fontId="0" fillId="6" borderId="1" xfId="2" applyNumberFormat="1" applyFont="1" applyFill="1" applyBorder="1" applyAlignment="1">
      <alignment horizontal="center"/>
    </xf>
    <xf numFmtId="165" fontId="0" fillId="6" borderId="43" xfId="6" applyFont="1" applyFill="1" applyBorder="1"/>
    <xf numFmtId="169" fontId="0" fillId="6" borderId="36" xfId="2" applyNumberFormat="1" applyFont="1" applyFill="1" applyBorder="1" applyAlignment="1">
      <alignment horizontal="center"/>
    </xf>
    <xf numFmtId="165" fontId="0" fillId="6" borderId="44" xfId="6" applyFont="1" applyFill="1" applyBorder="1"/>
    <xf numFmtId="169" fontId="0" fillId="10" borderId="31" xfId="2" applyNumberFormat="1" applyFont="1" applyFill="1" applyBorder="1" applyAlignment="1">
      <alignment horizontal="center"/>
    </xf>
    <xf numFmtId="165" fontId="0" fillId="10" borderId="47" xfId="6" applyFont="1" applyFill="1" applyBorder="1"/>
    <xf numFmtId="169" fontId="0" fillId="10" borderId="1" xfId="2" applyNumberFormat="1" applyFont="1" applyFill="1" applyBorder="1" applyAlignment="1">
      <alignment horizontal="center"/>
    </xf>
    <xf numFmtId="165" fontId="0" fillId="10" borderId="43" xfId="6" applyFont="1" applyFill="1" applyBorder="1"/>
    <xf numFmtId="169" fontId="0" fillId="10" borderId="36" xfId="2" applyNumberFormat="1" applyFont="1" applyFill="1" applyBorder="1" applyAlignment="1">
      <alignment horizontal="center"/>
    </xf>
    <xf numFmtId="165" fontId="0" fillId="10" borderId="44" xfId="6" applyFont="1" applyFill="1" applyBorder="1"/>
    <xf numFmtId="172" fontId="8" fillId="6" borderId="107" xfId="2" applyNumberFormat="1" applyFont="1" applyFill="1" applyBorder="1" applyAlignment="1">
      <alignment vertical="center"/>
    </xf>
    <xf numFmtId="166" fontId="8" fillId="12" borderId="108" xfId="2" applyFont="1" applyFill="1" applyBorder="1" applyAlignment="1"/>
    <xf numFmtId="172" fontId="11" fillId="6" borderId="109" xfId="2" applyNumberFormat="1" applyFont="1" applyFill="1" applyBorder="1" applyAlignment="1">
      <alignment vertical="center"/>
    </xf>
    <xf numFmtId="166" fontId="8" fillId="12" borderId="110" xfId="2" applyFont="1" applyFill="1" applyBorder="1" applyAlignment="1"/>
    <xf numFmtId="172" fontId="8" fillId="10" borderId="113" xfId="2" applyNumberFormat="1" applyFont="1" applyFill="1" applyBorder="1" applyAlignment="1">
      <alignment vertical="center"/>
    </xf>
    <xf numFmtId="166" fontId="8" fillId="12" borderId="114" xfId="2" applyFont="1" applyFill="1" applyBorder="1" applyAlignment="1"/>
    <xf numFmtId="172" fontId="11" fillId="10" borderId="115" xfId="2" applyNumberFormat="1" applyFont="1" applyFill="1" applyBorder="1" applyAlignment="1">
      <alignment vertical="center"/>
    </xf>
    <xf numFmtId="166" fontId="8" fillId="12" borderId="116" xfId="2" applyFont="1" applyFill="1" applyBorder="1" applyAlignment="1"/>
    <xf numFmtId="0" fontId="10" fillId="11" borderId="7" xfId="0" applyFont="1" applyFill="1" applyBorder="1" applyAlignment="1">
      <alignment horizontal="center" vertical="center"/>
    </xf>
    <xf numFmtId="0" fontId="0" fillId="2" borderId="63" xfId="0" applyFill="1" applyBorder="1" applyAlignment="1">
      <alignment vertical="center" wrapText="1"/>
    </xf>
    <xf numFmtId="176" fontId="10" fillId="2" borderId="20" xfId="0" applyNumberFormat="1" applyFont="1" applyFill="1" applyBorder="1" applyAlignment="1">
      <alignment horizontal="center" vertical="center"/>
    </xf>
    <xf numFmtId="166" fontId="21" fillId="11" borderId="26" xfId="2" applyFont="1" applyFill="1" applyBorder="1" applyAlignment="1">
      <alignment horizontal="center" vertical="center" wrapText="1"/>
    </xf>
    <xf numFmtId="166" fontId="21" fillId="11" borderId="46" xfId="2" applyFont="1" applyFill="1" applyBorder="1" applyAlignment="1">
      <alignment horizontal="center" vertical="center" wrapText="1"/>
    </xf>
    <xf numFmtId="166" fontId="11" fillId="11" borderId="45" xfId="2" applyFont="1" applyFill="1" applyBorder="1" applyAlignment="1">
      <alignment horizontal="center" vertical="center" wrapText="1"/>
    </xf>
    <xf numFmtId="0" fontId="8" fillId="6" borderId="30" xfId="0" applyFont="1" applyFill="1" applyBorder="1" applyAlignment="1">
      <alignment vertical="center"/>
    </xf>
    <xf numFmtId="165" fontId="0" fillId="6" borderId="31" xfId="0" applyNumberFormat="1" applyFill="1" applyBorder="1" applyAlignment="1">
      <alignment vertical="center" wrapText="1"/>
    </xf>
    <xf numFmtId="165" fontId="0" fillId="6" borderId="47" xfId="0" applyNumberFormat="1" applyFill="1" applyBorder="1" applyAlignment="1">
      <alignment vertical="center" wrapText="1"/>
    </xf>
    <xf numFmtId="0" fontId="8" fillId="6" borderId="33" xfId="0" applyFont="1" applyFill="1" applyBorder="1" applyAlignment="1">
      <alignment vertical="center"/>
    </xf>
    <xf numFmtId="165" fontId="0" fillId="6" borderId="1" xfId="0" applyNumberFormat="1" applyFill="1" applyBorder="1" applyAlignment="1">
      <alignment vertical="center" wrapText="1"/>
    </xf>
    <xf numFmtId="165" fontId="0" fillId="6" borderId="43" xfId="0" applyNumberFormat="1" applyFill="1" applyBorder="1" applyAlignment="1">
      <alignment vertical="center" wrapText="1"/>
    </xf>
    <xf numFmtId="0" fontId="8" fillId="6" borderId="35" xfId="0" applyFont="1" applyFill="1" applyBorder="1" applyAlignment="1">
      <alignment vertical="center"/>
    </xf>
    <xf numFmtId="165" fontId="0" fillId="6" borderId="36" xfId="0" applyNumberFormat="1" applyFill="1" applyBorder="1" applyAlignment="1">
      <alignment vertical="center" wrapText="1"/>
    </xf>
    <xf numFmtId="165" fontId="0" fillId="6" borderId="44" xfId="0" applyNumberFormat="1" applyFill="1" applyBorder="1" applyAlignment="1">
      <alignment vertical="center" wrapText="1"/>
    </xf>
    <xf numFmtId="0" fontId="8" fillId="10" borderId="30" xfId="0" applyFont="1" applyFill="1" applyBorder="1" applyAlignment="1">
      <alignment vertical="center"/>
    </xf>
    <xf numFmtId="165" fontId="0" fillId="10" borderId="31" xfId="0" applyNumberFormat="1" applyFill="1" applyBorder="1" applyAlignment="1">
      <alignment vertical="center" wrapText="1"/>
    </xf>
    <xf numFmtId="165" fontId="0" fillId="10" borderId="47" xfId="0" applyNumberFormat="1" applyFill="1" applyBorder="1" applyAlignment="1">
      <alignment vertical="center" wrapText="1"/>
    </xf>
    <xf numFmtId="0" fontId="8" fillId="10" borderId="33" xfId="0" applyFont="1" applyFill="1" applyBorder="1" applyAlignment="1">
      <alignment vertical="center"/>
    </xf>
    <xf numFmtId="165" fontId="0" fillId="10" borderId="1" xfId="0" applyNumberFormat="1" applyFill="1" applyBorder="1" applyAlignment="1">
      <alignment vertical="center" wrapText="1"/>
    </xf>
    <xf numFmtId="165" fontId="0" fillId="10" borderId="43" xfId="0" applyNumberFormat="1" applyFill="1" applyBorder="1" applyAlignment="1">
      <alignment vertical="center" wrapText="1"/>
    </xf>
    <xf numFmtId="0" fontId="8" fillId="10" borderId="35" xfId="0" applyFont="1" applyFill="1" applyBorder="1" applyAlignment="1">
      <alignment vertical="center"/>
    </xf>
    <xf numFmtId="165" fontId="0" fillId="10" borderId="36" xfId="0" applyNumberFormat="1" applyFill="1" applyBorder="1" applyAlignment="1">
      <alignment vertical="center" wrapText="1"/>
    </xf>
    <xf numFmtId="165" fontId="0" fillId="10" borderId="44" xfId="0" applyNumberFormat="1" applyFill="1" applyBorder="1" applyAlignment="1">
      <alignment vertical="center" wrapText="1"/>
    </xf>
    <xf numFmtId="0" fontId="10" fillId="11" borderId="42" xfId="0" applyFont="1" applyFill="1" applyBorder="1" applyAlignment="1">
      <alignment vertical="center" wrapText="1"/>
    </xf>
    <xf numFmtId="165" fontId="10" fillId="11" borderId="37" xfId="0" applyNumberFormat="1" applyFont="1" applyFill="1" applyBorder="1" applyAlignment="1">
      <alignment vertical="center" wrapText="1"/>
    </xf>
    <xf numFmtId="165" fontId="10" fillId="11" borderId="38" xfId="0" applyNumberFormat="1" applyFont="1" applyFill="1" applyBorder="1" applyAlignment="1">
      <alignment vertical="center" wrapText="1"/>
    </xf>
    <xf numFmtId="0" fontId="10" fillId="11" borderId="61" xfId="0" applyFont="1" applyFill="1" applyBorder="1" applyAlignment="1">
      <alignment horizontal="center" vertical="center"/>
    </xf>
    <xf numFmtId="0" fontId="10" fillId="11" borderId="3" xfId="0" applyFont="1" applyFill="1" applyBorder="1" applyAlignment="1">
      <alignment horizontal="center" vertical="center"/>
    </xf>
    <xf numFmtId="0" fontId="10" fillId="11"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11" borderId="80" xfId="0" applyFill="1" applyBorder="1"/>
    <xf numFmtId="0" fontId="14" fillId="11" borderId="81" xfId="0" applyFont="1" applyFill="1" applyBorder="1" applyAlignment="1">
      <alignment vertical="center"/>
    </xf>
    <xf numFmtId="0" fontId="0" fillId="11" borderId="81" xfId="0" applyFill="1" applyBorder="1"/>
    <xf numFmtId="0" fontId="4" fillId="11" borderId="81" xfId="0" applyFont="1" applyFill="1" applyBorder="1" applyAlignment="1">
      <alignment vertical="center"/>
    </xf>
    <xf numFmtId="0" fontId="0" fillId="11" borderId="81" xfId="0" applyFill="1" applyBorder="1" applyAlignment="1">
      <alignment wrapText="1"/>
    </xf>
    <xf numFmtId="0" fontId="10" fillId="11" borderId="33" xfId="0" applyFont="1" applyFill="1" applyBorder="1" applyAlignment="1">
      <alignment horizontal="center"/>
    </xf>
    <xf numFmtId="0" fontId="10" fillId="11" borderId="1" xfId="0" applyFont="1" applyFill="1" applyBorder="1" applyAlignment="1">
      <alignment horizontal="center"/>
    </xf>
    <xf numFmtId="0" fontId="10" fillId="11" borderId="43" xfId="0" applyFont="1" applyFill="1" applyBorder="1" applyAlignment="1">
      <alignment horizontal="center"/>
    </xf>
    <xf numFmtId="0" fontId="20" fillId="11" borderId="53" xfId="0" applyFont="1" applyFill="1" applyBorder="1" applyAlignment="1">
      <alignment horizontal="center"/>
    </xf>
    <xf numFmtId="165" fontId="10" fillId="20" borderId="57" xfId="6" applyFont="1" applyFill="1" applyBorder="1" applyAlignment="1">
      <alignment horizontal="center"/>
    </xf>
    <xf numFmtId="165" fontId="10" fillId="20" borderId="58" xfId="6" applyFont="1" applyFill="1" applyBorder="1" applyAlignment="1">
      <alignment horizontal="center"/>
    </xf>
    <xf numFmtId="165" fontId="10" fillId="20" borderId="59" xfId="6" applyFont="1" applyFill="1" applyBorder="1" applyAlignment="1">
      <alignment horizontal="center"/>
    </xf>
    <xf numFmtId="165" fontId="10" fillId="20" borderId="57" xfId="6" applyFont="1" applyFill="1" applyBorder="1" applyAlignment="1">
      <alignment horizontal="left" vertical="center"/>
    </xf>
    <xf numFmtId="165" fontId="10" fillId="20" borderId="53" xfId="6" applyFont="1" applyFill="1" applyBorder="1" applyAlignment="1">
      <alignment horizontal="center"/>
    </xf>
    <xf numFmtId="165" fontId="10" fillId="20" borderId="67" xfId="6" applyFont="1" applyFill="1" applyBorder="1" applyAlignment="1">
      <alignment horizontal="center"/>
    </xf>
    <xf numFmtId="0" fontId="10" fillId="20" borderId="19" xfId="0" applyFont="1" applyFill="1" applyBorder="1"/>
    <xf numFmtId="165" fontId="10" fillId="20" borderId="21" xfId="6" applyFont="1" applyFill="1" applyBorder="1" applyAlignment="1">
      <alignment horizontal="center"/>
    </xf>
    <xf numFmtId="165" fontId="10" fillId="20" borderId="70" xfId="6" applyFont="1" applyFill="1" applyBorder="1" applyAlignment="1">
      <alignment horizontal="center"/>
    </xf>
    <xf numFmtId="0" fontId="0" fillId="2" borderId="0" xfId="0" applyFill="1" applyAlignment="1">
      <alignment vertical="center"/>
    </xf>
    <xf numFmtId="0" fontId="10" fillId="11" borderId="71" xfId="0" applyFont="1" applyFill="1" applyBorder="1" applyAlignment="1">
      <alignment horizontal="center" vertical="center"/>
    </xf>
    <xf numFmtId="0" fontId="10" fillId="11" borderId="21" xfId="0" applyFont="1" applyFill="1" applyBorder="1" applyAlignment="1">
      <alignment horizontal="center" vertical="center"/>
    </xf>
    <xf numFmtId="0" fontId="10" fillId="11" borderId="70" xfId="0" applyFont="1" applyFill="1" applyBorder="1" applyAlignment="1">
      <alignment horizontal="center" vertical="center"/>
    </xf>
    <xf numFmtId="0" fontId="10" fillId="11"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0" fillId="0" borderId="54" xfId="6" applyFont="1" applyBorder="1" applyAlignment="1">
      <alignment horizontal="center" vertical="center"/>
    </xf>
    <xf numFmtId="165" fontId="0" fillId="0" borderId="36" xfId="6" applyFont="1" applyBorder="1" applyAlignment="1">
      <alignment horizontal="center" vertical="center"/>
    </xf>
    <xf numFmtId="165" fontId="0" fillId="0" borderId="39" xfId="6" applyFont="1" applyBorder="1" applyAlignment="1">
      <alignment horizontal="center" vertical="center"/>
    </xf>
    <xf numFmtId="165" fontId="10" fillId="20" borderId="59" xfId="6" applyFont="1" applyFill="1" applyBorder="1" applyAlignment="1">
      <alignment horizontal="center" vertical="center"/>
    </xf>
    <xf numFmtId="0" fontId="0" fillId="2" borderId="60" xfId="0" applyFill="1" applyBorder="1" applyAlignment="1">
      <alignment horizontal="left" vertical="center"/>
    </xf>
    <xf numFmtId="0" fontId="13" fillId="11" borderId="82" xfId="0" applyFont="1" applyFill="1" applyBorder="1" applyAlignment="1">
      <alignment horizontal="left"/>
    </xf>
    <xf numFmtId="0" fontId="13" fillId="11" borderId="83" xfId="0" applyFont="1" applyFill="1" applyBorder="1" applyAlignment="1">
      <alignment horizontal="left"/>
    </xf>
    <xf numFmtId="0" fontId="13" fillId="11" borderId="84" xfId="0" applyFont="1" applyFill="1" applyBorder="1" applyAlignment="1">
      <alignment horizontal="left"/>
    </xf>
    <xf numFmtId="0" fontId="13" fillId="11" borderId="96" xfId="0" applyFont="1" applyFill="1" applyBorder="1" applyAlignment="1">
      <alignment horizontal="left"/>
    </xf>
    <xf numFmtId="0" fontId="18" fillId="11" borderId="13" xfId="0" applyFont="1" applyFill="1" applyBorder="1" applyAlignment="1">
      <alignment horizontal="center" vertical="center" wrapText="1"/>
    </xf>
    <xf numFmtId="0" fontId="18" fillId="11" borderId="8" xfId="0" applyFont="1" applyFill="1" applyBorder="1" applyAlignment="1">
      <alignment horizontal="center" vertical="center" wrapText="1"/>
    </xf>
    <xf numFmtId="0" fontId="18" fillId="11" borderId="9" xfId="0" applyFont="1" applyFill="1" applyBorder="1" applyAlignment="1">
      <alignment horizontal="center" vertical="center" wrapText="1"/>
    </xf>
    <xf numFmtId="0" fontId="18" fillId="11" borderId="14"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18" fillId="11" borderId="10" xfId="0" applyFont="1" applyFill="1" applyBorder="1" applyAlignment="1">
      <alignment horizontal="center" vertical="center" wrapText="1"/>
    </xf>
    <xf numFmtId="0" fontId="18" fillId="11" borderId="15" xfId="0" applyFont="1" applyFill="1" applyBorder="1" applyAlignment="1">
      <alignment horizontal="center" vertical="center" wrapText="1"/>
    </xf>
    <xf numFmtId="0" fontId="18" fillId="11" borderId="11" xfId="0" applyFont="1" applyFill="1" applyBorder="1" applyAlignment="1">
      <alignment horizontal="center" vertical="center" wrapText="1"/>
    </xf>
    <xf numFmtId="0" fontId="18" fillId="11" borderId="12" xfId="0" applyFont="1" applyFill="1" applyBorder="1" applyAlignment="1">
      <alignment horizontal="center" vertical="center" wrapText="1"/>
    </xf>
    <xf numFmtId="0" fontId="18" fillId="11" borderId="4"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6" fillId="2" borderId="90" xfId="0" applyFont="1" applyFill="1" applyBorder="1" applyAlignment="1">
      <alignment horizontal="left" vertical="center" wrapText="1"/>
    </xf>
    <xf numFmtId="0" fontId="6" fillId="2" borderId="91" xfId="0" applyFont="1" applyFill="1" applyBorder="1" applyAlignment="1">
      <alignment horizontal="left" vertical="center" wrapText="1"/>
    </xf>
    <xf numFmtId="0" fontId="6" fillId="2" borderId="92" xfId="0" applyFont="1" applyFill="1" applyBorder="1" applyAlignment="1">
      <alignment horizontal="left" vertical="center" wrapText="1"/>
    </xf>
    <xf numFmtId="0" fontId="6" fillId="2" borderId="85" xfId="0" applyFont="1" applyFill="1" applyBorder="1" applyAlignment="1">
      <alignment horizontal="left" vertical="center" wrapText="1"/>
    </xf>
    <xf numFmtId="0" fontId="6" fillId="2" borderId="86" xfId="0" applyFont="1" applyFill="1" applyBorder="1" applyAlignment="1">
      <alignment horizontal="left" vertical="center" wrapText="1"/>
    </xf>
    <xf numFmtId="0" fontId="6" fillId="2" borderId="87" xfId="0" applyFont="1" applyFill="1" applyBorder="1" applyAlignment="1">
      <alignment horizontal="left" vertical="center" wrapText="1"/>
    </xf>
    <xf numFmtId="0" fontId="6" fillId="2" borderId="93" xfId="0" applyFont="1" applyFill="1" applyBorder="1" applyAlignment="1">
      <alignment horizontal="left" vertical="center" wrapText="1"/>
    </xf>
    <xf numFmtId="0" fontId="6" fillId="2" borderId="94" xfId="0" applyFont="1" applyFill="1" applyBorder="1" applyAlignment="1">
      <alignment horizontal="left" vertical="center" wrapText="1"/>
    </xf>
    <xf numFmtId="0" fontId="6" fillId="2" borderId="95" xfId="0" applyFont="1" applyFill="1" applyBorder="1" applyAlignment="1">
      <alignment horizontal="left" vertical="center" wrapText="1"/>
    </xf>
    <xf numFmtId="0" fontId="27" fillId="6" borderId="33" xfId="0" applyFont="1" applyFill="1" applyBorder="1" applyAlignment="1">
      <alignment horizontal="center" vertical="center" wrapText="1"/>
    </xf>
    <xf numFmtId="0" fontId="27" fillId="6" borderId="24" xfId="0" applyFont="1" applyFill="1" applyBorder="1" applyAlignment="1">
      <alignment horizontal="center" vertical="center" wrapText="1"/>
    </xf>
    <xf numFmtId="0" fontId="13" fillId="11" borderId="98" xfId="0" applyFont="1" applyFill="1" applyBorder="1" applyAlignment="1">
      <alignment horizontal="left"/>
    </xf>
    <xf numFmtId="0" fontId="13" fillId="11" borderId="91" xfId="0" applyFont="1" applyFill="1" applyBorder="1" applyAlignment="1">
      <alignment horizontal="left"/>
    </xf>
    <xf numFmtId="0" fontId="13" fillId="11" borderId="99" xfId="0" applyFont="1" applyFill="1" applyBorder="1" applyAlignment="1">
      <alignment horizontal="left"/>
    </xf>
    <xf numFmtId="0" fontId="13" fillId="11" borderId="88" xfId="0" applyFont="1" applyFill="1" applyBorder="1" applyAlignment="1">
      <alignment horizontal="left"/>
    </xf>
    <xf numFmtId="0" fontId="13" fillId="11" borderId="89" xfId="0" applyFont="1" applyFill="1" applyBorder="1" applyAlignment="1">
      <alignment horizontal="left"/>
    </xf>
    <xf numFmtId="0" fontId="27" fillId="6" borderId="30" xfId="0" applyFont="1" applyFill="1" applyBorder="1" applyAlignment="1">
      <alignment horizontal="center" vertical="center" wrapText="1"/>
    </xf>
    <xf numFmtId="0" fontId="27" fillId="6" borderId="22" xfId="0" applyFont="1" applyFill="1" applyBorder="1" applyAlignment="1">
      <alignment horizontal="center" vertical="center" wrapText="1"/>
    </xf>
    <xf numFmtId="0" fontId="27" fillId="6" borderId="35" xfId="0" applyFont="1" applyFill="1" applyBorder="1" applyAlignment="1">
      <alignment horizontal="center" vertical="center" wrapText="1"/>
    </xf>
    <xf numFmtId="0" fontId="27" fillId="6" borderId="39" xfId="0" applyFont="1" applyFill="1" applyBorder="1" applyAlignment="1">
      <alignment horizontal="center" vertical="center" wrapText="1"/>
    </xf>
    <xf numFmtId="0" fontId="18" fillId="20" borderId="16" xfId="0" applyFont="1" applyFill="1" applyBorder="1" applyAlignment="1">
      <alignment horizontal="center" vertical="center" wrapText="1"/>
    </xf>
    <xf numFmtId="0" fontId="18" fillId="20" borderId="7" xfId="0" applyFont="1" applyFill="1" applyBorder="1" applyAlignment="1">
      <alignment horizontal="center" vertical="center" wrapText="1"/>
    </xf>
    <xf numFmtId="0" fontId="27" fillId="10" borderId="30" xfId="0" applyFont="1" applyFill="1" applyBorder="1" applyAlignment="1">
      <alignment horizontal="center" vertical="center" wrapText="1"/>
    </xf>
    <xf numFmtId="0" fontId="27" fillId="10" borderId="47" xfId="0" applyFont="1" applyFill="1" applyBorder="1" applyAlignment="1">
      <alignment horizontal="center" vertical="center" wrapText="1"/>
    </xf>
    <xf numFmtId="0" fontId="27" fillId="10" borderId="33" xfId="0" applyFont="1" applyFill="1" applyBorder="1" applyAlignment="1">
      <alignment horizontal="center" vertical="center" wrapText="1"/>
    </xf>
    <xf numFmtId="0" fontId="27" fillId="10" borderId="43" xfId="0" applyFont="1" applyFill="1" applyBorder="1" applyAlignment="1">
      <alignment horizontal="center" vertical="center" wrapText="1"/>
    </xf>
    <xf numFmtId="0" fontId="27" fillId="10" borderId="100" xfId="0" applyFont="1" applyFill="1" applyBorder="1" applyAlignment="1">
      <alignment horizontal="center" vertical="center" wrapText="1"/>
    </xf>
    <xf numFmtId="0" fontId="27" fillId="10" borderId="97" xfId="0" applyFont="1" applyFill="1" applyBorder="1" applyAlignment="1">
      <alignment horizontal="center" vertical="center" wrapText="1"/>
    </xf>
    <xf numFmtId="0" fontId="27" fillId="10" borderId="14" xfId="0" applyFont="1" applyFill="1" applyBorder="1" applyAlignment="1">
      <alignment horizontal="center" vertical="center" wrapText="1"/>
    </xf>
    <xf numFmtId="0" fontId="27" fillId="10" borderId="10"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0" fillId="21" borderId="24" xfId="0" applyFont="1" applyFill="1" applyBorder="1" applyAlignment="1">
      <alignment horizontal="center" vertical="center"/>
    </xf>
    <xf numFmtId="0" fontId="0" fillId="21" borderId="2" xfId="0" applyFont="1" applyFill="1" applyBorder="1" applyAlignment="1">
      <alignment horizontal="center" vertical="center"/>
    </xf>
    <xf numFmtId="0" fontId="0" fillId="21" borderId="48" xfId="0" applyFont="1" applyFill="1" applyBorder="1" applyAlignment="1">
      <alignment horizontal="center" vertical="center"/>
    </xf>
    <xf numFmtId="0" fontId="0" fillId="21" borderId="49" xfId="0" applyFont="1" applyFill="1" applyBorder="1" applyAlignment="1">
      <alignment horizontal="center" vertical="center"/>
    </xf>
    <xf numFmtId="0" fontId="10" fillId="11" borderId="0" xfId="0" applyFont="1" applyFill="1" applyBorder="1" applyAlignment="1">
      <alignment horizontal="center" vertical="center"/>
    </xf>
    <xf numFmtId="0" fontId="10" fillId="11" borderId="10" xfId="0" applyFont="1" applyFill="1" applyBorder="1" applyAlignment="1">
      <alignment horizontal="center" vertical="center"/>
    </xf>
    <xf numFmtId="9" fontId="10" fillId="7" borderId="48" xfId="3" applyFont="1" applyFill="1" applyBorder="1" applyAlignment="1">
      <alignment horizontal="center" vertical="center"/>
    </xf>
    <xf numFmtId="9" fontId="10" fillId="7" borderId="49" xfId="3" applyFont="1" applyFill="1" applyBorder="1" applyAlignment="1">
      <alignment horizontal="center" vertical="center"/>
    </xf>
    <xf numFmtId="0" fontId="0" fillId="21" borderId="1" xfId="0" applyFont="1" applyFill="1" applyBorder="1" applyAlignment="1">
      <alignment horizontal="center" vertical="center"/>
    </xf>
    <xf numFmtId="0" fontId="10" fillId="11" borderId="40" xfId="0" applyFont="1" applyFill="1" applyBorder="1" applyAlignment="1">
      <alignment horizontal="center" vertical="center"/>
    </xf>
    <xf numFmtId="0" fontId="10" fillId="11" borderId="32" xfId="0" applyFont="1" applyFill="1" applyBorder="1" applyAlignment="1">
      <alignment horizontal="center" vertical="center"/>
    </xf>
    <xf numFmtId="0" fontId="0" fillId="21" borderId="50" xfId="0" applyFont="1" applyFill="1" applyBorder="1" applyAlignment="1">
      <alignment horizontal="center" vertical="center"/>
    </xf>
    <xf numFmtId="0" fontId="0" fillId="21" borderId="54" xfId="0" applyFont="1" applyFill="1" applyBorder="1" applyAlignment="1">
      <alignment horizontal="center" vertical="center"/>
    </xf>
    <xf numFmtId="0" fontId="0" fillId="21" borderId="39" xfId="0" applyFont="1" applyFill="1" applyBorder="1" applyAlignment="1">
      <alignment horizontal="center" vertical="center"/>
    </xf>
    <xf numFmtId="0" fontId="6" fillId="2" borderId="16" xfId="0" applyFont="1" applyFill="1" applyBorder="1" applyAlignment="1">
      <alignment horizontal="left" vertical="center" wrapText="1"/>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xf>
    <xf numFmtId="0" fontId="20" fillId="2" borderId="16" xfId="0" applyFont="1" applyFill="1" applyBorder="1" applyAlignment="1">
      <alignment horizontal="left" vertical="center" wrapText="1"/>
    </xf>
    <xf numFmtId="0" fontId="20" fillId="2" borderId="17" xfId="0" applyFont="1" applyFill="1" applyBorder="1" applyAlignment="1">
      <alignment horizontal="left" vertical="center"/>
    </xf>
    <xf numFmtId="0" fontId="20" fillId="2" borderId="7" xfId="0" applyFont="1" applyFill="1" applyBorder="1" applyAlignment="1">
      <alignment horizontal="left" vertical="center"/>
    </xf>
    <xf numFmtId="0" fontId="8" fillId="2" borderId="13"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horizontal="left" vertical="top" wrapText="1"/>
    </xf>
    <xf numFmtId="0" fontId="19" fillId="19" borderId="16" xfId="0" applyFont="1" applyFill="1" applyBorder="1" applyAlignment="1">
      <alignment horizontal="left"/>
    </xf>
    <xf numFmtId="0" fontId="19" fillId="19" borderId="17" xfId="0" applyFont="1" applyFill="1" applyBorder="1" applyAlignment="1">
      <alignment horizontal="left"/>
    </xf>
    <xf numFmtId="0" fontId="19" fillId="19" borderId="7" xfId="0" applyFont="1" applyFill="1" applyBorder="1" applyAlignment="1">
      <alignment horizontal="left"/>
    </xf>
    <xf numFmtId="0" fontId="7" fillId="11" borderId="41" xfId="0" applyFont="1" applyFill="1" applyBorder="1" applyAlignment="1">
      <alignment horizontal="center" vertical="center"/>
    </xf>
    <xf numFmtId="0" fontId="7" fillId="11" borderId="34" xfId="0" applyFont="1" applyFill="1" applyBorder="1" applyAlignment="1">
      <alignment horizontal="center" vertical="center"/>
    </xf>
    <xf numFmtId="0" fontId="10" fillId="11" borderId="8" xfId="0" applyFont="1" applyFill="1" applyBorder="1" applyAlignment="1">
      <alignment horizontal="center" vertical="center"/>
    </xf>
    <xf numFmtId="0" fontId="10" fillId="11" borderId="9" xfId="0" applyFont="1" applyFill="1" applyBorder="1" applyAlignment="1">
      <alignment horizontal="center" vertical="center"/>
    </xf>
    <xf numFmtId="0" fontId="10" fillId="11" borderId="13" xfId="0" applyFont="1" applyFill="1" applyBorder="1" applyAlignment="1">
      <alignment horizontal="center" vertical="center"/>
    </xf>
    <xf numFmtId="0" fontId="13" fillId="19" borderId="16" xfId="0" applyFont="1" applyFill="1" applyBorder="1" applyAlignment="1">
      <alignment horizontal="center"/>
    </xf>
    <xf numFmtId="0" fontId="13" fillId="19" borderId="17" xfId="0" applyFont="1" applyFill="1" applyBorder="1" applyAlignment="1">
      <alignment horizontal="center"/>
    </xf>
    <xf numFmtId="0" fontId="13" fillId="19" borderId="7" xfId="0" applyFont="1" applyFill="1" applyBorder="1" applyAlignment="1">
      <alignment horizontal="center"/>
    </xf>
    <xf numFmtId="166" fontId="21" fillId="11" borderId="51" xfId="2" applyFont="1" applyFill="1" applyBorder="1" applyAlignment="1">
      <alignment horizontal="center" vertical="center"/>
    </xf>
    <xf numFmtId="166" fontId="21" fillId="11" borderId="48" xfId="2" applyFont="1" applyFill="1" applyBorder="1" applyAlignment="1">
      <alignment horizontal="center" vertical="center"/>
    </xf>
    <xf numFmtId="166" fontId="21" fillId="11" borderId="50" xfId="2" applyFont="1" applyFill="1" applyBorder="1" applyAlignment="1">
      <alignment horizontal="center" vertical="center"/>
    </xf>
    <xf numFmtId="166" fontId="21" fillId="11" borderId="27" xfId="2" applyFont="1" applyFill="1" applyBorder="1" applyAlignment="1">
      <alignment horizontal="center" vertical="center"/>
    </xf>
    <xf numFmtId="166" fontId="21" fillId="11" borderId="24" xfId="2" applyFont="1" applyFill="1" applyBorder="1" applyAlignment="1">
      <alignment horizontal="center" vertical="center"/>
    </xf>
    <xf numFmtId="166" fontId="21" fillId="11" borderId="39" xfId="2" applyFont="1" applyFill="1" applyBorder="1" applyAlignment="1">
      <alignment horizontal="center" vertical="center"/>
    </xf>
    <xf numFmtId="166" fontId="21" fillId="11" borderId="52" xfId="2" applyFont="1" applyFill="1" applyBorder="1" applyAlignment="1">
      <alignment horizontal="center" vertical="center"/>
    </xf>
    <xf numFmtId="166" fontId="21" fillId="11" borderId="41" xfId="2" applyFont="1" applyFill="1" applyBorder="1" applyAlignment="1">
      <alignment horizontal="center" vertical="center"/>
    </xf>
    <xf numFmtId="166" fontId="21" fillId="11" borderId="42" xfId="2" applyFont="1" applyFill="1" applyBorder="1" applyAlignment="1">
      <alignment horizontal="center" vertical="center"/>
    </xf>
    <xf numFmtId="166" fontId="21" fillId="11" borderId="34" xfId="2" applyFont="1" applyFill="1" applyBorder="1" applyAlignment="1">
      <alignment horizontal="center" vertical="center"/>
    </xf>
    <xf numFmtId="166" fontId="21" fillId="11" borderId="38" xfId="2" applyFont="1" applyFill="1" applyBorder="1" applyAlignment="1">
      <alignment horizontal="center" vertical="center"/>
    </xf>
    <xf numFmtId="0" fontId="10" fillId="11" borderId="51" xfId="0" applyFont="1" applyFill="1" applyBorder="1" applyAlignment="1">
      <alignment horizontal="center" vertical="center"/>
    </xf>
    <xf numFmtId="166" fontId="21" fillId="11" borderId="40" xfId="2" applyFont="1" applyFill="1" applyBorder="1" applyAlignment="1">
      <alignment horizontal="center" vertical="center"/>
    </xf>
    <xf numFmtId="166" fontId="21" fillId="11" borderId="32" xfId="2" applyFont="1" applyFill="1" applyBorder="1" applyAlignment="1">
      <alignment horizontal="center" vertical="center"/>
    </xf>
    <xf numFmtId="0" fontId="0" fillId="21" borderId="31" xfId="0" applyFont="1" applyFill="1" applyBorder="1" applyAlignment="1">
      <alignment horizontal="center" vertical="center"/>
    </xf>
    <xf numFmtId="0" fontId="0" fillId="21" borderId="47" xfId="0" applyFont="1" applyFill="1" applyBorder="1" applyAlignment="1">
      <alignment horizontal="center" vertical="center"/>
    </xf>
    <xf numFmtId="0" fontId="0" fillId="21" borderId="43" xfId="0" applyFont="1" applyFill="1" applyBorder="1" applyAlignment="1">
      <alignment horizontal="center" vertical="center"/>
    </xf>
    <xf numFmtId="166" fontId="21" fillId="11" borderId="45" xfId="2" applyFont="1" applyFill="1" applyBorder="1" applyAlignment="1">
      <alignment horizontal="center" vertical="center"/>
    </xf>
    <xf numFmtId="166" fontId="21" fillId="11" borderId="46" xfId="2" applyFont="1" applyFill="1" applyBorder="1" applyAlignment="1">
      <alignment horizontal="center" vertical="center"/>
    </xf>
    <xf numFmtId="0" fontId="6" fillId="2" borderId="16" xfId="0" applyFont="1" applyFill="1" applyBorder="1" applyAlignment="1">
      <alignment horizontal="left" vertical="top" wrapText="1"/>
    </xf>
    <xf numFmtId="0" fontId="6" fillId="2" borderId="8" xfId="0" applyFont="1" applyFill="1" applyBorder="1" applyAlignment="1">
      <alignment horizontal="left" vertical="top"/>
    </xf>
    <xf numFmtId="0" fontId="6" fillId="2" borderId="17" xfId="0" applyFont="1" applyFill="1" applyBorder="1" applyAlignment="1">
      <alignment horizontal="left" vertical="top"/>
    </xf>
    <xf numFmtId="0" fontId="6" fillId="2" borderId="7" xfId="0" applyFont="1" applyFill="1" applyBorder="1" applyAlignment="1">
      <alignment horizontal="left" vertical="top"/>
    </xf>
    <xf numFmtId="166" fontId="21" fillId="11" borderId="22" xfId="2" applyFont="1" applyFill="1" applyBorder="1" applyAlignment="1">
      <alignment horizontal="center" vertical="center"/>
    </xf>
    <xf numFmtId="0" fontId="29" fillId="11" borderId="103" xfId="0" applyFont="1" applyFill="1" applyBorder="1" applyAlignment="1">
      <alignment horizontal="center"/>
    </xf>
    <xf numFmtId="0" fontId="29" fillId="11" borderId="104" xfId="0" applyFont="1" applyFill="1" applyBorder="1" applyAlignment="1">
      <alignment horizontal="center"/>
    </xf>
    <xf numFmtId="0" fontId="28" fillId="8" borderId="13" xfId="0" applyFont="1" applyFill="1" applyBorder="1" applyAlignment="1">
      <alignment horizontal="center" vertical="center"/>
    </xf>
    <xf numFmtId="0" fontId="28" fillId="8" borderId="9" xfId="0" applyFont="1" applyFill="1" applyBorder="1" applyAlignment="1">
      <alignment horizontal="center" vertical="center"/>
    </xf>
    <xf numFmtId="0" fontId="28" fillId="8" borderId="14" xfId="0" applyFont="1" applyFill="1" applyBorder="1" applyAlignment="1">
      <alignment horizontal="center" vertical="center"/>
    </xf>
    <xf numFmtId="0" fontId="28" fillId="8" borderId="10" xfId="0" applyFont="1" applyFill="1" applyBorder="1" applyAlignment="1">
      <alignment horizontal="center" vertical="center"/>
    </xf>
    <xf numFmtId="0" fontId="28" fillId="8" borderId="15" xfId="0" applyFont="1" applyFill="1" applyBorder="1" applyAlignment="1">
      <alignment horizontal="center" vertical="center"/>
    </xf>
    <xf numFmtId="0" fontId="28" fillId="8" borderId="12" xfId="0" applyFont="1" applyFill="1" applyBorder="1" applyAlignment="1">
      <alignment horizontal="center" vertical="center"/>
    </xf>
    <xf numFmtId="0" fontId="0" fillId="21" borderId="23" xfId="0" applyFont="1" applyFill="1" applyBorder="1" applyAlignment="1">
      <alignment horizontal="center" vertical="center"/>
    </xf>
    <xf numFmtId="0" fontId="29" fillId="11" borderId="11" xfId="0" applyFont="1" applyFill="1" applyBorder="1" applyAlignment="1">
      <alignment horizontal="left"/>
    </xf>
    <xf numFmtId="0" fontId="29" fillId="11" borderId="12" xfId="0" applyFont="1" applyFill="1" applyBorder="1" applyAlignment="1">
      <alignment horizontal="left"/>
    </xf>
    <xf numFmtId="0" fontId="13" fillId="19" borderId="16" xfId="0" applyFont="1" applyFill="1" applyBorder="1" applyAlignment="1">
      <alignment horizontal="left"/>
    </xf>
    <xf numFmtId="0" fontId="13" fillId="19" borderId="17" xfId="0" applyFont="1" applyFill="1" applyBorder="1" applyAlignment="1">
      <alignment horizontal="left"/>
    </xf>
    <xf numFmtId="0" fontId="13" fillId="19" borderId="7" xfId="0" applyFont="1" applyFill="1" applyBorder="1" applyAlignment="1">
      <alignment horizontal="left"/>
    </xf>
    <xf numFmtId="166" fontId="21" fillId="11" borderId="29" xfId="2" applyFont="1" applyFill="1" applyBorder="1" applyAlignment="1">
      <alignment horizontal="center" vertical="center"/>
    </xf>
    <xf numFmtId="0" fontId="10" fillId="11" borderId="18" xfId="0" applyFont="1" applyFill="1" applyBorder="1" applyAlignment="1">
      <alignment horizontal="center" vertical="center"/>
    </xf>
    <xf numFmtId="9" fontId="10" fillId="7" borderId="25" xfId="3" applyFont="1" applyFill="1" applyBorder="1" applyAlignment="1">
      <alignment horizontal="center" vertical="center"/>
    </xf>
    <xf numFmtId="0" fontId="0" fillId="21" borderId="36" xfId="0" applyFont="1" applyFill="1" applyBorder="1" applyAlignment="1">
      <alignment horizontal="center" vertical="center"/>
    </xf>
    <xf numFmtId="0" fontId="29" fillId="8" borderId="30"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41" xfId="0" applyFont="1" applyFill="1" applyBorder="1" applyAlignment="1">
      <alignment horizontal="center" vertical="center"/>
    </xf>
    <xf numFmtId="0" fontId="29" fillId="8" borderId="34" xfId="0" applyFont="1" applyFill="1" applyBorder="1" applyAlignment="1">
      <alignment horizontal="center" vertical="center"/>
    </xf>
    <xf numFmtId="0" fontId="28" fillId="8" borderId="30" xfId="0" applyFont="1" applyFill="1" applyBorder="1" applyAlignment="1">
      <alignment horizontal="center" vertical="center"/>
    </xf>
    <xf numFmtId="0" fontId="28" fillId="8" borderId="47" xfId="0" applyFont="1" applyFill="1" applyBorder="1" applyAlignment="1">
      <alignment horizontal="center" vertical="center"/>
    </xf>
    <xf numFmtId="0" fontId="28" fillId="8" borderId="33" xfId="0" applyFont="1" applyFill="1" applyBorder="1" applyAlignment="1">
      <alignment horizontal="center" vertical="center"/>
    </xf>
    <xf numFmtId="0" fontId="28" fillId="8" borderId="43" xfId="0" applyFont="1" applyFill="1" applyBorder="1" applyAlignment="1">
      <alignment horizontal="center" vertical="center"/>
    </xf>
    <xf numFmtId="0" fontId="0" fillId="21" borderId="3" xfId="0" applyFont="1" applyFill="1" applyBorder="1" applyAlignment="1">
      <alignment horizontal="center" vertical="center"/>
    </xf>
    <xf numFmtId="0" fontId="0" fillId="21" borderId="44" xfId="0" applyFont="1" applyFill="1" applyBorder="1" applyAlignment="1">
      <alignment horizontal="center" vertical="center"/>
    </xf>
    <xf numFmtId="0" fontId="28" fillId="11" borderId="30" xfId="0" applyFont="1" applyFill="1" applyBorder="1" applyAlignment="1">
      <alignment horizontal="center" vertical="center"/>
    </xf>
    <xf numFmtId="0" fontId="28" fillId="11" borderId="47" xfId="0" applyFont="1" applyFill="1" applyBorder="1" applyAlignment="1">
      <alignment horizontal="center" vertical="center"/>
    </xf>
    <xf numFmtId="0" fontId="28" fillId="11" borderId="33" xfId="0" applyFont="1" applyFill="1" applyBorder="1" applyAlignment="1">
      <alignment horizontal="center" vertical="center"/>
    </xf>
    <xf numFmtId="0" fontId="28" fillId="11" borderId="43" xfId="0" applyFont="1" applyFill="1" applyBorder="1" applyAlignment="1">
      <alignment horizontal="center" vertical="center"/>
    </xf>
    <xf numFmtId="0" fontId="0" fillId="21" borderId="40" xfId="0" applyFont="1" applyFill="1" applyBorder="1" applyAlignment="1">
      <alignment horizontal="center" vertical="center"/>
    </xf>
    <xf numFmtId="0" fontId="0" fillId="21" borderId="22" xfId="0" applyFont="1" applyFill="1" applyBorder="1" applyAlignment="1">
      <alignment horizontal="center" vertical="center"/>
    </xf>
    <xf numFmtId="0" fontId="28" fillId="11" borderId="13"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14" xfId="0" applyFont="1" applyFill="1" applyBorder="1" applyAlignment="1">
      <alignment horizontal="center" vertical="center"/>
    </xf>
    <xf numFmtId="0" fontId="28" fillId="11" borderId="10" xfId="0" applyFont="1" applyFill="1" applyBorder="1" applyAlignment="1">
      <alignment horizontal="center" vertical="center"/>
    </xf>
    <xf numFmtId="0" fontId="0" fillId="21" borderId="66" xfId="0" applyFont="1" applyFill="1" applyBorder="1" applyAlignment="1">
      <alignment horizontal="center" vertical="center"/>
    </xf>
    <xf numFmtId="171" fontId="0" fillId="21" borderId="48" xfId="0" applyNumberFormat="1" applyFill="1" applyBorder="1" applyAlignment="1">
      <alignment horizontal="center" wrapText="1"/>
    </xf>
    <xf numFmtId="171" fontId="0" fillId="21" borderId="49" xfId="0" applyNumberFormat="1" applyFill="1" applyBorder="1" applyAlignment="1">
      <alignment horizontal="center" wrapText="1"/>
    </xf>
    <xf numFmtId="171" fontId="0" fillId="21" borderId="48" xfId="0" applyNumberFormat="1" applyFill="1" applyBorder="1" applyAlignment="1">
      <alignment horizontal="center"/>
    </xf>
    <xf numFmtId="171" fontId="0" fillId="21" borderId="49" xfId="0" applyNumberFormat="1" applyFill="1" applyBorder="1" applyAlignment="1">
      <alignment horizontal="center"/>
    </xf>
    <xf numFmtId="0" fontId="28" fillId="11" borderId="15" xfId="0" applyFont="1" applyFill="1" applyBorder="1" applyAlignment="1">
      <alignment horizontal="center" vertical="center"/>
    </xf>
    <xf numFmtId="0" fontId="28" fillId="11" borderId="12" xfId="0" applyFont="1" applyFill="1" applyBorder="1" applyAlignment="1">
      <alignment horizontal="center" vertical="center"/>
    </xf>
    <xf numFmtId="0" fontId="0" fillId="21" borderId="40" xfId="0" applyFill="1" applyBorder="1" applyAlignment="1">
      <alignment horizontal="center"/>
    </xf>
    <xf numFmtId="0" fontId="0" fillId="21" borderId="32" xfId="0" applyFill="1" applyBorder="1" applyAlignment="1">
      <alignment horizontal="center"/>
    </xf>
    <xf numFmtId="0" fontId="10" fillId="11" borderId="16" xfId="0" applyFont="1" applyFill="1" applyBorder="1" applyAlignment="1">
      <alignment horizontal="center" vertical="center"/>
    </xf>
    <xf numFmtId="0" fontId="10" fillId="11" borderId="7" xfId="0" applyFont="1" applyFill="1" applyBorder="1" applyAlignment="1">
      <alignment horizontal="center" vertical="center"/>
    </xf>
    <xf numFmtId="171" fontId="0" fillId="21" borderId="40" xfId="0" applyNumberFormat="1" applyFill="1" applyBorder="1" applyAlignment="1">
      <alignment horizontal="center"/>
    </xf>
    <xf numFmtId="171" fontId="0" fillId="21" borderId="32" xfId="0" applyNumberFormat="1" applyFill="1" applyBorder="1" applyAlignment="1">
      <alignment horizontal="center"/>
    </xf>
    <xf numFmtId="171" fontId="0" fillId="21" borderId="50" xfId="0" applyNumberFormat="1" applyFill="1" applyBorder="1" applyAlignment="1">
      <alignment horizontal="center"/>
    </xf>
    <xf numFmtId="171" fontId="0" fillId="21" borderId="60" xfId="0" applyNumberFormat="1" applyFill="1" applyBorder="1" applyAlignment="1">
      <alignment horizontal="center"/>
    </xf>
    <xf numFmtId="171" fontId="0" fillId="21" borderId="40" xfId="0" applyNumberFormat="1" applyFill="1" applyBorder="1" applyAlignment="1">
      <alignment horizontal="center" wrapText="1"/>
    </xf>
    <xf numFmtId="171" fontId="0" fillId="21" borderId="32" xfId="0" applyNumberFormat="1" applyFill="1" applyBorder="1" applyAlignment="1">
      <alignment horizontal="center" wrapText="1"/>
    </xf>
    <xf numFmtId="0" fontId="0" fillId="21" borderId="118" xfId="0" applyFont="1" applyFill="1" applyBorder="1" applyAlignment="1">
      <alignment horizontal="center" vertical="center"/>
    </xf>
    <xf numFmtId="0" fontId="0" fillId="21" borderId="107" xfId="0" applyFont="1" applyFill="1" applyBorder="1" applyAlignment="1">
      <alignment horizontal="center" vertical="center"/>
    </xf>
    <xf numFmtId="0" fontId="0" fillId="21" borderId="108" xfId="0" applyFont="1" applyFill="1" applyBorder="1" applyAlignment="1">
      <alignment horizontal="center" vertical="center"/>
    </xf>
    <xf numFmtId="0" fontId="0" fillId="21" borderId="110" xfId="0" applyFont="1" applyFill="1" applyBorder="1" applyAlignment="1">
      <alignment horizontal="center" vertical="center"/>
    </xf>
    <xf numFmtId="171" fontId="0" fillId="21" borderId="25" xfId="0" applyNumberFormat="1" applyFill="1" applyBorder="1" applyAlignment="1">
      <alignment horizontal="center"/>
    </xf>
    <xf numFmtId="0" fontId="0" fillId="21" borderId="120" xfId="0" applyFont="1" applyFill="1" applyBorder="1" applyAlignment="1">
      <alignment horizontal="center" vertical="center"/>
    </xf>
    <xf numFmtId="0" fontId="0" fillId="21" borderId="119" xfId="0" applyFont="1" applyFill="1" applyBorder="1" applyAlignment="1">
      <alignment horizontal="center" vertical="center"/>
    </xf>
    <xf numFmtId="0" fontId="0" fillId="21" borderId="18" xfId="0" applyFill="1" applyBorder="1" applyAlignment="1">
      <alignment horizontal="center"/>
    </xf>
    <xf numFmtId="0" fontId="0" fillId="21" borderId="117" xfId="0" applyFont="1" applyFill="1" applyBorder="1" applyAlignment="1">
      <alignment horizontal="center" vertical="center"/>
    </xf>
    <xf numFmtId="171" fontId="0" fillId="21" borderId="25" xfId="0" applyNumberFormat="1" applyFill="1" applyBorder="1" applyAlignment="1">
      <alignment horizontal="center" wrapText="1"/>
    </xf>
    <xf numFmtId="0" fontId="0" fillId="21" borderId="114" xfId="0" applyFont="1" applyFill="1" applyBorder="1" applyAlignment="1">
      <alignment horizontal="center" vertical="center"/>
    </xf>
    <xf numFmtId="0" fontId="0" fillId="21" borderId="116" xfId="0" applyFont="1" applyFill="1" applyBorder="1" applyAlignment="1">
      <alignment horizontal="center" vertical="center"/>
    </xf>
    <xf numFmtId="0" fontId="0" fillId="21" borderId="111" xfId="0" applyFont="1" applyFill="1" applyBorder="1" applyAlignment="1">
      <alignment horizontal="center" vertical="center"/>
    </xf>
    <xf numFmtId="0" fontId="0" fillId="21" borderId="62" xfId="0" applyFont="1" applyFill="1" applyBorder="1" applyAlignment="1">
      <alignment horizontal="center" vertical="center"/>
    </xf>
    <xf numFmtId="166" fontId="8" fillId="10" borderId="111" xfId="2" applyFont="1" applyFill="1" applyBorder="1" applyAlignment="1">
      <alignment horizontal="left"/>
    </xf>
    <xf numFmtId="166" fontId="8" fillId="10" borderId="112" xfId="2" applyFont="1" applyFill="1" applyBorder="1" applyAlignment="1">
      <alignment horizontal="left"/>
    </xf>
    <xf numFmtId="166" fontId="8" fillId="6" borderId="105" xfId="2" applyFont="1" applyFill="1" applyBorder="1" applyAlignment="1">
      <alignment horizontal="left"/>
    </xf>
    <xf numFmtId="166" fontId="8" fillId="6" borderId="106" xfId="2" applyFont="1" applyFill="1" applyBorder="1" applyAlignment="1">
      <alignment horizontal="left"/>
    </xf>
    <xf numFmtId="0" fontId="11" fillId="7" borderId="45" xfId="0" applyFont="1" applyFill="1" applyBorder="1" applyAlignment="1">
      <alignment horizontal="left"/>
    </xf>
    <xf numFmtId="0" fontId="11" fillId="7" borderId="46" xfId="0" applyFont="1" applyFill="1" applyBorder="1" applyAlignment="1">
      <alignment horizontal="left"/>
    </xf>
    <xf numFmtId="0" fontId="11" fillId="7" borderId="19" xfId="0" applyFont="1" applyFill="1" applyBorder="1" applyAlignment="1">
      <alignment horizontal="left"/>
    </xf>
    <xf numFmtId="0" fontId="11" fillId="7" borderId="20" xfId="0" applyFont="1" applyFill="1" applyBorder="1" applyAlignment="1">
      <alignment horizontal="left"/>
    </xf>
    <xf numFmtId="166" fontId="8" fillId="6" borderId="61" xfId="2" applyFont="1" applyFill="1" applyBorder="1" applyAlignment="1">
      <alignment horizontal="left"/>
    </xf>
    <xf numFmtId="166" fontId="8" fillId="6" borderId="62" xfId="2" applyFont="1" applyFill="1" applyBorder="1" applyAlignment="1">
      <alignment horizontal="left"/>
    </xf>
    <xf numFmtId="166" fontId="8" fillId="10" borderId="35" xfId="2" applyFont="1" applyFill="1" applyBorder="1" applyAlignment="1">
      <alignment horizontal="left"/>
    </xf>
    <xf numFmtId="166" fontId="8" fillId="10" borderId="44" xfId="2" applyFont="1" applyFill="1" applyBorder="1" applyAlignment="1">
      <alignment horizontal="left"/>
    </xf>
    <xf numFmtId="0" fontId="10" fillId="7" borderId="45" xfId="0" applyFont="1" applyFill="1" applyBorder="1" applyAlignment="1">
      <alignment horizontal="left"/>
    </xf>
    <xf numFmtId="0" fontId="10" fillId="7" borderId="46" xfId="0" applyFont="1" applyFill="1" applyBorder="1" applyAlignment="1">
      <alignment horizontal="left"/>
    </xf>
    <xf numFmtId="0" fontId="10" fillId="7" borderId="1" xfId="0" applyFont="1" applyFill="1" applyBorder="1" applyAlignment="1">
      <alignment horizontal="left"/>
    </xf>
    <xf numFmtId="0" fontId="13" fillId="19" borderId="16" xfId="0" applyFont="1" applyFill="1" applyBorder="1" applyAlignment="1">
      <alignment horizontal="center" vertical="center"/>
    </xf>
    <xf numFmtId="0" fontId="13" fillId="19" borderId="17" xfId="0" applyFont="1" applyFill="1" applyBorder="1" applyAlignment="1">
      <alignment horizontal="center" vertical="center"/>
    </xf>
    <xf numFmtId="0" fontId="13" fillId="19" borderId="7" xfId="0" applyFont="1" applyFill="1" applyBorder="1" applyAlignment="1">
      <alignment horizontal="center" vertical="center"/>
    </xf>
    <xf numFmtId="0" fontId="0" fillId="2" borderId="3" xfId="0" applyFill="1" applyBorder="1" applyAlignment="1">
      <alignment horizontal="left" vertical="center" wrapText="1"/>
    </xf>
    <xf numFmtId="0" fontId="10" fillId="11" borderId="1" xfId="0" applyFont="1" applyFill="1" applyBorder="1" applyAlignment="1">
      <alignment horizontal="center" vertical="center"/>
    </xf>
    <xf numFmtId="0" fontId="3" fillId="11" borderId="1" xfId="0"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166" fontId="11" fillId="8" borderId="24" xfId="2" applyFont="1" applyFill="1" applyBorder="1" applyAlignment="1">
      <alignment horizontal="right"/>
    </xf>
    <xf numFmtId="166" fontId="11" fillId="8"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13" fillId="19" borderId="19"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3" fillId="19" borderId="20" xfId="0" applyFont="1" applyFill="1" applyBorder="1" applyAlignment="1">
      <alignment horizontal="center" vertical="center" wrapText="1"/>
    </xf>
    <xf numFmtId="0" fontId="13" fillId="19" borderId="16" xfId="0" applyFont="1" applyFill="1" applyBorder="1" applyAlignment="1">
      <alignment horizontal="center" vertical="center" wrapText="1"/>
    </xf>
    <xf numFmtId="0" fontId="13" fillId="19" borderId="17" xfId="0" applyFont="1" applyFill="1" applyBorder="1" applyAlignment="1">
      <alignment horizontal="center" vertical="center" wrapText="1"/>
    </xf>
    <xf numFmtId="0" fontId="13" fillId="19" borderId="7" xfId="0" applyFont="1" applyFill="1" applyBorder="1" applyAlignment="1">
      <alignment horizontal="center" vertical="center" wrapText="1"/>
    </xf>
    <xf numFmtId="0" fontId="20" fillId="11" borderId="57" xfId="0" applyFont="1" applyFill="1" applyBorder="1" applyAlignment="1">
      <alignment horizontal="center" vertical="center"/>
    </xf>
    <xf numFmtId="0" fontId="20" fillId="11" borderId="58" xfId="0" applyFont="1" applyFill="1" applyBorder="1" applyAlignment="1">
      <alignment horizontal="center" vertical="center"/>
    </xf>
    <xf numFmtId="0" fontId="20" fillId="11" borderId="59" xfId="0" applyFont="1" applyFill="1" applyBorder="1" applyAlignment="1">
      <alignment horizontal="center" vertical="center"/>
    </xf>
    <xf numFmtId="0" fontId="20" fillId="11" borderId="58" xfId="0" applyFont="1" applyFill="1" applyBorder="1" applyAlignment="1">
      <alignment horizontal="center" vertical="center" wrapText="1"/>
    </xf>
    <xf numFmtId="0" fontId="20" fillId="11" borderId="59" xfId="0" applyFont="1" applyFill="1" applyBorder="1" applyAlignment="1">
      <alignment horizontal="center" vertical="center" wrapText="1"/>
    </xf>
    <xf numFmtId="0" fontId="20" fillId="11" borderId="16" xfId="0" applyFont="1" applyFill="1" applyBorder="1" applyAlignment="1">
      <alignment horizontal="center" vertical="center"/>
    </xf>
    <xf numFmtId="0" fontId="20" fillId="11" borderId="7" xfId="0" applyFont="1" applyFill="1" applyBorder="1" applyAlignment="1">
      <alignment horizontal="center" vertical="center"/>
    </xf>
    <xf numFmtId="0" fontId="20" fillId="11" borderId="4" xfId="0" applyFont="1" applyFill="1" applyBorder="1" applyAlignment="1">
      <alignment horizontal="center" vertical="center"/>
    </xf>
    <xf numFmtId="0" fontId="20" fillId="11" borderId="6" xfId="0" applyFont="1" applyFill="1" applyBorder="1" applyAlignment="1">
      <alignment horizontal="center" vertical="center"/>
    </xf>
    <xf numFmtId="0" fontId="10" fillId="5" borderId="57" xfId="0" applyFont="1" applyFill="1" applyBorder="1" applyAlignment="1">
      <alignment horizontal="center" vertical="center" wrapText="1"/>
    </xf>
    <xf numFmtId="0" fontId="10" fillId="5" borderId="58" xfId="0" applyFont="1" applyFill="1" applyBorder="1" applyAlignment="1">
      <alignment horizontal="center" vertical="center" wrapText="1"/>
    </xf>
    <xf numFmtId="0" fontId="10" fillId="5" borderId="59" xfId="0" applyFont="1" applyFill="1" applyBorder="1" applyAlignment="1">
      <alignment horizontal="center" vertical="center" wrapText="1"/>
    </xf>
    <xf numFmtId="0" fontId="10" fillId="5" borderId="27" xfId="0" applyFont="1" applyFill="1" applyBorder="1" applyAlignment="1">
      <alignment horizontal="center"/>
    </xf>
    <xf numFmtId="0" fontId="10" fillId="5" borderId="66" xfId="0" applyFont="1" applyFill="1" applyBorder="1" applyAlignment="1">
      <alignment horizontal="center"/>
    </xf>
    <xf numFmtId="0" fontId="10" fillId="5" borderId="40" xfId="0" applyFont="1" applyFill="1" applyBorder="1" applyAlignment="1">
      <alignment horizontal="center" vertical="center" wrapText="1"/>
    </xf>
    <xf numFmtId="0" fontId="10" fillId="5" borderId="48" xfId="0" applyFont="1" applyFill="1" applyBorder="1" applyAlignment="1">
      <alignment horizontal="center" vertical="center" wrapText="1"/>
    </xf>
    <xf numFmtId="0" fontId="10" fillId="5" borderId="50" xfId="0" applyFont="1" applyFill="1" applyBorder="1" applyAlignment="1">
      <alignment horizontal="center" vertical="center" wrapText="1"/>
    </xf>
    <xf numFmtId="0" fontId="10" fillId="5" borderId="72" xfId="0" applyFont="1" applyFill="1" applyBorder="1" applyAlignment="1">
      <alignment horizontal="center"/>
    </xf>
    <xf numFmtId="0" fontId="13" fillId="5" borderId="19" xfId="0" applyFont="1" applyFill="1" applyBorder="1" applyAlignment="1">
      <alignment horizontal="left"/>
    </xf>
    <xf numFmtId="0" fontId="13" fillId="5" borderId="21" xfId="0" applyFont="1" applyFill="1" applyBorder="1" applyAlignment="1">
      <alignment horizontal="left"/>
    </xf>
    <xf numFmtId="0" fontId="13" fillId="5" borderId="20" xfId="0" applyFont="1" applyFill="1" applyBorder="1" applyAlignment="1">
      <alignment horizontal="left"/>
    </xf>
    <xf numFmtId="0" fontId="10" fillId="5" borderId="40" xfId="0" applyFont="1" applyFill="1" applyBorder="1" applyAlignment="1">
      <alignment horizontal="center"/>
    </xf>
    <xf numFmtId="0" fontId="10" fillId="5" borderId="32" xfId="0" applyFont="1" applyFill="1" applyBorder="1" applyAlignment="1">
      <alignment horizontal="center"/>
    </xf>
    <xf numFmtId="0" fontId="10" fillId="5" borderId="4" xfId="0" applyFont="1" applyFill="1" applyBorder="1" applyAlignment="1">
      <alignment horizontal="center" vertical="center"/>
    </xf>
    <xf numFmtId="0" fontId="10" fillId="5" borderId="5" xfId="0" applyFont="1" applyFill="1" applyBorder="1" applyAlignment="1">
      <alignment horizontal="center" vertical="center"/>
    </xf>
    <xf numFmtId="0" fontId="13" fillId="5" borderId="16" xfId="0" applyFont="1" applyFill="1" applyBorder="1" applyAlignment="1">
      <alignment horizontal="left"/>
    </xf>
    <xf numFmtId="0" fontId="13" fillId="5" borderId="17" xfId="0" applyFont="1" applyFill="1" applyBorder="1" applyAlignment="1">
      <alignment horizontal="left"/>
    </xf>
    <xf numFmtId="0" fontId="13" fillId="5" borderId="7" xfId="0" applyFont="1" applyFill="1" applyBorder="1" applyAlignment="1">
      <alignment horizontal="left"/>
    </xf>
    <xf numFmtId="0" fontId="13" fillId="6" borderId="16" xfId="0" applyFont="1" applyFill="1" applyBorder="1" applyAlignment="1">
      <alignment horizontal="left"/>
    </xf>
    <xf numFmtId="0" fontId="13" fillId="6" borderId="17" xfId="0" applyFont="1" applyFill="1" applyBorder="1" applyAlignment="1">
      <alignment horizontal="left"/>
    </xf>
    <xf numFmtId="0" fontId="13" fillId="6" borderId="7" xfId="0" applyFont="1" applyFill="1" applyBorder="1" applyAlignment="1">
      <alignment horizontal="left"/>
    </xf>
    <xf numFmtId="0" fontId="11" fillId="6" borderId="61" xfId="0" applyFont="1" applyFill="1" applyBorder="1" applyAlignment="1">
      <alignment horizontal="center" vertical="center"/>
    </xf>
    <xf numFmtId="0" fontId="11" fillId="6" borderId="33"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62" xfId="0" applyFont="1" applyFill="1" applyBorder="1" applyAlignment="1">
      <alignment horizontal="center" vertical="center"/>
    </xf>
    <xf numFmtId="0" fontId="11" fillId="6" borderId="43"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1" xfId="0" applyFont="1" applyFill="1" applyBorder="1" applyAlignment="1">
      <alignment horizontal="center" vertical="center"/>
    </xf>
    <xf numFmtId="0" fontId="11" fillId="6" borderId="57" xfId="0" applyFont="1" applyFill="1" applyBorder="1" applyAlignment="1">
      <alignment horizontal="center" vertical="center" wrapText="1"/>
    </xf>
    <xf numFmtId="0" fontId="11" fillId="6" borderId="67"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11" fillId="6" borderId="47" xfId="0" applyFont="1" applyFill="1" applyBorder="1" applyAlignment="1">
      <alignment horizontal="center" vertical="center" wrapText="1"/>
    </xf>
    <xf numFmtId="0" fontId="11" fillId="6" borderId="34" xfId="0" applyFont="1" applyFill="1" applyBorder="1" applyAlignment="1">
      <alignment horizontal="center" vertical="center" wrapText="1"/>
    </xf>
    <xf numFmtId="0" fontId="11" fillId="6" borderId="31" xfId="0" applyFont="1" applyFill="1" applyBorder="1" applyAlignment="1">
      <alignment horizontal="center" vertical="center"/>
    </xf>
    <xf numFmtId="0" fontId="11" fillId="6" borderId="63" xfId="0" applyFont="1" applyFill="1" applyBorder="1" applyAlignment="1">
      <alignment horizontal="center" vertical="center"/>
    </xf>
    <xf numFmtId="0" fontId="10" fillId="6" borderId="42" xfId="0" applyFont="1" applyFill="1" applyBorder="1" applyAlignment="1">
      <alignment horizontal="center"/>
    </xf>
    <xf numFmtId="0" fontId="10" fillId="6" borderId="37" xfId="0" applyFont="1" applyFill="1" applyBorder="1" applyAlignment="1">
      <alignment horizontal="center"/>
    </xf>
    <xf numFmtId="0" fontId="10" fillId="6" borderId="73" xfId="0" applyFont="1" applyFill="1" applyBorder="1" applyAlignment="1">
      <alignment horizont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3" fillId="5" borderId="16" xfId="0" applyFont="1" applyFill="1" applyBorder="1" applyAlignment="1">
      <alignment horizontal="center"/>
    </xf>
    <xf numFmtId="0" fontId="13" fillId="5" borderId="17" xfId="0" applyFont="1" applyFill="1" applyBorder="1" applyAlignment="1">
      <alignment horizontal="center"/>
    </xf>
    <xf numFmtId="0" fontId="13" fillId="5" borderId="7" xfId="0" applyFont="1" applyFill="1" applyBorder="1" applyAlignment="1">
      <alignment horizontal="center"/>
    </xf>
    <xf numFmtId="0" fontId="0" fillId="0" borderId="64"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1" fillId="5" borderId="19" xfId="0" applyFont="1" applyFill="1" applyBorder="1" applyAlignment="1">
      <alignment horizontal="right"/>
    </xf>
    <xf numFmtId="0" fontId="11" fillId="5" borderId="21" xfId="0" applyFont="1" applyFill="1" applyBorder="1" applyAlignment="1">
      <alignment horizontal="right"/>
    </xf>
    <xf numFmtId="0" fontId="11" fillId="5" borderId="20" xfId="0" applyFont="1" applyFill="1" applyBorder="1" applyAlignment="1">
      <alignment horizontal="right"/>
    </xf>
    <xf numFmtId="0" fontId="10" fillId="6" borderId="22" xfId="0" applyFont="1" applyFill="1" applyBorder="1" applyAlignment="1">
      <alignment horizontal="center" vertical="center" wrapText="1"/>
    </xf>
    <xf numFmtId="0" fontId="10" fillId="6" borderId="39" xfId="0" applyFont="1" applyFill="1" applyBorder="1" applyAlignment="1">
      <alignment horizontal="center" vertical="center"/>
    </xf>
    <xf numFmtId="0" fontId="10" fillId="6" borderId="65" xfId="0" applyFont="1" applyFill="1" applyBorder="1" applyAlignment="1">
      <alignment horizontal="center" vertical="center"/>
    </xf>
    <xf numFmtId="0" fontId="10" fillId="6" borderId="37" xfId="0" applyFont="1" applyFill="1" applyBorder="1" applyAlignment="1">
      <alignment horizontal="center" vertical="center"/>
    </xf>
    <xf numFmtId="0" fontId="0" fillId="0" borderId="64"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10" fillId="6" borderId="30" xfId="0" applyFont="1" applyFill="1" applyBorder="1" applyAlignment="1">
      <alignment horizontal="center" vertical="center"/>
    </xf>
    <xf numFmtId="0" fontId="10" fillId="6" borderId="31" xfId="0" applyFont="1" applyFill="1" applyBorder="1" applyAlignment="1">
      <alignment horizontal="center" vertical="center"/>
    </xf>
    <xf numFmtId="0" fontId="10" fillId="6" borderId="47" xfId="0" applyFont="1" applyFill="1" applyBorder="1" applyAlignment="1">
      <alignment horizontal="center" vertical="center"/>
    </xf>
    <xf numFmtId="0" fontId="13" fillId="5" borderId="13" xfId="0" applyFont="1" applyFill="1" applyBorder="1" applyAlignment="1">
      <alignment horizontal="left"/>
    </xf>
    <xf numFmtId="0" fontId="13" fillId="5" borderId="8" xfId="0" applyFont="1" applyFill="1" applyBorder="1" applyAlignment="1">
      <alignment horizontal="left"/>
    </xf>
    <xf numFmtId="0" fontId="13" fillId="5" borderId="9" xfId="0" applyFont="1" applyFill="1" applyBorder="1" applyAlignment="1">
      <alignment horizontal="left"/>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0" fillId="7" borderId="19" xfId="0" applyFill="1" applyBorder="1" applyAlignment="1">
      <alignment horizontal="left"/>
    </xf>
    <xf numFmtId="0" fontId="0" fillId="7" borderId="20" xfId="0" applyFill="1" applyBorder="1" applyAlignment="1">
      <alignment horizontal="left"/>
    </xf>
    <xf numFmtId="0" fontId="0" fillId="7" borderId="16" xfId="0" applyFill="1" applyBorder="1" applyAlignment="1">
      <alignment horizontal="left"/>
    </xf>
    <xf numFmtId="0" fontId="0" fillId="7"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0" fillId="6" borderId="19" xfId="0" applyFont="1" applyFill="1" applyBorder="1" applyAlignment="1">
      <alignment horizontal="left"/>
    </xf>
    <xf numFmtId="0" fontId="10" fillId="6"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4" fillId="18" borderId="0" xfId="0" applyFont="1" applyFill="1" applyAlignment="1">
      <alignment horizontal="center" vertical="center"/>
    </xf>
    <xf numFmtId="0" fontId="15" fillId="18"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0" fillId="9" borderId="24" xfId="0" applyNumberFormat="1" applyFont="1" applyFill="1" applyBorder="1" applyAlignment="1">
      <alignment horizontal="center"/>
    </xf>
    <xf numFmtId="2" fontId="10" fillId="9"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7" xfId="0" applyFill="1" applyBorder="1" applyAlignment="1">
      <alignment horizontal="left" vertical="center" wrapText="1"/>
    </xf>
    <xf numFmtId="0" fontId="0" fillId="2" borderId="68" xfId="0" applyFill="1" applyBorder="1" applyAlignment="1">
      <alignment horizontal="left" vertical="center" wrapText="1"/>
    </xf>
    <xf numFmtId="0" fontId="10" fillId="5" borderId="16" xfId="0" applyFont="1" applyFill="1" applyBorder="1" applyAlignment="1">
      <alignment horizontal="center"/>
    </xf>
    <xf numFmtId="0" fontId="10" fillId="5" borderId="17" xfId="0" applyFont="1" applyFill="1" applyBorder="1" applyAlignment="1">
      <alignment horizontal="center"/>
    </xf>
    <xf numFmtId="0" fontId="10" fillId="5" borderId="7" xfId="0" applyFont="1" applyFill="1" applyBorder="1" applyAlignment="1">
      <alignment horizontal="center"/>
    </xf>
    <xf numFmtId="0" fontId="10" fillId="5" borderId="24" xfId="0" applyFont="1" applyFill="1" applyBorder="1" applyAlignment="1">
      <alignment horizontal="center"/>
    </xf>
    <xf numFmtId="0" fontId="10"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0" fillId="14" borderId="24" xfId="0" applyNumberFormat="1" applyFont="1" applyFill="1" applyBorder="1" applyAlignment="1">
      <alignment horizontal="center"/>
    </xf>
    <xf numFmtId="171" fontId="10" fillId="14" borderId="2" xfId="0" applyNumberFormat="1" applyFont="1" applyFill="1" applyBorder="1" applyAlignment="1">
      <alignment horizontal="center"/>
    </xf>
    <xf numFmtId="0" fontId="10" fillId="5" borderId="24"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7" fillId="6" borderId="16" xfId="0" applyFont="1" applyFill="1" applyBorder="1" applyAlignment="1">
      <alignment horizontal="center"/>
    </xf>
    <xf numFmtId="0" fontId="7" fillId="6" borderId="17" xfId="0" applyFont="1" applyFill="1" applyBorder="1" applyAlignment="1">
      <alignment horizontal="center"/>
    </xf>
    <xf numFmtId="0" fontId="7"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0" fillId="16" borderId="13" xfId="0" applyFont="1" applyFill="1" applyBorder="1" applyAlignment="1">
      <alignment horizontal="center"/>
    </xf>
    <xf numFmtId="0" fontId="10" fillId="16" borderId="8" xfId="0" applyFont="1" applyFill="1" applyBorder="1" applyAlignment="1">
      <alignment horizontal="center"/>
    </xf>
    <xf numFmtId="0" fontId="10" fillId="16" borderId="9" xfId="0" applyFont="1" applyFill="1" applyBorder="1" applyAlignment="1">
      <alignment horizontal="center"/>
    </xf>
    <xf numFmtId="0" fontId="10" fillId="16" borderId="15" xfId="0" applyFont="1" applyFill="1" applyBorder="1" applyAlignment="1">
      <alignment horizontal="center"/>
    </xf>
    <xf numFmtId="0" fontId="10" fillId="16" borderId="11" xfId="0" applyFont="1" applyFill="1" applyBorder="1" applyAlignment="1">
      <alignment horizontal="center"/>
    </xf>
    <xf numFmtId="0" fontId="10" fillId="16" borderId="12" xfId="0" applyFont="1" applyFill="1" applyBorder="1" applyAlignment="1">
      <alignment horizontal="center"/>
    </xf>
    <xf numFmtId="0" fontId="6" fillId="2" borderId="22" xfId="0" applyFont="1" applyFill="1" applyBorder="1" applyAlignment="1">
      <alignment horizontal="left" vertical="top" wrapText="1"/>
    </xf>
    <xf numFmtId="0" fontId="6" fillId="2" borderId="18" xfId="0" applyFont="1" applyFill="1" applyBorder="1" applyAlignment="1">
      <alignment horizontal="left" vertical="top" wrapText="1"/>
    </xf>
    <xf numFmtId="0" fontId="6" fillId="2" borderId="23" xfId="0" applyFont="1" applyFill="1" applyBorder="1" applyAlignment="1">
      <alignment horizontal="left" vertical="top" wrapText="1"/>
    </xf>
    <xf numFmtId="0" fontId="1" fillId="22" borderId="121" xfId="0" applyFont="1" applyFill="1" applyBorder="1" applyAlignment="1">
      <alignment horizontal="right" vertical="center"/>
    </xf>
    <xf numFmtId="0" fontId="6" fillId="22" borderId="122" xfId="0" applyFont="1" applyFill="1" applyBorder="1" applyAlignment="1">
      <alignment horizontal="left" vertical="center"/>
    </xf>
    <xf numFmtId="0" fontId="1" fillId="22" borderId="123" xfId="0" applyFont="1" applyFill="1" applyBorder="1" applyAlignment="1">
      <alignment horizontal="right" vertical="center"/>
    </xf>
    <xf numFmtId="0" fontId="6" fillId="22" borderId="124" xfId="0" applyFont="1" applyFill="1" applyBorder="1" applyAlignment="1">
      <alignment horizontal="left" vertical="center"/>
    </xf>
    <xf numFmtId="0" fontId="6" fillId="22" borderId="124" xfId="0" applyFont="1" applyFill="1" applyBorder="1" applyAlignment="1">
      <alignment vertical="center"/>
    </xf>
    <xf numFmtId="0" fontId="1" fillId="22" borderId="125" xfId="0" applyFont="1" applyFill="1" applyBorder="1" applyAlignment="1">
      <alignment horizontal="right" vertical="center"/>
    </xf>
    <xf numFmtId="0" fontId="6" fillId="22" borderId="126" xfId="0" applyFont="1" applyFill="1" applyBorder="1" applyAlignment="1">
      <alignment vertical="center"/>
    </xf>
    <xf numFmtId="0" fontId="3" fillId="2" borderId="0" xfId="0" applyFont="1" applyFill="1" applyAlignment="1">
      <alignment horizontal="center"/>
    </xf>
  </cellXfs>
  <cellStyles count="7">
    <cellStyle name="Comma" xfId="2" builtinId="3"/>
    <cellStyle name="Currency" xfId="6" builtinId="4"/>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5FAFD"/>
      <color rgb="FFECF4FA"/>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ingresos'!$E$17:$E$24</c:f>
              <c:numCache>
                <c:formatCode>_-"$"\ * #,##0.00_-;\-"$"\ * #,##0.00_-;_-"$"\ * "-"??_-;_-@_-</c:formatCode>
                <c:ptCount val="8"/>
                <c:pt idx="0">
                  <c:v>18000000</c:v>
                </c:pt>
                <c:pt idx="1">
                  <c:v>13800000</c:v>
                </c:pt>
                <c:pt idx="2">
                  <c:v>18400000</c:v>
                </c:pt>
                <c:pt idx="3">
                  <c:v>17500000</c:v>
                </c:pt>
                <c:pt idx="4">
                  <c:v>1500000</c:v>
                </c:pt>
                <c:pt idx="5">
                  <c:v>1000000</c:v>
                </c:pt>
                <c:pt idx="6">
                  <c:v>1800000</c:v>
                </c:pt>
                <c:pt idx="7">
                  <c:v>3200000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2222400</c:v>
                </c:pt>
                <c:pt idx="1">
                  <c:v>2388690</c:v>
                </c:pt>
                <c:pt idx="2">
                  <c:v>2608767.2375000003</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ventas'!$F$27</c:f>
              <c:numCache>
                <c:formatCode>_-"$"\ * #,##0.00_-;\-"$"\ * #,##0.00_-;_-"$"\ * "-"??_-;_-@_-</c:formatCode>
                <c:ptCount val="1"/>
                <c:pt idx="0">
                  <c:v>1086000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ventas'!$H$27</c:f>
              <c:numCache>
                <c:formatCode>_-"$"\ * #,##0.00_-;\-"$"\ * #,##0.00_-;_-"$"\ * "-"??_-;_-@_-</c:formatCode>
                <c:ptCount val="1"/>
                <c:pt idx="0">
                  <c:v>724000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ventas'!$J$27</c:f>
              <c:numCache>
                <c:formatCode>_-"$"\ * #,##0.00_-;\-"$"\ * #,##0.00_-;_-"$"\ * "-"??_-;_-@_-</c:formatCode>
                <c:ptCount val="1"/>
                <c:pt idx="0">
                  <c:v>1448000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ventas'!$L$27</c:f>
              <c:numCache>
                <c:formatCode>_-"$"\ * #,##0.00_-;\-"$"\ * #,##0.00_-;_-"$"\ * "-"??_-;_-@_-</c:formatCode>
                <c:ptCount val="1"/>
                <c:pt idx="0">
                  <c:v>1267000</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ventas'!$N$27</c:f>
              <c:numCache>
                <c:formatCode>_-"$"\ * #,##0.00_-;\-"$"\ * #,##0.00_-;_-"$"\ * "-"??_-;_-@_-</c:formatCode>
                <c:ptCount val="1"/>
                <c:pt idx="0">
                  <c:v>1991000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ventas'!$P$27</c:f>
              <c:numCache>
                <c:formatCode>_-"$"\ * #,##0.00_-;\-"$"\ * #,##0.00_-;_-"$"\ * "-"??_-;_-@_-</c:formatCode>
                <c:ptCount val="1"/>
                <c:pt idx="0">
                  <c:v>724000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ventas'!$R$27</c:f>
              <c:numCache>
                <c:formatCode>_-"$"\ * #,##0.00_-;\-"$"\ * #,##0.00_-;_-"$"\ * "-"??_-;_-@_-</c:formatCode>
                <c:ptCount val="1"/>
                <c:pt idx="0">
                  <c:v>1086000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ventas'!$T$27</c:f>
              <c:numCache>
                <c:formatCode>_-"$"\ * #,##0.00_-;\-"$"\ * #,##0.00_-;_-"$"\ * "-"??_-;_-@_-</c:formatCode>
                <c:ptCount val="1"/>
                <c:pt idx="0">
                  <c:v>2172000</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ventas'!$V$27</c:f>
              <c:numCache>
                <c:formatCode>_-"$"\ * #,##0.00_-;\-"$"\ * #,##0.00_-;_-"$"\ * "-"??_-;_-@_-</c:formatCode>
                <c:ptCount val="1"/>
                <c:pt idx="0">
                  <c:v>1991000</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ventas'!$X$27</c:f>
              <c:numCache>
                <c:formatCode>_-"$"\ * #,##0.00_-;\-"$"\ * #,##0.00_-;_-"$"\ * "-"??_-;_-@_-</c:formatCode>
                <c:ptCount val="1"/>
                <c:pt idx="0">
                  <c:v>2534000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ventas'!$Z$27</c:f>
              <c:numCache>
                <c:formatCode>_-"$"\ * #,##0.00_-;\-"$"\ * #,##0.00_-;_-"$"\ * "-"??_-;_-@_-</c:formatCode>
                <c:ptCount val="1"/>
                <c:pt idx="0">
                  <c:v>1448000</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ventas'!$AB$27</c:f>
              <c:numCache>
                <c:formatCode>_-"$"\ * #,##0.00_-;\-"$"\ * #,##0.00_-;_-"$"\ * "-"??_-;_-@_-</c:formatCode>
                <c:ptCount val="1"/>
                <c:pt idx="0">
                  <c:v>1629000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ventas'!$E$56:$F$56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ventas'!$F$67</c:f>
              <c:numCache>
                <c:formatCode>_-"$"\ * #,##0.00_-;\-"$"\ * #,##0.00_-;_-"$"\ * "-"??_-;_-@_-</c:formatCode>
                <c:ptCount val="1"/>
                <c:pt idx="0">
                  <c:v>2604000</c:v>
                </c:pt>
              </c:numCache>
            </c:numRef>
          </c:val>
          <c:extLst>
            <c:ext xmlns:c16="http://schemas.microsoft.com/office/drawing/2014/chart" uri="{C3380CC4-5D6E-409C-BE32-E72D297353CC}">
              <c16:uniqueId val="{00000000-916A-4904-8F5A-19D256CB58D9}"/>
            </c:ext>
          </c:extLst>
        </c:ser>
        <c:ser>
          <c:idx val="1"/>
          <c:order val="1"/>
          <c:tx>
            <c:strRef>
              <c:f>'Proy. ventas'!$G$56:$H$56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ventas'!$H$67</c:f>
              <c:numCache>
                <c:formatCode>_-"$"\ * #,##0.00_-;\-"$"\ * #,##0.00_-;_-"$"\ * "-"??_-;_-@_-</c:formatCode>
                <c:ptCount val="1"/>
                <c:pt idx="0">
                  <c:v>1736000</c:v>
                </c:pt>
              </c:numCache>
            </c:numRef>
          </c:val>
          <c:extLst>
            <c:ext xmlns:c16="http://schemas.microsoft.com/office/drawing/2014/chart" uri="{C3380CC4-5D6E-409C-BE32-E72D297353CC}">
              <c16:uniqueId val="{00000001-916A-4904-8F5A-19D256CB58D9}"/>
            </c:ext>
          </c:extLst>
        </c:ser>
        <c:ser>
          <c:idx val="2"/>
          <c:order val="2"/>
          <c:tx>
            <c:strRef>
              <c:f>'Proy. ventas'!$I$56:$J$56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ventas'!$J$67</c:f>
              <c:numCache>
                <c:formatCode>_-"$"\ * #,##0.00_-;\-"$"\ * #,##0.00_-;_-"$"\ * "-"??_-;_-@_-</c:formatCode>
                <c:ptCount val="1"/>
                <c:pt idx="0">
                  <c:v>3472000</c:v>
                </c:pt>
              </c:numCache>
            </c:numRef>
          </c:val>
          <c:extLst>
            <c:ext xmlns:c16="http://schemas.microsoft.com/office/drawing/2014/chart" uri="{C3380CC4-5D6E-409C-BE32-E72D297353CC}">
              <c16:uniqueId val="{00000002-916A-4904-8F5A-19D256CB58D9}"/>
            </c:ext>
          </c:extLst>
        </c:ser>
        <c:ser>
          <c:idx val="3"/>
          <c:order val="3"/>
          <c:tx>
            <c:strRef>
              <c:f>'Proy. ventas'!$K$56:$L$56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ventas'!$L$67</c:f>
              <c:numCache>
                <c:formatCode>_-"$"\ * #,##0.00_-;\-"$"\ * #,##0.00_-;_-"$"\ * "-"??_-;_-@_-</c:formatCode>
                <c:ptCount val="1"/>
                <c:pt idx="0">
                  <c:v>3038000.0000000005</c:v>
                </c:pt>
              </c:numCache>
            </c:numRef>
          </c:val>
          <c:extLst>
            <c:ext xmlns:c16="http://schemas.microsoft.com/office/drawing/2014/chart" uri="{C3380CC4-5D6E-409C-BE32-E72D297353CC}">
              <c16:uniqueId val="{00000003-916A-4904-8F5A-19D256CB58D9}"/>
            </c:ext>
          </c:extLst>
        </c:ser>
        <c:ser>
          <c:idx val="4"/>
          <c:order val="4"/>
          <c:tx>
            <c:strRef>
              <c:f>'Proy. ventas'!$M$56:$N$56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ventas'!$N$67</c:f>
              <c:numCache>
                <c:formatCode>_-"$"\ * #,##0.00_-;\-"$"\ * #,##0.00_-;_-"$"\ * "-"??_-;_-@_-</c:formatCode>
                <c:ptCount val="1"/>
                <c:pt idx="0">
                  <c:v>4774000</c:v>
                </c:pt>
              </c:numCache>
            </c:numRef>
          </c:val>
          <c:extLst>
            <c:ext xmlns:c16="http://schemas.microsoft.com/office/drawing/2014/chart" uri="{C3380CC4-5D6E-409C-BE32-E72D297353CC}">
              <c16:uniqueId val="{00000004-916A-4904-8F5A-19D256CB58D9}"/>
            </c:ext>
          </c:extLst>
        </c:ser>
        <c:ser>
          <c:idx val="5"/>
          <c:order val="5"/>
          <c:tx>
            <c:strRef>
              <c:f>'Proy. ventas'!$O$56:$P$56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ventas'!$P$67</c:f>
              <c:numCache>
                <c:formatCode>_-"$"\ * #,##0.00_-;\-"$"\ * #,##0.00_-;_-"$"\ * "-"??_-;_-@_-</c:formatCode>
                <c:ptCount val="1"/>
                <c:pt idx="0">
                  <c:v>1736000</c:v>
                </c:pt>
              </c:numCache>
            </c:numRef>
          </c:val>
          <c:extLst>
            <c:ext xmlns:c16="http://schemas.microsoft.com/office/drawing/2014/chart" uri="{C3380CC4-5D6E-409C-BE32-E72D297353CC}">
              <c16:uniqueId val="{00000005-916A-4904-8F5A-19D256CB58D9}"/>
            </c:ext>
          </c:extLst>
        </c:ser>
        <c:ser>
          <c:idx val="6"/>
          <c:order val="6"/>
          <c:tx>
            <c:strRef>
              <c:f>'Proy. ventas'!$Q$56:$R$56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ventas'!$R$67</c:f>
              <c:numCache>
                <c:formatCode>_-"$"\ * #,##0.00_-;\-"$"\ * #,##0.00_-;_-"$"\ * "-"??_-;_-@_-</c:formatCode>
                <c:ptCount val="1"/>
                <c:pt idx="0">
                  <c:v>2604000</c:v>
                </c:pt>
              </c:numCache>
            </c:numRef>
          </c:val>
          <c:extLst>
            <c:ext xmlns:c16="http://schemas.microsoft.com/office/drawing/2014/chart" uri="{C3380CC4-5D6E-409C-BE32-E72D297353CC}">
              <c16:uniqueId val="{00000006-916A-4904-8F5A-19D256CB58D9}"/>
            </c:ext>
          </c:extLst>
        </c:ser>
        <c:ser>
          <c:idx val="7"/>
          <c:order val="7"/>
          <c:tx>
            <c:strRef>
              <c:f>'Proy. ventas'!$S$56:$T$56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ventas'!$T$67</c:f>
              <c:numCache>
                <c:formatCode>_-"$"\ * #,##0.00_-;\-"$"\ * #,##0.00_-;_-"$"\ * "-"??_-;_-@_-</c:formatCode>
                <c:ptCount val="1"/>
                <c:pt idx="0">
                  <c:v>5208000</c:v>
                </c:pt>
              </c:numCache>
            </c:numRef>
          </c:val>
          <c:extLst>
            <c:ext xmlns:c16="http://schemas.microsoft.com/office/drawing/2014/chart" uri="{C3380CC4-5D6E-409C-BE32-E72D297353CC}">
              <c16:uniqueId val="{00000007-916A-4904-8F5A-19D256CB58D9}"/>
            </c:ext>
          </c:extLst>
        </c:ser>
        <c:ser>
          <c:idx val="8"/>
          <c:order val="8"/>
          <c:tx>
            <c:strRef>
              <c:f>'Proy. ventas'!$U$56:$V$56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ventas'!$V$67</c:f>
              <c:numCache>
                <c:formatCode>_-"$"\ * #,##0.00_-;\-"$"\ * #,##0.00_-;_-"$"\ * "-"??_-;_-@_-</c:formatCode>
                <c:ptCount val="1"/>
                <c:pt idx="0">
                  <c:v>4774000</c:v>
                </c:pt>
              </c:numCache>
            </c:numRef>
          </c:val>
          <c:extLst>
            <c:ext xmlns:c16="http://schemas.microsoft.com/office/drawing/2014/chart" uri="{C3380CC4-5D6E-409C-BE32-E72D297353CC}">
              <c16:uniqueId val="{00000008-916A-4904-8F5A-19D256CB58D9}"/>
            </c:ext>
          </c:extLst>
        </c:ser>
        <c:ser>
          <c:idx val="9"/>
          <c:order val="9"/>
          <c:tx>
            <c:strRef>
              <c:f>'Proy. ventas'!$W$56:$X$56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ventas'!$X$67</c:f>
              <c:numCache>
                <c:formatCode>_-"$"\ * #,##0.00_-;\-"$"\ * #,##0.00_-;_-"$"\ * "-"??_-;_-@_-</c:formatCode>
                <c:ptCount val="1"/>
                <c:pt idx="0">
                  <c:v>6076000.0000000009</c:v>
                </c:pt>
              </c:numCache>
            </c:numRef>
          </c:val>
          <c:extLst>
            <c:ext xmlns:c16="http://schemas.microsoft.com/office/drawing/2014/chart" uri="{C3380CC4-5D6E-409C-BE32-E72D297353CC}">
              <c16:uniqueId val="{00000009-916A-4904-8F5A-19D256CB58D9}"/>
            </c:ext>
          </c:extLst>
        </c:ser>
        <c:ser>
          <c:idx val="10"/>
          <c:order val="10"/>
          <c:tx>
            <c:strRef>
              <c:f>'Proy. ventas'!$Y$56:$Z$56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ventas'!$Z$67</c:f>
              <c:numCache>
                <c:formatCode>_-"$"\ * #,##0.00_-;\-"$"\ * #,##0.00_-;_-"$"\ * "-"??_-;_-@_-</c:formatCode>
                <c:ptCount val="1"/>
                <c:pt idx="0">
                  <c:v>3472000</c:v>
                </c:pt>
              </c:numCache>
            </c:numRef>
          </c:val>
          <c:extLst>
            <c:ext xmlns:c16="http://schemas.microsoft.com/office/drawing/2014/chart" uri="{C3380CC4-5D6E-409C-BE32-E72D297353CC}">
              <c16:uniqueId val="{0000000A-916A-4904-8F5A-19D256CB58D9}"/>
            </c:ext>
          </c:extLst>
        </c:ser>
        <c:ser>
          <c:idx val="11"/>
          <c:order val="11"/>
          <c:tx>
            <c:strRef>
              <c:f>'Proy. ventas'!$AA$56:$AB$56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ventas'!$AB$67</c:f>
              <c:numCache>
                <c:formatCode>_-"$"\ * #,##0.00_-;\-"$"\ * #,##0.00_-;_-"$"\ * "-"??_-;_-@_-</c:formatCode>
                <c:ptCount val="1"/>
                <c:pt idx="0">
                  <c:v>3906000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ventas'!$E$96:$F$96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ventas'!$F$107</c:f>
              <c:numCache>
                <c:formatCode>_-"$"\ * #,##0.00_-;\-"$"\ * #,##0.00_-;_-"$"\ * "-"??_-;_-@_-</c:formatCode>
                <c:ptCount val="1"/>
                <c:pt idx="0">
                  <c:v>4512000</c:v>
                </c:pt>
              </c:numCache>
            </c:numRef>
          </c:val>
          <c:extLst>
            <c:ext xmlns:c16="http://schemas.microsoft.com/office/drawing/2014/chart" uri="{C3380CC4-5D6E-409C-BE32-E72D297353CC}">
              <c16:uniqueId val="{00000000-9191-4473-B9A1-489F425F65C4}"/>
            </c:ext>
          </c:extLst>
        </c:ser>
        <c:ser>
          <c:idx val="1"/>
          <c:order val="1"/>
          <c:tx>
            <c:strRef>
              <c:f>'Proy. ventas'!$G$96:$H$96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ventas'!$H$107</c:f>
              <c:numCache>
                <c:formatCode>_-"$"\ * #,##0.00_-;\-"$"\ * #,##0.00_-;_-"$"\ * "-"??_-;_-@_-</c:formatCode>
                <c:ptCount val="1"/>
                <c:pt idx="0">
                  <c:v>3008000</c:v>
                </c:pt>
              </c:numCache>
            </c:numRef>
          </c:val>
          <c:extLst>
            <c:ext xmlns:c16="http://schemas.microsoft.com/office/drawing/2014/chart" uri="{C3380CC4-5D6E-409C-BE32-E72D297353CC}">
              <c16:uniqueId val="{00000001-9191-4473-B9A1-489F425F65C4}"/>
            </c:ext>
          </c:extLst>
        </c:ser>
        <c:ser>
          <c:idx val="2"/>
          <c:order val="2"/>
          <c:tx>
            <c:strRef>
              <c:f>'Proy. ventas'!$I$96:$J$96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ventas'!$J$107</c:f>
              <c:numCache>
                <c:formatCode>_-"$"\ * #,##0.00_-;\-"$"\ * #,##0.00_-;_-"$"\ * "-"??_-;_-@_-</c:formatCode>
                <c:ptCount val="1"/>
                <c:pt idx="0">
                  <c:v>6016000</c:v>
                </c:pt>
              </c:numCache>
            </c:numRef>
          </c:val>
          <c:extLst>
            <c:ext xmlns:c16="http://schemas.microsoft.com/office/drawing/2014/chart" uri="{C3380CC4-5D6E-409C-BE32-E72D297353CC}">
              <c16:uniqueId val="{00000002-9191-4473-B9A1-489F425F65C4}"/>
            </c:ext>
          </c:extLst>
        </c:ser>
        <c:ser>
          <c:idx val="3"/>
          <c:order val="3"/>
          <c:tx>
            <c:strRef>
              <c:f>'Proy. ventas'!$K$96:$L$96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ventas'!$L$107</c:f>
              <c:numCache>
                <c:formatCode>_-"$"\ * #,##0.00_-;\-"$"\ * #,##0.00_-;_-"$"\ * "-"??_-;_-@_-</c:formatCode>
                <c:ptCount val="1"/>
                <c:pt idx="0">
                  <c:v>5264000.0000000009</c:v>
                </c:pt>
              </c:numCache>
            </c:numRef>
          </c:val>
          <c:extLst>
            <c:ext xmlns:c16="http://schemas.microsoft.com/office/drawing/2014/chart" uri="{C3380CC4-5D6E-409C-BE32-E72D297353CC}">
              <c16:uniqueId val="{00000003-9191-4473-B9A1-489F425F65C4}"/>
            </c:ext>
          </c:extLst>
        </c:ser>
        <c:ser>
          <c:idx val="4"/>
          <c:order val="4"/>
          <c:tx>
            <c:strRef>
              <c:f>'Proy. ventas'!$M$96:$N$96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ventas'!$N$107</c:f>
              <c:numCache>
                <c:formatCode>_-"$"\ * #,##0.00_-;\-"$"\ * #,##0.00_-;_-"$"\ * "-"??_-;_-@_-</c:formatCode>
                <c:ptCount val="1"/>
                <c:pt idx="0">
                  <c:v>8272000</c:v>
                </c:pt>
              </c:numCache>
            </c:numRef>
          </c:val>
          <c:extLst>
            <c:ext xmlns:c16="http://schemas.microsoft.com/office/drawing/2014/chart" uri="{C3380CC4-5D6E-409C-BE32-E72D297353CC}">
              <c16:uniqueId val="{00000004-9191-4473-B9A1-489F425F65C4}"/>
            </c:ext>
          </c:extLst>
        </c:ser>
        <c:ser>
          <c:idx val="5"/>
          <c:order val="5"/>
          <c:tx>
            <c:strRef>
              <c:f>'Proy. ventas'!$O$96:$P$96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ventas'!$P$107</c:f>
              <c:numCache>
                <c:formatCode>_-"$"\ * #,##0.00_-;\-"$"\ * #,##0.00_-;_-"$"\ * "-"??_-;_-@_-</c:formatCode>
                <c:ptCount val="1"/>
                <c:pt idx="0">
                  <c:v>3008000</c:v>
                </c:pt>
              </c:numCache>
            </c:numRef>
          </c:val>
          <c:extLst>
            <c:ext xmlns:c16="http://schemas.microsoft.com/office/drawing/2014/chart" uri="{C3380CC4-5D6E-409C-BE32-E72D297353CC}">
              <c16:uniqueId val="{00000005-9191-4473-B9A1-489F425F65C4}"/>
            </c:ext>
          </c:extLst>
        </c:ser>
        <c:ser>
          <c:idx val="6"/>
          <c:order val="6"/>
          <c:tx>
            <c:strRef>
              <c:f>'Proy. ventas'!$Q$96:$R$96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ventas'!$R$107</c:f>
              <c:numCache>
                <c:formatCode>_-"$"\ * #,##0.00_-;\-"$"\ * #,##0.00_-;_-"$"\ * "-"??_-;_-@_-</c:formatCode>
                <c:ptCount val="1"/>
                <c:pt idx="0">
                  <c:v>4512000</c:v>
                </c:pt>
              </c:numCache>
            </c:numRef>
          </c:val>
          <c:extLst>
            <c:ext xmlns:c16="http://schemas.microsoft.com/office/drawing/2014/chart" uri="{C3380CC4-5D6E-409C-BE32-E72D297353CC}">
              <c16:uniqueId val="{00000006-9191-4473-B9A1-489F425F65C4}"/>
            </c:ext>
          </c:extLst>
        </c:ser>
        <c:ser>
          <c:idx val="7"/>
          <c:order val="7"/>
          <c:tx>
            <c:strRef>
              <c:f>'Proy. ventas'!$S$96:$T$96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ventas'!$T$107</c:f>
              <c:numCache>
                <c:formatCode>_-"$"\ * #,##0.00_-;\-"$"\ * #,##0.00_-;_-"$"\ * "-"??_-;_-@_-</c:formatCode>
                <c:ptCount val="1"/>
                <c:pt idx="0">
                  <c:v>9024000</c:v>
                </c:pt>
              </c:numCache>
            </c:numRef>
          </c:val>
          <c:extLst>
            <c:ext xmlns:c16="http://schemas.microsoft.com/office/drawing/2014/chart" uri="{C3380CC4-5D6E-409C-BE32-E72D297353CC}">
              <c16:uniqueId val="{00000007-9191-4473-B9A1-489F425F65C4}"/>
            </c:ext>
          </c:extLst>
        </c:ser>
        <c:ser>
          <c:idx val="8"/>
          <c:order val="8"/>
          <c:tx>
            <c:strRef>
              <c:f>'Proy. ventas'!$U$96:$V$96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ventas'!$V$107</c:f>
              <c:numCache>
                <c:formatCode>_-"$"\ * #,##0.00_-;\-"$"\ * #,##0.00_-;_-"$"\ * "-"??_-;_-@_-</c:formatCode>
                <c:ptCount val="1"/>
                <c:pt idx="0">
                  <c:v>8272000</c:v>
                </c:pt>
              </c:numCache>
            </c:numRef>
          </c:val>
          <c:extLst>
            <c:ext xmlns:c16="http://schemas.microsoft.com/office/drawing/2014/chart" uri="{C3380CC4-5D6E-409C-BE32-E72D297353CC}">
              <c16:uniqueId val="{00000008-9191-4473-B9A1-489F425F65C4}"/>
            </c:ext>
          </c:extLst>
        </c:ser>
        <c:ser>
          <c:idx val="9"/>
          <c:order val="9"/>
          <c:tx>
            <c:strRef>
              <c:f>'Proy. ventas'!$W$96:$X$96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ventas'!$X$107</c:f>
              <c:numCache>
                <c:formatCode>_-"$"\ * #,##0.00_-;\-"$"\ * #,##0.00_-;_-"$"\ * "-"??_-;_-@_-</c:formatCode>
                <c:ptCount val="1"/>
                <c:pt idx="0">
                  <c:v>10528000.000000002</c:v>
                </c:pt>
              </c:numCache>
            </c:numRef>
          </c:val>
          <c:extLst>
            <c:ext xmlns:c16="http://schemas.microsoft.com/office/drawing/2014/chart" uri="{C3380CC4-5D6E-409C-BE32-E72D297353CC}">
              <c16:uniqueId val="{00000009-9191-4473-B9A1-489F425F65C4}"/>
            </c:ext>
          </c:extLst>
        </c:ser>
        <c:ser>
          <c:idx val="10"/>
          <c:order val="10"/>
          <c:tx>
            <c:strRef>
              <c:f>'Proy. ventas'!$Y$96:$Z$96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ventas'!$Z$107</c:f>
              <c:numCache>
                <c:formatCode>_-"$"\ * #,##0.00_-;\-"$"\ * #,##0.00_-;_-"$"\ * "-"??_-;_-@_-</c:formatCode>
                <c:ptCount val="1"/>
                <c:pt idx="0">
                  <c:v>6016000</c:v>
                </c:pt>
              </c:numCache>
            </c:numRef>
          </c:val>
          <c:extLst>
            <c:ext xmlns:c16="http://schemas.microsoft.com/office/drawing/2014/chart" uri="{C3380CC4-5D6E-409C-BE32-E72D297353CC}">
              <c16:uniqueId val="{0000000A-9191-4473-B9A1-489F425F65C4}"/>
            </c:ext>
          </c:extLst>
        </c:ser>
        <c:ser>
          <c:idx val="11"/>
          <c:order val="11"/>
          <c:tx>
            <c:strRef>
              <c:f>'Proy. ventas'!$AA$96:$AB$96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ventas'!$AB$107</c:f>
              <c:numCache>
                <c:formatCode>_-"$"\ * #,##0.00_-;\-"$"\ * #,##0.00_-;_-"$"\ * "-"??_-;_-@_-</c:formatCode>
                <c:ptCount val="1"/>
                <c:pt idx="0">
                  <c:v>6768000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0-396A-4246-A5F4-AB115A34A6FA}"/>
            </c:ext>
          </c:extLst>
        </c:ser>
        <c:ser>
          <c:idx val="1"/>
          <c:order val="1"/>
          <c:tx>
            <c:strRef>
              <c:f>'Proy.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1-396A-4246-A5F4-AB115A34A6FA}"/>
            </c:ext>
          </c:extLst>
        </c:ser>
        <c:ser>
          <c:idx val="2"/>
          <c:order val="2"/>
          <c:tx>
            <c:strRef>
              <c:f>'Proy.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0.06</c:v>
                </c:pt>
                <c:pt idx="1">
                  <c:v>0.04</c:v>
                </c:pt>
                <c:pt idx="2">
                  <c:v>0.08</c:v>
                </c:pt>
                <c:pt idx="3">
                  <c:v>7.0000000000000007E-2</c:v>
                </c:pt>
                <c:pt idx="4">
                  <c:v>0.11</c:v>
                </c:pt>
                <c:pt idx="5">
                  <c:v>0.04</c:v>
                </c:pt>
                <c:pt idx="6">
                  <c:v>0.06</c:v>
                </c:pt>
                <c:pt idx="7">
                  <c:v>0.12</c:v>
                </c:pt>
                <c:pt idx="8">
                  <c:v>0.11</c:v>
                </c:pt>
                <c:pt idx="9">
                  <c:v>0.14000000000000001</c:v>
                </c:pt>
                <c:pt idx="10">
                  <c:v>0.08</c:v>
                </c:pt>
                <c:pt idx="11">
                  <c:v>0.09</c:v>
                </c:pt>
              </c:numCache>
            </c:numRef>
          </c:val>
          <c:extLst>
            <c:ext xmlns:c16="http://schemas.microsoft.com/office/drawing/2014/chart" uri="{C3380CC4-5D6E-409C-BE32-E72D297353CC}">
              <c16:uniqueId val="{00000002-396A-4246-A5F4-AB115A34A6FA}"/>
            </c:ext>
          </c:extLst>
        </c:ser>
        <c:ser>
          <c:idx val="3"/>
          <c:order val="3"/>
          <c:tx>
            <c:strRef>
              <c:f>'Proy.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ventas'!$E$22,'Proy. ventas'!$G$22,'Proy. ventas'!$I$22,'Proy. ventas'!$K$22,'Proy. ventas'!$M$22,'Proy. ventas'!$O$22,'Proy. ventas'!$Q$22,'Proy. ventas'!$S$22,'Proy. ventas'!$U$22,'Proy. ventas'!$W$22,'Proy. ventas'!$Y$22,'Proy. ventas'!$AA$22)</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ventas'!$A$59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ventas'!$E$59,'Proy. ventas'!$G$59,'Proy. ventas'!$I$59,'Proy. ventas'!$K$59,'Proy. ventas'!$M$59,'Proy. ventas'!$O$59,'Proy. ventas'!$Q$59,'Proy. ventas'!$S$59,'Proy. ventas'!$U$59,'Proy. ventas'!$W$59,'Proy. ventas'!$Y$59,'Proy. ventas'!$AA$59)</c:f>
              <c:numCache>
                <c:formatCode>_-* #,##0\ _€_-;\-* #,##0\ _€_-;_-* "-"??\ _€_-;_-@_-</c:formatCode>
                <c:ptCount val="12"/>
                <c:pt idx="0">
                  <c:v>0.5</c:v>
                </c:pt>
                <c:pt idx="1">
                  <c:v>0.8</c:v>
                </c:pt>
                <c:pt idx="2">
                  <c:v>0.35000000000000003</c:v>
                </c:pt>
                <c:pt idx="3">
                  <c:v>0.2</c:v>
                </c:pt>
                <c:pt idx="4">
                  <c:v>0.3</c:v>
                </c:pt>
                <c:pt idx="5">
                  <c:v>0.44999999999999996</c:v>
                </c:pt>
                <c:pt idx="6">
                  <c:v>0.5</c:v>
                </c:pt>
                <c:pt idx="7">
                  <c:v>0.6</c:v>
                </c:pt>
                <c:pt idx="8">
                  <c:v>0.35000000000000003</c:v>
                </c:pt>
                <c:pt idx="9">
                  <c:v>0.4</c:v>
                </c:pt>
                <c:pt idx="10">
                  <c:v>0.3</c:v>
                </c:pt>
                <c:pt idx="11">
                  <c:v>0.25</c:v>
                </c:pt>
              </c:numCache>
            </c:numRef>
          </c:val>
          <c:extLst>
            <c:ext xmlns:c16="http://schemas.microsoft.com/office/drawing/2014/chart" uri="{C3380CC4-5D6E-409C-BE32-E72D297353CC}">
              <c16:uniqueId val="{00000000-4FB4-4DAA-AE13-4A7CBDA485EA}"/>
            </c:ext>
          </c:extLst>
        </c:ser>
        <c:ser>
          <c:idx val="1"/>
          <c:order val="1"/>
          <c:tx>
            <c:strRef>
              <c:f>'Proy. ventas'!$A$60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ventas'!$E$60,'Proy. ventas'!$G$60,'Proy. ventas'!$I$60,'Proy. ventas'!$K$60,'Proy. ventas'!$M$60,'Proy. ventas'!$O$60,'Proy. ventas'!$Q$60,'Proy. ventas'!$S$60,'Proy. ventas'!$U$60,'Proy. ventas'!$W$60,'Proy. ventas'!$Y$60,'Proy. ventas'!$AA$60)</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extLst>
            <c:ext xmlns:c16="http://schemas.microsoft.com/office/drawing/2014/chart" uri="{C3380CC4-5D6E-409C-BE32-E72D297353CC}">
              <c16:uniqueId val="{00000001-4FB4-4DAA-AE13-4A7CBDA485EA}"/>
            </c:ext>
          </c:extLst>
        </c:ser>
        <c:ser>
          <c:idx val="2"/>
          <c:order val="2"/>
          <c:tx>
            <c:strRef>
              <c:f>'Proy. ventas'!$A$61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ventas'!$E$61,'Proy. ventas'!$G$61,'Proy. ventas'!$I$61,'Proy. ventas'!$K$61,'Proy. ventas'!$M$61,'Proy. ventas'!$O$61,'Proy. ventas'!$Q$61,'Proy. ventas'!$S$61,'Proy. ventas'!$U$61,'Proy. ventas'!$W$61,'Proy. ventas'!$Y$61,'Proy. ventas'!$AA$61)</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extLst>
            <c:ext xmlns:c16="http://schemas.microsoft.com/office/drawing/2014/chart" uri="{C3380CC4-5D6E-409C-BE32-E72D297353CC}">
              <c16:uniqueId val="{00000002-4FB4-4DAA-AE13-4A7CBDA485EA}"/>
            </c:ext>
          </c:extLst>
        </c:ser>
        <c:ser>
          <c:idx val="3"/>
          <c:order val="3"/>
          <c:tx>
            <c:strRef>
              <c:f>'Proy. ventas'!$A$62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ventas'!$E$62,'Proy. ventas'!$G$62,'Proy. ventas'!$I$62,'Proy. ventas'!$K$62,'Proy. ventas'!$M$62,'Proy. ventas'!$O$62,'Proy. ventas'!$Q$62,'Proy. ventas'!$S$62,'Proy. ventas'!$U$62,'Proy. ventas'!$W$62,'Proy. ventas'!$Y$62,'Proy. ventas'!$AA$62)</c:f>
              <c:numCache>
                <c:formatCode>_-* #,##0\ _€_-;\-* #,##0\ _€_-;_-* "-"??\ _€_-;_-@_-</c:formatCode>
                <c:ptCount val="12"/>
                <c:pt idx="0">
                  <c:v>0.4</c:v>
                </c:pt>
                <c:pt idx="1">
                  <c:v>0.64</c:v>
                </c:pt>
                <c:pt idx="2">
                  <c:v>0.28000000000000003</c:v>
                </c:pt>
                <c:pt idx="3">
                  <c:v>0.16</c:v>
                </c:pt>
                <c:pt idx="4">
                  <c:v>0.24</c:v>
                </c:pt>
                <c:pt idx="5">
                  <c:v>0.36</c:v>
                </c:pt>
                <c:pt idx="6">
                  <c:v>0.4</c:v>
                </c:pt>
                <c:pt idx="7">
                  <c:v>0.48</c:v>
                </c:pt>
                <c:pt idx="8">
                  <c:v>0.28000000000000003</c:v>
                </c:pt>
                <c:pt idx="9">
                  <c:v>0.32</c:v>
                </c:pt>
                <c:pt idx="10">
                  <c:v>0.24</c:v>
                </c:pt>
                <c:pt idx="11">
                  <c:v>0.2</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ventas'!$A$99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ventas'!$E$99,'Proy. ventas'!$G$99,'Proy. ventas'!$I$99,'Proy. ventas'!$K$99,'Proy. ventas'!$M$99,'Proy. ventas'!$O$99,'Proy. ventas'!$Q$99,'Proy. ventas'!$S$99,'Proy. ventas'!$U$99,'Proy. ventas'!$W$99,'Proy. ventas'!$Y$99,'Proy. ventas'!$AA$99)</c:f>
              <c:numCache>
                <c:formatCode>_-* #,##0\ _€_-;\-* #,##0\ _€_-;_-* "-"??\ _€_-;_-@_-</c:formatCode>
                <c:ptCount val="12"/>
                <c:pt idx="0">
                  <c:v>0.9</c:v>
                </c:pt>
                <c:pt idx="1">
                  <c:v>1.44</c:v>
                </c:pt>
                <c:pt idx="2">
                  <c:v>0.63000000000000012</c:v>
                </c:pt>
                <c:pt idx="3">
                  <c:v>0.45</c:v>
                </c:pt>
                <c:pt idx="4">
                  <c:v>0.54</c:v>
                </c:pt>
                <c:pt idx="5">
                  <c:v>0.80999999999999994</c:v>
                </c:pt>
                <c:pt idx="6">
                  <c:v>0.9</c:v>
                </c:pt>
                <c:pt idx="7">
                  <c:v>0.9</c:v>
                </c:pt>
                <c:pt idx="8">
                  <c:v>0.63000000000000012</c:v>
                </c:pt>
                <c:pt idx="9">
                  <c:v>0.72</c:v>
                </c:pt>
                <c:pt idx="10">
                  <c:v>0.63000000000000012</c:v>
                </c:pt>
                <c:pt idx="11">
                  <c:v>0.45</c:v>
                </c:pt>
              </c:numCache>
            </c:numRef>
          </c:val>
          <c:extLst>
            <c:ext xmlns:c16="http://schemas.microsoft.com/office/drawing/2014/chart" uri="{C3380CC4-5D6E-409C-BE32-E72D297353CC}">
              <c16:uniqueId val="{00000000-8413-472A-B852-1050BCF984DB}"/>
            </c:ext>
          </c:extLst>
        </c:ser>
        <c:ser>
          <c:idx val="1"/>
          <c:order val="1"/>
          <c:tx>
            <c:strRef>
              <c:f>'Proy. ventas'!$A$100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ventas'!$E$100,'Proy. ventas'!$G$100,'Proy. ventas'!$I$100,'Proy. ventas'!$K$100,'Proy. ventas'!$M$100,'Proy. ventas'!$O$100,'Proy. ventas'!$Q$100,'Proy. ventas'!$S$100,'Proy. ventas'!$U$100,'Proy. ventas'!$W$100,'Proy. ventas'!$Y$100,'Proy. ventas'!$AA$100)</c:f>
              <c:numCache>
                <c:formatCode>_-* #,##0\ _€_-;\-* #,##0\ _€_-;_-* "-"??\ _€_-;_-@_-</c:formatCode>
                <c:ptCount val="12"/>
                <c:pt idx="0">
                  <c:v>0.60000000000000009</c:v>
                </c:pt>
                <c:pt idx="1">
                  <c:v>0.96</c:v>
                </c:pt>
                <c:pt idx="2">
                  <c:v>0.42000000000000004</c:v>
                </c:pt>
                <c:pt idx="3">
                  <c:v>0.30000000000000004</c:v>
                </c:pt>
                <c:pt idx="4">
                  <c:v>0.36</c:v>
                </c:pt>
                <c:pt idx="5">
                  <c:v>0.54</c:v>
                </c:pt>
                <c:pt idx="6">
                  <c:v>0.60000000000000009</c:v>
                </c:pt>
                <c:pt idx="7">
                  <c:v>0.60000000000000009</c:v>
                </c:pt>
                <c:pt idx="8">
                  <c:v>0.42000000000000004</c:v>
                </c:pt>
                <c:pt idx="9">
                  <c:v>0.48</c:v>
                </c:pt>
                <c:pt idx="10">
                  <c:v>0.42000000000000004</c:v>
                </c:pt>
                <c:pt idx="11">
                  <c:v>0.30000000000000004</c:v>
                </c:pt>
              </c:numCache>
            </c:numRef>
          </c:val>
          <c:extLst>
            <c:ext xmlns:c16="http://schemas.microsoft.com/office/drawing/2014/chart" uri="{C3380CC4-5D6E-409C-BE32-E72D297353CC}">
              <c16:uniqueId val="{00000001-8413-472A-B852-1050BCF984DB}"/>
            </c:ext>
          </c:extLst>
        </c:ser>
        <c:ser>
          <c:idx val="2"/>
          <c:order val="2"/>
          <c:tx>
            <c:strRef>
              <c:f>'Proy. ventas'!$A$101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ventas'!$E$101,'Proy. ventas'!$G$101,'Proy. ventas'!$I$101,'Proy. ventas'!$K$101,'Proy. ventas'!$M$101,'Proy. ventas'!$O$101,'Proy. ventas'!$Q$101,'Proy. ventas'!$S$101,'Proy. ventas'!$U$101,'Proy. ventas'!$W$101,'Proy. ventas'!$Y$101,'Proy. ventas'!$AA$101)</c:f>
              <c:numCache>
                <c:formatCode>_-* #,##0\ _€_-;\-* #,##0\ _€_-;_-* "-"??\ _€_-;_-@_-</c:formatCode>
                <c:ptCount val="12"/>
                <c:pt idx="0">
                  <c:v>0.8</c:v>
                </c:pt>
                <c:pt idx="1">
                  <c:v>1.28</c:v>
                </c:pt>
                <c:pt idx="2">
                  <c:v>0.56000000000000005</c:v>
                </c:pt>
                <c:pt idx="3">
                  <c:v>0.4</c:v>
                </c:pt>
                <c:pt idx="4">
                  <c:v>0.48</c:v>
                </c:pt>
                <c:pt idx="5">
                  <c:v>0.72</c:v>
                </c:pt>
                <c:pt idx="6">
                  <c:v>0.8</c:v>
                </c:pt>
                <c:pt idx="7">
                  <c:v>0.8</c:v>
                </c:pt>
                <c:pt idx="8">
                  <c:v>0.56000000000000005</c:v>
                </c:pt>
                <c:pt idx="9">
                  <c:v>0.64</c:v>
                </c:pt>
                <c:pt idx="10">
                  <c:v>0.56000000000000005</c:v>
                </c:pt>
                <c:pt idx="11">
                  <c:v>0.4</c:v>
                </c:pt>
              </c:numCache>
            </c:numRef>
          </c:val>
          <c:extLst>
            <c:ext xmlns:c16="http://schemas.microsoft.com/office/drawing/2014/chart" uri="{C3380CC4-5D6E-409C-BE32-E72D297353CC}">
              <c16:uniqueId val="{00000002-8413-472A-B852-1050BCF984DB}"/>
            </c:ext>
          </c:extLst>
        </c:ser>
        <c:ser>
          <c:idx val="3"/>
          <c:order val="3"/>
          <c:tx>
            <c:strRef>
              <c:f>'Proy. ventas'!$A$102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ventas'!$E$102,'Proy. ventas'!$G$102,'Proy. ventas'!$I$102,'Proy. ventas'!$K$102,'Proy. ventas'!$M$102,'Proy. ventas'!$O$102,'Proy. ventas'!$Q$102,'Proy. ventas'!$S$102,'Proy. ventas'!$U$102,'Proy. ventas'!$W$102,'Proy. ventas'!$Y$102,'Proy. ventas'!$AA$102)</c:f>
              <c:numCache>
                <c:formatCode>_-* #,##0\ _€_-;\-* #,##0\ _€_-;_-* "-"??\ _€_-;_-@_-</c:formatCode>
                <c:ptCount val="12"/>
                <c:pt idx="0">
                  <c:v>0.70000000000000007</c:v>
                </c:pt>
                <c:pt idx="1">
                  <c:v>1.1200000000000001</c:v>
                </c:pt>
                <c:pt idx="2">
                  <c:v>0.49000000000000005</c:v>
                </c:pt>
                <c:pt idx="3">
                  <c:v>0.35000000000000003</c:v>
                </c:pt>
                <c:pt idx="4">
                  <c:v>0.42</c:v>
                </c:pt>
                <c:pt idx="5">
                  <c:v>0.63</c:v>
                </c:pt>
                <c:pt idx="6">
                  <c:v>0.70000000000000007</c:v>
                </c:pt>
                <c:pt idx="7">
                  <c:v>0.70000000000000007</c:v>
                </c:pt>
                <c:pt idx="8">
                  <c:v>0.49000000000000005</c:v>
                </c:pt>
                <c:pt idx="9">
                  <c:v>0.56000000000000005</c:v>
                </c:pt>
                <c:pt idx="10">
                  <c:v>0.49000000000000005</c:v>
                </c:pt>
                <c:pt idx="11">
                  <c:v>0.35000000000000003</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ingresos'!$C$17:$C$24</c:f>
              <c:numCache>
                <c:formatCode>_-"$"\ * #,##0.00_-;\-"$"\ * #,##0.00_-;_-"$"\ * "-"??_-;_-@_-</c:formatCode>
                <c:ptCount val="8"/>
                <c:pt idx="0">
                  <c:v>4000000</c:v>
                </c:pt>
                <c:pt idx="1">
                  <c:v>4600000</c:v>
                </c:pt>
                <c:pt idx="2">
                  <c:v>2300000</c:v>
                </c:pt>
                <c:pt idx="3">
                  <c:v>5000000</c:v>
                </c:pt>
                <c:pt idx="4">
                  <c:v>300000</c:v>
                </c:pt>
                <c:pt idx="5">
                  <c:v>500000</c:v>
                </c:pt>
                <c:pt idx="6">
                  <c:v>600000</c:v>
                </c:pt>
                <c:pt idx="7">
                  <c:v>800000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ingresos'!$D$17:$D$24</c:f>
              <c:numCache>
                <c:formatCode>_-"$"\ * #,##0.00_-;\-"$"\ * #,##0.00_-;_-"$"\ * "-"??_-;_-@_-</c:formatCode>
                <c:ptCount val="8"/>
                <c:pt idx="0">
                  <c:v>10000000</c:v>
                </c:pt>
                <c:pt idx="1">
                  <c:v>6900000</c:v>
                </c:pt>
                <c:pt idx="2">
                  <c:v>6900000</c:v>
                </c:pt>
                <c:pt idx="3">
                  <c:v>10000000</c:v>
                </c:pt>
                <c:pt idx="4">
                  <c:v>1800000</c:v>
                </c:pt>
                <c:pt idx="5">
                  <c:v>2000000</c:v>
                </c:pt>
                <c:pt idx="6">
                  <c:v>1800000</c:v>
                </c:pt>
                <c:pt idx="7">
                  <c:v>4000000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5</xdr:col>
      <xdr:colOff>235268</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54</xdr:row>
      <xdr:rowOff>339539</xdr:rowOff>
    </xdr:from>
    <xdr:to>
      <xdr:col>39</xdr:col>
      <xdr:colOff>705970</xdr:colOff>
      <xdr:row>71</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94</xdr:row>
      <xdr:rowOff>170889</xdr:rowOff>
    </xdr:from>
    <xdr:to>
      <xdr:col>39</xdr:col>
      <xdr:colOff>683559</xdr:colOff>
      <xdr:row>111</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49</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71</xdr:row>
      <xdr:rowOff>1004454</xdr:rowOff>
    </xdr:from>
    <xdr:to>
      <xdr:col>39</xdr:col>
      <xdr:colOff>717176</xdr:colOff>
      <xdr:row>88</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111</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73</xdr:row>
      <xdr:rowOff>74706</xdr:rowOff>
    </xdr:from>
    <xdr:to>
      <xdr:col>1</xdr:col>
      <xdr:colOff>1284941</xdr:colOff>
      <xdr:row>76</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113162</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113</xdr:row>
      <xdr:rowOff>35486</xdr:rowOff>
    </xdr:from>
    <xdr:to>
      <xdr:col>1</xdr:col>
      <xdr:colOff>1308288</xdr:colOff>
      <xdr:row>116</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tabSelected="1" zoomScale="80" zoomScaleNormal="80" workbookViewId="0">
      <selection activeCell="K18" sqref="K18"/>
    </sheetView>
  </sheetViews>
  <sheetFormatPr defaultColWidth="11.42578125" defaultRowHeight="15" x14ac:dyDescent="0.25"/>
  <cols>
    <col min="1" max="1" width="11.42578125" style="1"/>
    <col min="2" max="2" width="12.5703125" style="1" customWidth="1"/>
    <col min="3" max="3" width="18.5703125" style="1" customWidth="1"/>
    <col min="4" max="4" width="36" style="1" customWidth="1"/>
    <col min="5" max="16384" width="11.42578125" style="1"/>
  </cols>
  <sheetData>
    <row r="9" spans="3:4" ht="28.5" x14ac:dyDescent="0.45">
      <c r="C9" s="1056" t="s">
        <v>0</v>
      </c>
      <c r="D9" s="1056"/>
    </row>
    <row r="21" spans="3:4" ht="25.5" customHeight="1" thickBot="1" x14ac:dyDescent="0.3">
      <c r="C21" s="1049" t="s">
        <v>384</v>
      </c>
      <c r="D21" s="1050" t="s">
        <v>385</v>
      </c>
    </row>
    <row r="22" spans="3:4" ht="25.5" customHeight="1" thickTop="1" thickBot="1" x14ac:dyDescent="0.3">
      <c r="C22" s="1051" t="s">
        <v>386</v>
      </c>
      <c r="D22" s="1052">
        <v>77077</v>
      </c>
    </row>
    <row r="23" spans="3:4" ht="25.5" customHeight="1" thickTop="1" thickBot="1" x14ac:dyDescent="0.3">
      <c r="C23" s="1051" t="s">
        <v>387</v>
      </c>
      <c r="D23" s="1053" t="s">
        <v>388</v>
      </c>
    </row>
    <row r="24" spans="3:4" ht="25.5" customHeight="1" thickTop="1" thickBot="1" x14ac:dyDescent="0.3">
      <c r="C24" s="1051" t="s">
        <v>389</v>
      </c>
      <c r="D24" s="1053" t="s">
        <v>390</v>
      </c>
    </row>
    <row r="25" spans="3:4" ht="25.5" customHeight="1" thickTop="1" thickBot="1" x14ac:dyDescent="0.3">
      <c r="C25" s="1051" t="s">
        <v>391</v>
      </c>
      <c r="D25" s="1053" t="s">
        <v>392</v>
      </c>
    </row>
    <row r="26" spans="3:4" ht="25.5" customHeight="1" thickTop="1" x14ac:dyDescent="0.25">
      <c r="C26" s="1054" t="s">
        <v>393</v>
      </c>
      <c r="D26" s="1055" t="s">
        <v>394</v>
      </c>
    </row>
  </sheetData>
  <mergeCells count="1">
    <mergeCell ref="C9:D9"/>
  </mergeCells>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zoomScale="90" zoomScaleNormal="90" workbookViewId="0">
      <pane ySplit="1" topLeftCell="A6" activePane="bottomLeft" state="frozen"/>
      <selection pane="bottomLeft" activeCell="A11" sqref="A11"/>
    </sheetView>
  </sheetViews>
  <sheetFormatPr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465" customFormat="1" ht="58.5" customHeight="1" x14ac:dyDescent="0.25">
      <c r="A1" s="467"/>
      <c r="B1" s="467"/>
      <c r="C1" s="467"/>
      <c r="D1" s="467"/>
      <c r="E1" s="467"/>
      <c r="F1" s="470" t="s">
        <v>7</v>
      </c>
      <c r="G1" s="471"/>
      <c r="H1" s="471"/>
      <c r="I1" s="467"/>
      <c r="J1" s="467"/>
      <c r="K1" s="467"/>
      <c r="L1" s="467"/>
      <c r="M1" s="467"/>
      <c r="N1" s="467"/>
      <c r="O1" s="467"/>
    </row>
    <row r="2" spans="1:15" ht="15.75" thickBot="1" x14ac:dyDescent="0.3"/>
    <row r="3" spans="1:15" ht="27" thickBot="1" x14ac:dyDescent="0.45">
      <c r="B3" s="927" t="s">
        <v>36</v>
      </c>
      <c r="C3" s="928"/>
      <c r="D3" s="929"/>
    </row>
    <row r="4" spans="1:15" x14ac:dyDescent="0.25">
      <c r="B4" s="32">
        <v>2019</v>
      </c>
      <c r="C4" s="32">
        <v>2020</v>
      </c>
      <c r="D4" s="32">
        <v>2021</v>
      </c>
    </row>
    <row r="5" spans="1:15" x14ac:dyDescent="0.25">
      <c r="B5" s="38">
        <f>Hipótesis!C24</f>
        <v>0.03</v>
      </c>
      <c r="C5" s="38">
        <f>Hipótesis!C25</f>
        <v>7.0000000000000007E-2</v>
      </c>
      <c r="D5" s="38">
        <f>Hipótesis!C26</f>
        <v>0.12</v>
      </c>
    </row>
    <row r="6" spans="1:15" x14ac:dyDescent="0.25">
      <c r="B6" s="31">
        <f>Hipótesis!D24</f>
        <v>18750000</v>
      </c>
      <c r="C6" s="31">
        <f>Hipótesis!D25</f>
        <v>43750000.000000007</v>
      </c>
      <c r="D6" s="31">
        <f>Hipótesis!D26</f>
        <v>75000000</v>
      </c>
    </row>
    <row r="7" spans="1:15" ht="15.75" thickBot="1" x14ac:dyDescent="0.3">
      <c r="B7" s="152"/>
      <c r="C7" s="152"/>
      <c r="D7" s="152"/>
    </row>
    <row r="8" spans="1:15" ht="27" thickBot="1" x14ac:dyDescent="0.45">
      <c r="B8" s="927" t="s">
        <v>181</v>
      </c>
      <c r="C8" s="928"/>
      <c r="D8" s="929"/>
    </row>
    <row r="9" spans="1:15" x14ac:dyDescent="0.25">
      <c r="B9" s="32">
        <v>2019</v>
      </c>
      <c r="C9" s="32">
        <v>2020</v>
      </c>
      <c r="D9" s="32">
        <v>2021</v>
      </c>
    </row>
    <row r="10" spans="1:15" x14ac:dyDescent="0.25">
      <c r="A10" s="259" t="s">
        <v>178</v>
      </c>
      <c r="B10" s="258">
        <f>'Costos fijos'!$G$5</f>
        <v>2222400</v>
      </c>
      <c r="C10" s="258">
        <f>'Costos fijos'!$H$5</f>
        <v>2388690</v>
      </c>
      <c r="D10" s="258">
        <f>'Costos fijos'!$I$5</f>
        <v>2608767.2375000003</v>
      </c>
    </row>
    <row r="11" spans="1:15" x14ac:dyDescent="0.25">
      <c r="A11" s="259" t="s">
        <v>179</v>
      </c>
      <c r="B11" s="258" t="e">
        <f>'Costos variables'!$H$6</f>
        <v>#REF!</v>
      </c>
      <c r="C11" s="258" t="e">
        <f>'Costos variables'!$I$6</f>
        <v>#REF!</v>
      </c>
      <c r="D11" s="258" t="e">
        <f>'Costos variables'!$J$6</f>
        <v>#REF!</v>
      </c>
    </row>
    <row r="12" spans="1:15" x14ac:dyDescent="0.25">
      <c r="A12" s="259" t="s">
        <v>180</v>
      </c>
      <c r="B12" s="258">
        <f>'Costos RRHH'!$H$6</f>
        <v>7341662.4450000012</v>
      </c>
      <c r="C12" s="258">
        <f>'Costos RRHH'!$I$6</f>
        <v>8446303.9266666677</v>
      </c>
      <c r="D12" s="258">
        <f>'Costos RRHH'!$J$6</f>
        <v>10262133.115833335</v>
      </c>
    </row>
    <row r="13" spans="1:15" x14ac:dyDescent="0.25">
      <c r="A13" s="259" t="s">
        <v>181</v>
      </c>
      <c r="B13" s="260" t="e">
        <f>SUM(B9:B12)</f>
        <v>#REF!</v>
      </c>
      <c r="C13" s="260" t="e">
        <f>SUM(C9:C12)</f>
        <v>#REF!</v>
      </c>
      <c r="D13" s="260" t="e">
        <f>SUM(D9:D12)</f>
        <v>#REF!</v>
      </c>
    </row>
    <row r="14" spans="1:15" x14ac:dyDescent="0.25">
      <c r="A14" s="259" t="s">
        <v>182</v>
      </c>
      <c r="B14" s="258">
        <f>$B$6</f>
        <v>18750000</v>
      </c>
      <c r="C14" s="258">
        <f>$C$6</f>
        <v>43750000.000000007</v>
      </c>
      <c r="D14" s="258">
        <f>$D$6</f>
        <v>75000000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85" zoomScaleNormal="85" workbookViewId="0">
      <pane ySplit="1" topLeftCell="A52" activePane="bottomLeft" state="frozen"/>
      <selection pane="bottomLeft" sqref="A1:L1"/>
    </sheetView>
  </sheetViews>
  <sheetFormatPr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465" customFormat="1" ht="58.5" customHeight="1" x14ac:dyDescent="0.25">
      <c r="A1" s="467"/>
      <c r="B1" s="467"/>
      <c r="C1" s="467"/>
      <c r="D1" s="467"/>
      <c r="E1" s="467"/>
      <c r="F1" s="470" t="s">
        <v>8</v>
      </c>
      <c r="G1" s="471"/>
      <c r="H1" s="471"/>
      <c r="I1" s="467"/>
      <c r="J1" s="467"/>
      <c r="K1" s="467"/>
      <c r="L1" s="467"/>
    </row>
    <row r="2" spans="1:12" ht="15.75" thickBot="1" x14ac:dyDescent="0.3"/>
    <row r="3" spans="1:12" ht="27" thickBot="1" x14ac:dyDescent="0.45">
      <c r="B3" s="927" t="s">
        <v>36</v>
      </c>
      <c r="C3" s="928"/>
      <c r="D3" s="929"/>
      <c r="G3" s="955" t="s">
        <v>183</v>
      </c>
      <c r="H3" s="956"/>
      <c r="I3" s="956"/>
      <c r="J3" s="957"/>
    </row>
    <row r="4" spans="1:12" x14ac:dyDescent="0.25">
      <c r="B4" s="42">
        <v>2019</v>
      </c>
      <c r="C4" s="32">
        <v>2020</v>
      </c>
      <c r="D4" s="43">
        <v>2021</v>
      </c>
      <c r="G4" s="265" t="s">
        <v>184</v>
      </c>
      <c r="H4" s="266">
        <v>2019</v>
      </c>
      <c r="I4" s="266">
        <v>2020</v>
      </c>
      <c r="J4" s="267">
        <v>2021</v>
      </c>
    </row>
    <row r="5" spans="1:12" ht="15.75" thickBot="1" x14ac:dyDescent="0.3">
      <c r="B5" s="44">
        <f>Hipótesis!$C$24</f>
        <v>0.03</v>
      </c>
      <c r="C5" s="38">
        <f>Hipótesis!$C$25</f>
        <v>7.0000000000000007E-2</v>
      </c>
      <c r="D5" s="45">
        <f>Hipótesis!$C$26</f>
        <v>0.12</v>
      </c>
      <c r="G5" s="262">
        <f>$E$28</f>
        <v>2297572</v>
      </c>
      <c r="H5" s="263">
        <f>$E$45</f>
        <v>22999</v>
      </c>
      <c r="I5" s="263">
        <f>$E$63</f>
        <v>70262</v>
      </c>
      <c r="J5" s="264">
        <f>$E$81</f>
        <v>1306257</v>
      </c>
    </row>
    <row r="6" spans="1:12" ht="15.75" thickBot="1" x14ac:dyDescent="0.3">
      <c r="B6" s="46">
        <f>Hipótesis!$D$24</f>
        <v>18750000</v>
      </c>
      <c r="C6" s="47">
        <f>Hipótesis!$D$25</f>
        <v>43750000.000000007</v>
      </c>
      <c r="D6" s="48">
        <f>Hipótesis!$D$26</f>
        <v>75000000</v>
      </c>
    </row>
    <row r="8" spans="1:12" ht="15.75" thickBot="1" x14ac:dyDescent="0.3"/>
    <row r="9" spans="1:12" ht="27" thickBot="1" x14ac:dyDescent="0.45">
      <c r="B9" s="920" t="s">
        <v>185</v>
      </c>
      <c r="C9" s="921"/>
      <c r="D9" s="921"/>
      <c r="E9" s="921"/>
      <c r="F9" s="922"/>
    </row>
    <row r="10" spans="1:12" ht="15.75" x14ac:dyDescent="0.25">
      <c r="B10" s="288" t="s">
        <v>61</v>
      </c>
      <c r="C10" s="289" t="s">
        <v>57</v>
      </c>
      <c r="D10" s="289" t="s">
        <v>190</v>
      </c>
      <c r="E10" s="289" t="s">
        <v>126</v>
      </c>
      <c r="F10" s="290" t="s">
        <v>194</v>
      </c>
    </row>
    <row r="11" spans="1:12" x14ac:dyDescent="0.25">
      <c r="B11" s="269" t="s">
        <v>252</v>
      </c>
      <c r="C11" s="366">
        <v>20</v>
      </c>
      <c r="D11" s="261">
        <f>'Costos variables'!$E$20</f>
        <v>1360</v>
      </c>
      <c r="E11" s="261">
        <f>C11*D11</f>
        <v>27200</v>
      </c>
      <c r="F11" s="450"/>
    </row>
    <row r="12" spans="1:12" x14ac:dyDescent="0.25">
      <c r="B12" s="269" t="s">
        <v>253</v>
      </c>
      <c r="C12" s="366">
        <v>15</v>
      </c>
      <c r="D12" s="261">
        <f>'Costos variables'!$E$33</f>
        <v>5705</v>
      </c>
      <c r="E12" s="261">
        <f>C12*D12</f>
        <v>85575</v>
      </c>
      <c r="F12" s="450"/>
    </row>
    <row r="13" spans="1:12" x14ac:dyDescent="0.25">
      <c r="B13" s="269" t="s">
        <v>254</v>
      </c>
      <c r="C13" s="366">
        <v>10</v>
      </c>
      <c r="D13" s="261">
        <f>'Costos variables'!$E$46</f>
        <v>8105</v>
      </c>
      <c r="E13" s="261">
        <f>C13*D13</f>
        <v>81050</v>
      </c>
      <c r="F13" s="450"/>
    </row>
    <row r="14" spans="1:12" ht="15.75" x14ac:dyDescent="0.25">
      <c r="B14" s="269" t="s">
        <v>255</v>
      </c>
      <c r="C14" s="365" t="s">
        <v>220</v>
      </c>
      <c r="D14" s="365" t="s">
        <v>220</v>
      </c>
      <c r="E14" s="261">
        <f>10*D13+10*D12+10*D11</f>
        <v>151700</v>
      </c>
      <c r="F14" s="450"/>
    </row>
    <row r="15" spans="1:12" x14ac:dyDescent="0.25">
      <c r="B15" s="269" t="s">
        <v>186</v>
      </c>
      <c r="C15" s="153">
        <v>1</v>
      </c>
      <c r="D15" s="261">
        <v>20000</v>
      </c>
      <c r="E15" s="261">
        <f>C15*D15</f>
        <v>20000</v>
      </c>
      <c r="F15" s="281"/>
    </row>
    <row r="16" spans="1:12" x14ac:dyDescent="0.25">
      <c r="B16" s="269" t="s">
        <v>187</v>
      </c>
      <c r="C16" s="153">
        <v>1</v>
      </c>
      <c r="D16" s="261">
        <v>2850</v>
      </c>
      <c r="E16" s="261">
        <f t="shared" ref="E16:E27" si="0">C16*D16</f>
        <v>2850</v>
      </c>
      <c r="F16" s="282"/>
    </row>
    <row r="17" spans="2:6" x14ac:dyDescent="0.25">
      <c r="B17" s="269" t="s">
        <v>209</v>
      </c>
      <c r="C17" s="153">
        <v>1</v>
      </c>
      <c r="D17" s="261">
        <v>5000</v>
      </c>
      <c r="E17" s="261">
        <f t="shared" si="0"/>
        <v>5000</v>
      </c>
      <c r="F17" s="282"/>
    </row>
    <row r="18" spans="2:6" x14ac:dyDescent="0.25">
      <c r="B18" s="269" t="s">
        <v>189</v>
      </c>
      <c r="C18" s="153">
        <v>2</v>
      </c>
      <c r="D18" s="261">
        <v>2840</v>
      </c>
      <c r="E18" s="261">
        <f t="shared" si="0"/>
        <v>5680</v>
      </c>
      <c r="F18" s="282"/>
    </row>
    <row r="19" spans="2:6" x14ac:dyDescent="0.25">
      <c r="B19" s="269" t="s">
        <v>201</v>
      </c>
      <c r="C19" s="153">
        <v>5</v>
      </c>
      <c r="D19" s="261">
        <v>2600</v>
      </c>
      <c r="E19" s="261">
        <f t="shared" si="0"/>
        <v>13000</v>
      </c>
      <c r="F19" s="4"/>
    </row>
    <row r="20" spans="2:6" x14ac:dyDescent="0.25">
      <c r="B20" s="269" t="s">
        <v>234</v>
      </c>
      <c r="C20" s="153">
        <v>2</v>
      </c>
      <c r="D20" s="261">
        <v>736011</v>
      </c>
      <c r="E20" s="261">
        <f t="shared" si="0"/>
        <v>1472022</v>
      </c>
      <c r="F20" s="4"/>
    </row>
    <row r="21" spans="2:6" x14ac:dyDescent="0.25">
      <c r="B21" s="269" t="s">
        <v>200</v>
      </c>
      <c r="C21" s="153">
        <v>8</v>
      </c>
      <c r="D21" s="261">
        <v>17500</v>
      </c>
      <c r="E21" s="261">
        <f t="shared" si="0"/>
        <v>140000</v>
      </c>
      <c r="F21" s="282"/>
    </row>
    <row r="22" spans="2:6" x14ac:dyDescent="0.25">
      <c r="B22" s="269" t="s">
        <v>205</v>
      </c>
      <c r="C22" s="153">
        <v>2</v>
      </c>
      <c r="D22" s="261">
        <v>20170</v>
      </c>
      <c r="E22" s="261">
        <f t="shared" si="0"/>
        <v>40340</v>
      </c>
      <c r="F22" s="282"/>
    </row>
    <row r="23" spans="2:6" x14ac:dyDescent="0.25">
      <c r="B23" s="269" t="s">
        <v>198</v>
      </c>
      <c r="C23" s="153">
        <v>1</v>
      </c>
      <c r="D23" s="261">
        <v>4299</v>
      </c>
      <c r="E23" s="261">
        <f t="shared" si="0"/>
        <v>4299</v>
      </c>
      <c r="F23" s="281"/>
    </row>
    <row r="24" spans="2:6" x14ac:dyDescent="0.25">
      <c r="B24" s="269" t="s">
        <v>199</v>
      </c>
      <c r="C24" s="153">
        <v>6</v>
      </c>
      <c r="D24" s="261">
        <v>7480</v>
      </c>
      <c r="E24" s="261">
        <f t="shared" si="0"/>
        <v>44880</v>
      </c>
      <c r="F24" s="282"/>
    </row>
    <row r="25" spans="2:6" x14ac:dyDescent="0.25">
      <c r="B25" s="269" t="s">
        <v>197</v>
      </c>
      <c r="C25" s="153">
        <v>9</v>
      </c>
      <c r="D25" s="261">
        <v>3200</v>
      </c>
      <c r="E25" s="261">
        <f t="shared" si="0"/>
        <v>28800</v>
      </c>
      <c r="F25" s="282"/>
    </row>
    <row r="26" spans="2:6" x14ac:dyDescent="0.25">
      <c r="B26" s="269" t="s">
        <v>204</v>
      </c>
      <c r="C26" s="153">
        <v>24</v>
      </c>
      <c r="D26" s="261">
        <v>2299</v>
      </c>
      <c r="E26" s="261">
        <f t="shared" si="0"/>
        <v>55176</v>
      </c>
      <c r="F26" s="282"/>
    </row>
    <row r="27" spans="2:6" ht="15.75" thickBot="1" x14ac:dyDescent="0.3">
      <c r="B27" s="283" t="s">
        <v>195</v>
      </c>
      <c r="C27" s="284">
        <v>1</v>
      </c>
      <c r="D27" s="263">
        <v>120000</v>
      </c>
      <c r="E27" s="261">
        <f t="shared" si="0"/>
        <v>120000</v>
      </c>
      <c r="F27" s="285"/>
    </row>
    <row r="28" spans="2:6" ht="15.75" thickBot="1" x14ac:dyDescent="0.3">
      <c r="B28" s="950" t="s">
        <v>19</v>
      </c>
      <c r="C28" s="951"/>
      <c r="D28" s="952"/>
      <c r="E28" s="291">
        <f>SUM(E11:E27)</f>
        <v>2297572</v>
      </c>
    </row>
    <row r="29" spans="2:6" ht="15.75" thickBot="1" x14ac:dyDescent="0.3"/>
    <row r="30" spans="2:6" ht="27" thickBot="1" x14ac:dyDescent="0.45">
      <c r="B30" s="927" t="s">
        <v>191</v>
      </c>
      <c r="C30" s="928"/>
      <c r="D30" s="928"/>
      <c r="E30" s="929"/>
      <c r="F30" s="292"/>
    </row>
    <row r="31" spans="2:6" ht="15.75" x14ac:dyDescent="0.25">
      <c r="B31" s="288" t="s">
        <v>61</v>
      </c>
      <c r="C31" s="289" t="s">
        <v>57</v>
      </c>
      <c r="D31" s="289" t="s">
        <v>190</v>
      </c>
      <c r="E31" s="290" t="s">
        <v>126</v>
      </c>
    </row>
    <row r="32" spans="2:6" x14ac:dyDescent="0.25">
      <c r="B32" s="269" t="s">
        <v>186</v>
      </c>
      <c r="C32" s="153">
        <v>0</v>
      </c>
      <c r="D32" s="261">
        <v>20000</v>
      </c>
      <c r="E32" s="293">
        <f>C32*D32</f>
        <v>0</v>
      </c>
    </row>
    <row r="33" spans="2:8" x14ac:dyDescent="0.25">
      <c r="B33" s="269" t="s">
        <v>187</v>
      </c>
      <c r="C33" s="153">
        <v>0</v>
      </c>
      <c r="D33" s="261">
        <v>2850</v>
      </c>
      <c r="E33" s="293">
        <f t="shared" ref="E33:E44" si="1">C33*D33</f>
        <v>0</v>
      </c>
      <c r="G33" s="50"/>
      <c r="H33" s="50"/>
    </row>
    <row r="34" spans="2:8" x14ac:dyDescent="0.25">
      <c r="B34" s="269" t="s">
        <v>188</v>
      </c>
      <c r="C34" s="153">
        <v>0</v>
      </c>
      <c r="D34" s="261">
        <v>5000</v>
      </c>
      <c r="E34" s="293">
        <f t="shared" si="1"/>
        <v>0</v>
      </c>
      <c r="G34" s="50"/>
      <c r="H34" s="50"/>
    </row>
    <row r="35" spans="2:8" x14ac:dyDescent="0.25">
      <c r="B35" s="269" t="s">
        <v>189</v>
      </c>
      <c r="C35" s="153">
        <v>0</v>
      </c>
      <c r="D35" s="261">
        <v>2840</v>
      </c>
      <c r="E35" s="293">
        <f t="shared" si="1"/>
        <v>0</v>
      </c>
      <c r="G35" s="953"/>
      <c r="H35" s="953"/>
    </row>
    <row r="36" spans="2:8" x14ac:dyDescent="0.25">
      <c r="B36" s="269" t="s">
        <v>201</v>
      </c>
      <c r="C36" s="153">
        <v>0</v>
      </c>
      <c r="D36" s="261">
        <v>2600</v>
      </c>
      <c r="E36" s="293">
        <f t="shared" si="1"/>
        <v>0</v>
      </c>
      <c r="G36" s="954"/>
      <c r="H36" s="954"/>
    </row>
    <row r="37" spans="2:8" x14ac:dyDescent="0.25">
      <c r="B37" s="269" t="s">
        <v>234</v>
      </c>
      <c r="C37" s="153">
        <v>0</v>
      </c>
      <c r="D37" s="261">
        <v>736011</v>
      </c>
      <c r="E37" s="293">
        <f t="shared" si="1"/>
        <v>0</v>
      </c>
      <c r="G37" s="953"/>
      <c r="H37" s="953"/>
    </row>
    <row r="38" spans="2:8" x14ac:dyDescent="0.25">
      <c r="B38" s="269" t="s">
        <v>200</v>
      </c>
      <c r="C38" s="257">
        <v>1</v>
      </c>
      <c r="D38" s="261">
        <v>17500</v>
      </c>
      <c r="E38" s="293">
        <f t="shared" si="1"/>
        <v>17500</v>
      </c>
      <c r="G38" s="954"/>
      <c r="H38" s="954"/>
    </row>
    <row r="39" spans="2:8" x14ac:dyDescent="0.25">
      <c r="B39" s="269" t="s">
        <v>192</v>
      </c>
      <c r="C39" s="153">
        <v>0</v>
      </c>
      <c r="D39" s="261">
        <v>20170</v>
      </c>
      <c r="E39" s="293">
        <f t="shared" si="1"/>
        <v>0</v>
      </c>
      <c r="G39" s="954"/>
      <c r="H39" s="954"/>
    </row>
    <row r="40" spans="2:8" x14ac:dyDescent="0.25">
      <c r="B40" s="269" t="s">
        <v>198</v>
      </c>
      <c r="C40" s="153">
        <v>0</v>
      </c>
      <c r="D40" s="261">
        <v>4299</v>
      </c>
      <c r="E40" s="293">
        <f t="shared" si="1"/>
        <v>0</v>
      </c>
      <c r="G40" s="954"/>
      <c r="H40" s="954"/>
    </row>
    <row r="41" spans="2:8" x14ac:dyDescent="0.25">
      <c r="B41" s="269" t="s">
        <v>199</v>
      </c>
      <c r="C41" s="153">
        <v>0</v>
      </c>
      <c r="D41" s="261">
        <v>7480</v>
      </c>
      <c r="E41" s="293">
        <f t="shared" si="1"/>
        <v>0</v>
      </c>
      <c r="G41" s="953"/>
      <c r="H41" s="953"/>
    </row>
    <row r="42" spans="2:8" x14ac:dyDescent="0.25">
      <c r="B42" s="269" t="s">
        <v>197</v>
      </c>
      <c r="C42" s="257">
        <v>1</v>
      </c>
      <c r="D42" s="261">
        <v>3200</v>
      </c>
      <c r="E42" s="293">
        <f t="shared" si="1"/>
        <v>3200</v>
      </c>
      <c r="G42" s="953"/>
      <c r="H42" s="953"/>
    </row>
    <row r="43" spans="2:8" x14ac:dyDescent="0.25">
      <c r="B43" s="269" t="s">
        <v>193</v>
      </c>
      <c r="C43" s="257">
        <v>1</v>
      </c>
      <c r="D43" s="261">
        <v>2299</v>
      </c>
      <c r="E43" s="293">
        <f t="shared" si="1"/>
        <v>2299</v>
      </c>
      <c r="G43" s="50"/>
      <c r="H43" s="50"/>
    </row>
    <row r="44" spans="2:8" ht="15.75" thickBot="1" x14ac:dyDescent="0.3">
      <c r="B44" s="283" t="s">
        <v>195</v>
      </c>
      <c r="C44" s="284">
        <v>0</v>
      </c>
      <c r="D44" s="263">
        <v>120000</v>
      </c>
      <c r="E44" s="294">
        <f t="shared" si="1"/>
        <v>0</v>
      </c>
      <c r="G44" s="50"/>
      <c r="H44" s="50"/>
    </row>
    <row r="45" spans="2:8" ht="15.75" thickBot="1" x14ac:dyDescent="0.3">
      <c r="B45" s="950" t="s">
        <v>19</v>
      </c>
      <c r="C45" s="951"/>
      <c r="D45" s="952"/>
      <c r="E45" s="286">
        <f>SUM(E32:E44)</f>
        <v>22999</v>
      </c>
    </row>
    <row r="47" spans="2:8" ht="15.75" thickBot="1" x14ac:dyDescent="0.3"/>
    <row r="48" spans="2:8" ht="27" thickBot="1" x14ac:dyDescent="0.45">
      <c r="B48" s="927" t="s">
        <v>202</v>
      </c>
      <c r="C48" s="928"/>
      <c r="D48" s="928"/>
      <c r="E48" s="929"/>
    </row>
    <row r="49" spans="2:5" ht="15.75" x14ac:dyDescent="0.25">
      <c r="B49" s="288" t="s">
        <v>61</v>
      </c>
      <c r="C49" s="289" t="s">
        <v>57</v>
      </c>
      <c r="D49" s="289" t="s">
        <v>190</v>
      </c>
      <c r="E49" s="290" t="s">
        <v>126</v>
      </c>
    </row>
    <row r="50" spans="2:5" x14ac:dyDescent="0.25">
      <c r="B50" s="269" t="s">
        <v>186</v>
      </c>
      <c r="C50" s="153">
        <v>0</v>
      </c>
      <c r="D50" s="261">
        <v>20000</v>
      </c>
      <c r="E50" s="293">
        <f>C50*D50</f>
        <v>0</v>
      </c>
    </row>
    <row r="51" spans="2:5" x14ac:dyDescent="0.25">
      <c r="B51" s="269" t="s">
        <v>187</v>
      </c>
      <c r="C51" s="257">
        <v>1</v>
      </c>
      <c r="D51" s="261">
        <v>2850</v>
      </c>
      <c r="E51" s="293">
        <f t="shared" ref="E51:E62" si="2">C51*D51</f>
        <v>2850</v>
      </c>
    </row>
    <row r="52" spans="2:5" x14ac:dyDescent="0.25">
      <c r="B52" s="269" t="s">
        <v>188</v>
      </c>
      <c r="C52" s="257">
        <v>1</v>
      </c>
      <c r="D52" s="261">
        <v>5000</v>
      </c>
      <c r="E52" s="293">
        <f t="shared" si="2"/>
        <v>5000</v>
      </c>
    </row>
    <row r="53" spans="2:5" x14ac:dyDescent="0.25">
      <c r="B53" s="269" t="s">
        <v>189</v>
      </c>
      <c r="C53" s="257">
        <v>1</v>
      </c>
      <c r="D53" s="261">
        <v>2840</v>
      </c>
      <c r="E53" s="293">
        <f t="shared" si="2"/>
        <v>2840</v>
      </c>
    </row>
    <row r="54" spans="2:5" x14ac:dyDescent="0.25">
      <c r="B54" s="269" t="s">
        <v>201</v>
      </c>
      <c r="C54" s="257">
        <v>5</v>
      </c>
      <c r="D54" s="261">
        <v>2600</v>
      </c>
      <c r="E54" s="293">
        <f t="shared" si="2"/>
        <v>13000</v>
      </c>
    </row>
    <row r="55" spans="2:5" x14ac:dyDescent="0.25">
      <c r="B55" s="269" t="s">
        <v>234</v>
      </c>
      <c r="C55" s="153">
        <v>0</v>
      </c>
      <c r="D55" s="261">
        <v>736011</v>
      </c>
      <c r="E55" s="293">
        <f t="shared" si="2"/>
        <v>0</v>
      </c>
    </row>
    <row r="56" spans="2:5" x14ac:dyDescent="0.25">
      <c r="B56" s="269" t="s">
        <v>200</v>
      </c>
      <c r="C56" s="257">
        <v>1</v>
      </c>
      <c r="D56" s="261">
        <v>17500</v>
      </c>
      <c r="E56" s="293">
        <f t="shared" si="2"/>
        <v>17500</v>
      </c>
    </row>
    <row r="57" spans="2:5" x14ac:dyDescent="0.25">
      <c r="B57" s="269" t="s">
        <v>192</v>
      </c>
      <c r="C57" s="153">
        <v>0</v>
      </c>
      <c r="D57" s="261">
        <v>20170</v>
      </c>
      <c r="E57" s="293">
        <f t="shared" si="2"/>
        <v>0</v>
      </c>
    </row>
    <row r="58" spans="2:5" x14ac:dyDescent="0.25">
      <c r="B58" s="269" t="s">
        <v>198</v>
      </c>
      <c r="C58" s="153">
        <v>0</v>
      </c>
      <c r="D58" s="261">
        <v>4299</v>
      </c>
      <c r="E58" s="293">
        <f t="shared" si="2"/>
        <v>0</v>
      </c>
    </row>
    <row r="59" spans="2:5" x14ac:dyDescent="0.25">
      <c r="B59" s="269" t="s">
        <v>199</v>
      </c>
      <c r="C59" s="257">
        <v>1</v>
      </c>
      <c r="D59" s="261">
        <v>7480</v>
      </c>
      <c r="E59" s="293">
        <f t="shared" si="2"/>
        <v>7480</v>
      </c>
    </row>
    <row r="60" spans="2:5" x14ac:dyDescent="0.25">
      <c r="B60" s="269" t="s">
        <v>197</v>
      </c>
      <c r="C60" s="257">
        <v>1</v>
      </c>
      <c r="D60" s="261">
        <v>3200</v>
      </c>
      <c r="E60" s="293">
        <f t="shared" si="2"/>
        <v>3200</v>
      </c>
    </row>
    <row r="61" spans="2:5" x14ac:dyDescent="0.25">
      <c r="B61" s="269" t="s">
        <v>193</v>
      </c>
      <c r="C61" s="257">
        <v>8</v>
      </c>
      <c r="D61" s="261">
        <v>2299</v>
      </c>
      <c r="E61" s="293">
        <f t="shared" si="2"/>
        <v>18392</v>
      </c>
    </row>
    <row r="62" spans="2:5" ht="15.75" thickBot="1" x14ac:dyDescent="0.3">
      <c r="B62" s="283" t="s">
        <v>195</v>
      </c>
      <c r="C62" s="284">
        <v>0</v>
      </c>
      <c r="D62" s="263">
        <v>120000</v>
      </c>
      <c r="E62" s="294">
        <f t="shared" si="2"/>
        <v>0</v>
      </c>
    </row>
    <row r="63" spans="2:5" ht="15.75" thickBot="1" x14ac:dyDescent="0.3">
      <c r="B63" s="950" t="s">
        <v>19</v>
      </c>
      <c r="C63" s="951"/>
      <c r="D63" s="952"/>
      <c r="E63" s="286">
        <f>SUM(E50:E62)</f>
        <v>70262</v>
      </c>
    </row>
    <row r="65" spans="2:5" ht="15.75" thickBot="1" x14ac:dyDescent="0.3"/>
    <row r="66" spans="2:5" ht="27" thickBot="1" x14ac:dyDescent="0.45">
      <c r="B66" s="927" t="s">
        <v>203</v>
      </c>
      <c r="C66" s="928"/>
      <c r="D66" s="928"/>
      <c r="E66" s="929"/>
    </row>
    <row r="67" spans="2:5" ht="15.75" x14ac:dyDescent="0.25">
      <c r="B67" s="288" t="s">
        <v>61</v>
      </c>
      <c r="C67" s="289" t="s">
        <v>57</v>
      </c>
      <c r="D67" s="289" t="s">
        <v>190</v>
      </c>
      <c r="E67" s="290" t="s">
        <v>126</v>
      </c>
    </row>
    <row r="68" spans="2:5" x14ac:dyDescent="0.25">
      <c r="B68" s="269" t="s">
        <v>186</v>
      </c>
      <c r="C68" s="153">
        <v>0</v>
      </c>
      <c r="D68" s="261">
        <v>20000</v>
      </c>
      <c r="E68" s="293">
        <f>C68*D68</f>
        <v>0</v>
      </c>
    </row>
    <row r="69" spans="2:5" x14ac:dyDescent="0.25">
      <c r="B69" s="269" t="s">
        <v>187</v>
      </c>
      <c r="C69" s="153">
        <v>0</v>
      </c>
      <c r="D69" s="261">
        <v>2850</v>
      </c>
      <c r="E69" s="293">
        <f t="shared" ref="E69:E80" si="3">C69*D69</f>
        <v>0</v>
      </c>
    </row>
    <row r="70" spans="2:5" x14ac:dyDescent="0.25">
      <c r="B70" s="269" t="s">
        <v>188</v>
      </c>
      <c r="C70" s="153">
        <v>0</v>
      </c>
      <c r="D70" s="261">
        <v>5000</v>
      </c>
      <c r="E70" s="293">
        <f t="shared" si="3"/>
        <v>0</v>
      </c>
    </row>
    <row r="71" spans="2:5" x14ac:dyDescent="0.25">
      <c r="B71" s="269" t="s">
        <v>189</v>
      </c>
      <c r="C71" s="153">
        <v>0</v>
      </c>
      <c r="D71" s="261">
        <v>2840</v>
      </c>
      <c r="E71" s="293">
        <f t="shared" si="3"/>
        <v>0</v>
      </c>
    </row>
    <row r="72" spans="2:5" x14ac:dyDescent="0.25">
      <c r="B72" s="269" t="s">
        <v>201</v>
      </c>
      <c r="C72" s="153">
        <v>0</v>
      </c>
      <c r="D72" s="261">
        <v>2600</v>
      </c>
      <c r="E72" s="293">
        <f t="shared" si="3"/>
        <v>0</v>
      </c>
    </row>
    <row r="73" spans="2:5" x14ac:dyDescent="0.25">
      <c r="B73" s="269" t="s">
        <v>196</v>
      </c>
      <c r="C73" s="257">
        <v>1</v>
      </c>
      <c r="D73" s="261">
        <v>1234590</v>
      </c>
      <c r="E73" s="293">
        <f t="shared" si="3"/>
        <v>1234590</v>
      </c>
    </row>
    <row r="74" spans="2:5" x14ac:dyDescent="0.25">
      <c r="B74" s="269" t="s">
        <v>200</v>
      </c>
      <c r="C74" s="257">
        <v>2</v>
      </c>
      <c r="D74" s="261">
        <v>17500</v>
      </c>
      <c r="E74" s="293">
        <f t="shared" si="3"/>
        <v>35000</v>
      </c>
    </row>
    <row r="75" spans="2:5" x14ac:dyDescent="0.25">
      <c r="B75" s="269" t="s">
        <v>192</v>
      </c>
      <c r="C75" s="257">
        <v>1</v>
      </c>
      <c r="D75" s="261">
        <v>20170</v>
      </c>
      <c r="E75" s="293">
        <f t="shared" si="3"/>
        <v>20170</v>
      </c>
    </row>
    <row r="76" spans="2:5" x14ac:dyDescent="0.25">
      <c r="B76" s="269" t="s">
        <v>198</v>
      </c>
      <c r="C76" s="153">
        <v>0</v>
      </c>
      <c r="D76" s="261">
        <v>4299</v>
      </c>
      <c r="E76" s="293">
        <f t="shared" si="3"/>
        <v>0</v>
      </c>
    </row>
    <row r="77" spans="2:5" x14ac:dyDescent="0.25">
      <c r="B77" s="269" t="s">
        <v>199</v>
      </c>
      <c r="C77" s="153">
        <v>0</v>
      </c>
      <c r="D77" s="261">
        <v>7480</v>
      </c>
      <c r="E77" s="293">
        <f t="shared" si="3"/>
        <v>0</v>
      </c>
    </row>
    <row r="78" spans="2:5" x14ac:dyDescent="0.25">
      <c r="B78" s="269" t="s">
        <v>197</v>
      </c>
      <c r="C78" s="257">
        <v>3</v>
      </c>
      <c r="D78" s="261">
        <v>3200</v>
      </c>
      <c r="E78" s="293">
        <f t="shared" si="3"/>
        <v>9600</v>
      </c>
    </row>
    <row r="79" spans="2:5" x14ac:dyDescent="0.25">
      <c r="B79" s="269" t="s">
        <v>193</v>
      </c>
      <c r="C79" s="257">
        <v>3</v>
      </c>
      <c r="D79" s="261">
        <v>2299</v>
      </c>
      <c r="E79" s="293">
        <f t="shared" si="3"/>
        <v>6897</v>
      </c>
    </row>
    <row r="80" spans="2:5" ht="15.75" thickBot="1" x14ac:dyDescent="0.3">
      <c r="B80" s="283" t="s">
        <v>195</v>
      </c>
      <c r="C80" s="284">
        <v>0</v>
      </c>
      <c r="D80" s="263">
        <v>120000</v>
      </c>
      <c r="E80" s="264">
        <f t="shared" si="3"/>
        <v>0</v>
      </c>
    </row>
    <row r="81" spans="2:5" ht="15.75" thickBot="1" x14ac:dyDescent="0.3">
      <c r="B81" s="950" t="s">
        <v>19</v>
      </c>
      <c r="C81" s="951"/>
      <c r="D81" s="952"/>
      <c r="E81" s="286">
        <f>SUM(E68:E80)</f>
        <v>1306257</v>
      </c>
    </row>
  </sheetData>
  <mergeCells count="18">
    <mergeCell ref="B30:E30"/>
    <mergeCell ref="B48:E48"/>
    <mergeCell ref="B63:D63"/>
    <mergeCell ref="B3:D3"/>
    <mergeCell ref="G3:J3"/>
    <mergeCell ref="B28:D28"/>
    <mergeCell ref="B9:F9"/>
    <mergeCell ref="B66:E66"/>
    <mergeCell ref="B81:D81"/>
    <mergeCell ref="G35:H35"/>
    <mergeCell ref="G36:H36"/>
    <mergeCell ref="G37:H37"/>
    <mergeCell ref="G38:H38"/>
    <mergeCell ref="G39:H39"/>
    <mergeCell ref="G40:H40"/>
    <mergeCell ref="G41:H41"/>
    <mergeCell ref="G42:H42"/>
    <mergeCell ref="B45:D45"/>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zoomScale="80" zoomScaleNormal="80" workbookViewId="0">
      <pane ySplit="1" topLeftCell="A8" activePane="bottomLeft" state="frozen"/>
      <selection pane="bottomLeft" sqref="A1:O1"/>
    </sheetView>
  </sheetViews>
  <sheetFormatPr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465" customFormat="1" ht="58.5" customHeight="1" x14ac:dyDescent="0.25">
      <c r="A1" s="467"/>
      <c r="B1" s="467"/>
      <c r="C1" s="467"/>
      <c r="D1" s="467"/>
      <c r="E1" s="467"/>
      <c r="F1" s="467"/>
      <c r="G1" s="470" t="s">
        <v>9</v>
      </c>
      <c r="H1" s="471"/>
      <c r="I1" s="467"/>
      <c r="J1" s="467"/>
      <c r="K1" s="467"/>
      <c r="L1" s="467"/>
      <c r="M1" s="467"/>
      <c r="N1" s="467"/>
      <c r="O1" s="467"/>
    </row>
    <row r="2" spans="1:15" ht="15.75" thickBot="1" x14ac:dyDescent="0.3"/>
    <row r="3" spans="1:15" ht="27" thickBot="1" x14ac:dyDescent="0.45">
      <c r="B3" s="927" t="s">
        <v>36</v>
      </c>
      <c r="C3" s="928"/>
      <c r="D3" s="929"/>
      <c r="E3" s="37"/>
      <c r="I3" s="927" t="s">
        <v>9</v>
      </c>
      <c r="J3" s="928"/>
      <c r="K3" s="929"/>
    </row>
    <row r="4" spans="1:15" x14ac:dyDescent="0.25">
      <c r="B4" s="32">
        <v>2019</v>
      </c>
      <c r="C4" s="32">
        <v>2020</v>
      </c>
      <c r="D4" s="32">
        <v>2021</v>
      </c>
      <c r="E4" s="82"/>
      <c r="I4" s="265">
        <v>2019</v>
      </c>
      <c r="J4" s="266">
        <v>2020</v>
      </c>
      <c r="K4" s="267">
        <v>2021</v>
      </c>
    </row>
    <row r="5" spans="1:15" ht="15.75" thickBot="1" x14ac:dyDescent="0.3">
      <c r="B5" s="38">
        <f>Hipótesis!$C$24</f>
        <v>0.03</v>
      </c>
      <c r="C5" s="38">
        <f>Hipótesis!$C$25</f>
        <v>7.0000000000000007E-2</v>
      </c>
      <c r="D5" s="38">
        <f>Hipótesis!$C$26</f>
        <v>0.12</v>
      </c>
      <c r="E5" s="155"/>
      <c r="I5" s="262">
        <f>$K$39</f>
        <v>141277.33333333334</v>
      </c>
      <c r="J5" s="263">
        <f>$L$39</f>
        <v>147660.56666666665</v>
      </c>
      <c r="K5" s="264">
        <f>$M$39</f>
        <v>162884.43333333335</v>
      </c>
    </row>
    <row r="6" spans="1:15" x14ac:dyDescent="0.25">
      <c r="B6" s="31">
        <f>Hipótesis!$D$24</f>
        <v>18750000</v>
      </c>
      <c r="C6" s="31">
        <f>Hipótesis!D25</f>
        <v>43750000.000000007</v>
      </c>
      <c r="D6" s="31">
        <f>Hipótesis!D26</f>
        <v>75000000</v>
      </c>
      <c r="E6" s="152"/>
    </row>
    <row r="7" spans="1:15" ht="15.75" thickBot="1" x14ac:dyDescent="0.3"/>
    <row r="8" spans="1:15" ht="27" thickBot="1" x14ac:dyDescent="0.45">
      <c r="B8" s="974" t="s">
        <v>9</v>
      </c>
      <c r="C8" s="975"/>
      <c r="D8" s="975"/>
      <c r="E8" s="975"/>
      <c r="F8" s="975"/>
      <c r="G8" s="975"/>
      <c r="H8" s="975"/>
      <c r="I8" s="975"/>
      <c r="J8" s="975"/>
      <c r="K8" s="975"/>
      <c r="L8" s="975"/>
      <c r="M8" s="976"/>
    </row>
    <row r="9" spans="1:15" x14ac:dyDescent="0.25">
      <c r="B9" s="971" t="s">
        <v>207</v>
      </c>
      <c r="C9" s="972" t="s">
        <v>61</v>
      </c>
      <c r="D9" s="972" t="s">
        <v>57</v>
      </c>
      <c r="E9" s="966" t="s">
        <v>190</v>
      </c>
      <c r="F9" s="964" t="s">
        <v>210</v>
      </c>
      <c r="G9" s="971" t="s">
        <v>211</v>
      </c>
      <c r="H9" s="972"/>
      <c r="I9" s="972"/>
      <c r="J9" s="973"/>
      <c r="K9" s="971" t="s">
        <v>206</v>
      </c>
      <c r="L9" s="972"/>
      <c r="M9" s="973"/>
    </row>
    <row r="10" spans="1:15" ht="15.75" thickBot="1" x14ac:dyDescent="0.3">
      <c r="B10" s="977"/>
      <c r="C10" s="978"/>
      <c r="D10" s="978"/>
      <c r="E10" s="967"/>
      <c r="F10" s="965"/>
      <c r="G10" s="336" t="s">
        <v>208</v>
      </c>
      <c r="H10" s="337" t="s">
        <v>63</v>
      </c>
      <c r="I10" s="337" t="s">
        <v>217</v>
      </c>
      <c r="J10" s="338" t="s">
        <v>218</v>
      </c>
      <c r="K10" s="336" t="s">
        <v>63</v>
      </c>
      <c r="L10" s="337" t="s">
        <v>217</v>
      </c>
      <c r="M10" s="338" t="s">
        <v>218</v>
      </c>
    </row>
    <row r="11" spans="1:15" x14ac:dyDescent="0.25">
      <c r="B11" s="968" t="s">
        <v>213</v>
      </c>
      <c r="C11" s="320" t="s">
        <v>186</v>
      </c>
      <c r="D11" s="321">
        <v>1</v>
      </c>
      <c r="E11" s="322">
        <v>20000</v>
      </c>
      <c r="F11" s="323">
        <v>10</v>
      </c>
      <c r="G11" s="324">
        <f>D11*E11</f>
        <v>20000</v>
      </c>
      <c r="H11" s="325">
        <v>0</v>
      </c>
      <c r="I11" s="325">
        <v>0</v>
      </c>
      <c r="J11" s="326">
        <v>0</v>
      </c>
      <c r="K11" s="327">
        <f>$G$11/$F$11</f>
        <v>2000</v>
      </c>
      <c r="L11" s="331">
        <f>$G$11/$F$11</f>
        <v>2000</v>
      </c>
      <c r="M11" s="328">
        <f>$G$11/$F$11</f>
        <v>2000</v>
      </c>
    </row>
    <row r="12" spans="1:15" x14ac:dyDescent="0.25">
      <c r="B12" s="969"/>
      <c r="C12" s="297" t="s">
        <v>187</v>
      </c>
      <c r="D12" s="153">
        <v>1</v>
      </c>
      <c r="E12" s="261">
        <v>2850</v>
      </c>
      <c r="F12" s="302">
        <v>5</v>
      </c>
      <c r="G12" s="304">
        <f t="shared" ref="G12:G31" si="0">D12*E12</f>
        <v>2850</v>
      </c>
      <c r="H12" s="298">
        <v>0</v>
      </c>
      <c r="I12" s="298">
        <v>0</v>
      </c>
      <c r="J12" s="305">
        <v>0</v>
      </c>
      <c r="K12" s="311">
        <f>$G$12/$F$12</f>
        <v>570</v>
      </c>
      <c r="L12" s="300">
        <f>$G$12/$F$12</f>
        <v>570</v>
      </c>
      <c r="M12" s="312">
        <f>$G$12/$F$12</f>
        <v>570</v>
      </c>
    </row>
    <row r="13" spans="1:15" x14ac:dyDescent="0.25">
      <c r="B13" s="969"/>
      <c r="C13" s="297" t="s">
        <v>187</v>
      </c>
      <c r="D13" s="153">
        <v>1</v>
      </c>
      <c r="E13" s="261">
        <f>E12</f>
        <v>2850</v>
      </c>
      <c r="F13" s="302">
        <v>5</v>
      </c>
      <c r="G13" s="306">
        <v>0</v>
      </c>
      <c r="H13" s="298">
        <v>0</v>
      </c>
      <c r="I13" s="299">
        <f>D13*E13</f>
        <v>2850</v>
      </c>
      <c r="J13" s="305">
        <v>0</v>
      </c>
      <c r="K13" s="313">
        <v>0</v>
      </c>
      <c r="L13" s="301">
        <v>0</v>
      </c>
      <c r="M13" s="312">
        <f>I13/F13</f>
        <v>570</v>
      </c>
    </row>
    <row r="14" spans="1:15" x14ac:dyDescent="0.25">
      <c r="B14" s="969"/>
      <c r="C14" s="297" t="s">
        <v>209</v>
      </c>
      <c r="D14" s="153">
        <v>1</v>
      </c>
      <c r="E14" s="261">
        <v>5000</v>
      </c>
      <c r="F14" s="302">
        <v>5</v>
      </c>
      <c r="G14" s="304">
        <f t="shared" si="0"/>
        <v>5000</v>
      </c>
      <c r="H14" s="298">
        <v>0</v>
      </c>
      <c r="I14" s="298">
        <v>0</v>
      </c>
      <c r="J14" s="305">
        <v>0</v>
      </c>
      <c r="K14" s="311">
        <f>$G$14/$F$14</f>
        <v>1000</v>
      </c>
      <c r="L14" s="300">
        <f>$G$14/$F$14</f>
        <v>1000</v>
      </c>
      <c r="M14" s="312">
        <f>$G$14/$F$14</f>
        <v>1000</v>
      </c>
    </row>
    <row r="15" spans="1:15" x14ac:dyDescent="0.25">
      <c r="B15" s="969"/>
      <c r="C15" s="297" t="s">
        <v>209</v>
      </c>
      <c r="D15" s="153">
        <v>1</v>
      </c>
      <c r="E15" s="261">
        <f>E14</f>
        <v>5000</v>
      </c>
      <c r="F15" s="302">
        <v>5</v>
      </c>
      <c r="G15" s="306">
        <v>0</v>
      </c>
      <c r="H15" s="298">
        <v>0</v>
      </c>
      <c r="I15" s="299">
        <f>D15*E15</f>
        <v>5000</v>
      </c>
      <c r="J15" s="305">
        <v>0</v>
      </c>
      <c r="K15" s="313">
        <v>0</v>
      </c>
      <c r="L15" s="301">
        <v>0</v>
      </c>
      <c r="M15" s="312">
        <f>I15/F15</f>
        <v>1000</v>
      </c>
    </row>
    <row r="16" spans="1:15" x14ac:dyDescent="0.25">
      <c r="B16" s="969"/>
      <c r="C16" s="297" t="s">
        <v>189</v>
      </c>
      <c r="D16" s="153">
        <v>2</v>
      </c>
      <c r="E16" s="261">
        <v>2840</v>
      </c>
      <c r="F16" s="302">
        <v>5</v>
      </c>
      <c r="G16" s="304">
        <f t="shared" si="0"/>
        <v>5680</v>
      </c>
      <c r="H16" s="298">
        <v>0</v>
      </c>
      <c r="I16" s="298">
        <v>0</v>
      </c>
      <c r="J16" s="305">
        <v>0</v>
      </c>
      <c r="K16" s="311">
        <f>$G$16/$F$16</f>
        <v>1136</v>
      </c>
      <c r="L16" s="300">
        <f>$G$16/$F$16</f>
        <v>1136</v>
      </c>
      <c r="M16" s="312">
        <f>$G$16/$F$16</f>
        <v>1136</v>
      </c>
    </row>
    <row r="17" spans="2:13" x14ac:dyDescent="0.25">
      <c r="B17" s="969"/>
      <c r="C17" s="297" t="s">
        <v>189</v>
      </c>
      <c r="D17" s="153">
        <v>1</v>
      </c>
      <c r="E17" s="261">
        <f>E16</f>
        <v>2840</v>
      </c>
      <c r="F17" s="303">
        <v>5</v>
      </c>
      <c r="G17" s="306">
        <v>0</v>
      </c>
      <c r="H17" s="298">
        <v>0</v>
      </c>
      <c r="I17" s="299">
        <f>D17*E17</f>
        <v>2840</v>
      </c>
      <c r="J17" s="305">
        <v>0</v>
      </c>
      <c r="K17" s="313">
        <v>0</v>
      </c>
      <c r="L17" s="301">
        <v>0</v>
      </c>
      <c r="M17" s="312">
        <f>I17/F17</f>
        <v>568</v>
      </c>
    </row>
    <row r="18" spans="2:13" x14ac:dyDescent="0.25">
      <c r="B18" s="969"/>
      <c r="C18" s="297" t="s">
        <v>212</v>
      </c>
      <c r="D18" s="153">
        <v>5</v>
      </c>
      <c r="E18" s="261">
        <v>2600</v>
      </c>
      <c r="F18" s="303">
        <v>5</v>
      </c>
      <c r="G18" s="304">
        <f t="shared" si="0"/>
        <v>13000</v>
      </c>
      <c r="H18" s="298">
        <v>0</v>
      </c>
      <c r="I18" s="298">
        <v>0</v>
      </c>
      <c r="J18" s="305">
        <v>0</v>
      </c>
      <c r="K18" s="311">
        <f>$G$18/$F$18</f>
        <v>2600</v>
      </c>
      <c r="L18" s="300">
        <f>$G$18/$F$18</f>
        <v>2600</v>
      </c>
      <c r="M18" s="312">
        <f>$G$18/$F$18</f>
        <v>2600</v>
      </c>
    </row>
    <row r="19" spans="2:13" ht="15.75" thickBot="1" x14ac:dyDescent="0.3">
      <c r="B19" s="970"/>
      <c r="C19" s="329" t="s">
        <v>212</v>
      </c>
      <c r="D19" s="284">
        <v>5</v>
      </c>
      <c r="E19" s="263">
        <f>E18</f>
        <v>2600</v>
      </c>
      <c r="F19" s="335">
        <v>5</v>
      </c>
      <c r="G19" s="308">
        <v>0</v>
      </c>
      <c r="H19" s="309">
        <v>0</v>
      </c>
      <c r="I19" s="332">
        <f>E19*D19</f>
        <v>13000</v>
      </c>
      <c r="J19" s="333">
        <v>0</v>
      </c>
      <c r="K19" s="315">
        <v>0</v>
      </c>
      <c r="L19" s="316">
        <v>0</v>
      </c>
      <c r="M19" s="334">
        <f>I19/F19</f>
        <v>2600</v>
      </c>
    </row>
    <row r="20" spans="2:13" x14ac:dyDescent="0.25">
      <c r="B20" s="958" t="s">
        <v>214</v>
      </c>
      <c r="C20" s="269" t="s">
        <v>234</v>
      </c>
      <c r="D20" s="321">
        <v>2</v>
      </c>
      <c r="E20" s="261">
        <v>736011</v>
      </c>
      <c r="F20" s="323">
        <v>30</v>
      </c>
      <c r="G20" s="324">
        <f t="shared" si="0"/>
        <v>1472022</v>
      </c>
      <c r="H20" s="325">
        <v>0</v>
      </c>
      <c r="I20" s="325">
        <v>0</v>
      </c>
      <c r="J20" s="326">
        <v>0</v>
      </c>
      <c r="K20" s="327">
        <f>$G$20/$F$20</f>
        <v>49067.4</v>
      </c>
      <c r="L20" s="331">
        <f>$G$20/$F$20</f>
        <v>49067.4</v>
      </c>
      <c r="M20" s="328">
        <f>$G$20/$F$20</f>
        <v>49067.4</v>
      </c>
    </row>
    <row r="21" spans="2:13" ht="15.75" thickBot="1" x14ac:dyDescent="0.3">
      <c r="B21" s="960"/>
      <c r="C21" s="269" t="s">
        <v>234</v>
      </c>
      <c r="D21" s="284">
        <v>1</v>
      </c>
      <c r="E21" s="263">
        <f>E20</f>
        <v>736011</v>
      </c>
      <c r="F21" s="330">
        <v>30</v>
      </c>
      <c r="G21" s="308">
        <v>0</v>
      </c>
      <c r="H21" s="309">
        <v>0</v>
      </c>
      <c r="I21" s="309">
        <v>0</v>
      </c>
      <c r="J21" s="310">
        <f>D21*E21</f>
        <v>736011</v>
      </c>
      <c r="K21" s="315">
        <v>0</v>
      </c>
      <c r="L21" s="316">
        <v>0</v>
      </c>
      <c r="M21" s="317">
        <v>0</v>
      </c>
    </row>
    <row r="22" spans="2:13" x14ac:dyDescent="0.25">
      <c r="B22" s="968" t="s">
        <v>215</v>
      </c>
      <c r="C22" s="320" t="s">
        <v>200</v>
      </c>
      <c r="D22" s="321">
        <v>8</v>
      </c>
      <c r="E22" s="322">
        <v>17500</v>
      </c>
      <c r="F22" s="323">
        <v>3</v>
      </c>
      <c r="G22" s="324">
        <f t="shared" si="0"/>
        <v>140000</v>
      </c>
      <c r="H22" s="325">
        <v>0</v>
      </c>
      <c r="I22" s="325">
        <v>0</v>
      </c>
      <c r="J22" s="326">
        <v>0</v>
      </c>
      <c r="K22" s="327">
        <f>$G$22/$F$22</f>
        <v>46666.666666666664</v>
      </c>
      <c r="L22" s="331">
        <f>$G$22/$F$22</f>
        <v>46666.666666666664</v>
      </c>
      <c r="M22" s="328">
        <f>$G$22/$F$22</f>
        <v>46666.666666666664</v>
      </c>
    </row>
    <row r="23" spans="2:13" x14ac:dyDescent="0.25">
      <c r="B23" s="969"/>
      <c r="C23" s="297" t="s">
        <v>200</v>
      </c>
      <c r="D23" s="153">
        <v>1</v>
      </c>
      <c r="E23" s="261">
        <v>17500</v>
      </c>
      <c r="F23" s="302">
        <v>3</v>
      </c>
      <c r="G23" s="306">
        <v>0</v>
      </c>
      <c r="H23" s="299">
        <f>D23*E23</f>
        <v>17500</v>
      </c>
      <c r="I23" s="298">
        <v>0</v>
      </c>
      <c r="J23" s="305">
        <v>0</v>
      </c>
      <c r="K23" s="313">
        <v>0</v>
      </c>
      <c r="L23" s="300">
        <f>$H$23/$F$23</f>
        <v>5833.333333333333</v>
      </c>
      <c r="M23" s="312">
        <f>$H$23/$F$23</f>
        <v>5833.333333333333</v>
      </c>
    </row>
    <row r="24" spans="2:13" x14ac:dyDescent="0.25">
      <c r="B24" s="969"/>
      <c r="C24" s="297" t="s">
        <v>200</v>
      </c>
      <c r="D24" s="153">
        <v>1</v>
      </c>
      <c r="E24" s="261">
        <v>17500</v>
      </c>
      <c r="F24" s="302">
        <v>3</v>
      </c>
      <c r="G24" s="306">
        <v>0</v>
      </c>
      <c r="H24" s="298">
        <v>0</v>
      </c>
      <c r="I24" s="299">
        <f>D24*E24</f>
        <v>17500</v>
      </c>
      <c r="J24" s="305">
        <v>0</v>
      </c>
      <c r="K24" s="313">
        <v>0</v>
      </c>
      <c r="L24" s="301">
        <v>0</v>
      </c>
      <c r="M24" s="312">
        <f>I24/F24</f>
        <v>5833.333333333333</v>
      </c>
    </row>
    <row r="25" spans="2:13" x14ac:dyDescent="0.25">
      <c r="B25" s="969"/>
      <c r="C25" s="297" t="s">
        <v>200</v>
      </c>
      <c r="D25" s="153">
        <v>2</v>
      </c>
      <c r="E25" s="261">
        <v>17500</v>
      </c>
      <c r="F25" s="302">
        <v>3</v>
      </c>
      <c r="G25" s="306">
        <v>0</v>
      </c>
      <c r="H25" s="298">
        <v>0</v>
      </c>
      <c r="I25" s="298">
        <v>0</v>
      </c>
      <c r="J25" s="307">
        <f>D25*E25</f>
        <v>35000</v>
      </c>
      <c r="K25" s="313">
        <v>0</v>
      </c>
      <c r="L25" s="301">
        <v>0</v>
      </c>
      <c r="M25" s="314">
        <v>0</v>
      </c>
    </row>
    <row r="26" spans="2:13" x14ac:dyDescent="0.25">
      <c r="B26" s="969"/>
      <c r="C26" s="297" t="s">
        <v>205</v>
      </c>
      <c r="D26" s="153">
        <v>2</v>
      </c>
      <c r="E26" s="261">
        <v>20170</v>
      </c>
      <c r="F26" s="302">
        <v>3</v>
      </c>
      <c r="G26" s="304">
        <f t="shared" si="0"/>
        <v>40340</v>
      </c>
      <c r="H26" s="298">
        <v>0</v>
      </c>
      <c r="I26" s="298">
        <v>0</v>
      </c>
      <c r="J26" s="305">
        <v>0</v>
      </c>
      <c r="K26" s="311">
        <f>$G$26/$F$26</f>
        <v>13446.666666666666</v>
      </c>
      <c r="L26" s="300">
        <f>$G$26/$F$26</f>
        <v>13446.666666666666</v>
      </c>
      <c r="M26" s="312">
        <f>$G$26/$F$26</f>
        <v>13446.666666666666</v>
      </c>
    </row>
    <row r="27" spans="2:13" x14ac:dyDescent="0.25">
      <c r="B27" s="969"/>
      <c r="C27" s="297" t="s">
        <v>205</v>
      </c>
      <c r="D27" s="153">
        <v>1</v>
      </c>
      <c r="E27" s="261">
        <v>20170</v>
      </c>
      <c r="F27" s="302">
        <v>3</v>
      </c>
      <c r="G27" s="306">
        <v>0</v>
      </c>
      <c r="H27" s="298">
        <v>0</v>
      </c>
      <c r="I27" s="298">
        <v>0</v>
      </c>
      <c r="J27" s="307">
        <f>D27*E27</f>
        <v>20170</v>
      </c>
      <c r="K27" s="313">
        <v>0</v>
      </c>
      <c r="L27" s="301">
        <v>0</v>
      </c>
      <c r="M27" s="314">
        <v>0</v>
      </c>
    </row>
    <row r="28" spans="2:13" x14ac:dyDescent="0.25">
      <c r="B28" s="969"/>
      <c r="C28" s="297" t="s">
        <v>198</v>
      </c>
      <c r="D28" s="153">
        <v>1</v>
      </c>
      <c r="E28" s="261">
        <v>4299</v>
      </c>
      <c r="F28" s="302">
        <v>3</v>
      </c>
      <c r="G28" s="304">
        <f t="shared" si="0"/>
        <v>4299</v>
      </c>
      <c r="H28" s="298">
        <v>0</v>
      </c>
      <c r="I28" s="298">
        <v>0</v>
      </c>
      <c r="J28" s="305">
        <v>0</v>
      </c>
      <c r="K28" s="311">
        <f>$G$28/$F$28</f>
        <v>1433</v>
      </c>
      <c r="L28" s="300">
        <f>$G$28/$F$28</f>
        <v>1433</v>
      </c>
      <c r="M28" s="312">
        <f>$G$28/$F$28</f>
        <v>1433</v>
      </c>
    </row>
    <row r="29" spans="2:13" x14ac:dyDescent="0.25">
      <c r="B29" s="969"/>
      <c r="C29" s="297" t="s">
        <v>199</v>
      </c>
      <c r="D29" s="153">
        <v>6</v>
      </c>
      <c r="E29" s="261">
        <v>7480</v>
      </c>
      <c r="F29" s="302">
        <v>3</v>
      </c>
      <c r="G29" s="304">
        <f t="shared" si="0"/>
        <v>44880</v>
      </c>
      <c r="H29" s="298">
        <v>0</v>
      </c>
      <c r="I29" s="298">
        <v>0</v>
      </c>
      <c r="J29" s="305">
        <v>0</v>
      </c>
      <c r="K29" s="311">
        <f>$G$29/$F$29</f>
        <v>14960</v>
      </c>
      <c r="L29" s="300">
        <f>$G$29/$F$29</f>
        <v>14960</v>
      </c>
      <c r="M29" s="312">
        <f>$G$29/$F$29</f>
        <v>14960</v>
      </c>
    </row>
    <row r="30" spans="2:13" ht="15.75" thickBot="1" x14ac:dyDescent="0.3">
      <c r="B30" s="970"/>
      <c r="C30" s="329" t="s">
        <v>199</v>
      </c>
      <c r="D30" s="284">
        <v>1</v>
      </c>
      <c r="E30" s="263">
        <v>7480</v>
      </c>
      <c r="F30" s="330">
        <v>3</v>
      </c>
      <c r="G30" s="308">
        <v>0</v>
      </c>
      <c r="H30" s="309">
        <v>0</v>
      </c>
      <c r="I30" s="332">
        <f>D30*E30</f>
        <v>7480</v>
      </c>
      <c r="J30" s="333">
        <v>0</v>
      </c>
      <c r="K30" s="315">
        <v>0</v>
      </c>
      <c r="L30" s="316">
        <v>0</v>
      </c>
      <c r="M30" s="334">
        <f>I30/F30</f>
        <v>2493.3333333333335</v>
      </c>
    </row>
    <row r="31" spans="2:13" x14ac:dyDescent="0.25">
      <c r="B31" s="958" t="s">
        <v>216</v>
      </c>
      <c r="C31" s="320" t="s">
        <v>197</v>
      </c>
      <c r="D31" s="321">
        <v>9</v>
      </c>
      <c r="E31" s="322">
        <v>3200</v>
      </c>
      <c r="F31" s="323">
        <v>10</v>
      </c>
      <c r="G31" s="324">
        <f t="shared" si="0"/>
        <v>28800</v>
      </c>
      <c r="H31" s="325">
        <v>0</v>
      </c>
      <c r="I31" s="325">
        <v>0</v>
      </c>
      <c r="J31" s="326">
        <v>0</v>
      </c>
      <c r="K31" s="327">
        <f>$G$31/$F$31</f>
        <v>2880</v>
      </c>
      <c r="L31" s="331">
        <f>$G$31/$F$31</f>
        <v>2880</v>
      </c>
      <c r="M31" s="328">
        <f>$G$31/$F$31</f>
        <v>2880</v>
      </c>
    </row>
    <row r="32" spans="2:13" x14ac:dyDescent="0.25">
      <c r="B32" s="959"/>
      <c r="C32" s="297" t="s">
        <v>197</v>
      </c>
      <c r="D32" s="153">
        <v>1</v>
      </c>
      <c r="E32" s="261">
        <v>3200</v>
      </c>
      <c r="F32" s="302">
        <v>10</v>
      </c>
      <c r="G32" s="306">
        <v>0</v>
      </c>
      <c r="H32" s="299">
        <f>D32*E32</f>
        <v>3200</v>
      </c>
      <c r="I32" s="298">
        <v>0</v>
      </c>
      <c r="J32" s="305">
        <v>0</v>
      </c>
      <c r="K32" s="313">
        <v>0</v>
      </c>
      <c r="L32" s="300">
        <f>$H$32/$F$32</f>
        <v>320</v>
      </c>
      <c r="M32" s="312">
        <f>$H$32/$F$32</f>
        <v>320</v>
      </c>
    </row>
    <row r="33" spans="2:13" x14ac:dyDescent="0.25">
      <c r="B33" s="959"/>
      <c r="C33" s="297" t="s">
        <v>197</v>
      </c>
      <c r="D33" s="153">
        <v>1</v>
      </c>
      <c r="E33" s="261">
        <v>3200</v>
      </c>
      <c r="F33" s="302">
        <v>10</v>
      </c>
      <c r="G33" s="306">
        <v>0</v>
      </c>
      <c r="H33" s="298">
        <v>0</v>
      </c>
      <c r="I33" s="299">
        <f>D33*E33</f>
        <v>3200</v>
      </c>
      <c r="J33" s="305">
        <v>0</v>
      </c>
      <c r="K33" s="313">
        <v>0</v>
      </c>
      <c r="L33" s="301">
        <v>0</v>
      </c>
      <c r="M33" s="312">
        <f>I33/F33</f>
        <v>320</v>
      </c>
    </row>
    <row r="34" spans="2:13" x14ac:dyDescent="0.25">
      <c r="B34" s="959"/>
      <c r="C34" s="297" t="s">
        <v>197</v>
      </c>
      <c r="D34" s="153">
        <v>3</v>
      </c>
      <c r="E34" s="261">
        <v>3200</v>
      </c>
      <c r="F34" s="302">
        <v>10</v>
      </c>
      <c r="G34" s="306">
        <v>0</v>
      </c>
      <c r="H34" s="298">
        <v>0</v>
      </c>
      <c r="I34" s="298">
        <v>0</v>
      </c>
      <c r="J34" s="307">
        <f>D34*E34</f>
        <v>9600</v>
      </c>
      <c r="K34" s="313">
        <v>0</v>
      </c>
      <c r="L34" s="301">
        <v>0</v>
      </c>
      <c r="M34" s="314">
        <v>0</v>
      </c>
    </row>
    <row r="35" spans="2:13" x14ac:dyDescent="0.25">
      <c r="B35" s="959"/>
      <c r="C35" s="297" t="s">
        <v>204</v>
      </c>
      <c r="D35" s="153">
        <v>24</v>
      </c>
      <c r="E35" s="261">
        <v>2299</v>
      </c>
      <c r="F35" s="302">
        <v>10</v>
      </c>
      <c r="G35" s="304">
        <f>D35*E35</f>
        <v>55176</v>
      </c>
      <c r="H35" s="298">
        <v>0</v>
      </c>
      <c r="I35" s="298">
        <v>0</v>
      </c>
      <c r="J35" s="305">
        <v>0</v>
      </c>
      <c r="K35" s="311">
        <f>$G$35/$F$35</f>
        <v>5517.6</v>
      </c>
      <c r="L35" s="300">
        <f>$G$35/$F$35</f>
        <v>5517.6</v>
      </c>
      <c r="M35" s="312">
        <f>$G$35/$F$35</f>
        <v>5517.6</v>
      </c>
    </row>
    <row r="36" spans="2:13" x14ac:dyDescent="0.25">
      <c r="B36" s="959"/>
      <c r="C36" s="297" t="s">
        <v>204</v>
      </c>
      <c r="D36" s="295">
        <v>1</v>
      </c>
      <c r="E36" s="261">
        <v>2299</v>
      </c>
      <c r="F36" s="302">
        <v>10</v>
      </c>
      <c r="G36" s="306">
        <v>0</v>
      </c>
      <c r="H36" s="299">
        <f>D36*E36</f>
        <v>2299</v>
      </c>
      <c r="I36" s="298">
        <v>0</v>
      </c>
      <c r="J36" s="305">
        <v>0</v>
      </c>
      <c r="K36" s="313">
        <v>0</v>
      </c>
      <c r="L36" s="300">
        <f>$H$36/$F$36</f>
        <v>229.9</v>
      </c>
      <c r="M36" s="312">
        <f>$H$36/$F$36</f>
        <v>229.9</v>
      </c>
    </row>
    <row r="37" spans="2:13" x14ac:dyDescent="0.25">
      <c r="B37" s="959"/>
      <c r="C37" s="297" t="s">
        <v>204</v>
      </c>
      <c r="D37" s="295">
        <v>8</v>
      </c>
      <c r="E37" s="261">
        <v>2299</v>
      </c>
      <c r="F37" s="302">
        <v>10</v>
      </c>
      <c r="G37" s="306">
        <v>0</v>
      </c>
      <c r="H37" s="298">
        <v>0</v>
      </c>
      <c r="I37" s="299">
        <f>D37*E37</f>
        <v>18392</v>
      </c>
      <c r="J37" s="305">
        <v>0</v>
      </c>
      <c r="K37" s="313">
        <v>0</v>
      </c>
      <c r="L37" s="301">
        <v>0</v>
      </c>
      <c r="M37" s="312">
        <f>I37/F37</f>
        <v>1839.2</v>
      </c>
    </row>
    <row r="38" spans="2:13" ht="15.75" thickBot="1" x14ac:dyDescent="0.3">
      <c r="B38" s="960"/>
      <c r="C38" s="329" t="s">
        <v>204</v>
      </c>
      <c r="D38" s="284">
        <v>3</v>
      </c>
      <c r="E38" s="263">
        <v>2299</v>
      </c>
      <c r="F38" s="330">
        <v>10</v>
      </c>
      <c r="G38" s="308">
        <v>0</v>
      </c>
      <c r="H38" s="309">
        <v>0</v>
      </c>
      <c r="I38" s="309">
        <v>0</v>
      </c>
      <c r="J38" s="310">
        <f>D38*E38</f>
        <v>6897</v>
      </c>
      <c r="K38" s="315">
        <v>0</v>
      </c>
      <c r="L38" s="316">
        <v>0</v>
      </c>
      <c r="M38" s="317">
        <v>0</v>
      </c>
    </row>
    <row r="39" spans="2:13" ht="16.5" thickBot="1" x14ac:dyDescent="0.3">
      <c r="B39" s="961" t="s">
        <v>175</v>
      </c>
      <c r="C39" s="962"/>
      <c r="D39" s="962"/>
      <c r="E39" s="962"/>
      <c r="F39" s="962"/>
      <c r="G39" s="962"/>
      <c r="H39" s="962"/>
      <c r="I39" s="962"/>
      <c r="J39" s="963"/>
      <c r="K39" s="339">
        <f>SUM(K11:K38)</f>
        <v>141277.33333333334</v>
      </c>
      <c r="L39" s="318">
        <f>SUM(L11:L38)</f>
        <v>147660.56666666665</v>
      </c>
      <c r="M39" s="319">
        <f>SUM(M11:M38)</f>
        <v>162884.43333333335</v>
      </c>
    </row>
  </sheetData>
  <mergeCells count="15">
    <mergeCell ref="B3:D3"/>
    <mergeCell ref="I3:K3"/>
    <mergeCell ref="G9:J9"/>
    <mergeCell ref="K9:M9"/>
    <mergeCell ref="B8:M8"/>
    <mergeCell ref="B9:B10"/>
    <mergeCell ref="C9:C10"/>
    <mergeCell ref="D9:D10"/>
    <mergeCell ref="B31:B38"/>
    <mergeCell ref="B39:J39"/>
    <mergeCell ref="F9:F10"/>
    <mergeCell ref="E9:E10"/>
    <mergeCell ref="B11:B19"/>
    <mergeCell ref="B20:B21"/>
    <mergeCell ref="B22:B3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80" zoomScaleNormal="80" workbookViewId="0">
      <pane ySplit="1" topLeftCell="A9" activePane="bottomLeft" state="frozen"/>
      <selection pane="bottomLeft" activeCell="J33" sqref="J3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2" width="14" style="1" bestFit="1" customWidth="1"/>
    <col min="13" max="13" width="30.140625" style="1" customWidth="1"/>
    <col min="14" max="16384" width="11.42578125" style="1"/>
  </cols>
  <sheetData>
    <row r="1" spans="1:15" s="465" customFormat="1" ht="58.5" customHeight="1" x14ac:dyDescent="0.25">
      <c r="A1" s="467"/>
      <c r="B1" s="467"/>
      <c r="C1" s="467"/>
      <c r="D1" s="467"/>
      <c r="E1" s="470" t="s">
        <v>13</v>
      </c>
      <c r="F1" s="471"/>
      <c r="G1" s="471"/>
      <c r="H1" s="467"/>
      <c r="I1" s="467"/>
      <c r="J1" s="467"/>
      <c r="K1" s="467"/>
      <c r="L1" s="467"/>
      <c r="M1" s="467"/>
      <c r="N1" s="467"/>
      <c r="O1" s="467"/>
    </row>
    <row r="2" spans="1:15" ht="15.75" thickBot="1" x14ac:dyDescent="0.3"/>
    <row r="3" spans="1:15" ht="27" thickBot="1" x14ac:dyDescent="0.45">
      <c r="H3" s="93"/>
      <c r="K3" s="927" t="s">
        <v>36</v>
      </c>
      <c r="L3" s="928"/>
      <c r="M3" s="929"/>
    </row>
    <row r="4" spans="1:15" x14ac:dyDescent="0.25">
      <c r="H4" s="82"/>
      <c r="K4" s="32">
        <v>2019</v>
      </c>
      <c r="L4" s="32">
        <v>2020</v>
      </c>
      <c r="M4" s="32">
        <v>2021</v>
      </c>
    </row>
    <row r="5" spans="1:15" x14ac:dyDescent="0.25">
      <c r="H5" s="152"/>
      <c r="K5" s="38">
        <f>Hipótesis!$C$24</f>
        <v>0.03</v>
      </c>
      <c r="L5" s="38">
        <f>Hipótesis!$C$25</f>
        <v>7.0000000000000007E-2</v>
      </c>
      <c r="M5" s="38">
        <f>Hipótesis!$C$26</f>
        <v>0.12</v>
      </c>
    </row>
    <row r="6" spans="1:15" x14ac:dyDescent="0.25">
      <c r="H6" s="50"/>
      <c r="K6" s="31">
        <f>Hipótesis!$D$24</f>
        <v>18750000</v>
      </c>
      <c r="L6" s="31">
        <f>Hipótesis!$D$25</f>
        <v>43750000.000000007</v>
      </c>
      <c r="M6" s="31">
        <f>Hipótesis!$D$26</f>
        <v>75000000</v>
      </c>
    </row>
    <row r="7" spans="1:15" ht="15.75" thickBot="1" x14ac:dyDescent="0.3">
      <c r="H7" s="50"/>
    </row>
    <row r="8" spans="1:15" ht="27" thickBot="1" x14ac:dyDescent="0.45">
      <c r="H8" s="93"/>
      <c r="K8" s="927" t="s">
        <v>251</v>
      </c>
      <c r="L8" s="928"/>
      <c r="M8" s="929"/>
    </row>
    <row r="9" spans="1:15" ht="15.75" thickBot="1" x14ac:dyDescent="0.3">
      <c r="H9" s="82"/>
      <c r="K9" s="42">
        <v>2019</v>
      </c>
      <c r="L9" s="32">
        <v>2020</v>
      </c>
      <c r="M9" s="43">
        <v>2021</v>
      </c>
    </row>
    <row r="10" spans="1:15" ht="27" thickBot="1" x14ac:dyDescent="0.45">
      <c r="B10" s="920" t="s">
        <v>13</v>
      </c>
      <c r="C10" s="921"/>
      <c r="D10" s="921"/>
      <c r="E10" s="921"/>
      <c r="F10" s="921"/>
      <c r="G10" s="922"/>
      <c r="H10" s="152"/>
      <c r="J10" s="390" t="s">
        <v>219</v>
      </c>
      <c r="K10" s="395">
        <f>'Costos fijos'!$G$5</f>
        <v>2222400</v>
      </c>
      <c r="L10" s="31">
        <f>'Costos fijos'!$H$5</f>
        <v>2388690</v>
      </c>
      <c r="M10" s="396">
        <f>'Costos fijos'!$I$5</f>
        <v>2608767.2375000003</v>
      </c>
    </row>
    <row r="11" spans="1:15" ht="15.75" thickBot="1" x14ac:dyDescent="0.3">
      <c r="B11" s="989" t="s">
        <v>232</v>
      </c>
      <c r="C11" s="990"/>
      <c r="D11" s="343" t="s">
        <v>233</v>
      </c>
      <c r="E11" s="344">
        <v>2019</v>
      </c>
      <c r="F11" s="344">
        <v>2020</v>
      </c>
      <c r="G11" s="345">
        <v>2021</v>
      </c>
      <c r="H11" s="50"/>
      <c r="J11" s="390" t="s">
        <v>179</v>
      </c>
      <c r="K11" s="395" t="e">
        <f>'Costos variables'!$H$6</f>
        <v>#REF!</v>
      </c>
      <c r="L11" s="31" t="e">
        <f>'Costos variables'!$I$6</f>
        <v>#REF!</v>
      </c>
      <c r="M11" s="396" t="e">
        <f>'Costos variables'!$J$6</f>
        <v>#REF!</v>
      </c>
    </row>
    <row r="12" spans="1:15" ht="15.75" thickBot="1" x14ac:dyDescent="0.3">
      <c r="B12" s="983" t="s">
        <v>41</v>
      </c>
      <c r="C12" s="984"/>
      <c r="D12" s="296" t="s">
        <v>220</v>
      </c>
      <c r="E12" s="268">
        <f>+'Mod. ingresos'!C25</f>
        <v>18100000</v>
      </c>
      <c r="F12" s="268">
        <f>+'Mod. ingresos'!D25</f>
        <v>43400000</v>
      </c>
      <c r="G12" s="268">
        <f>+'Mod. ingresos'!E25</f>
        <v>75200000</v>
      </c>
      <c r="J12" s="390" t="s">
        <v>180</v>
      </c>
      <c r="K12" s="46">
        <f>'Costos RRHH'!$H$6</f>
        <v>7341662.4450000012</v>
      </c>
      <c r="L12" s="47">
        <f>'Costos RRHH'!$I$6</f>
        <v>8446303.9266666677</v>
      </c>
      <c r="M12" s="48">
        <f>'Costos RRHH'!$J$6</f>
        <v>10262133.115833335</v>
      </c>
    </row>
    <row r="13" spans="1:15" ht="15.75" thickBot="1" x14ac:dyDescent="0.3">
      <c r="B13" s="985" t="s">
        <v>221</v>
      </c>
      <c r="C13" s="341" t="s">
        <v>219</v>
      </c>
      <c r="D13" s="340" t="s">
        <v>220</v>
      </c>
      <c r="E13" s="261">
        <f t="shared" ref="E13:G15" si="0">K10</f>
        <v>2222400</v>
      </c>
      <c r="F13" s="261">
        <f t="shared" si="0"/>
        <v>2388690</v>
      </c>
      <c r="G13" s="293">
        <f t="shared" si="0"/>
        <v>2608767.2375000003</v>
      </c>
    </row>
    <row r="14" spans="1:15" ht="27" thickBot="1" x14ac:dyDescent="0.45">
      <c r="B14" s="985"/>
      <c r="C14" s="341" t="s">
        <v>179</v>
      </c>
      <c r="D14" s="340" t="s">
        <v>220</v>
      </c>
      <c r="E14" s="261" t="e">
        <f t="shared" si="0"/>
        <v>#REF!</v>
      </c>
      <c r="F14" s="261" t="e">
        <f t="shared" si="0"/>
        <v>#REF!</v>
      </c>
      <c r="G14" s="261" t="e">
        <f t="shared" si="0"/>
        <v>#REF!</v>
      </c>
      <c r="K14" s="927" t="s">
        <v>9</v>
      </c>
      <c r="L14" s="928"/>
      <c r="M14" s="929"/>
    </row>
    <row r="15" spans="1:15" ht="15.75" thickBot="1" x14ac:dyDescent="0.3">
      <c r="B15" s="986"/>
      <c r="C15" s="346" t="s">
        <v>180</v>
      </c>
      <c r="D15" s="347" t="s">
        <v>220</v>
      </c>
      <c r="E15" s="287">
        <f t="shared" si="0"/>
        <v>7341662.4450000012</v>
      </c>
      <c r="F15" s="287">
        <f t="shared" si="0"/>
        <v>8446303.9266666677</v>
      </c>
      <c r="G15" s="287">
        <f t="shared" si="0"/>
        <v>10262133.115833335</v>
      </c>
      <c r="K15" s="265">
        <v>2019</v>
      </c>
      <c r="L15" s="266">
        <v>2020</v>
      </c>
      <c r="M15" s="267">
        <v>2021</v>
      </c>
    </row>
    <row r="16" spans="1:15" ht="15.75" thickBot="1" x14ac:dyDescent="0.3">
      <c r="B16" s="979" t="s">
        <v>222</v>
      </c>
      <c r="C16" s="980"/>
      <c r="D16" s="348" t="s">
        <v>220</v>
      </c>
      <c r="E16" s="349" t="e">
        <f>E12-E13-E14-E15</f>
        <v>#REF!</v>
      </c>
      <c r="F16" s="349" t="e">
        <f>F12-F13-F14-F15</f>
        <v>#REF!</v>
      </c>
      <c r="G16" s="350" t="e">
        <f>G12-G13-G14-G15</f>
        <v>#REF!</v>
      </c>
      <c r="K16" s="262">
        <f>Amortizaciones!$I$5</f>
        <v>141277.33333333334</v>
      </c>
      <c r="L16" s="263">
        <f>Amortizaciones!$J$5</f>
        <v>147660.56666666665</v>
      </c>
      <c r="M16" s="264">
        <f>Amortizaciones!$K$5</f>
        <v>162884.43333333335</v>
      </c>
    </row>
    <row r="17" spans="2:13" ht="15.75" thickBot="1" x14ac:dyDescent="0.3">
      <c r="B17" s="993" t="s">
        <v>223</v>
      </c>
      <c r="C17" s="994"/>
      <c r="D17" s="296" t="s">
        <v>220</v>
      </c>
      <c r="E17" s="268">
        <f>E12*0.03</f>
        <v>543000</v>
      </c>
      <c r="F17" s="268">
        <f>F12*0.03</f>
        <v>1302000</v>
      </c>
      <c r="G17" s="342">
        <f>G12*0.03</f>
        <v>2256000</v>
      </c>
    </row>
    <row r="18" spans="2:13" ht="27" thickBot="1" x14ac:dyDescent="0.45">
      <c r="B18" s="987" t="s">
        <v>224</v>
      </c>
      <c r="C18" s="988"/>
      <c r="D18" s="340"/>
      <c r="E18" s="261" t="e">
        <f>E16-E17-K16</f>
        <v>#REF!</v>
      </c>
      <c r="F18" s="261" t="e">
        <f>F16-F17-L16</f>
        <v>#REF!</v>
      </c>
      <c r="G18" s="293" t="e">
        <f>G16-G17-M16</f>
        <v>#REF!</v>
      </c>
      <c r="J18" s="927" t="s">
        <v>183</v>
      </c>
      <c r="K18" s="928"/>
      <c r="L18" s="928"/>
      <c r="M18" s="929"/>
    </row>
    <row r="19" spans="2:13" ht="15.75" thickBot="1" x14ac:dyDescent="0.3">
      <c r="B19" s="995" t="s">
        <v>225</v>
      </c>
      <c r="C19" s="996"/>
      <c r="D19" s="347" t="s">
        <v>220</v>
      </c>
      <c r="E19" s="287">
        <v>0</v>
      </c>
      <c r="F19" s="287">
        <v>0</v>
      </c>
      <c r="G19" s="294" t="e">
        <f>F18*0.35</f>
        <v>#REF!</v>
      </c>
      <c r="J19" s="265" t="s">
        <v>184</v>
      </c>
      <c r="K19" s="266">
        <v>2019</v>
      </c>
      <c r="L19" s="266">
        <v>2020</v>
      </c>
      <c r="M19" s="267">
        <v>2021</v>
      </c>
    </row>
    <row r="20" spans="2:13" ht="15.75" thickBot="1" x14ac:dyDescent="0.3">
      <c r="B20" s="979" t="s">
        <v>226</v>
      </c>
      <c r="C20" s="980"/>
      <c r="D20" s="348" t="s">
        <v>220</v>
      </c>
      <c r="E20" s="349" t="e">
        <f>E16-E17-E19</f>
        <v>#REF!</v>
      </c>
      <c r="F20" s="349" t="e">
        <f>F16-F17-F19</f>
        <v>#REF!</v>
      </c>
      <c r="G20" s="350" t="e">
        <f>G16-G17-G19</f>
        <v>#REF!</v>
      </c>
      <c r="J20" s="262">
        <f>'Mod. inversión'!$G$5</f>
        <v>2297572</v>
      </c>
      <c r="K20" s="263">
        <f>'Mod. inversión'!$H$5</f>
        <v>22999</v>
      </c>
      <c r="L20" s="263">
        <f>'Mod. inversión'!$I$5</f>
        <v>70262</v>
      </c>
      <c r="M20" s="264">
        <f>'Mod. inversión'!$J$5</f>
        <v>1306257</v>
      </c>
    </row>
    <row r="21" spans="2:13" ht="15.75" thickBot="1" x14ac:dyDescent="0.3">
      <c r="B21" s="991" t="s">
        <v>227</v>
      </c>
      <c r="C21" s="992"/>
      <c r="D21" s="351">
        <f>-J20</f>
        <v>-2297572</v>
      </c>
      <c r="E21" s="352">
        <f>-K20</f>
        <v>-22999</v>
      </c>
      <c r="F21" s="352">
        <f>-L20</f>
        <v>-70262</v>
      </c>
      <c r="G21" s="353">
        <f>-M20</f>
        <v>-1306257</v>
      </c>
    </row>
    <row r="22" spans="2:13" ht="15.75" thickBot="1" x14ac:dyDescent="0.3">
      <c r="B22" s="981" t="s">
        <v>228</v>
      </c>
      <c r="C22" s="982"/>
      <c r="D22" s="360">
        <f>D21</f>
        <v>-2297572</v>
      </c>
      <c r="E22" s="349" t="e">
        <f>E20+E21</f>
        <v>#REF!</v>
      </c>
      <c r="F22" s="349" t="e">
        <f>F20+F21</f>
        <v>#REF!</v>
      </c>
      <c r="G22" s="350" t="e">
        <f>G20+G21</f>
        <v>#REF!</v>
      </c>
    </row>
    <row r="25" spans="2:13" ht="15.75" thickBot="1" x14ac:dyDescent="0.3"/>
    <row r="26" spans="2:13" x14ac:dyDescent="0.25">
      <c r="F26" s="356" t="s">
        <v>229</v>
      </c>
      <c r="G26" s="473">
        <v>0.7</v>
      </c>
    </row>
    <row r="27" spans="2:13" x14ac:dyDescent="0.25">
      <c r="F27" s="357" t="s">
        <v>230</v>
      </c>
      <c r="G27" s="358" t="e">
        <f>NPV(G26,D22:G22)</f>
        <v>#REF!</v>
      </c>
    </row>
    <row r="28" spans="2:13" ht="15.75" thickBot="1" x14ac:dyDescent="0.3">
      <c r="F28" s="359" t="s">
        <v>231</v>
      </c>
      <c r="G28" s="474" t="e">
        <f>IRR(D22:G22,G26)</f>
        <v>#VALUE!</v>
      </c>
    </row>
    <row r="31" spans="2:13" ht="0.6" customHeight="1" x14ac:dyDescent="0.25">
      <c r="I31" s="361"/>
    </row>
    <row r="32" spans="2:13" x14ac:dyDescent="0.25">
      <c r="I32" s="361"/>
    </row>
    <row r="36" spans="4:9" x14ac:dyDescent="0.25">
      <c r="D36" s="40"/>
      <c r="E36" s="40"/>
      <c r="F36" s="40"/>
      <c r="G36" s="40"/>
      <c r="I36" s="41"/>
    </row>
    <row r="37" spans="4:9" x14ac:dyDescent="0.25">
      <c r="I37" s="41"/>
    </row>
    <row r="38" spans="4:9" x14ac:dyDescent="0.25">
      <c r="H38" s="355"/>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465" customFormat="1" ht="58.5" customHeight="1" x14ac:dyDescent="0.25">
      <c r="A1" s="467"/>
      <c r="B1" s="467"/>
      <c r="C1" s="467"/>
      <c r="D1" s="470" t="s">
        <v>11</v>
      </c>
      <c r="E1" s="467"/>
      <c r="F1" s="467"/>
      <c r="G1" s="471"/>
      <c r="H1" s="471"/>
      <c r="I1" s="467"/>
      <c r="J1" s="467"/>
      <c r="K1" s="467"/>
      <c r="L1" s="467"/>
      <c r="M1" s="467"/>
      <c r="N1" s="467"/>
    </row>
    <row r="3" spans="1:14" ht="15.75" thickBot="1" x14ac:dyDescent="0.3"/>
    <row r="4" spans="1:14" ht="27" thickBot="1" x14ac:dyDescent="0.45">
      <c r="B4" s="955" t="s">
        <v>11</v>
      </c>
      <c r="C4" s="956"/>
      <c r="D4" s="956"/>
      <c r="E4" s="956"/>
      <c r="F4" s="956"/>
      <c r="G4" s="957"/>
    </row>
    <row r="5" spans="1:14" ht="15.75" thickBot="1" x14ac:dyDescent="0.3">
      <c r="B5" s="423" t="s">
        <v>249</v>
      </c>
      <c r="C5" s="424" t="s">
        <v>235</v>
      </c>
      <c r="D5" s="424" t="s">
        <v>236</v>
      </c>
      <c r="E5" s="424" t="s">
        <v>237</v>
      </c>
      <c r="F5" s="425" t="s">
        <v>238</v>
      </c>
      <c r="G5" s="426" t="s">
        <v>239</v>
      </c>
      <c r="H5"/>
    </row>
    <row r="6" spans="1:14" ht="60" customHeight="1" thickBot="1" x14ac:dyDescent="0.3">
      <c r="B6" s="430">
        <v>1</v>
      </c>
      <c r="C6" s="447" t="s">
        <v>290</v>
      </c>
      <c r="D6" s="441" t="s">
        <v>291</v>
      </c>
      <c r="E6" s="441" t="s">
        <v>292</v>
      </c>
      <c r="F6" s="442" t="s">
        <v>241</v>
      </c>
      <c r="G6" s="443" t="s">
        <v>240</v>
      </c>
      <c r="H6" s="419"/>
    </row>
    <row r="7" spans="1:14" ht="61.5" customHeight="1" thickBot="1" x14ac:dyDescent="0.3">
      <c r="B7" s="433">
        <v>2</v>
      </c>
      <c r="C7" s="444" t="s">
        <v>257</v>
      </c>
      <c r="D7" s="387" t="s">
        <v>250</v>
      </c>
      <c r="E7" s="387" t="s">
        <v>256</v>
      </c>
      <c r="F7" s="445" t="s">
        <v>244</v>
      </c>
      <c r="G7" s="446" t="s">
        <v>240</v>
      </c>
      <c r="H7" s="419"/>
    </row>
    <row r="8" spans="1:14" ht="57.75" customHeight="1" thickBot="1" x14ac:dyDescent="0.3">
      <c r="B8" s="439">
        <v>3</v>
      </c>
      <c r="C8" s="440" t="s">
        <v>282</v>
      </c>
      <c r="D8" s="441" t="s">
        <v>281</v>
      </c>
      <c r="E8" s="441" t="s">
        <v>285</v>
      </c>
      <c r="F8" s="442" t="s">
        <v>244</v>
      </c>
      <c r="G8" s="443" t="s">
        <v>240</v>
      </c>
      <c r="H8" s="419"/>
    </row>
    <row r="9" spans="1:14" ht="33" customHeight="1" x14ac:dyDescent="0.25">
      <c r="B9" s="438">
        <v>4</v>
      </c>
      <c r="C9" s="427" t="s">
        <v>258</v>
      </c>
      <c r="D9" s="364" t="s">
        <v>260</v>
      </c>
      <c r="E9" s="364" t="s">
        <v>259</v>
      </c>
      <c r="F9" s="421" t="s">
        <v>241</v>
      </c>
      <c r="G9" s="422" t="s">
        <v>245</v>
      </c>
      <c r="H9" s="50"/>
    </row>
    <row r="10" spans="1:14" ht="30" x14ac:dyDescent="0.25">
      <c r="B10" s="431">
        <v>5</v>
      </c>
      <c r="C10" s="428" t="s">
        <v>246</v>
      </c>
      <c r="D10" s="362" t="s">
        <v>288</v>
      </c>
      <c r="E10" s="362" t="s">
        <v>247</v>
      </c>
      <c r="F10" s="102" t="s">
        <v>241</v>
      </c>
      <c r="G10" s="107" t="s">
        <v>245</v>
      </c>
      <c r="H10" s="50"/>
    </row>
    <row r="11" spans="1:14" ht="30" x14ac:dyDescent="0.25">
      <c r="B11" s="431">
        <v>6</v>
      </c>
      <c r="C11" s="428" t="s">
        <v>261</v>
      </c>
      <c r="D11" s="363" t="s">
        <v>289</v>
      </c>
      <c r="E11" s="363" t="s">
        <v>262</v>
      </c>
      <c r="F11" s="102" t="s">
        <v>241</v>
      </c>
      <c r="G11" s="107" t="s">
        <v>243</v>
      </c>
      <c r="H11" s="50"/>
    </row>
    <row r="12" spans="1:14" x14ac:dyDescent="0.25">
      <c r="B12" s="431">
        <v>7</v>
      </c>
      <c r="C12" s="428" t="s">
        <v>263</v>
      </c>
      <c r="D12" s="363"/>
      <c r="E12" s="363"/>
      <c r="F12" s="102" t="s">
        <v>244</v>
      </c>
      <c r="G12" s="107" t="s">
        <v>243</v>
      </c>
      <c r="H12" s="50"/>
    </row>
    <row r="13" spans="1:14" x14ac:dyDescent="0.25">
      <c r="B13" s="431">
        <v>8</v>
      </c>
      <c r="C13" s="428" t="s">
        <v>264</v>
      </c>
      <c r="D13" s="362"/>
      <c r="E13" s="362"/>
      <c r="F13" s="102" t="s">
        <v>244</v>
      </c>
      <c r="G13" s="107" t="s">
        <v>245</v>
      </c>
      <c r="H13" s="50"/>
    </row>
    <row r="14" spans="1:14" ht="15.75" thickBot="1" x14ac:dyDescent="0.3">
      <c r="B14" s="433">
        <v>9</v>
      </c>
      <c r="C14" s="434" t="s">
        <v>265</v>
      </c>
      <c r="D14" s="435"/>
      <c r="E14" s="435"/>
      <c r="F14" s="436" t="s">
        <v>244</v>
      </c>
      <c r="G14" s="437" t="s">
        <v>243</v>
      </c>
      <c r="H14" s="50"/>
    </row>
    <row r="15" spans="1:14" ht="68.25" customHeight="1" thickBot="1" x14ac:dyDescent="0.3">
      <c r="B15" s="439">
        <v>10</v>
      </c>
      <c r="C15" s="440" t="s">
        <v>278</v>
      </c>
      <c r="D15" s="441"/>
      <c r="E15" s="441"/>
      <c r="F15" s="442" t="s">
        <v>241</v>
      </c>
      <c r="G15" s="443" t="s">
        <v>240</v>
      </c>
      <c r="H15" s="419"/>
    </row>
    <row r="16" spans="1:14" x14ac:dyDescent="0.25">
      <c r="B16" s="438">
        <v>11</v>
      </c>
      <c r="C16" s="427" t="s">
        <v>266</v>
      </c>
      <c r="D16" s="364"/>
      <c r="E16" s="364"/>
      <c r="F16" s="421" t="s">
        <v>241</v>
      </c>
      <c r="G16" s="422" t="s">
        <v>245</v>
      </c>
      <c r="H16" s="50"/>
    </row>
    <row r="17" spans="2:8" x14ac:dyDescent="0.25">
      <c r="B17" s="431">
        <v>12</v>
      </c>
      <c r="C17" s="428" t="s">
        <v>267</v>
      </c>
      <c r="D17" s="362"/>
      <c r="E17" s="362"/>
      <c r="F17" s="102" t="s">
        <v>244</v>
      </c>
      <c r="G17" s="107" t="s">
        <v>245</v>
      </c>
      <c r="H17" s="50"/>
    </row>
    <row r="18" spans="2:8" ht="54.75" customHeight="1" x14ac:dyDescent="0.25">
      <c r="B18" s="431">
        <v>13</v>
      </c>
      <c r="C18" s="428" t="s">
        <v>268</v>
      </c>
      <c r="D18" s="362"/>
      <c r="E18" s="362"/>
      <c r="F18" s="102" t="s">
        <v>244</v>
      </c>
      <c r="G18" s="107" t="s">
        <v>240</v>
      </c>
      <c r="H18" s="50"/>
    </row>
    <row r="19" spans="2:8" x14ac:dyDescent="0.25">
      <c r="B19" s="431">
        <v>14</v>
      </c>
      <c r="C19" s="428" t="s">
        <v>270</v>
      </c>
      <c r="D19" s="362"/>
      <c r="E19" s="362"/>
      <c r="F19" s="102" t="s">
        <v>241</v>
      </c>
      <c r="G19" s="107" t="s">
        <v>240</v>
      </c>
      <c r="H19" s="419"/>
    </row>
    <row r="20" spans="2:8" ht="15.75" thickBot="1" x14ac:dyDescent="0.3">
      <c r="B20" s="432">
        <v>15</v>
      </c>
      <c r="C20" s="429" t="s">
        <v>269</v>
      </c>
      <c r="D20" s="420"/>
      <c r="E20" s="420"/>
      <c r="F20" s="104" t="s">
        <v>241</v>
      </c>
      <c r="G20" s="108" t="s">
        <v>241</v>
      </c>
      <c r="H20" s="50"/>
    </row>
    <row r="21" spans="2:8" x14ac:dyDescent="0.25">
      <c r="H21" s="50"/>
    </row>
    <row r="22" spans="2:8" x14ac:dyDescent="0.25">
      <c r="H22" s="50"/>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9" activePane="bottomLeft" state="frozen"/>
      <selection pane="bottomLeft" activeCell="A24" sqref="A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465" customFormat="1" ht="58.5" customHeight="1" x14ac:dyDescent="0.25">
      <c r="A1" s="467"/>
      <c r="B1" s="467"/>
      <c r="C1" s="467"/>
      <c r="D1" s="467"/>
      <c r="E1" s="467"/>
      <c r="F1" s="467"/>
      <c r="G1" s="997" t="s">
        <v>272</v>
      </c>
      <c r="H1" s="998"/>
      <c r="I1" s="998"/>
      <c r="J1" s="467"/>
      <c r="K1" s="467"/>
      <c r="L1" s="467"/>
      <c r="M1" s="467"/>
      <c r="N1" s="467"/>
    </row>
    <row r="2" spans="1:38" ht="20.25" customHeight="1" thickBot="1" x14ac:dyDescent="0.3">
      <c r="G2" s="398"/>
      <c r="H2" s="399"/>
      <c r="I2" s="399"/>
    </row>
    <row r="3" spans="1:38" ht="15.75" thickBot="1" x14ac:dyDescent="0.3">
      <c r="B3" s="400"/>
      <c r="C3" s="401"/>
      <c r="D3" s="401"/>
      <c r="E3" s="401"/>
      <c r="F3" s="401"/>
      <c r="G3" s="401"/>
      <c r="H3" s="401"/>
      <c r="I3" s="401"/>
      <c r="J3" s="401"/>
      <c r="K3" s="401"/>
      <c r="L3" s="402"/>
    </row>
    <row r="4" spans="1:38" ht="15.75" thickBot="1" x14ac:dyDescent="0.3">
      <c r="B4" s="403"/>
      <c r="C4" s="1009" t="s">
        <v>271</v>
      </c>
      <c r="D4" s="1010"/>
      <c r="E4" s="1010"/>
      <c r="F4" s="1010"/>
      <c r="G4" s="1010"/>
      <c r="H4" s="1010"/>
      <c r="I4" s="1010"/>
      <c r="J4" s="1010"/>
      <c r="K4" s="1011"/>
      <c r="L4" s="404"/>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row>
    <row r="5" spans="1:38" ht="15.75" thickBot="1" x14ac:dyDescent="0.3">
      <c r="B5" s="403"/>
      <c r="C5" s="405"/>
      <c r="D5" s="405"/>
      <c r="E5" s="405"/>
      <c r="F5" s="405"/>
      <c r="G5" s="405"/>
      <c r="H5" s="405"/>
      <c r="I5" s="405"/>
      <c r="J5" s="405"/>
      <c r="K5" s="405"/>
      <c r="L5" s="404"/>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row>
    <row r="6" spans="1:38" ht="30.75" thickBot="1" x14ac:dyDescent="0.3">
      <c r="B6" s="403"/>
      <c r="C6" s="50"/>
      <c r="D6" s="50"/>
      <c r="E6" s="50"/>
      <c r="F6" s="377" t="s">
        <v>36</v>
      </c>
      <c r="G6" s="369"/>
      <c r="H6" s="370"/>
      <c r="I6" s="405"/>
      <c r="J6" s="405"/>
      <c r="K6" s="128" t="s">
        <v>283</v>
      </c>
      <c r="L6" s="404"/>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row>
    <row r="7" spans="1:38" x14ac:dyDescent="0.25">
      <c r="B7" s="403"/>
      <c r="E7" s="50"/>
      <c r="F7" s="376">
        <v>2019</v>
      </c>
      <c r="G7" s="376">
        <v>2020</v>
      </c>
      <c r="H7" s="376">
        <v>2021</v>
      </c>
      <c r="I7" s="405"/>
      <c r="J7" s="405"/>
      <c r="K7" s="1005" t="s">
        <v>278</v>
      </c>
      <c r="L7" s="404"/>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row>
    <row r="8" spans="1:38" x14ac:dyDescent="0.25">
      <c r="B8" s="403"/>
      <c r="E8" s="50"/>
      <c r="F8" s="371">
        <f>'Presupuesto financiero'!K5</f>
        <v>0.03</v>
      </c>
      <c r="G8" s="371">
        <f>'Presupuesto financiero'!L5</f>
        <v>7.0000000000000007E-2</v>
      </c>
      <c r="H8" s="371">
        <f>'Presupuesto financiero'!M5</f>
        <v>0.12</v>
      </c>
      <c r="I8" s="405"/>
      <c r="J8" s="405"/>
      <c r="K8" s="1006"/>
      <c r="L8" s="404"/>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row>
    <row r="9" spans="1:38" ht="15.75" thickBot="1" x14ac:dyDescent="0.3">
      <c r="B9" s="403"/>
      <c r="E9" s="382" t="s">
        <v>279</v>
      </c>
      <c r="F9" s="393">
        <f>Hipótesis!$D$24</f>
        <v>18750000</v>
      </c>
      <c r="G9" s="393">
        <f>Hipótesis!$D$25</f>
        <v>43750000.000000007</v>
      </c>
      <c r="H9" s="393">
        <f>Hipótesis!$D$26</f>
        <v>75000000</v>
      </c>
      <c r="I9" s="405"/>
      <c r="J9" s="405"/>
      <c r="K9" s="1007"/>
      <c r="L9" s="404"/>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row>
    <row r="10" spans="1:38" ht="15.75" thickBot="1" x14ac:dyDescent="0.3">
      <c r="B10" s="403"/>
      <c r="C10" s="50"/>
      <c r="D10" s="50"/>
      <c r="E10" s="382" t="s">
        <v>219</v>
      </c>
      <c r="F10" s="372">
        <f>'Presupuesto financiero'!K10</f>
        <v>2222400</v>
      </c>
      <c r="G10" s="372">
        <f>'Presupuesto financiero'!L10</f>
        <v>2388690</v>
      </c>
      <c r="H10" s="372">
        <f>'Presupuesto financiero'!M10</f>
        <v>2608767.2375000003</v>
      </c>
      <c r="I10" s="405"/>
      <c r="J10" s="405"/>
      <c r="K10" s="128" t="s">
        <v>236</v>
      </c>
      <c r="L10" s="404"/>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row>
    <row r="11" spans="1:38" x14ac:dyDescent="0.25">
      <c r="B11" s="403"/>
      <c r="C11" s="50"/>
      <c r="D11" s="50"/>
      <c r="E11" s="382" t="s">
        <v>179</v>
      </c>
      <c r="F11" s="372" t="e">
        <f>'Presupuesto financiero'!K11</f>
        <v>#REF!</v>
      </c>
      <c r="G11" s="372" t="e">
        <f>'Presupuesto financiero'!L11</f>
        <v>#REF!</v>
      </c>
      <c r="H11" s="372" t="e">
        <f>'Presupuesto financiero'!M11</f>
        <v>#REF!</v>
      </c>
      <c r="I11" s="405"/>
      <c r="J11" s="405"/>
      <c r="K11" s="1008"/>
      <c r="L11" s="404"/>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row>
    <row r="12" spans="1:38" x14ac:dyDescent="0.25">
      <c r="B12" s="403"/>
      <c r="C12" s="50"/>
      <c r="D12" s="50"/>
      <c r="E12" s="382" t="s">
        <v>277</v>
      </c>
      <c r="F12" s="372">
        <f>'Presupuesto financiero'!K12</f>
        <v>7341662.4450000012</v>
      </c>
      <c r="G12" s="372">
        <f>'Presupuesto financiero'!L12</f>
        <v>8446303.9266666677</v>
      </c>
      <c r="H12" s="372">
        <f>'Presupuesto financiero'!M12</f>
        <v>10262133.115833335</v>
      </c>
      <c r="I12" s="405"/>
      <c r="J12" s="405"/>
      <c r="K12" s="1006"/>
      <c r="L12" s="404"/>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row>
    <row r="13" spans="1:38" ht="15.75" thickBot="1" x14ac:dyDescent="0.3">
      <c r="B13" s="403"/>
      <c r="C13" s="50"/>
      <c r="D13" s="50"/>
      <c r="E13" s="50"/>
      <c r="F13" s="50"/>
      <c r="G13" s="50"/>
      <c r="H13" s="50"/>
      <c r="I13" s="405"/>
      <c r="J13" s="405"/>
      <c r="K13" s="1007"/>
      <c r="L13" s="404"/>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row>
    <row r="14" spans="1:38" ht="16.5" customHeight="1" thickBot="1" x14ac:dyDescent="0.3">
      <c r="B14" s="403"/>
      <c r="C14" s="1012" t="s">
        <v>294</v>
      </c>
      <c r="D14" s="1013"/>
      <c r="E14" s="50"/>
      <c r="F14" s="392" t="s">
        <v>206</v>
      </c>
      <c r="G14" s="369"/>
      <c r="H14" s="370"/>
      <c r="I14" s="405"/>
      <c r="J14" s="405"/>
      <c r="K14" s="128" t="s">
        <v>237</v>
      </c>
      <c r="L14" s="404"/>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row>
    <row r="15" spans="1:38" ht="15.75" customHeight="1" x14ac:dyDescent="0.25">
      <c r="B15" s="403"/>
      <c r="C15" s="999">
        <v>2021</v>
      </c>
      <c r="D15" s="1000"/>
      <c r="E15" s="50"/>
      <c r="F15" s="156">
        <v>2019</v>
      </c>
      <c r="G15" s="156">
        <v>2020</v>
      </c>
      <c r="H15" s="156">
        <v>2021</v>
      </c>
      <c r="I15" s="405"/>
      <c r="J15" s="405"/>
      <c r="K15" s="1014" t="s">
        <v>293</v>
      </c>
      <c r="L15" s="404"/>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row>
    <row r="16" spans="1:38" ht="15.75" thickBot="1" x14ac:dyDescent="0.3">
      <c r="B16" s="403"/>
      <c r="C16" s="1001">
        <v>0.8</v>
      </c>
      <c r="D16" s="1002"/>
      <c r="E16" s="394"/>
      <c r="F16" s="372">
        <f>'Presupuesto financiero'!K16</f>
        <v>141277.33333333334</v>
      </c>
      <c r="G16" s="372">
        <f>'Presupuesto financiero'!L16</f>
        <v>147660.56666666665</v>
      </c>
      <c r="H16" s="372">
        <f>'Presupuesto financiero'!M16</f>
        <v>162884.43333333335</v>
      </c>
      <c r="I16" s="405"/>
      <c r="J16" s="405"/>
      <c r="K16" s="1015"/>
      <c r="L16" s="404"/>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row>
    <row r="17" spans="2:38" x14ac:dyDescent="0.25">
      <c r="B17" s="403"/>
      <c r="C17" s="50"/>
      <c r="D17" s="50"/>
      <c r="E17" s="394"/>
      <c r="F17" s="40"/>
      <c r="G17" s="40"/>
      <c r="H17" s="40"/>
      <c r="I17" s="405"/>
      <c r="J17" s="405"/>
      <c r="K17" s="405"/>
      <c r="L17" s="404"/>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row>
    <row r="18" spans="2:38" x14ac:dyDescent="0.25">
      <c r="B18" s="403"/>
      <c r="C18" s="50"/>
      <c r="D18" s="50"/>
      <c r="E18" s="392" t="s">
        <v>183</v>
      </c>
      <c r="F18" s="369"/>
      <c r="G18" s="369"/>
      <c r="H18" s="370"/>
      <c r="I18" s="405"/>
      <c r="J18" s="405"/>
      <c r="K18" s="405"/>
      <c r="L18" s="404"/>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row>
    <row r="19" spans="2:38" x14ac:dyDescent="0.25">
      <c r="B19" s="403"/>
      <c r="C19" s="50"/>
      <c r="D19" s="50"/>
      <c r="E19" s="376" t="s">
        <v>184</v>
      </c>
      <c r="F19" s="376">
        <v>2019</v>
      </c>
      <c r="G19" s="376">
        <v>2020</v>
      </c>
      <c r="H19" s="376">
        <v>2021</v>
      </c>
      <c r="I19" s="405"/>
      <c r="J19" s="405"/>
      <c r="K19" s="405"/>
      <c r="L19" s="404"/>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row>
    <row r="20" spans="2:38" x14ac:dyDescent="0.25">
      <c r="B20" s="403"/>
      <c r="C20" s="50"/>
      <c r="D20" s="50"/>
      <c r="E20" s="372">
        <f>'Presupuesto financiero'!J20</f>
        <v>2297572</v>
      </c>
      <c r="F20" s="372">
        <f>'Presupuesto financiero'!K20</f>
        <v>22999</v>
      </c>
      <c r="G20" s="372">
        <f>'Presupuesto financiero'!L20</f>
        <v>70262</v>
      </c>
      <c r="H20" s="372">
        <f>'Presupuesto financiero'!M20</f>
        <v>1306257</v>
      </c>
      <c r="I20" s="405"/>
      <c r="J20" s="405"/>
      <c r="K20" s="405"/>
      <c r="L20" s="404"/>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row>
    <row r="21" spans="2:38" x14ac:dyDescent="0.25">
      <c r="B21" s="403"/>
      <c r="C21" s="50"/>
      <c r="D21" s="50"/>
      <c r="E21" s="50"/>
      <c r="F21" s="50"/>
      <c r="G21" s="50"/>
      <c r="H21" s="50"/>
      <c r="I21" s="405"/>
      <c r="J21" s="405"/>
      <c r="K21" s="405"/>
      <c r="L21" s="404"/>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row>
    <row r="22" spans="2:38" x14ac:dyDescent="0.25">
      <c r="B22" s="403"/>
      <c r="C22" s="50"/>
      <c r="D22" s="50"/>
      <c r="E22" s="379" t="s">
        <v>233</v>
      </c>
      <c r="F22" s="379">
        <v>2019</v>
      </c>
      <c r="G22" s="379">
        <v>2020</v>
      </c>
      <c r="H22" s="379">
        <v>2021</v>
      </c>
      <c r="I22" s="405"/>
      <c r="J22" s="405"/>
      <c r="K22" s="405"/>
      <c r="L22" s="404"/>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row>
    <row r="23" spans="2:38" x14ac:dyDescent="0.25">
      <c r="B23" s="403"/>
      <c r="C23" s="380" t="s">
        <v>41</v>
      </c>
      <c r="D23" s="381"/>
      <c r="E23" s="385" t="s">
        <v>220</v>
      </c>
      <c r="F23" s="386">
        <f t="shared" ref="F23:G26" si="0">F9</f>
        <v>18750000</v>
      </c>
      <c r="G23" s="386">
        <f t="shared" si="0"/>
        <v>43750000.000000007</v>
      </c>
      <c r="H23" s="448">
        <f>H9*$C$16</f>
        <v>60000000</v>
      </c>
      <c r="I23" s="405"/>
      <c r="J23" s="405"/>
      <c r="K23" s="405"/>
      <c r="L23" s="404"/>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row>
    <row r="24" spans="2:38" x14ac:dyDescent="0.25">
      <c r="B24" s="403"/>
      <c r="C24" s="1016" t="s">
        <v>221</v>
      </c>
      <c r="D24" s="382" t="s">
        <v>274</v>
      </c>
      <c r="E24" s="385" t="s">
        <v>220</v>
      </c>
      <c r="F24" s="386">
        <f t="shared" si="0"/>
        <v>2222400</v>
      </c>
      <c r="G24" s="386">
        <f t="shared" si="0"/>
        <v>2388690</v>
      </c>
      <c r="H24" s="386">
        <f>H10</f>
        <v>2608767.2375000003</v>
      </c>
      <c r="I24" s="405"/>
      <c r="J24" s="405"/>
      <c r="K24" s="405"/>
      <c r="L24" s="404"/>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row>
    <row r="25" spans="2:38" x14ac:dyDescent="0.25">
      <c r="B25" s="403"/>
      <c r="C25" s="1017"/>
      <c r="D25" s="382" t="s">
        <v>275</v>
      </c>
      <c r="E25" s="385" t="s">
        <v>220</v>
      </c>
      <c r="F25" s="386" t="e">
        <f t="shared" si="0"/>
        <v>#REF!</v>
      </c>
      <c r="G25" s="386" t="e">
        <f t="shared" si="0"/>
        <v>#REF!</v>
      </c>
      <c r="H25" s="448" t="e">
        <f>H11*C16</f>
        <v>#REF!</v>
      </c>
      <c r="I25" s="405"/>
      <c r="J25" s="405"/>
      <c r="K25" s="405"/>
      <c r="L25" s="404"/>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row>
    <row r="26" spans="2:38" x14ac:dyDescent="0.25">
      <c r="B26" s="403"/>
      <c r="C26" s="1018"/>
      <c r="D26" s="382" t="s">
        <v>276</v>
      </c>
      <c r="E26" s="385" t="s">
        <v>220</v>
      </c>
      <c r="F26" s="386">
        <f t="shared" si="0"/>
        <v>7341662.4450000012</v>
      </c>
      <c r="G26" s="386">
        <f t="shared" si="0"/>
        <v>8446303.9266666677</v>
      </c>
      <c r="H26" s="386">
        <f>H12</f>
        <v>10262133.115833335</v>
      </c>
      <c r="I26" s="405"/>
      <c r="J26" s="405"/>
      <c r="K26" s="405"/>
      <c r="L26" s="404"/>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row>
    <row r="27" spans="2:38" x14ac:dyDescent="0.25">
      <c r="B27" s="403"/>
      <c r="C27" s="367" t="s">
        <v>222</v>
      </c>
      <c r="D27" s="368"/>
      <c r="E27" s="388" t="s">
        <v>220</v>
      </c>
      <c r="F27" s="389" t="e">
        <f>F23-F24-F25-F26</f>
        <v>#REF!</v>
      </c>
      <c r="G27" s="389" t="e">
        <f>G23-G24-G25-G26</f>
        <v>#REF!</v>
      </c>
      <c r="H27" s="389" t="e">
        <f>H23-H24-H25-H26</f>
        <v>#REF!</v>
      </c>
      <c r="I27" s="405"/>
      <c r="J27" s="405"/>
      <c r="K27" s="405"/>
      <c r="L27" s="404"/>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row>
    <row r="28" spans="2:38" x14ac:dyDescent="0.25">
      <c r="B28" s="403"/>
      <c r="C28" s="383" t="s">
        <v>223</v>
      </c>
      <c r="D28" s="384"/>
      <c r="E28" s="102" t="s">
        <v>220</v>
      </c>
      <c r="F28" s="386">
        <f>F23*0.03</f>
        <v>562500</v>
      </c>
      <c r="G28" s="386">
        <f>G23*0.03</f>
        <v>1312500.0000000002</v>
      </c>
      <c r="H28" s="386">
        <f>H23*0.03</f>
        <v>1800000</v>
      </c>
      <c r="I28" s="405"/>
      <c r="J28" s="405"/>
      <c r="K28" s="405"/>
      <c r="L28" s="404"/>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row>
    <row r="29" spans="2:38" x14ac:dyDescent="0.25">
      <c r="B29" s="403"/>
      <c r="C29" s="1003" t="s">
        <v>224</v>
      </c>
      <c r="D29" s="1004"/>
      <c r="E29" s="102"/>
      <c r="F29" s="386" t="e">
        <f>F27-F28</f>
        <v>#REF!</v>
      </c>
      <c r="G29" s="386" t="e">
        <f>G27-G28-G16</f>
        <v>#REF!</v>
      </c>
      <c r="H29" s="386" t="e">
        <f>H27-H28-H16</f>
        <v>#REF!</v>
      </c>
      <c r="I29" s="405"/>
      <c r="J29" s="405"/>
      <c r="K29" s="405"/>
      <c r="L29" s="404"/>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row>
    <row r="30" spans="2:38" x14ac:dyDescent="0.25">
      <c r="B30" s="403"/>
      <c r="C30" s="383" t="s">
        <v>225</v>
      </c>
      <c r="D30" s="384"/>
      <c r="E30" s="102" t="s">
        <v>220</v>
      </c>
      <c r="F30" s="386">
        <v>0</v>
      </c>
      <c r="G30" s="386">
        <v>0</v>
      </c>
      <c r="H30" s="386" t="e">
        <f>0.35*G29</f>
        <v>#REF!</v>
      </c>
      <c r="I30" s="405"/>
      <c r="J30" s="405"/>
      <c r="K30" s="405"/>
      <c r="L30" s="404"/>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row>
    <row r="31" spans="2:38" x14ac:dyDescent="0.25">
      <c r="B31" s="403"/>
      <c r="C31" s="367" t="s">
        <v>226</v>
      </c>
      <c r="D31" s="368"/>
      <c r="E31" s="388" t="s">
        <v>220</v>
      </c>
      <c r="F31" s="389" t="e">
        <f>F27-F28-F30</f>
        <v>#REF!</v>
      </c>
      <c r="G31" s="389" t="e">
        <f>G27-G28-G30</f>
        <v>#REF!</v>
      </c>
      <c r="H31" s="389" t="e">
        <f>H27-H28-H30</f>
        <v>#REF!</v>
      </c>
      <c r="I31" s="405"/>
      <c r="J31" s="405"/>
      <c r="K31" s="405"/>
      <c r="L31" s="404"/>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row>
    <row r="32" spans="2:38" x14ac:dyDescent="0.25">
      <c r="B32" s="403"/>
      <c r="C32" s="383" t="s">
        <v>227</v>
      </c>
      <c r="D32" s="384"/>
      <c r="E32" s="386">
        <f>-E20</f>
        <v>-2297572</v>
      </c>
      <c r="F32" s="386">
        <f>-F20</f>
        <v>-22999</v>
      </c>
      <c r="G32" s="386">
        <f>-G20</f>
        <v>-70262</v>
      </c>
      <c r="H32" s="386">
        <f>-H20</f>
        <v>-1306257</v>
      </c>
      <c r="I32" s="405"/>
      <c r="J32" s="405"/>
      <c r="K32" s="405"/>
      <c r="L32" s="404"/>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row>
    <row r="33" spans="2:38" x14ac:dyDescent="0.25">
      <c r="B33" s="403"/>
      <c r="C33" s="367" t="s">
        <v>228</v>
      </c>
      <c r="D33" s="368"/>
      <c r="E33" s="389">
        <f>E32</f>
        <v>-2297572</v>
      </c>
      <c r="F33" s="389" t="e">
        <f>F31+F32</f>
        <v>#REF!</v>
      </c>
      <c r="G33" s="389" t="e">
        <f>G31+G32</f>
        <v>#REF!</v>
      </c>
      <c r="H33" s="389" t="e">
        <f>H31+H32</f>
        <v>#REF!</v>
      </c>
      <c r="I33" s="405"/>
      <c r="J33" s="405"/>
      <c r="K33" s="405"/>
      <c r="L33" s="404"/>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row>
    <row r="34" spans="2:38" x14ac:dyDescent="0.25">
      <c r="B34" s="403"/>
      <c r="C34" s="50"/>
      <c r="D34" s="50"/>
      <c r="E34" s="50"/>
      <c r="F34" s="50"/>
      <c r="G34" s="50"/>
      <c r="H34" s="50"/>
      <c r="I34" s="405"/>
      <c r="J34" s="405"/>
      <c r="K34" s="405"/>
      <c r="L34" s="404"/>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row>
    <row r="35" spans="2:38" x14ac:dyDescent="0.25">
      <c r="B35" s="403"/>
      <c r="C35" s="50"/>
      <c r="D35" s="50"/>
      <c r="E35" s="50"/>
      <c r="F35" s="50"/>
      <c r="G35" s="415" t="s">
        <v>229</v>
      </c>
      <c r="H35" s="416">
        <v>0.62</v>
      </c>
      <c r="I35" s="405"/>
      <c r="J35" s="405"/>
      <c r="K35" s="405"/>
      <c r="L35" s="404"/>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row>
    <row r="36" spans="2:38" x14ac:dyDescent="0.25">
      <c r="B36" s="403"/>
      <c r="C36" s="50"/>
      <c r="D36" s="50"/>
      <c r="E36" s="50"/>
      <c r="F36" s="50"/>
      <c r="G36" s="415" t="s">
        <v>230</v>
      </c>
      <c r="H36" s="417"/>
      <c r="I36" s="405"/>
      <c r="J36" s="405"/>
      <c r="K36" s="405"/>
      <c r="L36" s="404"/>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row>
    <row r="37" spans="2:38" x14ac:dyDescent="0.25">
      <c r="B37" s="403"/>
      <c r="C37" s="50"/>
      <c r="D37" s="50"/>
      <c r="E37" s="50"/>
      <c r="F37" s="50"/>
      <c r="G37" s="415" t="s">
        <v>231</v>
      </c>
      <c r="H37" s="418"/>
      <c r="I37" s="405"/>
      <c r="J37" s="405"/>
      <c r="K37" s="405"/>
      <c r="L37" s="404"/>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row>
    <row r="38" spans="2:38" ht="15.75" thickBot="1" x14ac:dyDescent="0.3">
      <c r="B38" s="406"/>
      <c r="C38" s="279"/>
      <c r="D38" s="279"/>
      <c r="E38" s="279"/>
      <c r="F38" s="279"/>
      <c r="G38" s="279"/>
      <c r="H38" s="279"/>
      <c r="I38" s="407"/>
      <c r="J38" s="407"/>
      <c r="K38" s="407"/>
      <c r="L38" s="408"/>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row>
    <row r="39" spans="2:38" x14ac:dyDescent="0.25">
      <c r="B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row>
    <row r="40" spans="2:38" x14ac:dyDescent="0.25">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row>
    <row r="41" spans="2:38" x14ac:dyDescent="0.25">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row>
    <row r="42" spans="2:38" x14ac:dyDescent="0.25">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row>
    <row r="77" spans="2:12" x14ac:dyDescent="0.25">
      <c r="B77" s="50"/>
      <c r="C77" s="50"/>
      <c r="D77" s="50"/>
      <c r="E77" s="50"/>
      <c r="F77" s="50"/>
      <c r="G77" s="50"/>
      <c r="H77" s="50"/>
      <c r="I77" s="50"/>
      <c r="J77" s="50"/>
      <c r="K77" s="50"/>
      <c r="L77" s="50"/>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465" customFormat="1" ht="58.5" customHeight="1" x14ac:dyDescent="0.25">
      <c r="A1" s="467"/>
      <c r="B1" s="467"/>
      <c r="C1" s="467"/>
      <c r="D1" s="467"/>
      <c r="E1" s="467"/>
      <c r="F1" s="997" t="s">
        <v>242</v>
      </c>
      <c r="G1" s="998"/>
      <c r="H1" s="998"/>
      <c r="I1" s="467"/>
      <c r="J1" s="467"/>
      <c r="K1" s="467"/>
      <c r="L1" s="467"/>
      <c r="M1" s="467"/>
      <c r="N1" s="467"/>
    </row>
    <row r="3" spans="1:14" ht="15.75" thickBot="1" x14ac:dyDescent="0.3"/>
    <row r="4" spans="1:14" ht="15.75" thickBot="1" x14ac:dyDescent="0.3">
      <c r="B4" s="409"/>
      <c r="C4" s="401"/>
      <c r="D4" s="401"/>
      <c r="E4" s="401"/>
      <c r="F4" s="401"/>
      <c r="G4" s="401"/>
      <c r="H4" s="401"/>
      <c r="I4" s="410"/>
      <c r="J4" s="410"/>
      <c r="K4" s="410"/>
      <c r="L4" s="411"/>
    </row>
    <row r="5" spans="1:14" ht="15.75" thickBot="1" x14ac:dyDescent="0.3">
      <c r="B5" s="403"/>
      <c r="C5" s="1009" t="s">
        <v>280</v>
      </c>
      <c r="D5" s="1010"/>
      <c r="E5" s="1010"/>
      <c r="F5" s="1010"/>
      <c r="G5" s="1010"/>
      <c r="H5" s="1010"/>
      <c r="I5" s="1010"/>
      <c r="J5" s="1010"/>
      <c r="K5" s="1011"/>
      <c r="L5" s="404"/>
    </row>
    <row r="6" spans="1:14" ht="15.75" thickBot="1" x14ac:dyDescent="0.3">
      <c r="B6" s="403"/>
      <c r="C6" s="405"/>
      <c r="D6" s="405"/>
      <c r="E6" s="405"/>
      <c r="F6" s="405"/>
      <c r="G6" s="405"/>
      <c r="H6" s="405"/>
      <c r="I6" s="405"/>
      <c r="J6" s="405"/>
      <c r="K6" s="405"/>
      <c r="L6" s="404"/>
    </row>
    <row r="7" spans="1:14" ht="17.25" customHeight="1" thickBot="1" x14ac:dyDescent="0.3">
      <c r="B7" s="412"/>
      <c r="C7" s="50"/>
      <c r="D7" s="50"/>
      <c r="E7" s="50"/>
      <c r="F7" s="1023" t="s">
        <v>36</v>
      </c>
      <c r="G7" s="1024"/>
      <c r="H7" s="1025"/>
      <c r="I7" s="405"/>
      <c r="J7" s="405"/>
      <c r="K7" s="128" t="s">
        <v>287</v>
      </c>
      <c r="L7" s="413"/>
    </row>
    <row r="8" spans="1:14" x14ac:dyDescent="0.25">
      <c r="B8" s="412"/>
      <c r="E8" s="50"/>
      <c r="F8" s="376">
        <v>2019</v>
      </c>
      <c r="G8" s="376">
        <v>2020</v>
      </c>
      <c r="H8" s="376">
        <v>2021</v>
      </c>
      <c r="I8" s="405"/>
      <c r="J8" s="405"/>
      <c r="K8" s="1008" t="s">
        <v>282</v>
      </c>
      <c r="L8" s="413"/>
    </row>
    <row r="9" spans="1:14" x14ac:dyDescent="0.25">
      <c r="B9" s="412"/>
      <c r="E9" s="50"/>
      <c r="F9" s="371">
        <f>'Presupuesto financiero'!K5</f>
        <v>0.03</v>
      </c>
      <c r="G9" s="371">
        <f>'Presupuesto financiero'!L5</f>
        <v>7.0000000000000007E-2</v>
      </c>
      <c r="H9" s="371">
        <f>'Presupuesto financiero'!M5</f>
        <v>0.12</v>
      </c>
      <c r="I9" s="405"/>
      <c r="J9" s="405"/>
      <c r="K9" s="1006"/>
      <c r="L9" s="413"/>
    </row>
    <row r="10" spans="1:14" ht="15.75" thickBot="1" x14ac:dyDescent="0.3">
      <c r="B10" s="412"/>
      <c r="E10" s="382" t="s">
        <v>279</v>
      </c>
      <c r="F10" s="393">
        <f>'Presupuesto financiero'!K6</f>
        <v>18750000</v>
      </c>
      <c r="G10" s="393">
        <f>'Presupuesto financiero'!L6</f>
        <v>43750000.000000007</v>
      </c>
      <c r="H10" s="393">
        <f>'Presupuesto financiero'!M6</f>
        <v>75000000</v>
      </c>
      <c r="I10" s="405"/>
      <c r="J10" s="405"/>
      <c r="K10" s="1007"/>
      <c r="L10" s="413"/>
    </row>
    <row r="11" spans="1:14" ht="15.75" thickBot="1" x14ac:dyDescent="0.3">
      <c r="B11" s="412"/>
      <c r="C11" s="50"/>
      <c r="D11" s="50"/>
      <c r="E11" s="382" t="s">
        <v>219</v>
      </c>
      <c r="F11" s="372">
        <f>'Presupuesto financiero'!K10</f>
        <v>2222400</v>
      </c>
      <c r="G11" s="372">
        <f>'Presupuesto financiero'!L10</f>
        <v>2388690</v>
      </c>
      <c r="H11" s="372">
        <f>'Presupuesto financiero'!M10</f>
        <v>2608767.2375000003</v>
      </c>
      <c r="I11" s="405"/>
      <c r="J11" s="405"/>
      <c r="K11" s="128" t="s">
        <v>236</v>
      </c>
      <c r="L11" s="413"/>
    </row>
    <row r="12" spans="1:14" x14ac:dyDescent="0.25">
      <c r="B12" s="412"/>
      <c r="C12" s="50"/>
      <c r="D12" s="50"/>
      <c r="E12" s="382" t="s">
        <v>179</v>
      </c>
      <c r="F12" s="372" t="e">
        <f>'Presupuesto financiero'!K11</f>
        <v>#REF!</v>
      </c>
      <c r="G12" s="372" t="e">
        <f>'Presupuesto financiero'!L11</f>
        <v>#REF!</v>
      </c>
      <c r="H12" s="372" t="e">
        <f>'Presupuesto financiero'!M11</f>
        <v>#REF!</v>
      </c>
      <c r="I12" s="405"/>
      <c r="J12" s="405"/>
      <c r="K12" s="1008" t="s">
        <v>281</v>
      </c>
      <c r="L12" s="413"/>
    </row>
    <row r="13" spans="1:14" x14ac:dyDescent="0.25">
      <c r="B13" s="412"/>
      <c r="C13" s="50"/>
      <c r="D13" s="50"/>
      <c r="E13" s="382" t="s">
        <v>277</v>
      </c>
      <c r="F13" s="372">
        <f>'Presupuesto financiero'!K12</f>
        <v>7341662.4450000012</v>
      </c>
      <c r="G13" s="372">
        <f>'Presupuesto financiero'!L12</f>
        <v>8446303.9266666677</v>
      </c>
      <c r="H13" s="372">
        <f>'Presupuesto financiero'!M12</f>
        <v>10262133.115833335</v>
      </c>
      <c r="I13" s="405"/>
      <c r="J13" s="405"/>
      <c r="K13" s="1006"/>
      <c r="L13" s="413"/>
    </row>
    <row r="14" spans="1:14" ht="15.75" thickBot="1" x14ac:dyDescent="0.3">
      <c r="B14" s="412"/>
      <c r="C14" s="50"/>
      <c r="D14" s="50"/>
      <c r="E14" s="50"/>
      <c r="F14" s="50"/>
      <c r="G14" s="50"/>
      <c r="H14" s="50"/>
      <c r="I14" s="405"/>
      <c r="J14" s="405"/>
      <c r="K14" s="1007"/>
      <c r="L14" s="413"/>
    </row>
    <row r="15" spans="1:14" ht="15.75" thickBot="1" x14ac:dyDescent="0.3">
      <c r="B15" s="412"/>
      <c r="C15" s="390" t="s">
        <v>273</v>
      </c>
      <c r="D15" s="391"/>
      <c r="E15" s="50"/>
      <c r="F15" s="392" t="s">
        <v>206</v>
      </c>
      <c r="G15" s="369"/>
      <c r="H15" s="370"/>
      <c r="I15" s="405"/>
      <c r="J15" s="405"/>
      <c r="K15" s="128" t="s">
        <v>237</v>
      </c>
      <c r="L15" s="413"/>
    </row>
    <row r="16" spans="1:14" ht="30.75" customHeight="1" thickBot="1" x14ac:dyDescent="0.3">
      <c r="B16" s="412"/>
      <c r="C16" s="1019" t="s">
        <v>286</v>
      </c>
      <c r="D16" s="1020"/>
      <c r="E16" s="50"/>
      <c r="F16" s="156">
        <v>2019</v>
      </c>
      <c r="G16" s="156">
        <v>2020</v>
      </c>
      <c r="H16" s="156">
        <v>2021</v>
      </c>
      <c r="I16" s="405"/>
      <c r="J16" s="405"/>
      <c r="K16" s="397" t="s">
        <v>285</v>
      </c>
      <c r="L16" s="413"/>
    </row>
    <row r="17" spans="2:12" x14ac:dyDescent="0.25">
      <c r="B17" s="412"/>
      <c r="C17" s="1021">
        <v>3800000</v>
      </c>
      <c r="D17" s="1022"/>
      <c r="E17" s="394"/>
      <c r="F17" s="372">
        <f>'Presupuesto financiero'!K16</f>
        <v>141277.33333333334</v>
      </c>
      <c r="G17" s="372">
        <f>'Presupuesto financiero'!L16</f>
        <v>147660.56666666665</v>
      </c>
      <c r="H17" s="372">
        <f>'Presupuesto financiero'!M16</f>
        <v>162884.43333333335</v>
      </c>
      <c r="I17" s="405"/>
      <c r="J17" s="405"/>
      <c r="K17" s="405"/>
      <c r="L17" s="413"/>
    </row>
    <row r="18" spans="2:12" x14ac:dyDescent="0.25">
      <c r="B18" s="412"/>
      <c r="C18" s="50"/>
      <c r="D18" s="50"/>
      <c r="E18" s="394"/>
      <c r="F18" s="40"/>
      <c r="G18" s="40"/>
      <c r="H18" s="40"/>
      <c r="I18" s="405"/>
      <c r="J18" s="405"/>
      <c r="K18" s="405"/>
      <c r="L18" s="413"/>
    </row>
    <row r="19" spans="2:12" x14ac:dyDescent="0.25">
      <c r="B19" s="412"/>
      <c r="C19" s="50"/>
      <c r="D19" s="50"/>
      <c r="E19" s="392" t="s">
        <v>183</v>
      </c>
      <c r="F19" s="369"/>
      <c r="G19" s="369"/>
      <c r="H19" s="370"/>
      <c r="I19" s="405"/>
      <c r="J19" s="405"/>
      <c r="K19" s="405"/>
      <c r="L19" s="413"/>
    </row>
    <row r="20" spans="2:12" x14ac:dyDescent="0.25">
      <c r="B20" s="412"/>
      <c r="C20" s="50"/>
      <c r="D20" s="50"/>
      <c r="E20" s="376" t="s">
        <v>184</v>
      </c>
      <c r="F20" s="376">
        <v>2019</v>
      </c>
      <c r="G20" s="376">
        <v>2020</v>
      </c>
      <c r="H20" s="376">
        <v>2021</v>
      </c>
      <c r="I20" s="405"/>
      <c r="J20" s="405"/>
      <c r="K20" s="405"/>
      <c r="L20" s="413"/>
    </row>
    <row r="21" spans="2:12" x14ac:dyDescent="0.25">
      <c r="B21" s="412"/>
      <c r="C21" s="50"/>
      <c r="D21" s="50"/>
      <c r="E21" s="372">
        <f>'Presupuesto financiero'!J20</f>
        <v>2297572</v>
      </c>
      <c r="F21" s="372">
        <f>'Presupuesto financiero'!K20</f>
        <v>22999</v>
      </c>
      <c r="G21" s="372">
        <f>'Presupuesto financiero'!L20</f>
        <v>70262</v>
      </c>
      <c r="H21" s="372">
        <f>'Presupuesto financiero'!M20</f>
        <v>1306257</v>
      </c>
      <c r="I21" s="405"/>
      <c r="J21" s="405"/>
      <c r="K21" s="405"/>
      <c r="L21" s="413"/>
    </row>
    <row r="22" spans="2:12" x14ac:dyDescent="0.25">
      <c r="B22" s="412"/>
      <c r="C22" s="50"/>
      <c r="D22" s="50"/>
      <c r="E22" s="50"/>
      <c r="F22" s="50"/>
      <c r="G22" s="50"/>
      <c r="H22" s="50"/>
      <c r="I22" s="405"/>
      <c r="J22" s="405"/>
      <c r="K22" s="405"/>
      <c r="L22" s="413"/>
    </row>
    <row r="23" spans="2:12" x14ac:dyDescent="0.25">
      <c r="B23" s="412"/>
      <c r="C23" s="50"/>
      <c r="D23" s="50"/>
      <c r="E23" s="379" t="s">
        <v>233</v>
      </c>
      <c r="F23" s="379">
        <v>2019</v>
      </c>
      <c r="G23" s="379">
        <v>2020</v>
      </c>
      <c r="H23" s="379">
        <v>2021</v>
      </c>
      <c r="I23" s="405"/>
      <c r="J23" s="405"/>
      <c r="K23" s="405"/>
      <c r="L23" s="413"/>
    </row>
    <row r="24" spans="2:12" x14ac:dyDescent="0.25">
      <c r="B24" s="412"/>
      <c r="C24" s="380" t="s">
        <v>41</v>
      </c>
      <c r="D24" s="381"/>
      <c r="E24" s="385" t="s">
        <v>220</v>
      </c>
      <c r="F24" s="386">
        <f t="shared" ref="F24:H25" si="0">F10</f>
        <v>18750000</v>
      </c>
      <c r="G24" s="386">
        <f t="shared" si="0"/>
        <v>43750000.000000007</v>
      </c>
      <c r="H24" s="386">
        <f t="shared" si="0"/>
        <v>75000000</v>
      </c>
      <c r="I24" s="405"/>
      <c r="J24" s="405"/>
      <c r="K24" s="405"/>
      <c r="L24" s="413"/>
    </row>
    <row r="25" spans="2:12" x14ac:dyDescent="0.25">
      <c r="B25" s="412"/>
      <c r="C25" s="1016" t="s">
        <v>221</v>
      </c>
      <c r="D25" s="382" t="s">
        <v>274</v>
      </c>
      <c r="E25" s="385" t="s">
        <v>220</v>
      </c>
      <c r="F25" s="386">
        <f t="shared" si="0"/>
        <v>2222400</v>
      </c>
      <c r="G25" s="386">
        <f t="shared" si="0"/>
        <v>2388690</v>
      </c>
      <c r="H25" s="386">
        <f t="shared" si="0"/>
        <v>2608767.2375000003</v>
      </c>
      <c r="I25" s="405"/>
      <c r="J25" s="405"/>
      <c r="K25" s="405"/>
      <c r="L25" s="413"/>
    </row>
    <row r="26" spans="2:12" x14ac:dyDescent="0.25">
      <c r="B26" s="412"/>
      <c r="C26" s="1017"/>
      <c r="D26" s="382" t="s">
        <v>275</v>
      </c>
      <c r="E26" s="385" t="s">
        <v>220</v>
      </c>
      <c r="F26" s="386" t="e">
        <f>F12</f>
        <v>#REF!</v>
      </c>
      <c r="G26" s="414" t="e">
        <f>G12+C17</f>
        <v>#REF!</v>
      </c>
      <c r="H26" s="386" t="e">
        <f>H12</f>
        <v>#REF!</v>
      </c>
      <c r="I26" s="405"/>
      <c r="J26" s="405"/>
      <c r="K26" s="405"/>
      <c r="L26" s="413"/>
    </row>
    <row r="27" spans="2:12" x14ac:dyDescent="0.25">
      <c r="B27" s="412"/>
      <c r="C27" s="1018"/>
      <c r="D27" s="382" t="s">
        <v>276</v>
      </c>
      <c r="E27" s="385" t="s">
        <v>220</v>
      </c>
      <c r="F27" s="386">
        <f>F13</f>
        <v>7341662.4450000012</v>
      </c>
      <c r="G27" s="386">
        <f>G13</f>
        <v>8446303.9266666677</v>
      </c>
      <c r="H27" s="386">
        <f>H13</f>
        <v>10262133.115833335</v>
      </c>
      <c r="I27" s="405"/>
      <c r="J27" s="405"/>
      <c r="K27" s="405"/>
      <c r="L27" s="413"/>
    </row>
    <row r="28" spans="2:12" x14ac:dyDescent="0.25">
      <c r="B28" s="412"/>
      <c r="C28" s="367" t="s">
        <v>222</v>
      </c>
      <c r="D28" s="368"/>
      <c r="E28" s="388" t="s">
        <v>220</v>
      </c>
      <c r="F28" s="389" t="e">
        <f>F24-F25-F26-F27</f>
        <v>#REF!</v>
      </c>
      <c r="G28" s="389" t="e">
        <f>G24-G25-G26-G27</f>
        <v>#REF!</v>
      </c>
      <c r="H28" s="389" t="e">
        <f>H24-H25-H26-H27</f>
        <v>#REF!</v>
      </c>
      <c r="I28" s="405"/>
      <c r="J28" s="405"/>
      <c r="K28" s="405"/>
      <c r="L28" s="413"/>
    </row>
    <row r="29" spans="2:12" x14ac:dyDescent="0.25">
      <c r="B29" s="412"/>
      <c r="C29" s="383" t="s">
        <v>223</v>
      </c>
      <c r="D29" s="384"/>
      <c r="E29" s="102" t="s">
        <v>220</v>
      </c>
      <c r="F29" s="386">
        <f>F24*0.03</f>
        <v>562500</v>
      </c>
      <c r="G29" s="386">
        <f>G24*0.03</f>
        <v>1312500.0000000002</v>
      </c>
      <c r="H29" s="386">
        <f>H24*0.03</f>
        <v>2250000</v>
      </c>
      <c r="I29" s="405"/>
      <c r="J29" s="405"/>
      <c r="K29" s="405"/>
      <c r="L29" s="413"/>
    </row>
    <row r="30" spans="2:12" x14ac:dyDescent="0.25">
      <c r="B30" s="412"/>
      <c r="C30" s="1003" t="s">
        <v>224</v>
      </c>
      <c r="D30" s="1004"/>
      <c r="E30" s="102"/>
      <c r="F30" s="386" t="e">
        <f>F28-F29</f>
        <v>#REF!</v>
      </c>
      <c r="G30" s="386" t="e">
        <f>G28-G29-G17</f>
        <v>#REF!</v>
      </c>
      <c r="H30" s="386" t="e">
        <f>H28-H29</f>
        <v>#REF!</v>
      </c>
      <c r="I30" s="405"/>
      <c r="J30" s="405"/>
      <c r="K30" s="405"/>
      <c r="L30" s="413"/>
    </row>
    <row r="31" spans="2:12" x14ac:dyDescent="0.25">
      <c r="B31" s="412"/>
      <c r="C31" s="383" t="s">
        <v>225</v>
      </c>
      <c r="D31" s="384"/>
      <c r="E31" s="102" t="s">
        <v>220</v>
      </c>
      <c r="F31" s="386">
        <v>0</v>
      </c>
      <c r="G31" s="386">
        <v>0</v>
      </c>
      <c r="H31" s="386">
        <v>0</v>
      </c>
      <c r="I31" s="405"/>
      <c r="J31" s="405"/>
      <c r="K31" s="405"/>
      <c r="L31" s="413"/>
    </row>
    <row r="32" spans="2:12" x14ac:dyDescent="0.25">
      <c r="B32" s="412"/>
      <c r="C32" s="367" t="s">
        <v>226</v>
      </c>
      <c r="D32" s="368"/>
      <c r="E32" s="388" t="s">
        <v>220</v>
      </c>
      <c r="F32" s="389" t="e">
        <f>F28-F29-F31</f>
        <v>#REF!</v>
      </c>
      <c r="G32" s="389" t="e">
        <f>G28-G29-G31</f>
        <v>#REF!</v>
      </c>
      <c r="H32" s="389" t="e">
        <f>H28-H29-H31</f>
        <v>#REF!</v>
      </c>
      <c r="I32" s="405"/>
      <c r="J32" s="405"/>
      <c r="K32" s="405"/>
      <c r="L32" s="413"/>
    </row>
    <row r="33" spans="2:12" x14ac:dyDescent="0.25">
      <c r="B33" s="412"/>
      <c r="C33" s="383" t="s">
        <v>227</v>
      </c>
      <c r="D33" s="384"/>
      <c r="E33" s="386">
        <f>-E21</f>
        <v>-2297572</v>
      </c>
      <c r="F33" s="386">
        <f>-F21</f>
        <v>-22999</v>
      </c>
      <c r="G33" s="386">
        <f>-G21</f>
        <v>-70262</v>
      </c>
      <c r="H33" s="386">
        <f>-H21</f>
        <v>-1306257</v>
      </c>
      <c r="I33" s="405"/>
      <c r="J33" s="405"/>
      <c r="K33" s="405"/>
      <c r="L33" s="413"/>
    </row>
    <row r="34" spans="2:12" x14ac:dyDescent="0.25">
      <c r="B34" s="412"/>
      <c r="C34" s="367" t="s">
        <v>228</v>
      </c>
      <c r="D34" s="368"/>
      <c r="E34" s="389">
        <f>E33</f>
        <v>-2297572</v>
      </c>
      <c r="F34" s="389" t="e">
        <f>F32+F33</f>
        <v>#REF!</v>
      </c>
      <c r="G34" s="389" t="e">
        <f>G32+G33</f>
        <v>#REF!</v>
      </c>
      <c r="H34" s="389" t="e">
        <f>H32+H33</f>
        <v>#REF!</v>
      </c>
      <c r="I34" s="405"/>
      <c r="J34" s="405"/>
      <c r="K34" s="405"/>
      <c r="L34" s="413"/>
    </row>
    <row r="35" spans="2:12" x14ac:dyDescent="0.25">
      <c r="B35" s="412"/>
      <c r="C35" s="50"/>
      <c r="D35" s="50"/>
      <c r="E35" s="50"/>
      <c r="F35" s="50"/>
      <c r="G35" s="50"/>
      <c r="H35" s="50"/>
      <c r="I35" s="405"/>
      <c r="J35" s="405"/>
      <c r="K35" s="405"/>
      <c r="L35" s="413"/>
    </row>
    <row r="36" spans="2:12" x14ac:dyDescent="0.25">
      <c r="B36" s="412"/>
      <c r="C36" s="50"/>
      <c r="D36" s="50"/>
      <c r="E36" s="50"/>
      <c r="F36" s="50"/>
      <c r="G36" s="415" t="s">
        <v>229</v>
      </c>
      <c r="H36" s="416">
        <v>0.62</v>
      </c>
      <c r="I36" s="405"/>
      <c r="J36" s="405"/>
      <c r="K36" s="405"/>
      <c r="L36" s="413"/>
    </row>
    <row r="37" spans="2:12" x14ac:dyDescent="0.25">
      <c r="B37" s="412"/>
      <c r="C37" s="50"/>
      <c r="D37" s="50"/>
      <c r="E37" s="50"/>
      <c r="F37" s="50"/>
      <c r="G37" s="415" t="s">
        <v>230</v>
      </c>
      <c r="H37" s="417"/>
      <c r="I37" s="405"/>
      <c r="J37" s="405"/>
      <c r="K37" s="405"/>
      <c r="L37" s="413"/>
    </row>
    <row r="38" spans="2:12" x14ac:dyDescent="0.25">
      <c r="B38" s="412"/>
      <c r="C38" s="50"/>
      <c r="D38" s="50"/>
      <c r="E38" s="50"/>
      <c r="F38" s="50"/>
      <c r="G38" s="415" t="s">
        <v>231</v>
      </c>
      <c r="H38" s="418"/>
      <c r="I38" s="405"/>
      <c r="J38" s="405"/>
      <c r="K38" s="405"/>
      <c r="L38" s="413"/>
    </row>
    <row r="39" spans="2:12" x14ac:dyDescent="0.25">
      <c r="B39" s="412"/>
      <c r="C39" s="50"/>
      <c r="D39" s="50"/>
      <c r="E39" s="50"/>
      <c r="F39" s="50"/>
      <c r="G39" s="50"/>
      <c r="H39" s="50"/>
      <c r="I39" s="50"/>
      <c r="J39" s="50"/>
      <c r="K39" s="50"/>
      <c r="L39" s="413"/>
    </row>
    <row r="40" spans="2:12" ht="15.75" thickBot="1" x14ac:dyDescent="0.3">
      <c r="B40" s="278"/>
      <c r="C40" s="279"/>
      <c r="D40" s="279"/>
      <c r="E40" s="279"/>
      <c r="F40" s="279"/>
      <c r="G40" s="279"/>
      <c r="H40" s="279"/>
      <c r="I40" s="279"/>
      <c r="J40" s="279"/>
      <c r="K40" s="279"/>
      <c r="L40" s="280"/>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465" customFormat="1" ht="58.5" customHeight="1" x14ac:dyDescent="0.25">
      <c r="A1" s="467"/>
      <c r="B1" s="467"/>
      <c r="C1" s="467"/>
      <c r="D1" s="467"/>
      <c r="E1" s="467"/>
      <c r="F1" s="997" t="s">
        <v>248</v>
      </c>
      <c r="G1" s="998"/>
      <c r="H1" s="998"/>
      <c r="I1" s="467"/>
      <c r="J1" s="467"/>
      <c r="K1" s="467"/>
      <c r="L1" s="467"/>
      <c r="M1" s="467"/>
      <c r="N1" s="467"/>
    </row>
    <row r="2" spans="1:14" ht="15.75" thickBot="1" x14ac:dyDescent="0.3"/>
    <row r="3" spans="1:14" ht="15.75" thickBot="1" x14ac:dyDescent="0.3">
      <c r="B3" s="400"/>
      <c r="C3" s="401"/>
      <c r="D3" s="401"/>
      <c r="E3" s="401"/>
      <c r="F3" s="401"/>
      <c r="G3" s="401"/>
      <c r="H3" s="401"/>
      <c r="I3" s="401"/>
      <c r="J3" s="401"/>
      <c r="K3" s="401"/>
      <c r="L3" s="402"/>
    </row>
    <row r="4" spans="1:14" ht="15.75" thickBot="1" x14ac:dyDescent="0.3">
      <c r="B4" s="412"/>
      <c r="C4" s="1026" t="s">
        <v>284</v>
      </c>
      <c r="D4" s="1027"/>
      <c r="E4" s="1027"/>
      <c r="F4" s="1027"/>
      <c r="G4" s="1027"/>
      <c r="H4" s="1027"/>
      <c r="I4" s="1027"/>
      <c r="J4" s="1027"/>
      <c r="K4" s="1028"/>
      <c r="L4" s="413"/>
    </row>
    <row r="5" spans="1:14" ht="15.75" thickBot="1" x14ac:dyDescent="0.3">
      <c r="B5" s="412"/>
      <c r="C5" s="405"/>
      <c r="D5" s="405"/>
      <c r="E5" s="405"/>
      <c r="F5" s="405"/>
      <c r="G5" s="405"/>
      <c r="H5" s="405"/>
      <c r="I5" s="405"/>
      <c r="J5" s="405"/>
      <c r="K5" s="405"/>
      <c r="L5" s="413"/>
    </row>
    <row r="6" spans="1:14" ht="15.75" thickBot="1" x14ac:dyDescent="0.3">
      <c r="B6" s="412"/>
      <c r="C6" s="50"/>
      <c r="D6" s="50"/>
      <c r="E6" s="50"/>
      <c r="F6" s="1023" t="s">
        <v>36</v>
      </c>
      <c r="G6" s="1024"/>
      <c r="H6" s="1025"/>
      <c r="I6" s="405"/>
      <c r="J6" s="405"/>
      <c r="K6" s="128" t="s">
        <v>295</v>
      </c>
      <c r="L6" s="413"/>
    </row>
    <row r="7" spans="1:14" x14ac:dyDescent="0.25">
      <c r="B7" s="412"/>
      <c r="E7" s="50"/>
      <c r="F7" s="376">
        <v>2019</v>
      </c>
      <c r="G7" s="376">
        <v>2020</v>
      </c>
      <c r="H7" s="376">
        <v>2021</v>
      </c>
      <c r="I7" s="405"/>
      <c r="J7" s="405"/>
      <c r="K7" s="1008" t="s">
        <v>290</v>
      </c>
      <c r="L7" s="413"/>
    </row>
    <row r="8" spans="1:14" x14ac:dyDescent="0.25">
      <c r="B8" s="412"/>
      <c r="E8" s="50"/>
      <c r="F8" s="371">
        <f>'Presupuesto financiero'!K5</f>
        <v>0.03</v>
      </c>
      <c r="G8" s="371">
        <f>'Presupuesto financiero'!L5</f>
        <v>7.0000000000000007E-2</v>
      </c>
      <c r="H8" s="371">
        <f>'Presupuesto financiero'!M5</f>
        <v>0.12</v>
      </c>
      <c r="I8" s="405"/>
      <c r="J8" s="405"/>
      <c r="K8" s="1006"/>
      <c r="L8" s="413"/>
    </row>
    <row r="9" spans="1:14" ht="15.75" thickBot="1" x14ac:dyDescent="0.3">
      <c r="B9" s="412"/>
      <c r="E9" s="382" t="s">
        <v>279</v>
      </c>
      <c r="F9" s="393">
        <f>'Presupuesto financiero'!K6</f>
        <v>18750000</v>
      </c>
      <c r="G9" s="393">
        <f>'Presupuesto financiero'!L6</f>
        <v>43750000.000000007</v>
      </c>
      <c r="H9" s="393">
        <f>'Presupuesto financiero'!M6</f>
        <v>75000000</v>
      </c>
      <c r="I9" s="405"/>
      <c r="J9" s="405"/>
      <c r="K9" s="1007"/>
      <c r="L9" s="413"/>
    </row>
    <row r="10" spans="1:14" ht="15.75" thickBot="1" x14ac:dyDescent="0.3">
      <c r="B10" s="412"/>
      <c r="C10" s="50"/>
      <c r="D10" s="50"/>
      <c r="E10" s="382" t="s">
        <v>219</v>
      </c>
      <c r="F10" s="372">
        <f>'Presupuesto financiero'!K10</f>
        <v>2222400</v>
      </c>
      <c r="G10" s="372">
        <f>'Presupuesto financiero'!L10</f>
        <v>2388690</v>
      </c>
      <c r="H10" s="372">
        <f>'Presupuesto financiero'!M10</f>
        <v>2608767.2375000003</v>
      </c>
      <c r="I10" s="405"/>
      <c r="J10" s="405"/>
      <c r="K10" s="128" t="s">
        <v>236</v>
      </c>
      <c r="L10" s="413"/>
    </row>
    <row r="11" spans="1:14" x14ac:dyDescent="0.25">
      <c r="B11" s="412"/>
      <c r="C11" s="50"/>
      <c r="D11" s="50"/>
      <c r="E11" s="382" t="s">
        <v>179</v>
      </c>
      <c r="F11" s="372" t="e">
        <f>'Presupuesto financiero'!K11</f>
        <v>#REF!</v>
      </c>
      <c r="G11" s="372" t="e">
        <f>'Presupuesto financiero'!L11</f>
        <v>#REF!</v>
      </c>
      <c r="H11" s="372" t="e">
        <f>'Presupuesto financiero'!M11</f>
        <v>#REF!</v>
      </c>
      <c r="I11" s="405"/>
      <c r="J11" s="405"/>
      <c r="K11" s="1008"/>
      <c r="L11" s="413"/>
    </row>
    <row r="12" spans="1:14" x14ac:dyDescent="0.25">
      <c r="B12" s="412"/>
      <c r="C12" s="50"/>
      <c r="D12" s="50"/>
      <c r="E12" s="382" t="s">
        <v>277</v>
      </c>
      <c r="F12" s="372">
        <f>'Presupuesto financiero'!K12</f>
        <v>7341662.4450000012</v>
      </c>
      <c r="G12" s="372">
        <f>'Presupuesto financiero'!L12</f>
        <v>8446303.9266666677</v>
      </c>
      <c r="H12" s="372">
        <f>'Presupuesto financiero'!M12</f>
        <v>10262133.115833335</v>
      </c>
      <c r="I12" s="405"/>
      <c r="J12" s="405"/>
      <c r="K12" s="1006"/>
      <c r="L12" s="413"/>
    </row>
    <row r="13" spans="1:14" ht="15.75" thickBot="1" x14ac:dyDescent="0.3">
      <c r="B13" s="412"/>
      <c r="C13" s="50"/>
      <c r="D13" s="50"/>
      <c r="E13" s="50"/>
      <c r="F13" s="50"/>
      <c r="G13" s="50"/>
      <c r="H13" s="50"/>
      <c r="I13" s="405"/>
      <c r="J13" s="405"/>
      <c r="K13" s="1007"/>
      <c r="L13" s="413"/>
    </row>
    <row r="14" spans="1:14" ht="15.75" thickBot="1" x14ac:dyDescent="0.3">
      <c r="B14" s="412"/>
      <c r="C14" s="1012" t="s">
        <v>294</v>
      </c>
      <c r="D14" s="1013"/>
      <c r="E14" s="50"/>
      <c r="F14" s="392" t="s">
        <v>206</v>
      </c>
      <c r="G14" s="369"/>
      <c r="H14" s="370"/>
      <c r="I14" s="405"/>
      <c r="J14" s="405"/>
      <c r="K14" s="128" t="s">
        <v>237</v>
      </c>
      <c r="L14" s="413"/>
    </row>
    <row r="15" spans="1:14" ht="20.25" customHeight="1" thickBot="1" x14ac:dyDescent="0.3">
      <c r="B15" s="412"/>
      <c r="C15" s="376">
        <v>2020</v>
      </c>
      <c r="D15" s="376">
        <v>2021</v>
      </c>
      <c r="E15" s="50"/>
      <c r="F15" s="156">
        <v>2019</v>
      </c>
      <c r="G15" s="156">
        <v>2020</v>
      </c>
      <c r="H15" s="156">
        <v>2021</v>
      </c>
      <c r="I15" s="405"/>
      <c r="J15" s="405"/>
      <c r="K15" s="397" t="s">
        <v>292</v>
      </c>
      <c r="L15" s="413"/>
    </row>
    <row r="16" spans="1:14" x14ac:dyDescent="0.25">
      <c r="B16" s="412"/>
      <c r="C16" s="449">
        <v>0.9</v>
      </c>
      <c r="D16" s="449">
        <v>0.9</v>
      </c>
      <c r="E16" s="394"/>
      <c r="F16" s="372">
        <f>'Presupuesto financiero'!K16</f>
        <v>141277.33333333334</v>
      </c>
      <c r="G16" s="372">
        <f>'Presupuesto financiero'!L16</f>
        <v>147660.56666666665</v>
      </c>
      <c r="H16" s="372">
        <f>'Presupuesto financiero'!M16</f>
        <v>162884.43333333335</v>
      </c>
      <c r="I16" s="405"/>
      <c r="J16" s="405"/>
      <c r="K16" s="405"/>
      <c r="L16" s="413"/>
    </row>
    <row r="17" spans="2:12" x14ac:dyDescent="0.25">
      <c r="B17" s="412"/>
      <c r="C17" s="50"/>
      <c r="D17" s="50"/>
      <c r="E17" s="394"/>
      <c r="F17" s="40"/>
      <c r="G17" s="40"/>
      <c r="H17" s="40"/>
      <c r="I17" s="405"/>
      <c r="J17" s="405"/>
      <c r="K17" s="405"/>
      <c r="L17" s="413"/>
    </row>
    <row r="18" spans="2:12" x14ac:dyDescent="0.25">
      <c r="B18" s="412"/>
      <c r="C18" s="50"/>
      <c r="D18" s="50"/>
      <c r="E18" s="392" t="s">
        <v>183</v>
      </c>
      <c r="F18" s="369"/>
      <c r="G18" s="369"/>
      <c r="H18" s="370"/>
      <c r="I18" s="405"/>
      <c r="J18" s="405"/>
      <c r="K18" s="405"/>
      <c r="L18" s="413"/>
    </row>
    <row r="19" spans="2:12" x14ac:dyDescent="0.25">
      <c r="B19" s="412"/>
      <c r="C19" s="50"/>
      <c r="D19" s="50"/>
      <c r="E19" s="376" t="s">
        <v>184</v>
      </c>
      <c r="F19" s="376">
        <v>2019</v>
      </c>
      <c r="G19" s="376">
        <v>2020</v>
      </c>
      <c r="H19" s="376">
        <v>2021</v>
      </c>
      <c r="I19" s="405"/>
      <c r="J19" s="405"/>
      <c r="K19" s="405"/>
      <c r="L19" s="413"/>
    </row>
    <row r="20" spans="2:12" x14ac:dyDescent="0.25">
      <c r="B20" s="412"/>
      <c r="C20" s="50"/>
      <c r="D20" s="50"/>
      <c r="E20" s="372">
        <f>'Presupuesto financiero'!J20</f>
        <v>2297572</v>
      </c>
      <c r="F20" s="372">
        <f>'Presupuesto financiero'!K20</f>
        <v>22999</v>
      </c>
      <c r="G20" s="372">
        <f>'Presupuesto financiero'!L20</f>
        <v>70262</v>
      </c>
      <c r="H20" s="372">
        <f>'Presupuesto financiero'!M20</f>
        <v>1306257</v>
      </c>
      <c r="I20" s="405"/>
      <c r="J20" s="405"/>
      <c r="K20" s="405"/>
      <c r="L20" s="413"/>
    </row>
    <row r="21" spans="2:12" x14ac:dyDescent="0.25">
      <c r="B21" s="412"/>
      <c r="C21" s="50"/>
      <c r="D21" s="50"/>
      <c r="E21" s="50"/>
      <c r="F21" s="50"/>
      <c r="G21" s="50"/>
      <c r="H21" s="50"/>
      <c r="I21" s="405"/>
      <c r="J21" s="405"/>
      <c r="K21" s="405"/>
      <c r="L21" s="413"/>
    </row>
    <row r="22" spans="2:12" x14ac:dyDescent="0.25">
      <c r="B22" s="412"/>
      <c r="C22" s="50"/>
      <c r="D22" s="50"/>
      <c r="E22" s="379" t="s">
        <v>233</v>
      </c>
      <c r="F22" s="379">
        <v>2019</v>
      </c>
      <c r="G22" s="379">
        <v>2020</v>
      </c>
      <c r="H22" s="379">
        <v>2021</v>
      </c>
      <c r="I22" s="405"/>
      <c r="J22" s="405"/>
      <c r="K22" s="405"/>
      <c r="L22" s="413"/>
    </row>
    <row r="23" spans="2:12" x14ac:dyDescent="0.25">
      <c r="B23" s="412"/>
      <c r="C23" s="380" t="s">
        <v>41</v>
      </c>
      <c r="D23" s="381"/>
      <c r="E23" s="385" t="s">
        <v>220</v>
      </c>
      <c r="F23" s="386">
        <f>F9</f>
        <v>18750000</v>
      </c>
      <c r="G23" s="448">
        <f>G9*C16</f>
        <v>39375000.000000007</v>
      </c>
      <c r="H23" s="448">
        <f>H9*D16</f>
        <v>67500000</v>
      </c>
      <c r="I23" s="405"/>
      <c r="J23" s="405"/>
      <c r="K23" s="405"/>
      <c r="L23" s="413"/>
    </row>
    <row r="24" spans="2:12" x14ac:dyDescent="0.25">
      <c r="B24" s="412"/>
      <c r="C24" s="1016" t="s">
        <v>221</v>
      </c>
      <c r="D24" s="382" t="s">
        <v>274</v>
      </c>
      <c r="E24" s="385" t="s">
        <v>220</v>
      </c>
      <c r="F24" s="386">
        <f>F10</f>
        <v>2222400</v>
      </c>
      <c r="G24" s="386">
        <f>G10</f>
        <v>2388690</v>
      </c>
      <c r="H24" s="386">
        <f>H10</f>
        <v>2608767.2375000003</v>
      </c>
      <c r="I24" s="405"/>
      <c r="J24" s="405"/>
      <c r="K24" s="405"/>
      <c r="L24" s="413"/>
    </row>
    <row r="25" spans="2:12" x14ac:dyDescent="0.25">
      <c r="B25" s="412"/>
      <c r="C25" s="1017"/>
      <c r="D25" s="382" t="s">
        <v>275</v>
      </c>
      <c r="E25" s="385" t="s">
        <v>220</v>
      </c>
      <c r="F25" s="386" t="e">
        <f>F11</f>
        <v>#REF!</v>
      </c>
      <c r="G25" s="448" t="e">
        <f>G11*C16</f>
        <v>#REF!</v>
      </c>
      <c r="H25" s="448" t="e">
        <f>H11*D16</f>
        <v>#REF!</v>
      </c>
      <c r="I25" s="405"/>
      <c r="J25" s="405"/>
      <c r="K25" s="405"/>
      <c r="L25" s="413"/>
    </row>
    <row r="26" spans="2:12" x14ac:dyDescent="0.25">
      <c r="B26" s="412"/>
      <c r="C26" s="1018"/>
      <c r="D26" s="382" t="s">
        <v>276</v>
      </c>
      <c r="E26" s="385" t="s">
        <v>220</v>
      </c>
      <c r="F26" s="386">
        <f>F12</f>
        <v>7341662.4450000012</v>
      </c>
      <c r="G26" s="386">
        <f>G12</f>
        <v>8446303.9266666677</v>
      </c>
      <c r="H26" s="386">
        <f>H12</f>
        <v>10262133.115833335</v>
      </c>
      <c r="I26" s="405"/>
      <c r="J26" s="405"/>
      <c r="K26" s="405"/>
      <c r="L26" s="413"/>
    </row>
    <row r="27" spans="2:12" x14ac:dyDescent="0.25">
      <c r="B27" s="412"/>
      <c r="C27" s="383" t="s">
        <v>222</v>
      </c>
      <c r="D27" s="384"/>
      <c r="E27" s="388" t="s">
        <v>220</v>
      </c>
      <c r="F27" s="389" t="e">
        <f>F23-F24-F25-F26</f>
        <v>#REF!</v>
      </c>
      <c r="G27" s="389" t="e">
        <f>G23-G24-G25-G26</f>
        <v>#REF!</v>
      </c>
      <c r="H27" s="389" t="e">
        <f>H23-H24-H25-H26</f>
        <v>#REF!</v>
      </c>
      <c r="I27" s="405"/>
      <c r="J27" s="405"/>
      <c r="K27" s="405"/>
      <c r="L27" s="413"/>
    </row>
    <row r="28" spans="2:12" x14ac:dyDescent="0.25">
      <c r="B28" s="412"/>
      <c r="C28" s="383" t="s">
        <v>223</v>
      </c>
      <c r="D28" s="384"/>
      <c r="E28" s="102" t="s">
        <v>220</v>
      </c>
      <c r="F28" s="386">
        <f>F23*0.03</f>
        <v>562500</v>
      </c>
      <c r="G28" s="386">
        <f>G23*0.03</f>
        <v>1181250.0000000002</v>
      </c>
      <c r="H28" s="386">
        <f>H23*0.03</f>
        <v>2025000</v>
      </c>
      <c r="I28" s="405"/>
      <c r="J28" s="405"/>
      <c r="K28" s="405"/>
      <c r="L28" s="413"/>
    </row>
    <row r="29" spans="2:12" x14ac:dyDescent="0.25">
      <c r="B29" s="412"/>
      <c r="C29" s="1003" t="s">
        <v>224</v>
      </c>
      <c r="D29" s="1004"/>
      <c r="E29" s="102"/>
      <c r="F29" s="386" t="e">
        <f>F27-F28</f>
        <v>#REF!</v>
      </c>
      <c r="G29" s="386" t="e">
        <f>G27-G28-G16</f>
        <v>#REF!</v>
      </c>
      <c r="H29" s="386" t="e">
        <f>H27-H28-H16</f>
        <v>#REF!</v>
      </c>
      <c r="I29" s="405"/>
      <c r="J29" s="405"/>
      <c r="K29" s="405"/>
      <c r="L29" s="413"/>
    </row>
    <row r="30" spans="2:12" x14ac:dyDescent="0.25">
      <c r="B30" s="412"/>
      <c r="C30" s="383" t="s">
        <v>225</v>
      </c>
      <c r="D30" s="384"/>
      <c r="E30" s="102" t="s">
        <v>220</v>
      </c>
      <c r="F30" s="386">
        <v>0</v>
      </c>
      <c r="G30" s="386">
        <v>0</v>
      </c>
      <c r="H30" s="386" t="e">
        <f>0.35*G29</f>
        <v>#REF!</v>
      </c>
      <c r="I30" s="405"/>
      <c r="J30" s="405"/>
      <c r="K30" s="405"/>
      <c r="L30" s="413"/>
    </row>
    <row r="31" spans="2:12" x14ac:dyDescent="0.25">
      <c r="B31" s="412"/>
      <c r="C31" s="383" t="s">
        <v>226</v>
      </c>
      <c r="D31" s="384"/>
      <c r="E31" s="388" t="s">
        <v>220</v>
      </c>
      <c r="F31" s="389" t="e">
        <f>F27-F28-F30</f>
        <v>#REF!</v>
      </c>
      <c r="G31" s="389" t="e">
        <f>G27-G28-G30</f>
        <v>#REF!</v>
      </c>
      <c r="H31" s="389" t="e">
        <f>H27-H28-H30</f>
        <v>#REF!</v>
      </c>
      <c r="I31" s="405"/>
      <c r="J31" s="405"/>
      <c r="K31" s="405"/>
      <c r="L31" s="413"/>
    </row>
    <row r="32" spans="2:12" x14ac:dyDescent="0.25">
      <c r="B32" s="412"/>
      <c r="C32" s="383" t="s">
        <v>227</v>
      </c>
      <c r="D32" s="384"/>
      <c r="E32" s="386">
        <f>-E20</f>
        <v>-2297572</v>
      </c>
      <c r="F32" s="386">
        <f>-F20</f>
        <v>-22999</v>
      </c>
      <c r="G32" s="386">
        <f>-G20</f>
        <v>-70262</v>
      </c>
      <c r="H32" s="386">
        <f>-H20</f>
        <v>-1306257</v>
      </c>
      <c r="I32" s="405"/>
      <c r="J32" s="405"/>
      <c r="K32" s="405"/>
      <c r="L32" s="413"/>
    </row>
    <row r="33" spans="2:12" x14ac:dyDescent="0.25">
      <c r="B33" s="412"/>
      <c r="C33" s="383" t="s">
        <v>228</v>
      </c>
      <c r="D33" s="384"/>
      <c r="E33" s="389">
        <f>E32</f>
        <v>-2297572</v>
      </c>
      <c r="F33" s="389" t="e">
        <f>F31+F32</f>
        <v>#REF!</v>
      </c>
      <c r="G33" s="389" t="e">
        <f>G31+G32</f>
        <v>#REF!</v>
      </c>
      <c r="H33" s="389" t="e">
        <f>H31+H32</f>
        <v>#REF!</v>
      </c>
      <c r="I33" s="405"/>
      <c r="J33" s="405"/>
      <c r="K33" s="405"/>
      <c r="L33" s="413"/>
    </row>
    <row r="34" spans="2:12" x14ac:dyDescent="0.25">
      <c r="B34" s="412"/>
      <c r="C34" s="50"/>
      <c r="D34" s="50"/>
      <c r="E34" s="50"/>
      <c r="F34" s="50"/>
      <c r="G34" s="50"/>
      <c r="H34" s="50"/>
      <c r="I34" s="405"/>
      <c r="J34" s="405"/>
      <c r="K34" s="405"/>
      <c r="L34" s="413"/>
    </row>
    <row r="35" spans="2:12" x14ac:dyDescent="0.25">
      <c r="B35" s="412"/>
      <c r="C35" s="50"/>
      <c r="D35" s="50"/>
      <c r="E35" s="50"/>
      <c r="F35" s="50"/>
      <c r="G35" s="378" t="s">
        <v>229</v>
      </c>
      <c r="H35" s="373">
        <v>0.62</v>
      </c>
      <c r="I35" s="405"/>
      <c r="J35" s="405"/>
      <c r="K35" s="405"/>
      <c r="L35" s="413"/>
    </row>
    <row r="36" spans="2:12" x14ac:dyDescent="0.25">
      <c r="B36" s="412"/>
      <c r="C36" s="50"/>
      <c r="D36" s="50"/>
      <c r="E36" s="50"/>
      <c r="F36" s="50"/>
      <c r="G36" s="378" t="s">
        <v>230</v>
      </c>
      <c r="H36" s="374"/>
      <c r="I36" s="405"/>
      <c r="J36" s="405"/>
      <c r="K36" s="405"/>
      <c r="L36" s="413"/>
    </row>
    <row r="37" spans="2:12" x14ac:dyDescent="0.25">
      <c r="B37" s="412"/>
      <c r="C37" s="50"/>
      <c r="D37" s="50"/>
      <c r="E37" s="50"/>
      <c r="F37" s="50"/>
      <c r="G37" s="378" t="s">
        <v>231</v>
      </c>
      <c r="H37" s="375"/>
      <c r="I37" s="405"/>
      <c r="J37" s="405"/>
      <c r="K37" s="405"/>
      <c r="L37" s="413"/>
    </row>
    <row r="38" spans="2:12" ht="15.75" thickBot="1" x14ac:dyDescent="0.3">
      <c r="B38" s="278"/>
      <c r="C38" s="279"/>
      <c r="D38" s="279"/>
      <c r="E38" s="279"/>
      <c r="F38" s="279"/>
      <c r="G38" s="279"/>
      <c r="H38" s="279"/>
      <c r="I38" s="279"/>
      <c r="J38" s="279"/>
      <c r="K38" s="279"/>
      <c r="L38" s="280"/>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465" customFormat="1" ht="58.5" customHeight="1" x14ac:dyDescent="0.25">
      <c r="A1" s="466"/>
      <c r="B1" s="466"/>
      <c r="C1" s="466"/>
      <c r="D1" s="466"/>
      <c r="E1" s="466"/>
      <c r="F1" s="468" t="s">
        <v>12</v>
      </c>
      <c r="G1" s="469"/>
      <c r="H1" s="469"/>
      <c r="I1" s="466"/>
      <c r="J1" s="466"/>
      <c r="K1" s="466"/>
      <c r="L1" s="466"/>
      <c r="M1" s="466"/>
      <c r="N1" s="466"/>
      <c r="O1" s="466"/>
    </row>
    <row r="2" spans="1:15" ht="15.75" thickBot="1" x14ac:dyDescent="0.3"/>
    <row r="3" spans="1:15" ht="21.75" thickBot="1" x14ac:dyDescent="0.4">
      <c r="C3" s="1032" t="s">
        <v>297</v>
      </c>
      <c r="D3" s="1033"/>
      <c r="E3" s="1033"/>
      <c r="F3" s="1033"/>
      <c r="G3" s="1033"/>
      <c r="H3" s="1033"/>
      <c r="I3" s="1033"/>
      <c r="J3" s="1033"/>
      <c r="K3" s="1033"/>
      <c r="L3" s="1033"/>
      <c r="M3" s="1033"/>
      <c r="N3" s="1034"/>
    </row>
    <row r="4" spans="1:15" ht="15.75" thickBot="1" x14ac:dyDescent="0.3"/>
    <row r="5" spans="1:15" ht="15.75" customHeight="1" thickBot="1" x14ac:dyDescent="0.3">
      <c r="C5" s="128" t="s">
        <v>295</v>
      </c>
      <c r="F5" s="50"/>
      <c r="G5" s="50"/>
      <c r="H5" s="50"/>
      <c r="I5" s="1023" t="s">
        <v>36</v>
      </c>
      <c r="J5" s="1024"/>
      <c r="K5" s="1025"/>
    </row>
    <row r="6" spans="1:15" x14ac:dyDescent="0.25">
      <c r="C6" s="1008" t="s">
        <v>290</v>
      </c>
      <c r="H6" s="50"/>
      <c r="I6" s="376">
        <v>2019</v>
      </c>
      <c r="J6" s="376">
        <v>2020</v>
      </c>
      <c r="K6" s="376">
        <v>2021</v>
      </c>
    </row>
    <row r="7" spans="1:15" x14ac:dyDescent="0.25">
      <c r="C7" s="1006"/>
      <c r="H7" s="50"/>
      <c r="I7" s="371">
        <f>'Escenario 3'!F8</f>
        <v>0.03</v>
      </c>
      <c r="J7" s="371">
        <f>'Escenario 3'!G8</f>
        <v>7.0000000000000007E-2</v>
      </c>
      <c r="K7" s="371">
        <f>'Escenario 3'!H8</f>
        <v>0.12</v>
      </c>
    </row>
    <row r="8" spans="1:15" ht="15.75" thickBot="1" x14ac:dyDescent="0.3">
      <c r="C8" s="1007"/>
      <c r="H8" s="382" t="s">
        <v>279</v>
      </c>
      <c r="I8" s="393">
        <f>'Escenario 3'!F9</f>
        <v>18750000</v>
      </c>
      <c r="J8" s="393">
        <f>'Escenario 3'!G9</f>
        <v>43750000.000000007</v>
      </c>
      <c r="K8" s="393">
        <f>'Escenario 3'!H9</f>
        <v>75000000</v>
      </c>
    </row>
    <row r="9" spans="1:15" ht="15.75" thickBot="1" x14ac:dyDescent="0.3">
      <c r="C9" s="128" t="s">
        <v>236</v>
      </c>
      <c r="F9" s="50"/>
      <c r="G9" s="50"/>
      <c r="H9" s="382" t="s">
        <v>219</v>
      </c>
      <c r="I9" s="372">
        <f>'Escenario 3'!F10</f>
        <v>2222400</v>
      </c>
      <c r="J9" s="372">
        <f>'Escenario 3'!G10</f>
        <v>2388690</v>
      </c>
      <c r="K9" s="372">
        <f>'Escenario 3'!H10</f>
        <v>2608767.2375000003</v>
      </c>
    </row>
    <row r="10" spans="1:15" x14ac:dyDescent="0.25">
      <c r="C10" s="1008" t="s">
        <v>291</v>
      </c>
      <c r="F10" s="50"/>
      <c r="G10" s="50"/>
      <c r="H10" s="382" t="s">
        <v>179</v>
      </c>
      <c r="I10" s="372" t="e">
        <f>'Escenario 3'!F11</f>
        <v>#REF!</v>
      </c>
      <c r="J10" s="372" t="e">
        <f>'Escenario 3'!G11</f>
        <v>#REF!</v>
      </c>
      <c r="K10" s="372" t="e">
        <f>'Escenario 3'!H11</f>
        <v>#REF!</v>
      </c>
    </row>
    <row r="11" spans="1:15" x14ac:dyDescent="0.25">
      <c r="C11" s="1006"/>
      <c r="F11" s="50"/>
      <c r="G11" s="50"/>
      <c r="H11" s="382" t="s">
        <v>277</v>
      </c>
      <c r="I11" s="372">
        <f>'Escenario 3'!F12</f>
        <v>7341662.4450000012</v>
      </c>
      <c r="J11" s="372">
        <f>'Escenario 3'!G12</f>
        <v>8446303.9266666677</v>
      </c>
      <c r="K11" s="372">
        <f>'Escenario 3'!H12</f>
        <v>10262133.115833335</v>
      </c>
    </row>
    <row r="12" spans="1:15" ht="15.75" thickBot="1" x14ac:dyDescent="0.3">
      <c r="C12" s="1007"/>
      <c r="F12" s="50"/>
      <c r="G12" s="50"/>
      <c r="H12" s="50"/>
      <c r="I12" s="50"/>
      <c r="J12" s="50"/>
      <c r="K12" s="50"/>
    </row>
    <row r="13" spans="1:15" ht="15.75" thickBot="1" x14ac:dyDescent="0.3">
      <c r="C13" s="128" t="s">
        <v>237</v>
      </c>
      <c r="H13" s="50"/>
      <c r="I13" s="392" t="s">
        <v>206</v>
      </c>
      <c r="J13" s="369"/>
      <c r="K13" s="370"/>
    </row>
    <row r="14" spans="1:15" ht="19.5" customHeight="1" thickBot="1" x14ac:dyDescent="0.3">
      <c r="C14" s="397" t="s">
        <v>292</v>
      </c>
      <c r="H14" s="50"/>
      <c r="I14" s="156">
        <v>2019</v>
      </c>
      <c r="J14" s="156">
        <v>2020</v>
      </c>
      <c r="K14" s="156">
        <v>2021</v>
      </c>
    </row>
    <row r="15" spans="1:15" x14ac:dyDescent="0.25">
      <c r="H15" s="394"/>
      <c r="I15" s="372">
        <f>'Escenario 3'!F16</f>
        <v>141277.33333333334</v>
      </c>
      <c r="J15" s="372">
        <f>'Escenario 3'!G16</f>
        <v>147660.56666666665</v>
      </c>
      <c r="K15" s="372">
        <f>'Escenario 3'!H16</f>
        <v>162884.43333333335</v>
      </c>
    </row>
    <row r="16" spans="1:15" ht="15.75" thickBot="1" x14ac:dyDescent="0.3">
      <c r="C16" s="50"/>
      <c r="F16" s="50"/>
      <c r="G16" s="50"/>
      <c r="H16" s="394"/>
      <c r="I16" s="40"/>
      <c r="J16" s="40"/>
      <c r="K16" s="40"/>
    </row>
    <row r="17" spans="3:14" ht="15.75" thickBot="1" x14ac:dyDescent="0.3">
      <c r="C17" s="460" t="s">
        <v>296</v>
      </c>
      <c r="F17" s="50"/>
      <c r="G17" s="50"/>
      <c r="H17" s="392" t="s">
        <v>183</v>
      </c>
      <c r="I17" s="369"/>
      <c r="J17" s="369"/>
      <c r="K17" s="370"/>
    </row>
    <row r="18" spans="3:14" ht="15" customHeight="1" x14ac:dyDescent="0.25">
      <c r="C18" s="1037" t="s">
        <v>304</v>
      </c>
      <c r="F18" s="50"/>
      <c r="G18" s="50"/>
      <c r="H18" s="376" t="s">
        <v>184</v>
      </c>
      <c r="I18" s="376">
        <v>2019</v>
      </c>
      <c r="J18" s="376">
        <v>2020</v>
      </c>
      <c r="K18" s="376">
        <v>2021</v>
      </c>
    </row>
    <row r="19" spans="3:14" ht="30" customHeight="1" x14ac:dyDescent="0.25">
      <c r="C19" s="1038"/>
      <c r="F19" s="50"/>
      <c r="G19" s="50"/>
      <c r="H19" s="372">
        <f>'Escenario 3'!E20</f>
        <v>2297572</v>
      </c>
      <c r="I19" s="372">
        <f>'Escenario 3'!F20</f>
        <v>22999</v>
      </c>
      <c r="J19" s="372">
        <f>'Escenario 3'!G20</f>
        <v>70262</v>
      </c>
      <c r="K19" s="372">
        <f>'Escenario 3'!H20</f>
        <v>1306257</v>
      </c>
    </row>
    <row r="20" spans="3:14" x14ac:dyDescent="0.25">
      <c r="C20" s="1038"/>
      <c r="F20" s="50"/>
      <c r="G20" s="50"/>
      <c r="H20" s="50"/>
      <c r="I20" s="50"/>
      <c r="J20" s="50"/>
      <c r="K20" s="50"/>
    </row>
    <row r="21" spans="3:14" x14ac:dyDescent="0.25">
      <c r="C21" s="1038"/>
      <c r="F21" s="50"/>
      <c r="G21" s="50"/>
      <c r="H21" s="379" t="s">
        <v>233</v>
      </c>
      <c r="I21" s="379">
        <v>2019</v>
      </c>
      <c r="J21" s="379">
        <v>2020</v>
      </c>
      <c r="K21" s="379">
        <v>2021</v>
      </c>
      <c r="M21" s="1012" t="s">
        <v>299</v>
      </c>
      <c r="N21" s="1013"/>
    </row>
    <row r="22" spans="3:14" x14ac:dyDescent="0.25">
      <c r="C22" s="1038"/>
      <c r="F22" s="380" t="s">
        <v>41</v>
      </c>
      <c r="G22" s="381"/>
      <c r="H22" s="385" t="s">
        <v>220</v>
      </c>
      <c r="I22" s="386">
        <f>I8</f>
        <v>18750000</v>
      </c>
      <c r="J22" s="448">
        <f>J8*M23</f>
        <v>39375000.000000007</v>
      </c>
      <c r="K22" s="448">
        <f>K8*N23</f>
        <v>69000000</v>
      </c>
      <c r="M22" s="376">
        <v>2020</v>
      </c>
      <c r="N22" s="376">
        <v>2021</v>
      </c>
    </row>
    <row r="23" spans="3:14" x14ac:dyDescent="0.25">
      <c r="C23" s="1038"/>
      <c r="F23" s="1016" t="s">
        <v>221</v>
      </c>
      <c r="G23" s="382" t="s">
        <v>274</v>
      </c>
      <c r="H23" s="385" t="s">
        <v>220</v>
      </c>
      <c r="I23" s="386">
        <f>I9</f>
        <v>2222400</v>
      </c>
      <c r="J23" s="386">
        <f>J9</f>
        <v>2388690</v>
      </c>
      <c r="K23" s="386">
        <f>K9</f>
        <v>2608767.2375000003</v>
      </c>
      <c r="M23" s="449">
        <v>0.9</v>
      </c>
      <c r="N23" s="449">
        <v>0.92</v>
      </c>
    </row>
    <row r="24" spans="3:14" x14ac:dyDescent="0.25">
      <c r="C24" s="1038"/>
      <c r="F24" s="1017"/>
      <c r="G24" s="382" t="s">
        <v>275</v>
      </c>
      <c r="H24" s="385" t="s">
        <v>220</v>
      </c>
      <c r="I24" s="386" t="e">
        <f>I10</f>
        <v>#REF!</v>
      </c>
      <c r="J24" s="448" t="e">
        <f>J10*M23</f>
        <v>#REF!</v>
      </c>
      <c r="K24" s="448" t="e">
        <f>K10*N23</f>
        <v>#REF!</v>
      </c>
    </row>
    <row r="25" spans="3:14" x14ac:dyDescent="0.25">
      <c r="C25" s="1038"/>
      <c r="F25" s="1018"/>
      <c r="G25" s="382" t="s">
        <v>276</v>
      </c>
      <c r="H25" s="385" t="s">
        <v>220</v>
      </c>
      <c r="I25" s="386">
        <f>I11</f>
        <v>7341662.4450000012</v>
      </c>
      <c r="J25" s="462">
        <f>J11-N30</f>
        <v>7896645.1166666672</v>
      </c>
      <c r="K25" s="463">
        <f>K11-N31</f>
        <v>8465054.0258333348</v>
      </c>
    </row>
    <row r="26" spans="3:14" x14ac:dyDescent="0.25">
      <c r="C26" s="1038"/>
      <c r="F26" s="383" t="s">
        <v>222</v>
      </c>
      <c r="G26" s="384"/>
      <c r="H26" s="388" t="s">
        <v>220</v>
      </c>
      <c r="I26" s="389" t="e">
        <f>I22-I23-I24-I25</f>
        <v>#REF!</v>
      </c>
      <c r="J26" s="389" t="e">
        <f>J22-J23-J24-J25</f>
        <v>#REF!</v>
      </c>
      <c r="K26" s="389" t="e">
        <f>K22-K23-K24-K25</f>
        <v>#REF!</v>
      </c>
    </row>
    <row r="27" spans="3:14" x14ac:dyDescent="0.25">
      <c r="C27" s="1038"/>
      <c r="F27" s="383" t="s">
        <v>223</v>
      </c>
      <c r="G27" s="384"/>
      <c r="H27" s="102" t="s">
        <v>220</v>
      </c>
      <c r="I27" s="386">
        <f>I22*0.03</f>
        <v>562500</v>
      </c>
      <c r="J27" s="386">
        <f>J22*0.03</f>
        <v>1181250.0000000002</v>
      </c>
      <c r="K27" s="386">
        <f>K22*0.03</f>
        <v>2070000</v>
      </c>
    </row>
    <row r="28" spans="3:14" x14ac:dyDescent="0.25">
      <c r="C28" s="1038"/>
      <c r="F28" s="1003" t="s">
        <v>224</v>
      </c>
      <c r="G28" s="1004"/>
      <c r="H28" s="102"/>
      <c r="I28" s="386" t="e">
        <f>I26-I27</f>
        <v>#REF!</v>
      </c>
      <c r="J28" s="386" t="e">
        <f>J26-J27-J15</f>
        <v>#REF!</v>
      </c>
      <c r="K28" s="386" t="e">
        <f>K26-K27-K15</f>
        <v>#REF!</v>
      </c>
      <c r="M28" s="1012" t="s">
        <v>300</v>
      </c>
      <c r="N28" s="1013"/>
    </row>
    <row r="29" spans="3:14" x14ac:dyDescent="0.25">
      <c r="C29" s="1038"/>
      <c r="F29" s="383" t="s">
        <v>225</v>
      </c>
      <c r="G29" s="384"/>
      <c r="H29" s="102" t="s">
        <v>220</v>
      </c>
      <c r="I29" s="386">
        <v>0</v>
      </c>
      <c r="J29" s="386">
        <v>0</v>
      </c>
      <c r="K29" s="386" t="e">
        <f>0.35*J28</f>
        <v>#REF!</v>
      </c>
      <c r="M29" s="457" t="s">
        <v>301</v>
      </c>
      <c r="N29" s="461">
        <v>1234590</v>
      </c>
    </row>
    <row r="30" spans="3:14" x14ac:dyDescent="0.25">
      <c r="C30" s="1038"/>
      <c r="F30" s="383" t="s">
        <v>226</v>
      </c>
      <c r="G30" s="384"/>
      <c r="H30" s="388" t="s">
        <v>220</v>
      </c>
      <c r="I30" s="389" t="e">
        <f>I26-I27-I29</f>
        <v>#REF!</v>
      </c>
      <c r="J30" s="389" t="e">
        <f>J26-J27-J29</f>
        <v>#REF!</v>
      </c>
      <c r="K30" s="389" t="e">
        <f>K26-K27-K29</f>
        <v>#REF!</v>
      </c>
      <c r="M30" s="458" t="s">
        <v>303</v>
      </c>
      <c r="N30" s="462">
        <f>549658.81</f>
        <v>549658.81000000006</v>
      </c>
    </row>
    <row r="31" spans="3:14" x14ac:dyDescent="0.25">
      <c r="C31" s="1038"/>
      <c r="F31" s="383" t="s">
        <v>227</v>
      </c>
      <c r="G31" s="384"/>
      <c r="H31" s="386">
        <f>-H19</f>
        <v>-2297572</v>
      </c>
      <c r="I31" s="386">
        <f>-I19</f>
        <v>-22999</v>
      </c>
      <c r="J31" s="386">
        <f>-J19</f>
        <v>-70262</v>
      </c>
      <c r="K31" s="461">
        <f>-K19+N29</f>
        <v>-71667</v>
      </c>
      <c r="M31" s="458" t="s">
        <v>302</v>
      </c>
      <c r="N31" s="463">
        <f>634277.41+824488.21+338313.47</f>
        <v>1797079.09</v>
      </c>
    </row>
    <row r="32" spans="3:14" x14ac:dyDescent="0.25">
      <c r="C32" s="1038"/>
      <c r="F32" s="383" t="s">
        <v>228</v>
      </c>
      <c r="G32" s="384"/>
      <c r="H32" s="389">
        <f>H31</f>
        <v>-2297572</v>
      </c>
      <c r="I32" s="389" t="e">
        <f>I30+I31</f>
        <v>#REF!</v>
      </c>
      <c r="J32" s="389" t="e">
        <f>J30+J31</f>
        <v>#REF!</v>
      </c>
      <c r="K32" s="389" t="e">
        <f>K30+K31</f>
        <v>#REF!</v>
      </c>
    </row>
    <row r="33" spans="3:14" ht="15.75" thickBot="1" x14ac:dyDescent="0.3">
      <c r="C33" s="1038"/>
      <c r="F33" s="50"/>
      <c r="G33" s="50"/>
      <c r="H33" s="50"/>
      <c r="I33" s="50"/>
      <c r="J33" s="50"/>
      <c r="K33" s="50"/>
      <c r="N33" s="459"/>
    </row>
    <row r="34" spans="3:14" ht="15.75" thickBot="1" x14ac:dyDescent="0.3">
      <c r="C34" s="1038"/>
      <c r="F34" s="50"/>
      <c r="G34" s="1035" t="s">
        <v>248</v>
      </c>
      <c r="H34" s="1036"/>
      <c r="I34" s="50"/>
      <c r="J34" s="1035" t="s">
        <v>298</v>
      </c>
      <c r="K34" s="1036"/>
    </row>
    <row r="35" spans="3:14" x14ac:dyDescent="0.25">
      <c r="C35" s="1038"/>
      <c r="F35" s="50"/>
      <c r="G35" s="451" t="s">
        <v>229</v>
      </c>
      <c r="H35" s="452">
        <v>0.62</v>
      </c>
      <c r="I35" s="50"/>
      <c r="J35" s="451" t="s">
        <v>229</v>
      </c>
      <c r="K35" s="452">
        <v>0.62</v>
      </c>
    </row>
    <row r="36" spans="3:14" x14ac:dyDescent="0.25">
      <c r="C36" s="1038"/>
      <c r="F36" s="50"/>
      <c r="G36" s="453" t="s">
        <v>230</v>
      </c>
      <c r="H36" s="454"/>
      <c r="I36" s="50"/>
      <c r="J36" s="453" t="s">
        <v>230</v>
      </c>
      <c r="K36" s="454"/>
    </row>
    <row r="37" spans="3:14" ht="15.75" thickBot="1" x14ac:dyDescent="0.3">
      <c r="C37" s="1038"/>
      <c r="G37" s="455" t="s">
        <v>231</v>
      </c>
      <c r="H37" s="456"/>
      <c r="J37" s="455" t="s">
        <v>231</v>
      </c>
      <c r="K37" s="456"/>
    </row>
    <row r="38" spans="3:14" x14ac:dyDescent="0.25">
      <c r="C38" s="1038"/>
    </row>
    <row r="39" spans="3:14" ht="15.75" thickBot="1" x14ac:dyDescent="0.3">
      <c r="C39" s="1039"/>
    </row>
    <row r="40" spans="3:14" ht="15" customHeight="1" x14ac:dyDescent="0.25">
      <c r="G40" s="1040" t="s">
        <v>106</v>
      </c>
      <c r="H40" s="1041"/>
      <c r="I40" s="1041"/>
      <c r="J40" s="1041"/>
      <c r="K40" s="1042"/>
    </row>
    <row r="41" spans="3:14" ht="3" customHeight="1" thickBot="1" x14ac:dyDescent="0.3">
      <c r="G41" s="1043"/>
      <c r="H41" s="1044"/>
      <c r="I41" s="1044"/>
      <c r="J41" s="1044"/>
      <c r="K41" s="1045"/>
    </row>
    <row r="42" spans="3:14" ht="69.75" customHeight="1" thickBot="1" x14ac:dyDescent="0.3">
      <c r="G42" s="1029" t="s">
        <v>305</v>
      </c>
      <c r="H42" s="1030"/>
      <c r="I42" s="1030"/>
      <c r="J42" s="1030"/>
      <c r="K42" s="1031"/>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19"/>
      <c r="C1" s="15" t="s">
        <v>17</v>
      </c>
      <c r="D1" s="7"/>
      <c r="E1" s="4"/>
    </row>
    <row r="2" spans="1:10" x14ac:dyDescent="0.25">
      <c r="B2" s="13" t="s">
        <v>16</v>
      </c>
      <c r="C2" s="20">
        <v>3072029</v>
      </c>
      <c r="D2" s="6"/>
      <c r="E2" s="5"/>
      <c r="H2" s="8">
        <v>2019</v>
      </c>
      <c r="I2" s="9">
        <v>3072029</v>
      </c>
      <c r="J2" s="10"/>
    </row>
    <row r="3" spans="1:10" x14ac:dyDescent="0.25">
      <c r="B3" s="18" t="s">
        <v>18</v>
      </c>
      <c r="C3" s="14">
        <v>44938712</v>
      </c>
      <c r="D3" s="6"/>
      <c r="E3" s="5"/>
      <c r="H3" s="11">
        <v>2019</v>
      </c>
      <c r="I3" s="12">
        <v>17370144</v>
      </c>
      <c r="J3" s="10"/>
    </row>
    <row r="4" spans="1:10" x14ac:dyDescent="0.25">
      <c r="B4" s="13" t="s">
        <v>24</v>
      </c>
      <c r="C4" s="14">
        <f>C3*32/100</f>
        <v>14380387.84</v>
      </c>
      <c r="E4" s="5"/>
      <c r="H4" s="8">
        <v>2019</v>
      </c>
      <c r="I4" s="9">
        <v>44938712</v>
      </c>
      <c r="J4" s="10">
        <f>I4*32/100</f>
        <v>14380387.84</v>
      </c>
    </row>
    <row r="5" spans="1:10" x14ac:dyDescent="0.25">
      <c r="B5" s="16" t="s">
        <v>19</v>
      </c>
      <c r="C5" s="17">
        <f>C4+C2</f>
        <v>17452416.84</v>
      </c>
    </row>
    <row r="6" spans="1:10" x14ac:dyDescent="0.25">
      <c r="B6" s="4"/>
    </row>
    <row r="7" spans="1:10" x14ac:dyDescent="0.25">
      <c r="A7" t="s">
        <v>21</v>
      </c>
      <c r="B7" s="4" t="s">
        <v>20</v>
      </c>
    </row>
    <row r="8" spans="1:10" x14ac:dyDescent="0.25">
      <c r="A8" t="s">
        <v>23</v>
      </c>
      <c r="B8" s="4" t="s">
        <v>22</v>
      </c>
    </row>
    <row r="11" spans="1:10" ht="15.75" thickBot="1" x14ac:dyDescent="0.3">
      <c r="B11" s="1"/>
      <c r="C11" s="1"/>
      <c r="D11" s="1"/>
      <c r="E11" s="1"/>
      <c r="F11" s="1"/>
      <c r="G11" s="1"/>
      <c r="H11" s="1"/>
      <c r="I11" s="1"/>
      <c r="J11" s="1"/>
    </row>
    <row r="12" spans="1:10" ht="27" thickBot="1" x14ac:dyDescent="0.45">
      <c r="B12" s="927" t="s">
        <v>15</v>
      </c>
      <c r="C12" s="928"/>
      <c r="D12" s="928"/>
      <c r="E12" s="928"/>
      <c r="F12" s="928"/>
      <c r="G12" s="928"/>
      <c r="H12" s="928"/>
      <c r="I12" s="928"/>
      <c r="J12" s="929"/>
    </row>
    <row r="13" spans="1:10" ht="18.75" x14ac:dyDescent="0.25">
      <c r="B13" s="1046" t="s">
        <v>35</v>
      </c>
      <c r="C13" s="1047"/>
      <c r="D13" s="1047"/>
      <c r="E13" s="1047"/>
      <c r="F13" s="1047"/>
      <c r="G13" s="1047"/>
      <c r="H13" s="1047"/>
      <c r="I13" s="1047"/>
      <c r="J13" s="1048"/>
    </row>
    <row r="14" spans="1:10" x14ac:dyDescent="0.25">
      <c r="B14" s="1"/>
      <c r="C14" s="1"/>
      <c r="D14" s="1"/>
      <c r="E14" s="1"/>
      <c r="F14" s="1"/>
      <c r="G14" s="1"/>
      <c r="H14" s="1"/>
      <c r="I14" s="1"/>
      <c r="J14" s="1"/>
    </row>
    <row r="15" spans="1:10" x14ac:dyDescent="0.25">
      <c r="B15" s="19"/>
      <c r="C15" s="22" t="s">
        <v>26</v>
      </c>
      <c r="D15" s="1"/>
      <c r="E15" s="1"/>
      <c r="F15" s="1"/>
      <c r="G15" s="1"/>
      <c r="H15" s="1"/>
      <c r="I15" s="1"/>
      <c r="J15" s="1"/>
    </row>
    <row r="16" spans="1:10" x14ac:dyDescent="0.25">
      <c r="B16" s="34" t="s">
        <v>16</v>
      </c>
      <c r="C16" s="23">
        <v>3072029</v>
      </c>
      <c r="D16" s="1"/>
      <c r="E16" s="1"/>
      <c r="F16" s="1"/>
      <c r="G16" s="1"/>
      <c r="H16" s="1"/>
      <c r="I16" s="1"/>
      <c r="J16" s="1"/>
    </row>
    <row r="17" spans="2:10" x14ac:dyDescent="0.25">
      <c r="B17" s="35" t="s">
        <v>18</v>
      </c>
      <c r="C17" s="24">
        <v>44938712</v>
      </c>
      <c r="D17" s="1"/>
      <c r="E17" s="1"/>
      <c r="F17" s="1"/>
      <c r="G17" s="1"/>
      <c r="H17" s="1"/>
      <c r="I17" s="1"/>
      <c r="J17" s="1"/>
    </row>
    <row r="18" spans="2:10" x14ac:dyDescent="0.25">
      <c r="B18" s="34" t="s">
        <v>24</v>
      </c>
      <c r="C18" s="24">
        <f>ROUND(C17*32/100,0)</f>
        <v>14380388</v>
      </c>
      <c r="D18" s="1"/>
      <c r="E18" s="1"/>
      <c r="F18" s="1"/>
      <c r="G18" s="1"/>
      <c r="H18" s="1"/>
      <c r="I18" s="1"/>
      <c r="J18" s="1"/>
    </row>
    <row r="19" spans="2:10" x14ac:dyDescent="0.25">
      <c r="B19" s="36" t="s">
        <v>27</v>
      </c>
      <c r="C19" s="25">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D1:D18"/>
  <sheetViews>
    <sheetView workbookViewId="0">
      <selection activeCell="G9" sqref="G9"/>
    </sheetView>
  </sheetViews>
  <sheetFormatPr defaultColWidth="11.42578125" defaultRowHeight="15" x14ac:dyDescent="0.25"/>
  <cols>
    <col min="1" max="1" width="11.42578125" style="465"/>
    <col min="2" max="2" width="13" style="465" bestFit="1" customWidth="1"/>
    <col min="3" max="3" width="11.42578125" style="465"/>
    <col min="4" max="4" width="39.140625" style="465" customWidth="1"/>
    <col min="5" max="16384" width="11.42578125" style="465"/>
  </cols>
  <sheetData>
    <row r="1" spans="4:4" ht="15.75" thickBot="1" x14ac:dyDescent="0.3">
      <c r="D1" s="464"/>
    </row>
    <row r="2" spans="4:4" ht="22.5" thickTop="1" thickBot="1" x14ac:dyDescent="0.4">
      <c r="D2" s="479" t="s">
        <v>14</v>
      </c>
    </row>
    <row r="3" spans="4:4" ht="16.5" thickTop="1" thickBot="1" x14ac:dyDescent="0.3"/>
    <row r="4" spans="4:4" ht="18.75" x14ac:dyDescent="0.25">
      <c r="D4" s="476" t="s">
        <v>1</v>
      </c>
    </row>
    <row r="5" spans="4:4" ht="18.75" x14ac:dyDescent="0.25">
      <c r="D5" s="477" t="s">
        <v>2</v>
      </c>
    </row>
    <row r="6" spans="4:4" ht="18.75" x14ac:dyDescent="0.25">
      <c r="D6" s="477" t="s">
        <v>3</v>
      </c>
    </row>
    <row r="7" spans="4:4" ht="18.75" x14ac:dyDescent="0.25">
      <c r="D7" s="477" t="s">
        <v>4</v>
      </c>
    </row>
    <row r="8" spans="4:4" ht="18.75" x14ac:dyDescent="0.25">
      <c r="D8" s="477" t="s">
        <v>5</v>
      </c>
    </row>
    <row r="9" spans="4:4" ht="18.75" x14ac:dyDescent="0.25">
      <c r="D9" s="477" t="s">
        <v>6</v>
      </c>
    </row>
    <row r="10" spans="4:4" ht="18.75" x14ac:dyDescent="0.25">
      <c r="D10" s="477" t="s">
        <v>7</v>
      </c>
    </row>
    <row r="11" spans="4:4" ht="18.75" x14ac:dyDescent="0.25">
      <c r="D11" s="477" t="s">
        <v>8</v>
      </c>
    </row>
    <row r="12" spans="4:4" ht="18.75" x14ac:dyDescent="0.25">
      <c r="D12" s="477" t="s">
        <v>9</v>
      </c>
    </row>
    <row r="13" spans="4:4" ht="18.75" x14ac:dyDescent="0.25">
      <c r="D13" s="477" t="s">
        <v>10</v>
      </c>
    </row>
    <row r="14" spans="4:4" ht="18.75" x14ac:dyDescent="0.25">
      <c r="D14" s="477" t="s">
        <v>11</v>
      </c>
    </row>
    <row r="15" spans="4:4" ht="18.75" x14ac:dyDescent="0.25">
      <c r="D15" s="477" t="s">
        <v>272</v>
      </c>
    </row>
    <row r="16" spans="4:4" ht="18.75" x14ac:dyDescent="0.25">
      <c r="D16" s="477" t="s">
        <v>242</v>
      </c>
    </row>
    <row r="17" spans="4:4" ht="18.75" x14ac:dyDescent="0.25">
      <c r="D17" s="477" t="s">
        <v>248</v>
      </c>
    </row>
    <row r="18" spans="4:4" ht="19.5" thickBot="1" x14ac:dyDescent="0.3">
      <c r="D18" s="478"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20" activePane="bottomLeft" state="frozen"/>
      <selection pane="bottomLeft" activeCell="H48" sqref="H48"/>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482" customFormat="1" ht="58.5" customHeight="1" thickTop="1" thickBot="1" x14ac:dyDescent="0.3">
      <c r="A1" s="481"/>
      <c r="E1" s="483" t="s">
        <v>1</v>
      </c>
      <c r="F1" s="484"/>
      <c r="G1" s="484"/>
    </row>
    <row r="2" spans="1:10" ht="16.5" thickTop="1" thickBot="1" x14ac:dyDescent="0.3">
      <c r="C2" s="3"/>
    </row>
    <row r="3" spans="1:10" ht="27" thickBot="1" x14ac:dyDescent="0.45">
      <c r="B3" s="675" t="s">
        <v>69</v>
      </c>
      <c r="C3" s="676"/>
      <c r="D3" s="676"/>
      <c r="E3" s="676"/>
      <c r="F3" s="676"/>
      <c r="G3" s="676"/>
      <c r="H3" s="676"/>
      <c r="I3" s="677"/>
    </row>
    <row r="4" spans="1:10" ht="54.75" customHeight="1" x14ac:dyDescent="0.25">
      <c r="B4" s="691" t="s">
        <v>312</v>
      </c>
      <c r="C4" s="692"/>
      <c r="D4" s="692"/>
      <c r="E4" s="692"/>
      <c r="F4" s="692"/>
      <c r="G4" s="692"/>
      <c r="H4" s="692"/>
      <c r="I4" s="693"/>
      <c r="J4" s="2"/>
    </row>
    <row r="5" spans="1:10" ht="46.5" customHeight="1" x14ac:dyDescent="0.25">
      <c r="B5" s="697" t="s">
        <v>313</v>
      </c>
      <c r="C5" s="698"/>
      <c r="D5" s="698"/>
      <c r="E5" s="698"/>
      <c r="F5" s="698"/>
      <c r="G5" s="698"/>
      <c r="H5" s="698"/>
      <c r="I5" s="699"/>
    </row>
    <row r="6" spans="1:10" ht="15.75" thickBot="1" x14ac:dyDescent="0.3"/>
    <row r="7" spans="1:10" ht="27" thickBot="1" x14ac:dyDescent="0.45">
      <c r="B7" s="675" t="s">
        <v>70</v>
      </c>
      <c r="C7" s="676"/>
      <c r="D7" s="676"/>
      <c r="E7" s="676"/>
      <c r="F7" s="676"/>
      <c r="G7" s="676"/>
      <c r="H7" s="676"/>
      <c r="I7" s="677"/>
    </row>
    <row r="8" spans="1:10" ht="85.5" customHeight="1" x14ac:dyDescent="0.25">
      <c r="B8" s="694" t="s">
        <v>314</v>
      </c>
      <c r="C8" s="695"/>
      <c r="D8" s="695"/>
      <c r="E8" s="695"/>
      <c r="F8" s="695"/>
      <c r="G8" s="695"/>
      <c r="H8" s="695"/>
      <c r="I8" s="696"/>
    </row>
    <row r="9" spans="1:10" ht="18.75" x14ac:dyDescent="0.25">
      <c r="B9" s="69"/>
      <c r="C9" s="69"/>
      <c r="D9" s="69"/>
      <c r="E9" s="69"/>
      <c r="F9" s="69"/>
      <c r="G9" s="69"/>
      <c r="H9" s="69"/>
      <c r="I9" s="69"/>
    </row>
    <row r="10" spans="1:10" ht="18.75" x14ac:dyDescent="0.25">
      <c r="B10" s="69"/>
      <c r="C10" s="69"/>
      <c r="D10" s="69"/>
      <c r="E10" s="69"/>
      <c r="F10" s="69"/>
      <c r="G10" s="69"/>
      <c r="H10" s="69"/>
      <c r="I10" s="69"/>
    </row>
    <row r="11" spans="1:10" ht="18.75" x14ac:dyDescent="0.25">
      <c r="B11" s="489" t="s">
        <v>306</v>
      </c>
      <c r="C11" s="489" t="s">
        <v>307</v>
      </c>
      <c r="D11" s="489" t="s">
        <v>39</v>
      </c>
      <c r="E11" s="69"/>
      <c r="F11" s="69"/>
      <c r="G11" s="69"/>
      <c r="H11" s="69"/>
      <c r="I11" s="69"/>
    </row>
    <row r="12" spans="1:10" ht="21" customHeight="1" x14ac:dyDescent="0.25">
      <c r="B12" s="490">
        <v>250</v>
      </c>
      <c r="C12" s="491">
        <v>2500000</v>
      </c>
      <c r="D12" s="492">
        <f>B12*C12</f>
        <v>625000000</v>
      </c>
      <c r="E12" s="69"/>
      <c r="F12" s="69"/>
      <c r="G12" s="69"/>
      <c r="H12" s="69"/>
      <c r="I12" s="69"/>
    </row>
    <row r="13" spans="1:10" ht="12" customHeight="1" x14ac:dyDescent="0.25">
      <c r="B13" s="69"/>
      <c r="C13" s="69"/>
      <c r="D13" s="69"/>
      <c r="E13" s="69"/>
      <c r="F13" s="69"/>
      <c r="G13" s="69"/>
      <c r="H13" s="69"/>
      <c r="I13" s="69"/>
    </row>
    <row r="14" spans="1:10" ht="12.75" customHeight="1" thickBot="1" x14ac:dyDescent="0.3"/>
    <row r="15" spans="1:10" ht="27" thickBot="1" x14ac:dyDescent="0.45">
      <c r="B15" s="675" t="s">
        <v>71</v>
      </c>
      <c r="C15" s="676"/>
      <c r="D15" s="676"/>
      <c r="E15" s="676"/>
      <c r="F15" s="676"/>
      <c r="G15" s="676"/>
      <c r="H15" s="676"/>
      <c r="I15" s="677"/>
    </row>
    <row r="16" spans="1:10" ht="63.75" customHeight="1" x14ac:dyDescent="0.25">
      <c r="B16" s="694" t="s">
        <v>338</v>
      </c>
      <c r="C16" s="695"/>
      <c r="D16" s="695"/>
      <c r="E16" s="695"/>
      <c r="F16" s="695"/>
      <c r="G16" s="695"/>
      <c r="H16" s="695"/>
      <c r="I16" s="696"/>
    </row>
    <row r="17" spans="2:13" ht="15.75" x14ac:dyDescent="0.25">
      <c r="B17" s="21"/>
      <c r="C17" s="21"/>
      <c r="D17" s="21"/>
      <c r="E17" s="21"/>
      <c r="F17" s="21"/>
      <c r="G17" s="21"/>
      <c r="H17" s="21"/>
      <c r="I17" s="21"/>
      <c r="J17" s="21"/>
      <c r="K17" s="21"/>
      <c r="L17" s="21"/>
      <c r="M17" s="21"/>
    </row>
    <row r="18" spans="2:13" ht="15.75" x14ac:dyDescent="0.25">
      <c r="E18" s="21"/>
      <c r="F18" s="21"/>
      <c r="G18" s="21"/>
      <c r="H18" s="21"/>
      <c r="I18" s="21"/>
      <c r="J18" s="21"/>
      <c r="K18" s="21"/>
      <c r="L18" s="21"/>
      <c r="M18" s="21"/>
    </row>
    <row r="19" spans="2:13" ht="15.75" x14ac:dyDescent="0.25">
      <c r="E19" s="21"/>
      <c r="F19" s="21"/>
      <c r="G19" s="21"/>
      <c r="H19" s="21"/>
      <c r="I19" s="21"/>
      <c r="J19" s="21"/>
      <c r="K19" s="21"/>
      <c r="L19" s="21"/>
      <c r="M19" s="21"/>
    </row>
    <row r="20" spans="2:13" ht="15.75" x14ac:dyDescent="0.25">
      <c r="D20" s="21"/>
      <c r="E20" s="21"/>
      <c r="F20" s="21"/>
      <c r="G20" s="21"/>
      <c r="H20" s="21"/>
      <c r="I20" s="21"/>
      <c r="J20" s="21"/>
      <c r="K20" s="21"/>
      <c r="L20" s="21"/>
      <c r="M20" s="21"/>
    </row>
    <row r="21" spans="2:13" ht="15.75" x14ac:dyDescent="0.25">
      <c r="B21" s="21"/>
      <c r="C21" s="21"/>
      <c r="D21" s="21"/>
      <c r="E21" s="21"/>
      <c r="F21" s="21"/>
      <c r="G21" s="21"/>
      <c r="H21" s="21"/>
      <c r="I21" s="21"/>
      <c r="J21" s="21"/>
      <c r="K21" s="21"/>
      <c r="L21" s="21"/>
      <c r="M21" s="21"/>
    </row>
    <row r="22" spans="2:13" ht="26.25" customHeight="1" x14ac:dyDescent="0.4">
      <c r="B22" s="678" t="s">
        <v>67</v>
      </c>
      <c r="C22" s="678"/>
      <c r="D22" s="678"/>
      <c r="E22" s="21"/>
      <c r="F22" s="21"/>
      <c r="G22" s="21"/>
      <c r="H22" s="21"/>
      <c r="I22" s="21"/>
      <c r="J22" s="21"/>
      <c r="K22" s="21"/>
      <c r="L22" s="21"/>
      <c r="M22" s="21"/>
    </row>
    <row r="23" spans="2:13" ht="18.75" x14ac:dyDescent="0.25">
      <c r="B23" s="485" t="s">
        <v>37</v>
      </c>
      <c r="C23" s="485" t="s">
        <v>38</v>
      </c>
      <c r="D23" s="485" t="s">
        <v>19</v>
      </c>
      <c r="E23" s="21"/>
      <c r="F23" s="21"/>
      <c r="G23" s="21"/>
      <c r="H23" s="21"/>
      <c r="I23" s="21"/>
      <c r="J23" s="21"/>
      <c r="K23" s="21"/>
      <c r="L23" s="21"/>
      <c r="M23" s="21"/>
    </row>
    <row r="24" spans="2:13" ht="15.75" x14ac:dyDescent="0.25">
      <c r="B24" s="486">
        <v>2022</v>
      </c>
      <c r="C24" s="487">
        <v>0.03</v>
      </c>
      <c r="D24" s="488">
        <f>C24*$D$12</f>
        <v>18750000</v>
      </c>
      <c r="E24" s="21"/>
      <c r="F24" s="21"/>
      <c r="G24" s="21"/>
      <c r="H24" s="21"/>
      <c r="I24" s="21"/>
      <c r="J24" s="21"/>
      <c r="K24" s="21"/>
      <c r="L24" s="21"/>
      <c r="M24" s="21"/>
    </row>
    <row r="25" spans="2:13" ht="15.75" x14ac:dyDescent="0.25">
      <c r="B25" s="486">
        <v>2023</v>
      </c>
      <c r="C25" s="487">
        <v>7.0000000000000007E-2</v>
      </c>
      <c r="D25" s="488">
        <f>C25*$D$12</f>
        <v>43750000.000000007</v>
      </c>
      <c r="E25" s="21"/>
      <c r="F25" s="21"/>
      <c r="G25" s="21"/>
      <c r="H25" s="21"/>
      <c r="I25" s="21"/>
      <c r="J25" s="21"/>
      <c r="K25" s="21"/>
      <c r="L25" s="21"/>
      <c r="M25" s="21"/>
    </row>
    <row r="26" spans="2:13" ht="15.75" x14ac:dyDescent="0.25">
      <c r="B26" s="486">
        <v>2024</v>
      </c>
      <c r="C26" s="487">
        <v>0.12</v>
      </c>
      <c r="D26" s="488">
        <f>C26*$D$12</f>
        <v>75000000</v>
      </c>
      <c r="E26" s="21"/>
      <c r="F26" s="21"/>
      <c r="G26" s="21"/>
      <c r="H26" s="21"/>
      <c r="I26" s="21"/>
      <c r="J26" s="21"/>
      <c r="K26" s="21"/>
      <c r="L26" s="21"/>
      <c r="M26" s="21"/>
    </row>
    <row r="27" spans="2:13" ht="15.75" x14ac:dyDescent="0.25">
      <c r="B27" s="21"/>
      <c r="C27" s="57"/>
      <c r="D27" s="58"/>
      <c r="E27" s="21"/>
      <c r="F27" s="21"/>
      <c r="G27" s="21"/>
      <c r="H27" s="21"/>
      <c r="I27" s="21"/>
      <c r="J27" s="21"/>
      <c r="K27" s="21"/>
      <c r="L27" s="21"/>
      <c r="M27" s="21"/>
    </row>
    <row r="28" spans="2:13" ht="15.75" x14ac:dyDescent="0.25">
      <c r="B28" s="21"/>
      <c r="C28" s="57"/>
      <c r="D28" s="58"/>
      <c r="E28" s="21"/>
      <c r="F28" s="21"/>
      <c r="G28" s="21"/>
      <c r="H28" s="21"/>
      <c r="I28" s="21"/>
      <c r="J28" s="21"/>
      <c r="K28" s="21"/>
      <c r="L28" s="21"/>
      <c r="M28" s="21"/>
    </row>
    <row r="29" spans="2:13" ht="15.75" x14ac:dyDescent="0.25">
      <c r="B29" s="21"/>
      <c r="C29" s="57"/>
      <c r="D29" s="58"/>
      <c r="E29" s="21"/>
      <c r="F29" s="21"/>
      <c r="G29" s="21"/>
      <c r="H29" s="21"/>
      <c r="I29" s="21"/>
      <c r="J29" s="21"/>
      <c r="K29" s="21"/>
      <c r="L29" s="21"/>
      <c r="M29" s="21"/>
    </row>
    <row r="30" spans="2:13" ht="15.75" x14ac:dyDescent="0.25">
      <c r="B30" s="21"/>
      <c r="C30" s="57"/>
      <c r="D30" s="58"/>
      <c r="E30" s="21"/>
      <c r="F30" s="21"/>
      <c r="G30" s="21"/>
      <c r="H30" s="21"/>
      <c r="I30" s="21"/>
      <c r="J30" s="21"/>
      <c r="K30" s="21"/>
      <c r="L30" s="21"/>
      <c r="M30" s="21"/>
    </row>
    <row r="31" spans="2:13" ht="15.75" x14ac:dyDescent="0.25">
      <c r="B31" s="21"/>
      <c r="C31" s="57"/>
      <c r="D31" s="58"/>
      <c r="E31" s="21"/>
      <c r="F31" s="21"/>
      <c r="G31" s="21"/>
      <c r="H31" s="21"/>
      <c r="I31" s="21"/>
      <c r="J31" s="21"/>
      <c r="K31" s="21"/>
      <c r="L31" s="21"/>
      <c r="M31" s="21"/>
    </row>
    <row r="32" spans="2:13" ht="16.5" thickBot="1" x14ac:dyDescent="0.3">
      <c r="B32" s="21"/>
      <c r="C32" s="21"/>
      <c r="D32" s="21"/>
      <c r="E32" s="21"/>
      <c r="F32" s="21"/>
      <c r="H32" s="21"/>
      <c r="I32" s="21"/>
      <c r="J32" s="21"/>
      <c r="K32" s="21"/>
      <c r="L32" s="21"/>
      <c r="M32" s="21"/>
    </row>
    <row r="33" spans="1:13" ht="27" thickBot="1" x14ac:dyDescent="0.45">
      <c r="B33" s="675" t="s">
        <v>72</v>
      </c>
      <c r="C33" s="676"/>
      <c r="D33" s="676"/>
      <c r="E33" s="675"/>
      <c r="F33" s="677"/>
      <c r="H33" s="62"/>
      <c r="I33" s="62"/>
      <c r="J33" s="62"/>
      <c r="K33" s="62"/>
      <c r="L33" s="62"/>
      <c r="M33" s="62"/>
    </row>
    <row r="34" spans="1:13" ht="27" thickBot="1" x14ac:dyDescent="0.45">
      <c r="A34" s="50"/>
      <c r="B34" s="37"/>
      <c r="C34" s="37"/>
      <c r="D34" s="37"/>
      <c r="E34" s="37"/>
      <c r="F34" s="37"/>
      <c r="G34" s="50"/>
      <c r="H34" s="62"/>
      <c r="I34" s="62"/>
      <c r="J34" s="62"/>
      <c r="K34" s="62"/>
      <c r="L34" s="62"/>
      <c r="M34" s="62"/>
    </row>
    <row r="35" spans="1:13" ht="27" thickBot="1" x14ac:dyDescent="0.45">
      <c r="B35" s="675" t="s">
        <v>31</v>
      </c>
      <c r="C35" s="676"/>
      <c r="D35" s="676"/>
      <c r="E35" s="705"/>
      <c r="F35" s="706"/>
    </row>
    <row r="36" spans="1:13" ht="20.25" customHeight="1" x14ac:dyDescent="0.25">
      <c r="B36" s="26"/>
      <c r="C36" s="679" t="s">
        <v>30</v>
      </c>
      <c r="D36" s="680"/>
      <c r="E36" s="680"/>
      <c r="F36" s="681"/>
    </row>
    <row r="37" spans="1:13" ht="15" hidden="1" customHeight="1" x14ac:dyDescent="0.25">
      <c r="B37" s="26"/>
      <c r="C37" s="682"/>
      <c r="D37" s="683"/>
      <c r="E37" s="683"/>
      <c r="F37" s="684"/>
    </row>
    <row r="38" spans="1:13" ht="15.75" thickBot="1" x14ac:dyDescent="0.3">
      <c r="B38" s="26"/>
      <c r="C38" s="685"/>
      <c r="D38" s="686"/>
      <c r="E38" s="686"/>
      <c r="F38" s="687"/>
    </row>
    <row r="39" spans="1:13" ht="16.5" thickBot="1" x14ac:dyDescent="0.3">
      <c r="B39" s="26"/>
      <c r="C39" s="711" t="s">
        <v>315</v>
      </c>
      <c r="D39" s="712"/>
      <c r="E39" s="711" t="s">
        <v>316</v>
      </c>
      <c r="F39" s="712"/>
    </row>
    <row r="40" spans="1:13" ht="28.5" customHeight="1" x14ac:dyDescent="0.25">
      <c r="B40" s="688" t="s">
        <v>29</v>
      </c>
      <c r="C40" s="707" t="s">
        <v>317</v>
      </c>
      <c r="D40" s="708"/>
      <c r="E40" s="713" t="s">
        <v>329</v>
      </c>
      <c r="F40" s="714"/>
    </row>
    <row r="41" spans="1:13" ht="15" customHeight="1" x14ac:dyDescent="0.25">
      <c r="B41" s="689"/>
      <c r="C41" s="700"/>
      <c r="D41" s="701"/>
      <c r="E41" s="715"/>
      <c r="F41" s="716"/>
    </row>
    <row r="42" spans="1:13" ht="19.5" customHeight="1" x14ac:dyDescent="0.25">
      <c r="B42" s="689"/>
      <c r="C42" s="700"/>
      <c r="D42" s="701"/>
      <c r="E42" s="715"/>
      <c r="F42" s="716"/>
    </row>
    <row r="43" spans="1:13" ht="15" customHeight="1" x14ac:dyDescent="0.25">
      <c r="B43" s="689"/>
      <c r="C43" s="700" t="s">
        <v>318</v>
      </c>
      <c r="D43" s="701"/>
      <c r="E43" s="715" t="s">
        <v>330</v>
      </c>
      <c r="F43" s="716"/>
    </row>
    <row r="44" spans="1:13" ht="15" customHeight="1" x14ac:dyDescent="0.25">
      <c r="B44" s="689"/>
      <c r="C44" s="700"/>
      <c r="D44" s="701"/>
      <c r="E44" s="715"/>
      <c r="F44" s="716"/>
    </row>
    <row r="45" spans="1:13" ht="30" customHeight="1" x14ac:dyDescent="0.25">
      <c r="B45" s="689"/>
      <c r="C45" s="700"/>
      <c r="D45" s="701"/>
      <c r="E45" s="715"/>
      <c r="F45" s="716"/>
    </row>
    <row r="46" spans="1:13" ht="15" customHeight="1" x14ac:dyDescent="0.25">
      <c r="B46" s="689"/>
      <c r="C46" s="700" t="s">
        <v>319</v>
      </c>
      <c r="D46" s="701"/>
      <c r="E46" s="715" t="s">
        <v>331</v>
      </c>
      <c r="F46" s="716"/>
    </row>
    <row r="47" spans="1:13" ht="15" customHeight="1" x14ac:dyDescent="0.25">
      <c r="B47" s="689"/>
      <c r="C47" s="700"/>
      <c r="D47" s="701"/>
      <c r="E47" s="715"/>
      <c r="F47" s="716"/>
    </row>
    <row r="48" spans="1:13" ht="24" customHeight="1" x14ac:dyDescent="0.25">
      <c r="B48" s="689"/>
      <c r="C48" s="700"/>
      <c r="D48" s="701"/>
      <c r="E48" s="715"/>
      <c r="F48" s="716"/>
    </row>
    <row r="49" spans="2:6" ht="15" customHeight="1" x14ac:dyDescent="0.25">
      <c r="B49" s="689"/>
      <c r="C49" s="700" t="s">
        <v>320</v>
      </c>
      <c r="D49" s="701"/>
      <c r="E49" s="717" t="s">
        <v>332</v>
      </c>
      <c r="F49" s="718"/>
    </row>
    <row r="50" spans="2:6" ht="15" customHeight="1" x14ac:dyDescent="0.25">
      <c r="B50" s="689"/>
      <c r="C50" s="700"/>
      <c r="D50" s="701"/>
      <c r="E50" s="719"/>
      <c r="F50" s="720"/>
    </row>
    <row r="51" spans="2:6" ht="15.75" customHeight="1" x14ac:dyDescent="0.25">
      <c r="B51" s="689"/>
      <c r="C51" s="700"/>
      <c r="D51" s="701"/>
      <c r="E51" s="719"/>
      <c r="F51" s="720"/>
    </row>
    <row r="52" spans="2:6" ht="15" customHeight="1" x14ac:dyDescent="0.25">
      <c r="B52" s="689"/>
      <c r="C52" s="700"/>
      <c r="D52" s="701"/>
      <c r="E52" s="719"/>
      <c r="F52" s="720"/>
    </row>
    <row r="53" spans="2:6" ht="5.25" customHeight="1" thickBot="1" x14ac:dyDescent="0.3">
      <c r="B53" s="690"/>
      <c r="C53" s="709"/>
      <c r="D53" s="710"/>
      <c r="E53" s="721"/>
      <c r="F53" s="722"/>
    </row>
    <row r="55" spans="2:6" ht="15.75" thickBot="1" x14ac:dyDescent="0.3"/>
    <row r="56" spans="2:6" ht="27" thickBot="1" x14ac:dyDescent="0.45">
      <c r="B56" s="702" t="s">
        <v>28</v>
      </c>
      <c r="C56" s="703"/>
      <c r="D56" s="704"/>
    </row>
    <row r="57" spans="2:6" ht="18" customHeight="1" thickBot="1" x14ac:dyDescent="0.3">
      <c r="B57" s="493" t="s">
        <v>32</v>
      </c>
      <c r="C57" s="493" t="s">
        <v>33</v>
      </c>
      <c r="D57" s="493" t="s">
        <v>40</v>
      </c>
    </row>
    <row r="58" spans="2:6" ht="18" customHeight="1" x14ac:dyDescent="0.25">
      <c r="B58" s="494" t="s">
        <v>324</v>
      </c>
      <c r="C58" s="495">
        <v>2000000</v>
      </c>
      <c r="D58" s="504" t="s">
        <v>220</v>
      </c>
    </row>
    <row r="59" spans="2:6" ht="18" customHeight="1" x14ac:dyDescent="0.25">
      <c r="B59" s="494" t="s">
        <v>321</v>
      </c>
      <c r="C59" s="495">
        <v>2300000</v>
      </c>
      <c r="D59" s="504" t="s">
        <v>220</v>
      </c>
    </row>
    <row r="60" spans="2:6" ht="18" customHeight="1" x14ac:dyDescent="0.25">
      <c r="B60" s="494" t="s">
        <v>322</v>
      </c>
      <c r="C60" s="495">
        <v>2300000</v>
      </c>
      <c r="D60" s="504" t="s">
        <v>220</v>
      </c>
    </row>
    <row r="61" spans="2:6" ht="18" customHeight="1" thickBot="1" x14ac:dyDescent="0.3">
      <c r="B61" s="496" t="s">
        <v>323</v>
      </c>
      <c r="C61" s="497">
        <v>2500000</v>
      </c>
      <c r="D61" s="504" t="s">
        <v>220</v>
      </c>
    </row>
    <row r="62" spans="2:6" ht="18" customHeight="1" x14ac:dyDescent="0.25">
      <c r="B62" s="498" t="s">
        <v>325</v>
      </c>
      <c r="C62" s="499">
        <v>300000</v>
      </c>
      <c r="D62" s="505" t="s">
        <v>220</v>
      </c>
    </row>
    <row r="63" spans="2:6" ht="18" customHeight="1" x14ac:dyDescent="0.25">
      <c r="B63" s="500" t="s">
        <v>326</v>
      </c>
      <c r="C63" s="501">
        <v>500000</v>
      </c>
      <c r="D63" s="506" t="s">
        <v>220</v>
      </c>
    </row>
    <row r="64" spans="2:6" ht="18" customHeight="1" x14ac:dyDescent="0.25">
      <c r="B64" s="500" t="s">
        <v>327</v>
      </c>
      <c r="C64" s="501">
        <v>600000</v>
      </c>
      <c r="D64" s="506" t="s">
        <v>220</v>
      </c>
    </row>
    <row r="65" spans="2:4" ht="18" customHeight="1" thickBot="1" x14ac:dyDescent="0.3">
      <c r="B65" s="502" t="s">
        <v>328</v>
      </c>
      <c r="C65" s="503">
        <v>800000</v>
      </c>
      <c r="D65" s="507" t="s">
        <v>220</v>
      </c>
    </row>
  </sheetData>
  <mergeCells count="2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 ref="B3:I3"/>
    <mergeCell ref="B22:D22"/>
    <mergeCell ref="C36:F38"/>
    <mergeCell ref="B40:B53"/>
    <mergeCell ref="B4:I4"/>
    <mergeCell ref="B7:I7"/>
    <mergeCell ref="B8:I8"/>
    <mergeCell ref="B5:I5"/>
    <mergeCell ref="C43:D4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85" zoomScaleNormal="85" workbookViewId="0">
      <pane xSplit="2" ySplit="1" topLeftCell="C107" activePane="bottomRight" state="frozen"/>
      <selection pane="topRight" activeCell="C1" sqref="C1"/>
      <selection pane="bottomLeft" activeCell="A2" sqref="A2"/>
      <selection pane="bottomRight" activeCell="D133" sqref="D133"/>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647" customFormat="1" ht="58.5" customHeight="1" thickTop="1" thickBot="1" x14ac:dyDescent="0.3">
      <c r="A1" s="645"/>
      <c r="B1" s="646" t="s">
        <v>2</v>
      </c>
      <c r="G1" s="648"/>
      <c r="H1" s="648"/>
      <c r="I1" s="648"/>
      <c r="J1" s="648"/>
    </row>
    <row r="2" spans="1:179" ht="15.75" thickTop="1" x14ac:dyDescent="0.25"/>
    <row r="4" spans="1:179" ht="15.75" thickBot="1" x14ac:dyDescent="0.3">
      <c r="A4" s="27"/>
      <c r="B4" s="27"/>
      <c r="C4" s="27"/>
      <c r="D4" s="27"/>
      <c r="E4" s="27"/>
      <c r="F4" s="27"/>
      <c r="G4" s="30"/>
      <c r="H4" s="30"/>
      <c r="I4" s="30"/>
      <c r="J4" s="30"/>
      <c r="K4" s="30"/>
      <c r="L4" s="30"/>
      <c r="M4" s="30"/>
      <c r="N4" s="30"/>
      <c r="O4" s="30"/>
      <c r="P4" s="30"/>
      <c r="Q4" s="30"/>
      <c r="R4" s="30"/>
      <c r="S4" s="30"/>
      <c r="T4" s="30"/>
      <c r="U4" s="30"/>
      <c r="V4" s="30"/>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row>
    <row r="5" spans="1:179" s="50" customFormat="1" ht="27" thickBot="1" x14ac:dyDescent="0.45">
      <c r="A5" s="28"/>
      <c r="B5" s="760" t="s">
        <v>36</v>
      </c>
      <c r="C5" s="761"/>
      <c r="D5" s="762"/>
      <c r="E5" s="1"/>
      <c r="F5" s="1"/>
      <c r="G5" s="760" t="s">
        <v>59</v>
      </c>
      <c r="H5" s="761"/>
      <c r="I5" s="761"/>
      <c r="J5" s="761"/>
      <c r="K5" s="761"/>
      <c r="L5" s="762"/>
      <c r="M5" s="37"/>
      <c r="N5" s="37"/>
      <c r="O5" s="37"/>
      <c r="P5" s="37"/>
      <c r="Q5" s="37"/>
      <c r="R5" s="37"/>
      <c r="S5" s="37"/>
      <c r="T5" s="37"/>
      <c r="U5" s="37"/>
      <c r="AJ5" s="30"/>
      <c r="AK5" s="30"/>
      <c r="AL5" s="30"/>
      <c r="AM5" s="30"/>
      <c r="AN5" s="30"/>
      <c r="AO5" s="30"/>
      <c r="AP5" s="30"/>
      <c r="AQ5" s="30"/>
      <c r="AR5" s="30"/>
      <c r="AS5" s="30"/>
      <c r="AT5" s="30"/>
      <c r="AU5" s="30"/>
      <c r="AV5" s="30"/>
      <c r="AW5" s="30"/>
    </row>
    <row r="6" spans="1:179" s="50" customFormat="1" ht="30" customHeight="1" thickBot="1" x14ac:dyDescent="0.3">
      <c r="A6" s="29"/>
      <c r="B6" s="529">
        <v>2022</v>
      </c>
      <c r="C6" s="529">
        <v>2023</v>
      </c>
      <c r="D6" s="529">
        <v>2024</v>
      </c>
      <c r="E6" s="1"/>
      <c r="F6" s="1"/>
      <c r="G6" s="743" t="s">
        <v>342</v>
      </c>
      <c r="H6" s="744"/>
      <c r="I6" s="744"/>
      <c r="J6" s="744"/>
      <c r="K6" s="744"/>
      <c r="L6" s="745"/>
      <c r="M6" s="49"/>
      <c r="N6" s="49"/>
      <c r="O6" s="49"/>
      <c r="P6" s="49"/>
      <c r="Q6" s="49"/>
      <c r="R6" s="49"/>
      <c r="S6" s="49"/>
      <c r="T6" s="49"/>
      <c r="U6" s="49"/>
      <c r="AJ6" s="30"/>
      <c r="AK6" s="30"/>
      <c r="AL6" s="30"/>
      <c r="AM6" s="30"/>
      <c r="AN6" s="30"/>
      <c r="AO6" s="30"/>
      <c r="AP6" s="30"/>
      <c r="AQ6" s="30"/>
      <c r="AR6" s="30"/>
      <c r="AS6" s="30"/>
      <c r="AT6" s="30"/>
      <c r="AU6" s="30"/>
      <c r="AV6" s="30"/>
      <c r="AW6" s="30"/>
    </row>
    <row r="7" spans="1:179" s="50" customFormat="1" ht="21" customHeight="1" x14ac:dyDescent="0.25">
      <c r="A7" s="29"/>
      <c r="B7" s="530">
        <f>Hipótesis!C24</f>
        <v>0.03</v>
      </c>
      <c r="C7" s="531">
        <f>Hipótesis!C25</f>
        <v>7.0000000000000007E-2</v>
      </c>
      <c r="D7" s="532">
        <f>Hipótesis!C26</f>
        <v>0.12</v>
      </c>
      <c r="E7" s="1"/>
      <c r="F7" s="1"/>
      <c r="G7" s="746"/>
      <c r="H7" s="747"/>
      <c r="I7" s="747"/>
      <c r="J7" s="747"/>
      <c r="K7" s="747"/>
      <c r="L7" s="748"/>
      <c r="M7" s="49"/>
      <c r="N7" s="49"/>
      <c r="O7" s="49"/>
      <c r="P7" s="49"/>
      <c r="Q7" s="49"/>
      <c r="R7" s="49"/>
      <c r="S7" s="49"/>
      <c r="T7" s="49"/>
      <c r="U7" s="49"/>
      <c r="AJ7" s="30"/>
      <c r="AK7" s="30"/>
      <c r="AL7" s="30"/>
      <c r="AM7" s="30"/>
      <c r="AN7" s="30"/>
      <c r="AO7" s="30"/>
      <c r="AP7" s="30"/>
      <c r="AQ7" s="30"/>
      <c r="AR7" s="30"/>
      <c r="AS7" s="30"/>
      <c r="AT7" s="30"/>
      <c r="AU7" s="30"/>
      <c r="AV7" s="30"/>
      <c r="AW7" s="30"/>
    </row>
    <row r="8" spans="1:179" s="50" customFormat="1" ht="21" customHeight="1" thickBot="1" x14ac:dyDescent="0.3">
      <c r="A8" s="29"/>
      <c r="B8" s="533">
        <f>Hipótesis!D24</f>
        <v>18750000</v>
      </c>
      <c r="C8" s="534">
        <f>Hipótesis!D25</f>
        <v>43750000.000000007</v>
      </c>
      <c r="D8" s="535">
        <f>Hipótesis!D26</f>
        <v>75000000</v>
      </c>
      <c r="E8" s="1"/>
      <c r="F8" s="1"/>
      <c r="G8" s="746"/>
      <c r="H8" s="747"/>
      <c r="I8" s="747"/>
      <c r="J8" s="747"/>
      <c r="K8" s="747"/>
      <c r="L8" s="748"/>
      <c r="M8" s="49"/>
      <c r="N8" s="49"/>
      <c r="O8" s="49"/>
      <c r="P8" s="49"/>
      <c r="Q8" s="49"/>
      <c r="R8" s="49"/>
      <c r="S8" s="49"/>
      <c r="T8" s="49"/>
      <c r="U8" s="49"/>
      <c r="AJ8" s="30"/>
      <c r="AK8" s="30"/>
      <c r="AL8" s="30"/>
      <c r="AM8" s="30"/>
      <c r="AN8" s="30"/>
      <c r="AO8" s="30"/>
      <c r="AP8" s="30"/>
      <c r="AQ8" s="30"/>
      <c r="AR8" s="30"/>
      <c r="AS8" s="30"/>
      <c r="AT8" s="30"/>
      <c r="AU8" s="30"/>
      <c r="AV8" s="30"/>
      <c r="AW8" s="30"/>
    </row>
    <row r="9" spans="1:179" s="50" customFormat="1" x14ac:dyDescent="0.25">
      <c r="A9" s="27"/>
      <c r="B9" s="27"/>
      <c r="C9" s="27"/>
      <c r="D9" s="27"/>
      <c r="E9" s="1"/>
      <c r="F9" s="1"/>
      <c r="G9" s="746"/>
      <c r="H9" s="747"/>
      <c r="I9" s="747"/>
      <c r="J9" s="747"/>
      <c r="K9" s="747"/>
      <c r="L9" s="748"/>
      <c r="M9" s="49"/>
      <c r="N9" s="49"/>
      <c r="O9" s="49"/>
      <c r="P9" s="49"/>
      <c r="Q9" s="49"/>
      <c r="R9" s="49"/>
      <c r="S9" s="49"/>
      <c r="T9" s="49"/>
      <c r="U9" s="49"/>
      <c r="AJ9" s="30"/>
      <c r="AK9" s="30"/>
      <c r="AL9" s="30"/>
      <c r="AM9" s="30"/>
      <c r="AN9" s="30"/>
      <c r="AO9" s="30"/>
      <c r="AP9" s="30"/>
      <c r="AQ9" s="30"/>
      <c r="AR9" s="30"/>
      <c r="AS9" s="30"/>
      <c r="AT9" s="30"/>
      <c r="AU9" s="30"/>
      <c r="AV9" s="30"/>
      <c r="AW9" s="30"/>
    </row>
    <row r="10" spans="1:179" s="50" customFormat="1" x14ac:dyDescent="0.25">
      <c r="A10" s="27" t="s">
        <v>54</v>
      </c>
      <c r="B10" s="27"/>
      <c r="C10" s="27"/>
      <c r="D10" s="27"/>
      <c r="E10" s="1"/>
      <c r="F10" s="1"/>
      <c r="G10" s="746"/>
      <c r="H10" s="747"/>
      <c r="I10" s="747"/>
      <c r="J10" s="747"/>
      <c r="K10" s="747"/>
      <c r="L10" s="748"/>
      <c r="M10" s="49"/>
      <c r="N10" s="49"/>
      <c r="O10" s="49"/>
      <c r="P10" s="49"/>
      <c r="Q10" s="49"/>
      <c r="R10" s="49"/>
      <c r="S10" s="49"/>
      <c r="T10" s="49"/>
      <c r="U10" s="49"/>
      <c r="AJ10" s="30"/>
      <c r="AK10" s="30"/>
      <c r="AL10" s="30"/>
      <c r="AM10" s="30"/>
      <c r="AN10" s="30"/>
      <c r="AO10" s="30"/>
      <c r="AP10" s="30"/>
      <c r="AQ10" s="30"/>
      <c r="AR10" s="30"/>
      <c r="AS10" s="30"/>
      <c r="AT10" s="30"/>
      <c r="AU10" s="30"/>
      <c r="AV10" s="30"/>
      <c r="AW10" s="30"/>
    </row>
    <row r="11" spans="1:179" s="50" customFormat="1" x14ac:dyDescent="0.25">
      <c r="A11" s="27"/>
      <c r="B11" s="27"/>
      <c r="C11" s="27"/>
      <c r="D11" s="27"/>
      <c r="E11" s="1"/>
      <c r="F11" s="1"/>
      <c r="G11" s="746"/>
      <c r="H11" s="747"/>
      <c r="I11" s="747"/>
      <c r="J11" s="747"/>
      <c r="K11" s="747"/>
      <c r="L11" s="748"/>
      <c r="M11" s="49"/>
      <c r="N11" s="49"/>
      <c r="O11" s="49"/>
      <c r="P11" s="49"/>
      <c r="Q11" s="49"/>
      <c r="R11" s="49"/>
      <c r="S11" s="49"/>
      <c r="T11" s="49"/>
      <c r="U11" s="49"/>
      <c r="AJ11" s="30"/>
      <c r="AK11" s="30"/>
      <c r="AL11" s="30"/>
      <c r="AM11" s="30"/>
      <c r="AN11" s="30"/>
      <c r="AO11" s="30"/>
      <c r="AP11" s="30"/>
      <c r="AQ11" s="30"/>
      <c r="AR11" s="30"/>
      <c r="AS11" s="30"/>
      <c r="AT11" s="30"/>
      <c r="AU11" s="30"/>
      <c r="AV11" s="30"/>
      <c r="AW11" s="30"/>
    </row>
    <row r="12" spans="1:179" s="50" customFormat="1" ht="64.5" customHeight="1" thickBot="1" x14ac:dyDescent="0.3">
      <c r="A12" s="27"/>
      <c r="B12" s="27"/>
      <c r="C12" s="27"/>
      <c r="D12" s="27"/>
      <c r="E12" s="27"/>
      <c r="F12" s="27"/>
      <c r="G12" s="749"/>
      <c r="H12" s="750"/>
      <c r="I12" s="750"/>
      <c r="J12" s="750"/>
      <c r="K12" s="750"/>
      <c r="L12" s="751"/>
      <c r="M12" s="49"/>
      <c r="N12" s="49"/>
      <c r="O12" s="49"/>
      <c r="P12" s="49"/>
      <c r="Q12" s="49"/>
      <c r="R12" s="49"/>
      <c r="S12" s="49"/>
      <c r="T12" s="49"/>
      <c r="U12" s="49"/>
      <c r="AJ12" s="30"/>
      <c r="AK12" s="30"/>
      <c r="AL12" s="30"/>
      <c r="AM12" s="30"/>
      <c r="AN12" s="30"/>
      <c r="AO12" s="30"/>
      <c r="AP12" s="30"/>
      <c r="AQ12" s="30"/>
      <c r="AR12" s="30"/>
      <c r="AS12" s="30"/>
      <c r="AT12" s="30"/>
      <c r="AU12" s="30"/>
      <c r="AV12" s="30"/>
      <c r="AW12" s="30"/>
    </row>
    <row r="13" spans="1:179" x14ac:dyDescent="0.25">
      <c r="A13" s="27"/>
      <c r="B13" s="27"/>
      <c r="C13" s="27"/>
      <c r="D13" s="27"/>
      <c r="E13" s="27"/>
      <c r="F13" s="27"/>
      <c r="G13" s="30"/>
      <c r="H13" s="30"/>
      <c r="I13" s="30"/>
      <c r="J13" s="30"/>
      <c r="K13" s="30"/>
      <c r="L13" s="30"/>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row>
    <row r="14" spans="1:179" ht="15.75" thickBot="1" x14ac:dyDescent="0.3">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row>
    <row r="15" spans="1:179" s="528" customFormat="1" ht="27" thickBot="1" x14ac:dyDescent="0.45">
      <c r="A15" s="798" t="s">
        <v>333</v>
      </c>
      <c r="B15" s="799"/>
      <c r="C15" s="799"/>
      <c r="D15" s="799"/>
      <c r="E15" s="799"/>
      <c r="F15" s="799"/>
      <c r="G15" s="799"/>
      <c r="H15" s="799"/>
      <c r="I15" s="799"/>
      <c r="J15" s="799"/>
      <c r="K15" s="799"/>
      <c r="L15" s="799"/>
      <c r="M15" s="799"/>
      <c r="N15" s="799"/>
      <c r="O15" s="799"/>
      <c r="P15" s="799"/>
      <c r="Q15" s="799"/>
      <c r="R15" s="799"/>
      <c r="S15" s="799"/>
      <c r="T15" s="799"/>
      <c r="U15" s="799"/>
      <c r="V15" s="799"/>
      <c r="W15" s="799"/>
      <c r="X15" s="799"/>
      <c r="Y15" s="799"/>
      <c r="Z15" s="799"/>
      <c r="AA15" s="799"/>
      <c r="AB15" s="799"/>
      <c r="AC15" s="559"/>
      <c r="AD15" s="560"/>
      <c r="AE15" s="560"/>
      <c r="AF15" s="560"/>
      <c r="AG15" s="560"/>
      <c r="AH15" s="560"/>
      <c r="AI15" s="560"/>
      <c r="AJ15" s="560"/>
      <c r="AK15" s="560"/>
      <c r="AL15" s="560"/>
      <c r="AM15" s="560"/>
      <c r="AN15" s="560"/>
      <c r="AO15" s="560"/>
      <c r="AP15" s="560"/>
      <c r="AQ15" s="560"/>
      <c r="AR15" s="560"/>
      <c r="AS15" s="560"/>
      <c r="AT15" s="560"/>
      <c r="AU15" s="560"/>
      <c r="AV15" s="560"/>
      <c r="AW15" s="560"/>
      <c r="AX15" s="561"/>
      <c r="AY15" s="561"/>
      <c r="AZ15" s="561"/>
      <c r="BA15" s="561"/>
      <c r="BB15" s="561"/>
      <c r="BC15" s="561"/>
      <c r="BD15" s="561"/>
      <c r="BE15" s="561"/>
      <c r="BF15" s="561"/>
      <c r="BG15" s="561"/>
      <c r="BH15" s="561"/>
      <c r="BI15" s="561"/>
      <c r="BJ15" s="561"/>
      <c r="BK15" s="561"/>
      <c r="BL15" s="561"/>
      <c r="BM15" s="561"/>
      <c r="BN15" s="561"/>
      <c r="BO15" s="561"/>
      <c r="BP15" s="561"/>
      <c r="BQ15" s="561"/>
      <c r="BR15" s="561"/>
      <c r="BS15" s="561"/>
      <c r="BT15" s="561"/>
      <c r="BU15" s="561"/>
      <c r="BV15" s="561"/>
      <c r="BW15" s="561"/>
      <c r="BX15" s="561"/>
      <c r="BY15" s="561"/>
      <c r="BZ15" s="561"/>
      <c r="CA15" s="561"/>
      <c r="CB15" s="561"/>
      <c r="CC15" s="561"/>
      <c r="CD15" s="561"/>
      <c r="CE15" s="561"/>
      <c r="CF15" s="561"/>
      <c r="CG15" s="561"/>
      <c r="CH15" s="561"/>
      <c r="CI15" s="561"/>
      <c r="CJ15" s="561"/>
      <c r="CK15" s="561"/>
      <c r="CL15" s="561"/>
      <c r="CM15" s="561"/>
      <c r="CN15" s="561"/>
      <c r="CO15" s="561"/>
      <c r="CP15" s="561"/>
      <c r="CQ15" s="561"/>
      <c r="CR15" s="561"/>
      <c r="CS15" s="561"/>
      <c r="CT15" s="561"/>
      <c r="CU15" s="561"/>
      <c r="CV15" s="561"/>
      <c r="CW15" s="561"/>
      <c r="CX15" s="561"/>
      <c r="CY15" s="561"/>
      <c r="CZ15" s="561"/>
      <c r="DA15" s="561"/>
      <c r="DB15" s="561"/>
      <c r="DC15" s="561"/>
      <c r="DD15" s="561"/>
      <c r="DE15" s="561"/>
      <c r="DF15" s="561"/>
      <c r="DG15" s="561"/>
      <c r="DH15" s="561"/>
      <c r="DI15" s="561"/>
      <c r="DJ15" s="561"/>
      <c r="DK15" s="561"/>
      <c r="DL15" s="561"/>
      <c r="DM15" s="561"/>
      <c r="DN15" s="561"/>
      <c r="DO15" s="561"/>
      <c r="DP15" s="561"/>
      <c r="DQ15" s="561"/>
      <c r="DR15" s="561"/>
      <c r="DS15" s="561"/>
      <c r="DT15" s="561"/>
      <c r="DU15" s="561"/>
      <c r="DV15" s="561"/>
      <c r="DW15" s="561"/>
      <c r="DX15" s="561"/>
      <c r="DY15" s="561"/>
      <c r="DZ15" s="561"/>
      <c r="EA15" s="561"/>
      <c r="EB15" s="561"/>
      <c r="EC15" s="561"/>
      <c r="ED15" s="561"/>
      <c r="EE15" s="561"/>
      <c r="EF15" s="561"/>
      <c r="EG15" s="561"/>
      <c r="EH15" s="561"/>
      <c r="EI15" s="561"/>
      <c r="EJ15" s="561"/>
      <c r="EK15" s="561"/>
      <c r="EL15" s="561"/>
      <c r="EM15" s="561"/>
      <c r="EN15" s="561"/>
      <c r="EO15" s="561"/>
      <c r="EP15" s="561"/>
      <c r="EQ15" s="561"/>
      <c r="ER15" s="561"/>
      <c r="ES15" s="561"/>
      <c r="ET15" s="561"/>
      <c r="EU15" s="561"/>
      <c r="EV15" s="561"/>
      <c r="EW15" s="561"/>
      <c r="EX15" s="561"/>
      <c r="EY15" s="561"/>
      <c r="EZ15" s="561"/>
      <c r="FA15" s="561"/>
      <c r="FB15" s="561"/>
      <c r="FC15" s="561"/>
      <c r="FD15" s="561"/>
      <c r="FE15" s="561"/>
      <c r="FF15" s="561"/>
      <c r="FG15" s="561"/>
      <c r="FH15" s="561"/>
      <c r="FI15" s="561"/>
      <c r="FJ15" s="561"/>
      <c r="FK15" s="561"/>
      <c r="FL15" s="561"/>
      <c r="FM15" s="561"/>
      <c r="FN15" s="562"/>
      <c r="FO15" s="562"/>
      <c r="FP15" s="562"/>
      <c r="FQ15" s="562"/>
      <c r="FR15" s="562"/>
      <c r="FS15" s="562"/>
      <c r="FT15" s="562"/>
      <c r="FU15" s="562"/>
      <c r="FV15" s="562"/>
      <c r="FW15" s="562"/>
    </row>
    <row r="16" spans="1:179" s="480" customFormat="1" x14ac:dyDescent="0.25">
      <c r="A16" s="786" t="s">
        <v>32</v>
      </c>
      <c r="B16" s="786" t="s">
        <v>33</v>
      </c>
      <c r="C16" s="775" t="s">
        <v>58</v>
      </c>
      <c r="D16" s="776"/>
      <c r="E16" s="732" t="s">
        <v>42</v>
      </c>
      <c r="F16" s="733"/>
      <c r="G16" s="732" t="s">
        <v>43</v>
      </c>
      <c r="H16" s="733"/>
      <c r="I16" s="732" t="s">
        <v>44</v>
      </c>
      <c r="J16" s="733"/>
      <c r="K16" s="732" t="s">
        <v>45</v>
      </c>
      <c r="L16" s="733"/>
      <c r="M16" s="732" t="s">
        <v>46</v>
      </c>
      <c r="N16" s="733"/>
      <c r="O16" s="732" t="s">
        <v>47</v>
      </c>
      <c r="P16" s="733"/>
      <c r="Q16" s="732" t="s">
        <v>48</v>
      </c>
      <c r="R16" s="733"/>
      <c r="S16" s="732" t="s">
        <v>49</v>
      </c>
      <c r="T16" s="733"/>
      <c r="U16" s="732" t="s">
        <v>50</v>
      </c>
      <c r="V16" s="733"/>
      <c r="W16" s="732" t="s">
        <v>51</v>
      </c>
      <c r="X16" s="733"/>
      <c r="Y16" s="732" t="s">
        <v>52</v>
      </c>
      <c r="Z16" s="733"/>
      <c r="AA16" s="732" t="s">
        <v>53</v>
      </c>
      <c r="AB16" s="802"/>
      <c r="AC16" s="559"/>
      <c r="AD16" s="560"/>
      <c r="AE16" s="560"/>
      <c r="AF16" s="560"/>
      <c r="AG16" s="560"/>
      <c r="AH16" s="560"/>
      <c r="AI16" s="560"/>
      <c r="AJ16" s="560"/>
      <c r="AK16" s="560"/>
      <c r="AL16" s="560"/>
      <c r="AM16" s="560"/>
      <c r="AN16" s="560"/>
      <c r="AO16" s="560"/>
      <c r="AP16" s="560"/>
      <c r="AQ16" s="560"/>
      <c r="AR16" s="560"/>
      <c r="AS16" s="560"/>
      <c r="AT16" s="560"/>
      <c r="AU16" s="560"/>
      <c r="AV16" s="560"/>
      <c r="AW16" s="560"/>
      <c r="AX16" s="561"/>
      <c r="AY16" s="561"/>
      <c r="AZ16" s="561"/>
      <c r="BA16" s="561"/>
      <c r="BB16" s="561"/>
      <c r="BC16" s="561"/>
      <c r="BD16" s="561"/>
      <c r="BE16" s="561"/>
      <c r="BF16" s="561"/>
      <c r="BG16" s="561"/>
      <c r="BH16" s="561"/>
      <c r="BI16" s="561"/>
      <c r="BJ16" s="561"/>
      <c r="BK16" s="561"/>
      <c r="BL16" s="561"/>
      <c r="BM16" s="561"/>
      <c r="BN16" s="561"/>
      <c r="BO16" s="561"/>
      <c r="BP16" s="561"/>
      <c r="BQ16" s="561"/>
      <c r="BR16" s="561"/>
      <c r="BS16" s="561"/>
      <c r="BT16" s="561"/>
      <c r="BU16" s="561"/>
      <c r="BV16" s="561"/>
      <c r="BW16" s="561"/>
      <c r="BX16" s="561"/>
      <c r="BY16" s="561"/>
      <c r="BZ16" s="561"/>
      <c r="CA16" s="561"/>
      <c r="CB16" s="561"/>
      <c r="CC16" s="561"/>
      <c r="CD16" s="561"/>
      <c r="CE16" s="561"/>
      <c r="CF16" s="561"/>
      <c r="CG16" s="561"/>
      <c r="CH16" s="561"/>
      <c r="CI16" s="561"/>
      <c r="CJ16" s="561"/>
      <c r="CK16" s="561"/>
      <c r="CL16" s="561"/>
      <c r="CM16" s="561"/>
      <c r="CN16" s="561"/>
      <c r="CO16" s="561"/>
      <c r="CP16" s="561"/>
      <c r="CQ16" s="561"/>
      <c r="CR16" s="561"/>
      <c r="CS16" s="561"/>
      <c r="CT16" s="561"/>
      <c r="CU16" s="561"/>
      <c r="CV16" s="561"/>
      <c r="CW16" s="561"/>
      <c r="CX16" s="561"/>
      <c r="CY16" s="561"/>
      <c r="CZ16" s="561"/>
      <c r="DA16" s="561"/>
      <c r="DB16" s="561"/>
      <c r="DC16" s="561"/>
      <c r="DD16" s="561"/>
      <c r="DE16" s="561"/>
      <c r="DF16" s="561"/>
      <c r="DG16" s="561"/>
      <c r="DH16" s="561"/>
      <c r="DI16" s="561"/>
      <c r="DJ16" s="561"/>
      <c r="DK16" s="561"/>
      <c r="DL16" s="561"/>
      <c r="DM16" s="561"/>
      <c r="DN16" s="561"/>
      <c r="DO16" s="561"/>
      <c r="DP16" s="561"/>
      <c r="DQ16" s="561"/>
      <c r="DR16" s="561"/>
      <c r="DS16" s="561"/>
      <c r="DT16" s="561"/>
      <c r="DU16" s="561"/>
      <c r="DV16" s="561"/>
      <c r="DW16" s="561"/>
      <c r="DX16" s="561"/>
      <c r="DY16" s="561"/>
      <c r="DZ16" s="561"/>
      <c r="EA16" s="561"/>
      <c r="EB16" s="561"/>
      <c r="EC16" s="561"/>
      <c r="ED16" s="561"/>
      <c r="EE16" s="561"/>
      <c r="EF16" s="561"/>
      <c r="EG16" s="561"/>
      <c r="EH16" s="561"/>
      <c r="EI16" s="561"/>
      <c r="EJ16" s="561"/>
      <c r="EK16" s="561"/>
      <c r="EL16" s="561"/>
      <c r="EM16" s="561"/>
      <c r="EN16" s="561"/>
      <c r="EO16" s="561"/>
      <c r="EP16" s="561"/>
      <c r="EQ16" s="561"/>
      <c r="ER16" s="561"/>
      <c r="ES16" s="561"/>
      <c r="ET16" s="561"/>
      <c r="EU16" s="561"/>
      <c r="EV16" s="561"/>
      <c r="EW16" s="561"/>
      <c r="EX16" s="561"/>
      <c r="EY16" s="561"/>
      <c r="EZ16" s="561"/>
      <c r="FA16" s="561"/>
      <c r="FB16" s="561"/>
      <c r="FC16" s="561"/>
      <c r="FD16" s="561"/>
      <c r="FE16" s="561"/>
      <c r="FF16" s="561"/>
      <c r="FG16" s="561"/>
      <c r="FH16" s="561"/>
      <c r="FI16" s="561"/>
      <c r="FJ16" s="561"/>
      <c r="FK16" s="561"/>
      <c r="FL16" s="561"/>
      <c r="FM16" s="561"/>
      <c r="FN16" s="563"/>
      <c r="FO16" s="563"/>
      <c r="FP16" s="563"/>
      <c r="FQ16" s="563"/>
      <c r="FR16" s="563"/>
      <c r="FS16" s="563"/>
      <c r="FT16" s="563"/>
      <c r="FU16" s="563"/>
      <c r="FV16" s="563"/>
      <c r="FW16" s="563"/>
    </row>
    <row r="17" spans="1:179" x14ac:dyDescent="0.25">
      <c r="A17" s="767"/>
      <c r="B17" s="767"/>
      <c r="C17" s="770" t="s">
        <v>57</v>
      </c>
      <c r="D17" s="772" t="s">
        <v>41</v>
      </c>
      <c r="E17" s="729">
        <v>0.06</v>
      </c>
      <c r="F17" s="730"/>
      <c r="G17" s="729">
        <v>0.04</v>
      </c>
      <c r="H17" s="730"/>
      <c r="I17" s="729">
        <v>0.08</v>
      </c>
      <c r="J17" s="730"/>
      <c r="K17" s="729">
        <v>7.0000000000000007E-2</v>
      </c>
      <c r="L17" s="730"/>
      <c r="M17" s="729">
        <v>0.11</v>
      </c>
      <c r="N17" s="730"/>
      <c r="O17" s="729">
        <v>0.04</v>
      </c>
      <c r="P17" s="730"/>
      <c r="Q17" s="729">
        <v>0.06</v>
      </c>
      <c r="R17" s="730"/>
      <c r="S17" s="729">
        <v>0.12</v>
      </c>
      <c r="T17" s="730"/>
      <c r="U17" s="729">
        <v>0.11</v>
      </c>
      <c r="V17" s="730"/>
      <c r="W17" s="729">
        <v>0.14000000000000001</v>
      </c>
      <c r="X17" s="730"/>
      <c r="Y17" s="729">
        <v>0.08</v>
      </c>
      <c r="Z17" s="730"/>
      <c r="AA17" s="729">
        <v>0.09</v>
      </c>
      <c r="AB17" s="803"/>
      <c r="AC17" s="559"/>
      <c r="AD17" s="560"/>
      <c r="AE17" s="560"/>
      <c r="AF17" s="560"/>
      <c r="AG17" s="560"/>
      <c r="AH17" s="560"/>
      <c r="AI17" s="560"/>
      <c r="AJ17" s="560"/>
      <c r="AK17" s="560"/>
      <c r="AL17" s="560"/>
      <c r="AM17" s="560"/>
      <c r="AN17" s="560"/>
      <c r="AO17" s="560"/>
      <c r="AP17" s="560"/>
      <c r="AQ17" s="560"/>
      <c r="AR17" s="560"/>
      <c r="AS17" s="560"/>
      <c r="AT17" s="560"/>
      <c r="AU17" s="560"/>
      <c r="AV17" s="560"/>
      <c r="AW17" s="560"/>
      <c r="AX17" s="561"/>
      <c r="AY17" s="561"/>
      <c r="AZ17" s="561"/>
      <c r="BA17" s="561"/>
      <c r="BB17" s="561"/>
      <c r="BC17" s="561"/>
      <c r="BD17" s="561"/>
      <c r="BE17" s="561"/>
      <c r="BF17" s="561"/>
      <c r="BG17" s="561"/>
      <c r="BH17" s="561"/>
      <c r="BI17" s="561"/>
      <c r="BJ17" s="561"/>
      <c r="BK17" s="561"/>
      <c r="BL17" s="561"/>
      <c r="BM17" s="561"/>
      <c r="BN17" s="561"/>
      <c r="BO17" s="561"/>
      <c r="BP17" s="561"/>
      <c r="BQ17" s="561"/>
      <c r="BR17" s="561"/>
      <c r="BS17" s="561"/>
      <c r="BT17" s="561"/>
      <c r="BU17" s="561"/>
      <c r="BV17" s="561"/>
      <c r="BW17" s="561"/>
      <c r="BX17" s="561"/>
      <c r="BY17" s="561"/>
      <c r="BZ17" s="561"/>
      <c r="CA17" s="561"/>
      <c r="CB17" s="561"/>
      <c r="CC17" s="561"/>
      <c r="CD17" s="561"/>
      <c r="CE17" s="561"/>
      <c r="CF17" s="561"/>
      <c r="CG17" s="561"/>
      <c r="CH17" s="561"/>
      <c r="CI17" s="561"/>
      <c r="CJ17" s="561"/>
      <c r="CK17" s="561"/>
      <c r="CL17" s="561"/>
      <c r="CM17" s="561"/>
      <c r="CN17" s="561"/>
      <c r="CO17" s="561"/>
      <c r="CP17" s="561"/>
      <c r="CQ17" s="561"/>
      <c r="CR17" s="561"/>
      <c r="CS17" s="561"/>
      <c r="CT17" s="561"/>
      <c r="CU17" s="561"/>
      <c r="CV17" s="561"/>
      <c r="CW17" s="561"/>
      <c r="CX17" s="561"/>
      <c r="CY17" s="561"/>
      <c r="CZ17" s="561"/>
      <c r="DA17" s="561"/>
      <c r="DB17" s="561"/>
      <c r="DC17" s="561"/>
      <c r="DD17" s="561"/>
      <c r="DE17" s="561"/>
      <c r="DF17" s="561"/>
      <c r="DG17" s="561"/>
      <c r="DH17" s="561"/>
      <c r="DI17" s="561"/>
      <c r="DJ17" s="561"/>
      <c r="DK17" s="561"/>
      <c r="DL17" s="561"/>
      <c r="DM17" s="561"/>
      <c r="DN17" s="561"/>
      <c r="DO17" s="561"/>
      <c r="DP17" s="561"/>
      <c r="DQ17" s="561"/>
      <c r="DR17" s="561"/>
      <c r="DS17" s="561"/>
      <c r="DT17" s="561"/>
      <c r="DU17" s="561"/>
      <c r="DV17" s="561"/>
      <c r="DW17" s="561"/>
      <c r="DX17" s="561"/>
      <c r="DY17" s="561"/>
      <c r="DZ17" s="561"/>
      <c r="EA17" s="561"/>
      <c r="EB17" s="561"/>
      <c r="EC17" s="561"/>
      <c r="ED17" s="561"/>
      <c r="EE17" s="561"/>
      <c r="EF17" s="561"/>
      <c r="EG17" s="561"/>
      <c r="EH17" s="561"/>
      <c r="EI17" s="561"/>
      <c r="EJ17" s="561"/>
      <c r="EK17" s="561"/>
      <c r="EL17" s="561"/>
      <c r="EM17" s="561"/>
      <c r="EN17" s="561"/>
      <c r="EO17" s="561"/>
      <c r="EP17" s="561"/>
      <c r="EQ17" s="561"/>
      <c r="ER17" s="561"/>
      <c r="ES17" s="561"/>
      <c r="ET17" s="561"/>
      <c r="EU17" s="561"/>
      <c r="EV17" s="561"/>
      <c r="EW17" s="561"/>
      <c r="EX17" s="561"/>
      <c r="EY17" s="561"/>
      <c r="EZ17" s="561"/>
      <c r="FA17" s="561"/>
      <c r="FB17" s="561"/>
      <c r="FC17" s="561"/>
      <c r="FD17" s="561"/>
      <c r="FE17" s="561"/>
      <c r="FF17" s="561"/>
      <c r="FG17" s="561"/>
      <c r="FH17" s="561"/>
      <c r="FI17" s="561"/>
      <c r="FJ17" s="561"/>
      <c r="FK17" s="561"/>
      <c r="FL17" s="561"/>
      <c r="FM17" s="561"/>
      <c r="FN17" s="564"/>
      <c r="FO17" s="564"/>
      <c r="FP17" s="564"/>
      <c r="FQ17" s="564"/>
      <c r="FR17" s="564"/>
      <c r="FS17" s="564"/>
      <c r="FT17" s="564"/>
      <c r="FU17" s="564"/>
      <c r="FV17" s="564"/>
      <c r="FW17" s="564"/>
    </row>
    <row r="18" spans="1:179" s="480" customFormat="1" ht="15.75" customHeight="1" thickBot="1" x14ac:dyDescent="0.3">
      <c r="A18" s="801"/>
      <c r="B18" s="801"/>
      <c r="C18" s="780"/>
      <c r="D18" s="781"/>
      <c r="E18" s="526" t="s">
        <v>57</v>
      </c>
      <c r="F18" s="527" t="s">
        <v>41</v>
      </c>
      <c r="G18" s="526" t="s">
        <v>57</v>
      </c>
      <c r="H18" s="527" t="s">
        <v>41</v>
      </c>
      <c r="I18" s="526" t="s">
        <v>57</v>
      </c>
      <c r="J18" s="527" t="s">
        <v>41</v>
      </c>
      <c r="K18" s="526" t="s">
        <v>57</v>
      </c>
      <c r="L18" s="527" t="s">
        <v>41</v>
      </c>
      <c r="M18" s="526" t="s">
        <v>57</v>
      </c>
      <c r="N18" s="527" t="s">
        <v>41</v>
      </c>
      <c r="O18" s="526" t="s">
        <v>57</v>
      </c>
      <c r="P18" s="527" t="s">
        <v>41</v>
      </c>
      <c r="Q18" s="526" t="s">
        <v>57</v>
      </c>
      <c r="R18" s="527" t="s">
        <v>41</v>
      </c>
      <c r="S18" s="526" t="s">
        <v>57</v>
      </c>
      <c r="T18" s="527" t="s">
        <v>41</v>
      </c>
      <c r="U18" s="526" t="s">
        <v>57</v>
      </c>
      <c r="V18" s="527" t="s">
        <v>41</v>
      </c>
      <c r="W18" s="526" t="s">
        <v>57</v>
      </c>
      <c r="X18" s="527" t="s">
        <v>41</v>
      </c>
      <c r="Y18" s="526" t="s">
        <v>57</v>
      </c>
      <c r="Z18" s="527" t="s">
        <v>41</v>
      </c>
      <c r="AA18" s="526" t="s">
        <v>57</v>
      </c>
      <c r="AB18" s="555" t="s">
        <v>41</v>
      </c>
      <c r="AC18" s="559"/>
      <c r="AD18" s="560"/>
      <c r="AE18" s="560"/>
      <c r="AF18" s="560"/>
      <c r="AG18" s="560"/>
      <c r="AH18" s="560"/>
      <c r="AI18" s="560"/>
      <c r="AJ18" s="560"/>
      <c r="AK18" s="560"/>
      <c r="AL18" s="560"/>
      <c r="AM18" s="560"/>
      <c r="AN18" s="560"/>
      <c r="AO18" s="560"/>
      <c r="AP18" s="560"/>
      <c r="AQ18" s="560"/>
      <c r="AR18" s="560"/>
      <c r="AS18" s="560"/>
      <c r="AT18" s="560"/>
      <c r="AU18" s="560"/>
      <c r="AV18" s="560"/>
      <c r="AW18" s="560"/>
      <c r="AX18" s="561"/>
      <c r="AY18" s="561"/>
      <c r="AZ18" s="561"/>
      <c r="BA18" s="561"/>
      <c r="BB18" s="561"/>
      <c r="BC18" s="561"/>
      <c r="BD18" s="561"/>
      <c r="BE18" s="561"/>
      <c r="BF18" s="561"/>
      <c r="BG18" s="561"/>
      <c r="BH18" s="561"/>
      <c r="BI18" s="561"/>
      <c r="BJ18" s="561"/>
      <c r="BK18" s="561"/>
      <c r="BL18" s="561"/>
      <c r="BM18" s="561"/>
      <c r="BN18" s="561"/>
      <c r="BO18" s="561"/>
      <c r="BP18" s="561"/>
      <c r="BQ18" s="561"/>
      <c r="BR18" s="561"/>
      <c r="BS18" s="561"/>
      <c r="BT18" s="561"/>
      <c r="BU18" s="561"/>
      <c r="BV18" s="561"/>
      <c r="BW18" s="561"/>
      <c r="BX18" s="561"/>
      <c r="BY18" s="561"/>
      <c r="BZ18" s="561"/>
      <c r="CA18" s="561"/>
      <c r="CB18" s="561"/>
      <c r="CC18" s="561"/>
      <c r="CD18" s="561"/>
      <c r="CE18" s="561"/>
      <c r="CF18" s="561"/>
      <c r="CG18" s="561"/>
      <c r="CH18" s="561"/>
      <c r="CI18" s="561"/>
      <c r="CJ18" s="561"/>
      <c r="CK18" s="561"/>
      <c r="CL18" s="561"/>
      <c r="CM18" s="561"/>
      <c r="CN18" s="561"/>
      <c r="CO18" s="561"/>
      <c r="CP18" s="561"/>
      <c r="CQ18" s="561"/>
      <c r="CR18" s="561"/>
      <c r="CS18" s="561"/>
      <c r="CT18" s="561"/>
      <c r="CU18" s="561"/>
      <c r="CV18" s="561"/>
      <c r="CW18" s="561"/>
      <c r="CX18" s="561"/>
      <c r="CY18" s="561"/>
      <c r="CZ18" s="561"/>
      <c r="DA18" s="561"/>
      <c r="DB18" s="561"/>
      <c r="DC18" s="561"/>
      <c r="DD18" s="561"/>
      <c r="DE18" s="561"/>
      <c r="DF18" s="561"/>
      <c r="DG18" s="561"/>
      <c r="DH18" s="561"/>
      <c r="DI18" s="561"/>
      <c r="DJ18" s="561"/>
      <c r="DK18" s="561"/>
      <c r="DL18" s="561"/>
      <c r="DM18" s="561"/>
      <c r="DN18" s="561"/>
      <c r="DO18" s="561"/>
      <c r="DP18" s="561"/>
      <c r="DQ18" s="561"/>
      <c r="DR18" s="561"/>
      <c r="DS18" s="561"/>
      <c r="DT18" s="561"/>
      <c r="DU18" s="561"/>
      <c r="DV18" s="561"/>
      <c r="DW18" s="561"/>
      <c r="DX18" s="561"/>
      <c r="DY18" s="561"/>
      <c r="DZ18" s="561"/>
      <c r="EA18" s="561"/>
      <c r="EB18" s="561"/>
      <c r="EC18" s="561"/>
      <c r="ED18" s="561"/>
      <c r="EE18" s="561"/>
      <c r="EF18" s="561"/>
      <c r="EG18" s="561"/>
      <c r="EH18" s="561"/>
      <c r="EI18" s="561"/>
      <c r="EJ18" s="561"/>
      <c r="EK18" s="561"/>
      <c r="EL18" s="561"/>
      <c r="EM18" s="561"/>
      <c r="EN18" s="561"/>
      <c r="EO18" s="561"/>
      <c r="EP18" s="561"/>
      <c r="EQ18" s="561"/>
      <c r="ER18" s="561"/>
      <c r="ES18" s="561"/>
      <c r="ET18" s="561"/>
      <c r="EU18" s="561"/>
      <c r="EV18" s="561"/>
      <c r="EW18" s="561"/>
      <c r="EX18" s="561"/>
      <c r="EY18" s="561"/>
      <c r="EZ18" s="561"/>
      <c r="FA18" s="561"/>
      <c r="FB18" s="561"/>
      <c r="FC18" s="561"/>
      <c r="FD18" s="561"/>
      <c r="FE18" s="561"/>
      <c r="FF18" s="561"/>
      <c r="FG18" s="561"/>
      <c r="FH18" s="561"/>
      <c r="FI18" s="561"/>
      <c r="FJ18" s="561"/>
      <c r="FK18" s="561"/>
      <c r="FL18" s="561"/>
      <c r="FM18" s="561"/>
      <c r="FN18" s="563"/>
      <c r="FO18" s="563"/>
      <c r="FP18" s="563"/>
      <c r="FQ18" s="563"/>
      <c r="FR18" s="563"/>
      <c r="FS18" s="563"/>
      <c r="FT18" s="563"/>
      <c r="FU18" s="563"/>
      <c r="FV18" s="563"/>
      <c r="FW18" s="563"/>
    </row>
    <row r="19" spans="1:179" s="519" customFormat="1" ht="15.75" x14ac:dyDescent="0.25">
      <c r="A19" s="508" t="str">
        <f>Hipótesis!B58</f>
        <v>Portal básico</v>
      </c>
      <c r="B19" s="516">
        <f>Hipótesis!C58</f>
        <v>2000000</v>
      </c>
      <c r="C19" s="517">
        <v>2</v>
      </c>
      <c r="D19" s="516">
        <f>B19*C19</f>
        <v>4000000</v>
      </c>
      <c r="E19" s="518">
        <f>C19*$E$17</f>
        <v>0.12</v>
      </c>
      <c r="F19" s="516">
        <f>D19*$E$17</f>
        <v>240000</v>
      </c>
      <c r="G19" s="518">
        <f>C19*$G$17</f>
        <v>0.08</v>
      </c>
      <c r="H19" s="516">
        <f>D19*$G$17</f>
        <v>160000</v>
      </c>
      <c r="I19" s="518">
        <f t="shared" ref="I19:I26" si="0">C19*$I$17</f>
        <v>0.16</v>
      </c>
      <c r="J19" s="516">
        <f t="shared" ref="J19:J26" si="1">D19*$I$17</f>
        <v>320000</v>
      </c>
      <c r="K19" s="518">
        <f t="shared" ref="K19:K26" si="2">C19*$K$17</f>
        <v>0.14000000000000001</v>
      </c>
      <c r="L19" s="516">
        <f t="shared" ref="L19:L26" si="3">D19*$K$17</f>
        <v>280000</v>
      </c>
      <c r="M19" s="518">
        <f>C19*$M$17</f>
        <v>0.22</v>
      </c>
      <c r="N19" s="516">
        <f>D19*$M$17</f>
        <v>440000</v>
      </c>
      <c r="O19" s="518">
        <f t="shared" ref="O19:O26" si="4">C19*$O$17</f>
        <v>0.08</v>
      </c>
      <c r="P19" s="516">
        <f t="shared" ref="P19:P26" si="5">D19*$O$17</f>
        <v>160000</v>
      </c>
      <c r="Q19" s="518">
        <f t="shared" ref="Q19:Q26" si="6">C19*$Q$17</f>
        <v>0.12</v>
      </c>
      <c r="R19" s="516">
        <f t="shared" ref="R19:R26" si="7">D19*$Q$17</f>
        <v>240000</v>
      </c>
      <c r="S19" s="518">
        <f t="shared" ref="S19:S26" si="8">C19*$S$17</f>
        <v>0.24</v>
      </c>
      <c r="T19" s="516">
        <f t="shared" ref="T19:T26" si="9">D19*$S$17</f>
        <v>480000</v>
      </c>
      <c r="U19" s="518">
        <f t="shared" ref="U19:U26" si="10">C19*$U$17</f>
        <v>0.22</v>
      </c>
      <c r="V19" s="516">
        <f t="shared" ref="V19:V26" si="11">D19*$U$17</f>
        <v>440000</v>
      </c>
      <c r="W19" s="518">
        <f t="shared" ref="W19:W26" si="12">C19*$W$17</f>
        <v>0.28000000000000003</v>
      </c>
      <c r="X19" s="516">
        <f t="shared" ref="X19:X26" si="13">D19*$W$17</f>
        <v>560000</v>
      </c>
      <c r="Y19" s="518">
        <f t="shared" ref="Y19:Y26" si="14">C19*$Y$17</f>
        <v>0.16</v>
      </c>
      <c r="Z19" s="518">
        <f t="shared" ref="Z19:Z26" si="15">D19*$Y$17</f>
        <v>320000</v>
      </c>
      <c r="AA19" s="518">
        <f>C19*$AA$17</f>
        <v>0.18</v>
      </c>
      <c r="AB19" s="509">
        <f>D19*$AA$17</f>
        <v>360000</v>
      </c>
      <c r="AC19" s="565"/>
      <c r="AD19" s="561"/>
      <c r="AE19" s="561"/>
      <c r="AF19" s="561"/>
      <c r="AG19" s="561"/>
      <c r="AH19" s="561"/>
      <c r="AI19" s="561"/>
      <c r="AJ19" s="561"/>
      <c r="AK19" s="561"/>
      <c r="AL19" s="561"/>
      <c r="AM19" s="561"/>
      <c r="AN19" s="561"/>
      <c r="AO19" s="561"/>
      <c r="AP19" s="561"/>
      <c r="AQ19" s="561"/>
      <c r="AR19" s="561"/>
      <c r="AS19" s="561"/>
      <c r="AT19" s="561"/>
      <c r="AU19" s="561"/>
      <c r="AV19" s="561"/>
      <c r="AW19" s="561"/>
      <c r="AX19" s="561"/>
      <c r="AY19" s="561"/>
      <c r="AZ19" s="561"/>
      <c r="BA19" s="561"/>
      <c r="BB19" s="561"/>
      <c r="BC19" s="561"/>
      <c r="BD19" s="561"/>
      <c r="BE19" s="561"/>
      <c r="BF19" s="561"/>
      <c r="BG19" s="561"/>
      <c r="BH19" s="561"/>
      <c r="BI19" s="561"/>
      <c r="BJ19" s="561"/>
      <c r="BK19" s="561"/>
      <c r="BL19" s="561"/>
      <c r="BM19" s="561"/>
      <c r="BN19" s="561"/>
      <c r="BO19" s="561"/>
      <c r="BP19" s="561"/>
      <c r="BQ19" s="561"/>
      <c r="BR19" s="561"/>
      <c r="BS19" s="561"/>
      <c r="BT19" s="561"/>
      <c r="BU19" s="561"/>
      <c r="BV19" s="561"/>
      <c r="BW19" s="561"/>
      <c r="BX19" s="561"/>
      <c r="BY19" s="561"/>
      <c r="BZ19" s="561"/>
      <c r="CA19" s="561"/>
      <c r="CB19" s="561"/>
      <c r="CC19" s="561"/>
      <c r="CD19" s="561"/>
      <c r="CE19" s="561"/>
      <c r="CF19" s="561"/>
      <c r="CG19" s="561"/>
      <c r="CH19" s="561"/>
      <c r="CI19" s="561"/>
      <c r="CJ19" s="561"/>
      <c r="CK19" s="561"/>
      <c r="CL19" s="561"/>
      <c r="CM19" s="561"/>
      <c r="CN19" s="561"/>
      <c r="CO19" s="561"/>
      <c r="CP19" s="561"/>
      <c r="CQ19" s="561"/>
      <c r="CR19" s="561"/>
      <c r="CS19" s="561"/>
      <c r="CT19" s="561"/>
      <c r="CU19" s="561"/>
      <c r="CV19" s="561"/>
      <c r="CW19" s="561"/>
      <c r="CX19" s="561"/>
      <c r="CY19" s="561"/>
      <c r="CZ19" s="561"/>
      <c r="DA19" s="561"/>
      <c r="DB19" s="561"/>
      <c r="DC19" s="561"/>
      <c r="DD19" s="561"/>
      <c r="DE19" s="561"/>
      <c r="DF19" s="561"/>
      <c r="DG19" s="561"/>
      <c r="DH19" s="561"/>
      <c r="DI19" s="561"/>
      <c r="DJ19" s="561"/>
      <c r="DK19" s="561"/>
      <c r="DL19" s="561"/>
      <c r="DM19" s="561"/>
      <c r="DN19" s="561"/>
      <c r="DO19" s="561"/>
      <c r="DP19" s="561"/>
      <c r="DQ19" s="561"/>
      <c r="DR19" s="561"/>
      <c r="DS19" s="561"/>
      <c r="DT19" s="561"/>
      <c r="DU19" s="561"/>
      <c r="DV19" s="561"/>
      <c r="DW19" s="561"/>
      <c r="DX19" s="561"/>
      <c r="DY19" s="561"/>
      <c r="DZ19" s="561"/>
      <c r="EA19" s="561"/>
      <c r="EB19" s="561"/>
      <c r="EC19" s="561"/>
      <c r="ED19" s="561"/>
      <c r="EE19" s="561"/>
      <c r="EF19" s="561"/>
      <c r="EG19" s="561"/>
      <c r="EH19" s="561"/>
      <c r="EI19" s="561"/>
      <c r="EJ19" s="561"/>
      <c r="EK19" s="561"/>
      <c r="EL19" s="561"/>
      <c r="EM19" s="561"/>
      <c r="EN19" s="561"/>
      <c r="EO19" s="561"/>
      <c r="EP19" s="561"/>
      <c r="EQ19" s="561"/>
      <c r="ER19" s="561"/>
      <c r="ES19" s="561"/>
      <c r="ET19" s="561"/>
      <c r="EU19" s="561"/>
      <c r="EV19" s="561"/>
      <c r="EW19" s="561"/>
      <c r="EX19" s="561"/>
      <c r="EY19" s="561"/>
      <c r="EZ19" s="561"/>
      <c r="FA19" s="561"/>
      <c r="FB19" s="561"/>
      <c r="FC19" s="561"/>
      <c r="FD19" s="561"/>
      <c r="FE19" s="561"/>
      <c r="FF19" s="561"/>
      <c r="FG19" s="561"/>
      <c r="FH19" s="561"/>
      <c r="FI19" s="561"/>
      <c r="FJ19" s="561"/>
      <c r="FK19" s="561"/>
      <c r="FL19" s="561"/>
      <c r="FM19" s="561"/>
      <c r="FN19" s="566"/>
      <c r="FO19" s="566"/>
      <c r="FP19" s="566"/>
      <c r="FQ19" s="566"/>
      <c r="FR19" s="566"/>
      <c r="FS19" s="566"/>
      <c r="FT19" s="566"/>
      <c r="FU19" s="566"/>
      <c r="FV19" s="566"/>
      <c r="FW19" s="566"/>
    </row>
    <row r="20" spans="1:179" s="515" customFormat="1" ht="15.75" x14ac:dyDescent="0.25">
      <c r="A20" s="520" t="str">
        <f>Hipótesis!B59</f>
        <v>Portal aprendizaje</v>
      </c>
      <c r="B20" s="512">
        <f>Hipótesis!C59</f>
        <v>2300000</v>
      </c>
      <c r="C20" s="513">
        <v>2</v>
      </c>
      <c r="D20" s="512">
        <f t="shared" ref="D20:D26" si="16">B20*C20</f>
        <v>4600000</v>
      </c>
      <c r="E20" s="514">
        <f t="shared" ref="E20:E26" si="17">C20*$E$17</f>
        <v>0.12</v>
      </c>
      <c r="F20" s="512">
        <f t="shared" ref="F20:F26" si="18">D20*$E$17</f>
        <v>276000</v>
      </c>
      <c r="G20" s="514">
        <f t="shared" ref="G20:G26" si="19">C20*$G$17</f>
        <v>0.08</v>
      </c>
      <c r="H20" s="512">
        <f t="shared" ref="H20:H26" si="20">D20*$G$17</f>
        <v>184000</v>
      </c>
      <c r="I20" s="514">
        <f t="shared" si="0"/>
        <v>0.16</v>
      </c>
      <c r="J20" s="512">
        <f t="shared" si="1"/>
        <v>368000</v>
      </c>
      <c r="K20" s="514">
        <f t="shared" si="2"/>
        <v>0.14000000000000001</v>
      </c>
      <c r="L20" s="512">
        <f t="shared" si="3"/>
        <v>322000.00000000006</v>
      </c>
      <c r="M20" s="514">
        <f t="shared" ref="M20:M26" si="21">C20*$M$17</f>
        <v>0.22</v>
      </c>
      <c r="N20" s="512">
        <f t="shared" ref="N20:N26" si="22">D20*$M$17</f>
        <v>506000</v>
      </c>
      <c r="O20" s="514">
        <f t="shared" si="4"/>
        <v>0.08</v>
      </c>
      <c r="P20" s="512">
        <f t="shared" si="5"/>
        <v>184000</v>
      </c>
      <c r="Q20" s="514">
        <f t="shared" si="6"/>
        <v>0.12</v>
      </c>
      <c r="R20" s="512">
        <f t="shared" si="7"/>
        <v>276000</v>
      </c>
      <c r="S20" s="514">
        <f t="shared" si="8"/>
        <v>0.24</v>
      </c>
      <c r="T20" s="512">
        <f t="shared" si="9"/>
        <v>552000</v>
      </c>
      <c r="U20" s="514">
        <f t="shared" si="10"/>
        <v>0.22</v>
      </c>
      <c r="V20" s="512">
        <f t="shared" si="11"/>
        <v>506000</v>
      </c>
      <c r="W20" s="514">
        <f t="shared" si="12"/>
        <v>0.28000000000000003</v>
      </c>
      <c r="X20" s="512">
        <f t="shared" si="13"/>
        <v>644000.00000000012</v>
      </c>
      <c r="Y20" s="514">
        <f t="shared" si="14"/>
        <v>0.16</v>
      </c>
      <c r="Z20" s="514">
        <f t="shared" si="15"/>
        <v>368000</v>
      </c>
      <c r="AA20" s="514">
        <f>C20*$AA$17</f>
        <v>0.18</v>
      </c>
      <c r="AB20" s="510">
        <f>D20*$AA$17</f>
        <v>414000</v>
      </c>
      <c r="AC20" s="565"/>
      <c r="AD20" s="561"/>
      <c r="AE20" s="561"/>
      <c r="AF20" s="561"/>
      <c r="AG20" s="561"/>
      <c r="AH20" s="561"/>
      <c r="AI20" s="561"/>
      <c r="AJ20" s="561"/>
      <c r="AK20" s="561"/>
      <c r="AL20" s="561"/>
      <c r="AM20" s="561"/>
      <c r="AN20" s="561"/>
      <c r="AO20" s="561"/>
      <c r="AP20" s="561"/>
      <c r="AQ20" s="561"/>
      <c r="AR20" s="561"/>
      <c r="AS20" s="561"/>
      <c r="AT20" s="561"/>
      <c r="AU20" s="561"/>
      <c r="AV20" s="561"/>
      <c r="AW20" s="561"/>
      <c r="AX20" s="561"/>
      <c r="AY20" s="561"/>
      <c r="AZ20" s="561"/>
      <c r="BA20" s="561"/>
      <c r="BB20" s="561"/>
      <c r="BC20" s="561"/>
      <c r="BD20" s="561"/>
      <c r="BE20" s="561"/>
      <c r="BF20" s="561"/>
      <c r="BG20" s="561"/>
      <c r="BH20" s="561"/>
      <c r="BI20" s="561"/>
      <c r="BJ20" s="561"/>
      <c r="BK20" s="561"/>
      <c r="BL20" s="561"/>
      <c r="BM20" s="561"/>
      <c r="BN20" s="561"/>
      <c r="BO20" s="561"/>
      <c r="BP20" s="561"/>
      <c r="BQ20" s="561"/>
      <c r="BR20" s="561"/>
      <c r="BS20" s="561"/>
      <c r="BT20" s="561"/>
      <c r="BU20" s="561"/>
      <c r="BV20" s="561"/>
      <c r="BW20" s="561"/>
      <c r="BX20" s="561"/>
      <c r="BY20" s="561"/>
      <c r="BZ20" s="561"/>
      <c r="CA20" s="561"/>
      <c r="CB20" s="561"/>
      <c r="CC20" s="561"/>
      <c r="CD20" s="561"/>
      <c r="CE20" s="561"/>
      <c r="CF20" s="561"/>
      <c r="CG20" s="561"/>
      <c r="CH20" s="561"/>
      <c r="CI20" s="561"/>
      <c r="CJ20" s="561"/>
      <c r="CK20" s="561"/>
      <c r="CL20" s="561"/>
      <c r="CM20" s="561"/>
      <c r="CN20" s="561"/>
      <c r="CO20" s="561"/>
      <c r="CP20" s="561"/>
      <c r="CQ20" s="561"/>
      <c r="CR20" s="561"/>
      <c r="CS20" s="561"/>
      <c r="CT20" s="561"/>
      <c r="CU20" s="561"/>
      <c r="CV20" s="561"/>
      <c r="CW20" s="561"/>
      <c r="CX20" s="561"/>
      <c r="CY20" s="561"/>
      <c r="CZ20" s="561"/>
      <c r="DA20" s="561"/>
      <c r="DB20" s="561"/>
      <c r="DC20" s="561"/>
      <c r="DD20" s="561"/>
      <c r="DE20" s="561"/>
      <c r="DF20" s="561"/>
      <c r="DG20" s="561"/>
      <c r="DH20" s="561"/>
      <c r="DI20" s="561"/>
      <c r="DJ20" s="561"/>
      <c r="DK20" s="561"/>
      <c r="DL20" s="561"/>
      <c r="DM20" s="561"/>
      <c r="DN20" s="561"/>
      <c r="DO20" s="561"/>
      <c r="DP20" s="561"/>
      <c r="DQ20" s="561"/>
      <c r="DR20" s="561"/>
      <c r="DS20" s="561"/>
      <c r="DT20" s="561"/>
      <c r="DU20" s="561"/>
      <c r="DV20" s="561"/>
      <c r="DW20" s="561"/>
      <c r="DX20" s="561"/>
      <c r="DY20" s="561"/>
      <c r="DZ20" s="561"/>
      <c r="EA20" s="561"/>
      <c r="EB20" s="561"/>
      <c r="EC20" s="561"/>
      <c r="ED20" s="561"/>
      <c r="EE20" s="561"/>
      <c r="EF20" s="561"/>
      <c r="EG20" s="561"/>
      <c r="EH20" s="561"/>
      <c r="EI20" s="561"/>
      <c r="EJ20" s="561"/>
      <c r="EK20" s="561"/>
      <c r="EL20" s="561"/>
      <c r="EM20" s="561"/>
      <c r="EN20" s="561"/>
      <c r="EO20" s="561"/>
      <c r="EP20" s="561"/>
      <c r="EQ20" s="561"/>
      <c r="ER20" s="561"/>
      <c r="ES20" s="561"/>
      <c r="ET20" s="561"/>
      <c r="EU20" s="561"/>
      <c r="EV20" s="561"/>
      <c r="EW20" s="561"/>
      <c r="EX20" s="561"/>
      <c r="EY20" s="561"/>
      <c r="EZ20" s="561"/>
      <c r="FA20" s="561"/>
      <c r="FB20" s="561"/>
      <c r="FC20" s="561"/>
      <c r="FD20" s="561"/>
      <c r="FE20" s="561"/>
      <c r="FF20" s="561"/>
      <c r="FG20" s="561"/>
      <c r="FH20" s="561"/>
      <c r="FI20" s="561"/>
      <c r="FJ20" s="561"/>
      <c r="FK20" s="561"/>
      <c r="FL20" s="561"/>
      <c r="FM20" s="561"/>
      <c r="FN20" s="566"/>
      <c r="FO20" s="566"/>
      <c r="FP20" s="566"/>
      <c r="FQ20" s="566"/>
      <c r="FR20" s="566"/>
      <c r="FS20" s="566"/>
      <c r="FT20" s="566"/>
      <c r="FU20" s="566"/>
      <c r="FV20" s="566"/>
      <c r="FW20" s="566"/>
    </row>
    <row r="21" spans="1:179" s="515" customFormat="1" ht="15.75" x14ac:dyDescent="0.25">
      <c r="A21" s="520" t="str">
        <f>Hipótesis!B60</f>
        <v>Portal sugerencia</v>
      </c>
      <c r="B21" s="512">
        <f>Hipótesis!C60</f>
        <v>2300000</v>
      </c>
      <c r="C21" s="513">
        <v>1</v>
      </c>
      <c r="D21" s="512">
        <f t="shared" si="16"/>
        <v>2300000</v>
      </c>
      <c r="E21" s="514">
        <f t="shared" si="17"/>
        <v>0.06</v>
      </c>
      <c r="F21" s="512">
        <f t="shared" si="18"/>
        <v>138000</v>
      </c>
      <c r="G21" s="514">
        <f t="shared" si="19"/>
        <v>0.04</v>
      </c>
      <c r="H21" s="512">
        <f t="shared" si="20"/>
        <v>92000</v>
      </c>
      <c r="I21" s="514">
        <f t="shared" si="0"/>
        <v>0.08</v>
      </c>
      <c r="J21" s="512">
        <f t="shared" si="1"/>
        <v>184000</v>
      </c>
      <c r="K21" s="514">
        <f t="shared" si="2"/>
        <v>7.0000000000000007E-2</v>
      </c>
      <c r="L21" s="512">
        <f t="shared" si="3"/>
        <v>161000.00000000003</v>
      </c>
      <c r="M21" s="514">
        <f t="shared" si="21"/>
        <v>0.11</v>
      </c>
      <c r="N21" s="512">
        <f t="shared" si="22"/>
        <v>253000</v>
      </c>
      <c r="O21" s="514">
        <f t="shared" si="4"/>
        <v>0.04</v>
      </c>
      <c r="P21" s="512">
        <f t="shared" si="5"/>
        <v>92000</v>
      </c>
      <c r="Q21" s="514">
        <f t="shared" si="6"/>
        <v>0.06</v>
      </c>
      <c r="R21" s="512">
        <f t="shared" si="7"/>
        <v>138000</v>
      </c>
      <c r="S21" s="514">
        <f t="shared" si="8"/>
        <v>0.12</v>
      </c>
      <c r="T21" s="512">
        <f t="shared" si="9"/>
        <v>276000</v>
      </c>
      <c r="U21" s="514">
        <f t="shared" si="10"/>
        <v>0.11</v>
      </c>
      <c r="V21" s="512">
        <f t="shared" si="11"/>
        <v>253000</v>
      </c>
      <c r="W21" s="514">
        <f t="shared" si="12"/>
        <v>0.14000000000000001</v>
      </c>
      <c r="X21" s="512">
        <f t="shared" si="13"/>
        <v>322000.00000000006</v>
      </c>
      <c r="Y21" s="514">
        <f t="shared" si="14"/>
        <v>0.08</v>
      </c>
      <c r="Z21" s="514">
        <f t="shared" si="15"/>
        <v>184000</v>
      </c>
      <c r="AA21" s="514">
        <f t="shared" ref="AA21:AA26" si="23">C21*$AA$17</f>
        <v>0.09</v>
      </c>
      <c r="AB21" s="510">
        <f t="shared" ref="AB21:AB26" si="24">D21*$AA$17</f>
        <v>207000</v>
      </c>
      <c r="AC21" s="565"/>
      <c r="AD21" s="561"/>
      <c r="AE21" s="561"/>
      <c r="AF21" s="561"/>
      <c r="AG21" s="561"/>
      <c r="AH21" s="561"/>
      <c r="AI21" s="561"/>
      <c r="AJ21" s="561"/>
      <c r="AK21" s="561"/>
      <c r="AL21" s="561"/>
      <c r="AM21" s="561"/>
      <c r="AN21" s="561"/>
      <c r="AO21" s="561"/>
      <c r="AP21" s="561"/>
      <c r="AQ21" s="561"/>
      <c r="AR21" s="561"/>
      <c r="AS21" s="561"/>
      <c r="AT21" s="561"/>
      <c r="AU21" s="561"/>
      <c r="AV21" s="561"/>
      <c r="AW21" s="561"/>
      <c r="AX21" s="561"/>
      <c r="AY21" s="561"/>
      <c r="AZ21" s="561"/>
      <c r="BA21" s="561"/>
      <c r="BB21" s="561"/>
      <c r="BC21" s="561"/>
      <c r="BD21" s="561"/>
      <c r="BE21" s="561"/>
      <c r="BF21" s="561"/>
      <c r="BG21" s="561"/>
      <c r="BH21" s="561"/>
      <c r="BI21" s="561"/>
      <c r="BJ21" s="561"/>
      <c r="BK21" s="561"/>
      <c r="BL21" s="561"/>
      <c r="BM21" s="561"/>
      <c r="BN21" s="561"/>
      <c r="BO21" s="561"/>
      <c r="BP21" s="561"/>
      <c r="BQ21" s="561"/>
      <c r="BR21" s="561"/>
      <c r="BS21" s="561"/>
      <c r="BT21" s="561"/>
      <c r="BU21" s="561"/>
      <c r="BV21" s="561"/>
      <c r="BW21" s="561"/>
      <c r="BX21" s="561"/>
      <c r="BY21" s="561"/>
      <c r="BZ21" s="561"/>
      <c r="CA21" s="561"/>
      <c r="CB21" s="561"/>
      <c r="CC21" s="561"/>
      <c r="CD21" s="561"/>
      <c r="CE21" s="561"/>
      <c r="CF21" s="561"/>
      <c r="CG21" s="561"/>
      <c r="CH21" s="561"/>
      <c r="CI21" s="561"/>
      <c r="CJ21" s="561"/>
      <c r="CK21" s="561"/>
      <c r="CL21" s="561"/>
      <c r="CM21" s="561"/>
      <c r="CN21" s="561"/>
      <c r="CO21" s="561"/>
      <c r="CP21" s="561"/>
      <c r="CQ21" s="561"/>
      <c r="CR21" s="561"/>
      <c r="CS21" s="561"/>
      <c r="CT21" s="561"/>
      <c r="CU21" s="561"/>
      <c r="CV21" s="561"/>
      <c r="CW21" s="561"/>
      <c r="CX21" s="561"/>
      <c r="CY21" s="561"/>
      <c r="CZ21" s="561"/>
      <c r="DA21" s="561"/>
      <c r="DB21" s="561"/>
      <c r="DC21" s="561"/>
      <c r="DD21" s="561"/>
      <c r="DE21" s="561"/>
      <c r="DF21" s="561"/>
      <c r="DG21" s="561"/>
      <c r="DH21" s="561"/>
      <c r="DI21" s="561"/>
      <c r="DJ21" s="561"/>
      <c r="DK21" s="561"/>
      <c r="DL21" s="561"/>
      <c r="DM21" s="561"/>
      <c r="DN21" s="561"/>
      <c r="DO21" s="561"/>
      <c r="DP21" s="561"/>
      <c r="DQ21" s="561"/>
      <c r="DR21" s="561"/>
      <c r="DS21" s="561"/>
      <c r="DT21" s="561"/>
      <c r="DU21" s="561"/>
      <c r="DV21" s="561"/>
      <c r="DW21" s="561"/>
      <c r="DX21" s="561"/>
      <c r="DY21" s="561"/>
      <c r="DZ21" s="561"/>
      <c r="EA21" s="561"/>
      <c r="EB21" s="561"/>
      <c r="EC21" s="561"/>
      <c r="ED21" s="561"/>
      <c r="EE21" s="561"/>
      <c r="EF21" s="561"/>
      <c r="EG21" s="561"/>
      <c r="EH21" s="561"/>
      <c r="EI21" s="561"/>
      <c r="EJ21" s="561"/>
      <c r="EK21" s="561"/>
      <c r="EL21" s="561"/>
      <c r="EM21" s="561"/>
      <c r="EN21" s="561"/>
      <c r="EO21" s="561"/>
      <c r="EP21" s="561"/>
      <c r="EQ21" s="561"/>
      <c r="ER21" s="561"/>
      <c r="ES21" s="561"/>
      <c r="ET21" s="561"/>
      <c r="EU21" s="561"/>
      <c r="EV21" s="561"/>
      <c r="EW21" s="561"/>
      <c r="EX21" s="561"/>
      <c r="EY21" s="561"/>
      <c r="EZ21" s="561"/>
      <c r="FA21" s="561"/>
      <c r="FB21" s="561"/>
      <c r="FC21" s="561"/>
      <c r="FD21" s="561"/>
      <c r="FE21" s="561"/>
      <c r="FF21" s="561"/>
      <c r="FG21" s="561"/>
      <c r="FH21" s="561"/>
      <c r="FI21" s="561"/>
      <c r="FJ21" s="561"/>
      <c r="FK21" s="561"/>
      <c r="FL21" s="561"/>
      <c r="FM21" s="561"/>
      <c r="FN21" s="566"/>
      <c r="FO21" s="566"/>
      <c r="FP21" s="566"/>
      <c r="FQ21" s="566"/>
      <c r="FR21" s="566"/>
      <c r="FS21" s="566"/>
      <c r="FT21" s="566"/>
      <c r="FU21" s="566"/>
      <c r="FV21" s="566"/>
      <c r="FW21" s="566"/>
    </row>
    <row r="22" spans="1:179" s="525" customFormat="1" ht="16.5" thickBot="1" x14ac:dyDescent="0.3">
      <c r="A22" s="521" t="str">
        <f>Hipótesis!B61</f>
        <v>Portal experto</v>
      </c>
      <c r="B22" s="522">
        <f>Hipótesis!C61</f>
        <v>2500000</v>
      </c>
      <c r="C22" s="523">
        <v>2</v>
      </c>
      <c r="D22" s="522">
        <f t="shared" si="16"/>
        <v>5000000</v>
      </c>
      <c r="E22" s="524">
        <f t="shared" si="17"/>
        <v>0.12</v>
      </c>
      <c r="F22" s="522">
        <f t="shared" si="18"/>
        <v>300000</v>
      </c>
      <c r="G22" s="524">
        <f t="shared" si="19"/>
        <v>0.08</v>
      </c>
      <c r="H22" s="522">
        <f t="shared" si="20"/>
        <v>200000</v>
      </c>
      <c r="I22" s="524">
        <f t="shared" si="0"/>
        <v>0.16</v>
      </c>
      <c r="J22" s="522">
        <f t="shared" si="1"/>
        <v>400000</v>
      </c>
      <c r="K22" s="524">
        <f t="shared" si="2"/>
        <v>0.14000000000000001</v>
      </c>
      <c r="L22" s="522">
        <f t="shared" si="3"/>
        <v>350000.00000000006</v>
      </c>
      <c r="M22" s="524">
        <f t="shared" si="21"/>
        <v>0.22</v>
      </c>
      <c r="N22" s="522">
        <f t="shared" si="22"/>
        <v>550000</v>
      </c>
      <c r="O22" s="524">
        <f t="shared" si="4"/>
        <v>0.08</v>
      </c>
      <c r="P22" s="522">
        <f t="shared" si="5"/>
        <v>200000</v>
      </c>
      <c r="Q22" s="524">
        <f t="shared" si="6"/>
        <v>0.12</v>
      </c>
      <c r="R22" s="522">
        <f t="shared" si="7"/>
        <v>300000</v>
      </c>
      <c r="S22" s="524">
        <f t="shared" si="8"/>
        <v>0.24</v>
      </c>
      <c r="T22" s="522">
        <f t="shared" si="9"/>
        <v>600000</v>
      </c>
      <c r="U22" s="524">
        <f t="shared" si="10"/>
        <v>0.22</v>
      </c>
      <c r="V22" s="522">
        <f t="shared" si="11"/>
        <v>550000</v>
      </c>
      <c r="W22" s="524">
        <f t="shared" si="12"/>
        <v>0.28000000000000003</v>
      </c>
      <c r="X22" s="522">
        <f t="shared" si="13"/>
        <v>700000.00000000012</v>
      </c>
      <c r="Y22" s="524">
        <f t="shared" si="14"/>
        <v>0.16</v>
      </c>
      <c r="Z22" s="524">
        <f t="shared" si="15"/>
        <v>400000</v>
      </c>
      <c r="AA22" s="524">
        <f t="shared" si="23"/>
        <v>0.18</v>
      </c>
      <c r="AB22" s="511">
        <f t="shared" si="24"/>
        <v>450000</v>
      </c>
      <c r="AC22" s="565"/>
      <c r="AD22" s="561"/>
      <c r="AE22" s="561"/>
      <c r="AF22" s="561"/>
      <c r="AG22" s="561"/>
      <c r="AH22" s="561"/>
      <c r="AI22" s="561"/>
      <c r="AJ22" s="561"/>
      <c r="AK22" s="561"/>
      <c r="AL22" s="561"/>
      <c r="AM22" s="561"/>
      <c r="AN22" s="561"/>
      <c r="AO22" s="561"/>
      <c r="AP22" s="561"/>
      <c r="AQ22" s="561"/>
      <c r="AR22" s="561"/>
      <c r="AS22" s="561"/>
      <c r="AT22" s="561"/>
      <c r="AU22" s="561"/>
      <c r="AV22" s="561"/>
      <c r="AW22" s="561"/>
      <c r="AX22" s="561"/>
      <c r="AY22" s="561"/>
      <c r="AZ22" s="561"/>
      <c r="BA22" s="561"/>
      <c r="BB22" s="561"/>
      <c r="BC22" s="561"/>
      <c r="BD22" s="561"/>
      <c r="BE22" s="561"/>
      <c r="BF22" s="561"/>
      <c r="BG22" s="561"/>
      <c r="BH22" s="561"/>
      <c r="BI22" s="561"/>
      <c r="BJ22" s="561"/>
      <c r="BK22" s="561"/>
      <c r="BL22" s="561"/>
      <c r="BM22" s="561"/>
      <c r="BN22" s="561"/>
      <c r="BO22" s="561"/>
      <c r="BP22" s="561"/>
      <c r="BQ22" s="561"/>
      <c r="BR22" s="561"/>
      <c r="BS22" s="561"/>
      <c r="BT22" s="561"/>
      <c r="BU22" s="561"/>
      <c r="BV22" s="561"/>
      <c r="BW22" s="561"/>
      <c r="BX22" s="561"/>
      <c r="BY22" s="561"/>
      <c r="BZ22" s="561"/>
      <c r="CA22" s="561"/>
      <c r="CB22" s="561"/>
      <c r="CC22" s="561"/>
      <c r="CD22" s="561"/>
      <c r="CE22" s="561"/>
      <c r="CF22" s="561"/>
      <c r="CG22" s="561"/>
      <c r="CH22" s="561"/>
      <c r="CI22" s="561"/>
      <c r="CJ22" s="561"/>
      <c r="CK22" s="561"/>
      <c r="CL22" s="561"/>
      <c r="CM22" s="561"/>
      <c r="CN22" s="561"/>
      <c r="CO22" s="561"/>
      <c r="CP22" s="561"/>
      <c r="CQ22" s="561"/>
      <c r="CR22" s="561"/>
      <c r="CS22" s="561"/>
      <c r="CT22" s="561"/>
      <c r="CU22" s="561"/>
      <c r="CV22" s="561"/>
      <c r="CW22" s="561"/>
      <c r="CX22" s="561"/>
      <c r="CY22" s="561"/>
      <c r="CZ22" s="561"/>
      <c r="DA22" s="561"/>
      <c r="DB22" s="561"/>
      <c r="DC22" s="561"/>
      <c r="DD22" s="561"/>
      <c r="DE22" s="561"/>
      <c r="DF22" s="561"/>
      <c r="DG22" s="561"/>
      <c r="DH22" s="561"/>
      <c r="DI22" s="561"/>
      <c r="DJ22" s="561"/>
      <c r="DK22" s="561"/>
      <c r="DL22" s="561"/>
      <c r="DM22" s="561"/>
      <c r="DN22" s="561"/>
      <c r="DO22" s="561"/>
      <c r="DP22" s="561"/>
      <c r="DQ22" s="561"/>
      <c r="DR22" s="561"/>
      <c r="DS22" s="561"/>
      <c r="DT22" s="561"/>
      <c r="DU22" s="561"/>
      <c r="DV22" s="561"/>
      <c r="DW22" s="561"/>
      <c r="DX22" s="561"/>
      <c r="DY22" s="561"/>
      <c r="DZ22" s="561"/>
      <c r="EA22" s="561"/>
      <c r="EB22" s="561"/>
      <c r="EC22" s="561"/>
      <c r="ED22" s="561"/>
      <c r="EE22" s="561"/>
      <c r="EF22" s="561"/>
      <c r="EG22" s="561"/>
      <c r="EH22" s="561"/>
      <c r="EI22" s="561"/>
      <c r="EJ22" s="561"/>
      <c r="EK22" s="561"/>
      <c r="EL22" s="561"/>
      <c r="EM22" s="561"/>
      <c r="EN22" s="561"/>
      <c r="EO22" s="561"/>
      <c r="EP22" s="561"/>
      <c r="EQ22" s="561"/>
      <c r="ER22" s="561"/>
      <c r="ES22" s="561"/>
      <c r="ET22" s="561"/>
      <c r="EU22" s="561"/>
      <c r="EV22" s="561"/>
      <c r="EW22" s="561"/>
      <c r="EX22" s="561"/>
      <c r="EY22" s="561"/>
      <c r="EZ22" s="561"/>
      <c r="FA22" s="561"/>
      <c r="FB22" s="561"/>
      <c r="FC22" s="561"/>
      <c r="FD22" s="561"/>
      <c r="FE22" s="561"/>
      <c r="FF22" s="561"/>
      <c r="FG22" s="561"/>
      <c r="FH22" s="561"/>
      <c r="FI22" s="561"/>
      <c r="FJ22" s="561"/>
      <c r="FK22" s="561"/>
      <c r="FL22" s="561"/>
      <c r="FM22" s="561"/>
      <c r="FN22" s="566"/>
      <c r="FO22" s="566"/>
      <c r="FP22" s="566"/>
      <c r="FQ22" s="566"/>
      <c r="FR22" s="566"/>
      <c r="FS22" s="566"/>
      <c r="FT22" s="566"/>
      <c r="FU22" s="566"/>
      <c r="FV22" s="566"/>
      <c r="FW22" s="566"/>
    </row>
    <row r="23" spans="1:179" s="544" customFormat="1" ht="15.75" x14ac:dyDescent="0.25">
      <c r="A23" s="540" t="str">
        <f>Hipótesis!B62</f>
        <v>Simple</v>
      </c>
      <c r="B23" s="541">
        <f>Hipótesis!C62</f>
        <v>300000</v>
      </c>
      <c r="C23" s="542">
        <v>1</v>
      </c>
      <c r="D23" s="541">
        <f t="shared" si="16"/>
        <v>300000</v>
      </c>
      <c r="E23" s="543">
        <f t="shared" si="17"/>
        <v>0.06</v>
      </c>
      <c r="F23" s="541">
        <f t="shared" si="18"/>
        <v>18000</v>
      </c>
      <c r="G23" s="543">
        <f t="shared" si="19"/>
        <v>0.04</v>
      </c>
      <c r="H23" s="541">
        <f t="shared" si="20"/>
        <v>12000</v>
      </c>
      <c r="I23" s="543">
        <f t="shared" si="0"/>
        <v>0.08</v>
      </c>
      <c r="J23" s="541">
        <f t="shared" si="1"/>
        <v>24000</v>
      </c>
      <c r="K23" s="543">
        <f t="shared" si="2"/>
        <v>7.0000000000000007E-2</v>
      </c>
      <c r="L23" s="541">
        <f t="shared" si="3"/>
        <v>21000.000000000004</v>
      </c>
      <c r="M23" s="543">
        <f t="shared" si="21"/>
        <v>0.11</v>
      </c>
      <c r="N23" s="541">
        <f t="shared" si="22"/>
        <v>33000</v>
      </c>
      <c r="O23" s="543">
        <f t="shared" si="4"/>
        <v>0.04</v>
      </c>
      <c r="P23" s="541">
        <f t="shared" si="5"/>
        <v>12000</v>
      </c>
      <c r="Q23" s="543">
        <f t="shared" si="6"/>
        <v>0.06</v>
      </c>
      <c r="R23" s="541">
        <f t="shared" si="7"/>
        <v>18000</v>
      </c>
      <c r="S23" s="543">
        <f t="shared" si="8"/>
        <v>0.12</v>
      </c>
      <c r="T23" s="541">
        <f t="shared" si="9"/>
        <v>36000</v>
      </c>
      <c r="U23" s="543">
        <f t="shared" si="10"/>
        <v>0.11</v>
      </c>
      <c r="V23" s="541">
        <f t="shared" si="11"/>
        <v>33000</v>
      </c>
      <c r="W23" s="543">
        <f t="shared" si="12"/>
        <v>0.14000000000000001</v>
      </c>
      <c r="X23" s="541">
        <f t="shared" si="13"/>
        <v>42000.000000000007</v>
      </c>
      <c r="Y23" s="543">
        <f t="shared" si="14"/>
        <v>0.08</v>
      </c>
      <c r="Z23" s="543">
        <f t="shared" si="15"/>
        <v>24000</v>
      </c>
      <c r="AA23" s="543">
        <f t="shared" si="23"/>
        <v>0.09</v>
      </c>
      <c r="AB23" s="556">
        <f t="shared" si="24"/>
        <v>27000</v>
      </c>
      <c r="AC23" s="565"/>
      <c r="AD23" s="561"/>
      <c r="AE23" s="561"/>
      <c r="AF23" s="561"/>
      <c r="AG23" s="561"/>
      <c r="AH23" s="561"/>
      <c r="AI23" s="561"/>
      <c r="AJ23" s="561"/>
      <c r="AK23" s="561"/>
      <c r="AL23" s="561"/>
      <c r="AM23" s="561"/>
      <c r="AN23" s="561"/>
      <c r="AO23" s="561"/>
      <c r="AP23" s="561"/>
      <c r="AQ23" s="561"/>
      <c r="AR23" s="561"/>
      <c r="AS23" s="561"/>
      <c r="AT23" s="561"/>
      <c r="AU23" s="561"/>
      <c r="AV23" s="561"/>
      <c r="AW23" s="561"/>
      <c r="AX23" s="561"/>
      <c r="AY23" s="561"/>
      <c r="AZ23" s="561"/>
      <c r="BA23" s="561"/>
      <c r="BB23" s="561"/>
      <c r="BC23" s="561"/>
      <c r="BD23" s="561"/>
      <c r="BE23" s="561"/>
      <c r="BF23" s="561"/>
      <c r="BG23" s="561"/>
      <c r="BH23" s="561"/>
      <c r="BI23" s="561"/>
      <c r="BJ23" s="561"/>
      <c r="BK23" s="561"/>
      <c r="BL23" s="561"/>
      <c r="BM23" s="561"/>
      <c r="BN23" s="561"/>
      <c r="BO23" s="561"/>
      <c r="BP23" s="561"/>
      <c r="BQ23" s="561"/>
      <c r="BR23" s="561"/>
      <c r="BS23" s="561"/>
      <c r="BT23" s="561"/>
      <c r="BU23" s="561"/>
      <c r="BV23" s="561"/>
      <c r="BW23" s="561"/>
      <c r="BX23" s="561"/>
      <c r="BY23" s="561"/>
      <c r="BZ23" s="561"/>
      <c r="CA23" s="561"/>
      <c r="CB23" s="561"/>
      <c r="CC23" s="561"/>
      <c r="CD23" s="561"/>
      <c r="CE23" s="561"/>
      <c r="CF23" s="561"/>
      <c r="CG23" s="561"/>
      <c r="CH23" s="561"/>
      <c r="CI23" s="561"/>
      <c r="CJ23" s="561"/>
      <c r="CK23" s="561"/>
      <c r="CL23" s="561"/>
      <c r="CM23" s="561"/>
      <c r="CN23" s="561"/>
      <c r="CO23" s="561"/>
      <c r="CP23" s="561"/>
      <c r="CQ23" s="561"/>
      <c r="CR23" s="561"/>
      <c r="CS23" s="561"/>
      <c r="CT23" s="561"/>
      <c r="CU23" s="561"/>
      <c r="CV23" s="561"/>
      <c r="CW23" s="561"/>
      <c r="CX23" s="561"/>
      <c r="CY23" s="561"/>
      <c r="CZ23" s="561"/>
      <c r="DA23" s="561"/>
      <c r="DB23" s="561"/>
      <c r="DC23" s="561"/>
      <c r="DD23" s="561"/>
      <c r="DE23" s="561"/>
      <c r="DF23" s="561"/>
      <c r="DG23" s="561"/>
      <c r="DH23" s="561"/>
      <c r="DI23" s="561"/>
      <c r="DJ23" s="561"/>
      <c r="DK23" s="561"/>
      <c r="DL23" s="561"/>
      <c r="DM23" s="561"/>
      <c r="DN23" s="561"/>
      <c r="DO23" s="561"/>
      <c r="DP23" s="561"/>
      <c r="DQ23" s="561"/>
      <c r="DR23" s="561"/>
      <c r="DS23" s="561"/>
      <c r="DT23" s="561"/>
      <c r="DU23" s="561"/>
      <c r="DV23" s="561"/>
      <c r="DW23" s="561"/>
      <c r="DX23" s="561"/>
      <c r="DY23" s="561"/>
      <c r="DZ23" s="561"/>
      <c r="EA23" s="561"/>
      <c r="EB23" s="561"/>
      <c r="EC23" s="561"/>
      <c r="ED23" s="561"/>
      <c r="EE23" s="561"/>
      <c r="EF23" s="561"/>
      <c r="EG23" s="561"/>
      <c r="EH23" s="561"/>
      <c r="EI23" s="561"/>
      <c r="EJ23" s="561"/>
      <c r="EK23" s="561"/>
      <c r="EL23" s="561"/>
      <c r="EM23" s="561"/>
      <c r="EN23" s="561"/>
      <c r="EO23" s="561"/>
      <c r="EP23" s="561"/>
      <c r="EQ23" s="561"/>
      <c r="ER23" s="561"/>
      <c r="ES23" s="561"/>
      <c r="ET23" s="561"/>
      <c r="EU23" s="561"/>
      <c r="EV23" s="561"/>
      <c r="EW23" s="561"/>
      <c r="EX23" s="561"/>
      <c r="EY23" s="561"/>
      <c r="EZ23" s="561"/>
      <c r="FA23" s="561"/>
      <c r="FB23" s="561"/>
      <c r="FC23" s="561"/>
      <c r="FD23" s="561"/>
      <c r="FE23" s="561"/>
      <c r="FF23" s="561"/>
      <c r="FG23" s="561"/>
      <c r="FH23" s="561"/>
      <c r="FI23" s="561"/>
      <c r="FJ23" s="561"/>
      <c r="FK23" s="561"/>
      <c r="FL23" s="561"/>
      <c r="FM23" s="561"/>
      <c r="FN23" s="567"/>
      <c r="FO23" s="567"/>
      <c r="FP23" s="567"/>
      <c r="FQ23" s="567"/>
      <c r="FR23" s="567"/>
      <c r="FS23" s="567"/>
      <c r="FT23" s="567"/>
      <c r="FU23" s="567"/>
      <c r="FV23" s="567"/>
      <c r="FW23" s="567"/>
    </row>
    <row r="24" spans="1:179" s="549" customFormat="1" ht="15.75" x14ac:dyDescent="0.25">
      <c r="A24" s="545" t="str">
        <f>Hipótesis!B63</f>
        <v>Funcional</v>
      </c>
      <c r="B24" s="546">
        <f>Hipótesis!C63</f>
        <v>500000</v>
      </c>
      <c r="C24" s="547">
        <v>1</v>
      </c>
      <c r="D24" s="546">
        <f t="shared" si="16"/>
        <v>500000</v>
      </c>
      <c r="E24" s="548">
        <f t="shared" si="17"/>
        <v>0.06</v>
      </c>
      <c r="F24" s="546">
        <f t="shared" si="18"/>
        <v>30000</v>
      </c>
      <c r="G24" s="548">
        <f t="shared" si="19"/>
        <v>0.04</v>
      </c>
      <c r="H24" s="546">
        <f t="shared" si="20"/>
        <v>20000</v>
      </c>
      <c r="I24" s="548">
        <f t="shared" si="0"/>
        <v>0.08</v>
      </c>
      <c r="J24" s="546">
        <f t="shared" si="1"/>
        <v>40000</v>
      </c>
      <c r="K24" s="548">
        <f t="shared" si="2"/>
        <v>7.0000000000000007E-2</v>
      </c>
      <c r="L24" s="546">
        <f t="shared" si="3"/>
        <v>35000</v>
      </c>
      <c r="M24" s="548">
        <f t="shared" si="21"/>
        <v>0.11</v>
      </c>
      <c r="N24" s="546">
        <f t="shared" si="22"/>
        <v>55000</v>
      </c>
      <c r="O24" s="548">
        <f t="shared" si="4"/>
        <v>0.04</v>
      </c>
      <c r="P24" s="546">
        <f t="shared" si="5"/>
        <v>20000</v>
      </c>
      <c r="Q24" s="548">
        <f t="shared" si="6"/>
        <v>0.06</v>
      </c>
      <c r="R24" s="546">
        <f t="shared" si="7"/>
        <v>30000</v>
      </c>
      <c r="S24" s="548">
        <f t="shared" si="8"/>
        <v>0.12</v>
      </c>
      <c r="T24" s="546">
        <f t="shared" si="9"/>
        <v>60000</v>
      </c>
      <c r="U24" s="548">
        <f t="shared" si="10"/>
        <v>0.11</v>
      </c>
      <c r="V24" s="546">
        <f t="shared" si="11"/>
        <v>55000</v>
      </c>
      <c r="W24" s="548">
        <f t="shared" si="12"/>
        <v>0.14000000000000001</v>
      </c>
      <c r="X24" s="546">
        <f t="shared" si="13"/>
        <v>70000</v>
      </c>
      <c r="Y24" s="548">
        <f t="shared" si="14"/>
        <v>0.08</v>
      </c>
      <c r="Z24" s="548">
        <f t="shared" si="15"/>
        <v>40000</v>
      </c>
      <c r="AA24" s="548">
        <f t="shared" si="23"/>
        <v>0.09</v>
      </c>
      <c r="AB24" s="557">
        <f t="shared" si="24"/>
        <v>45000</v>
      </c>
      <c r="AC24" s="565"/>
      <c r="AD24" s="561"/>
      <c r="AE24" s="561"/>
      <c r="AF24" s="561"/>
      <c r="AG24" s="561"/>
      <c r="AH24" s="561"/>
      <c r="AI24" s="561"/>
      <c r="AJ24" s="561"/>
      <c r="AK24" s="561"/>
      <c r="AL24" s="561"/>
      <c r="AM24" s="561"/>
      <c r="AN24" s="561"/>
      <c r="AO24" s="561"/>
      <c r="AP24" s="561"/>
      <c r="AQ24" s="561"/>
      <c r="AR24" s="561"/>
      <c r="AS24" s="561"/>
      <c r="AT24" s="561"/>
      <c r="AU24" s="561"/>
      <c r="AV24" s="561"/>
      <c r="AW24" s="561"/>
      <c r="AX24" s="561"/>
      <c r="AY24" s="561"/>
      <c r="AZ24" s="561"/>
      <c r="BA24" s="561"/>
      <c r="BB24" s="561"/>
      <c r="BC24" s="561"/>
      <c r="BD24" s="561"/>
      <c r="BE24" s="561"/>
      <c r="BF24" s="561"/>
      <c r="BG24" s="561"/>
      <c r="BH24" s="561"/>
      <c r="BI24" s="561"/>
      <c r="BJ24" s="561"/>
      <c r="BK24" s="561"/>
      <c r="BL24" s="561"/>
      <c r="BM24" s="561"/>
      <c r="BN24" s="561"/>
      <c r="BO24" s="561"/>
      <c r="BP24" s="561"/>
      <c r="BQ24" s="561"/>
      <c r="BR24" s="561"/>
      <c r="BS24" s="561"/>
      <c r="BT24" s="561"/>
      <c r="BU24" s="561"/>
      <c r="BV24" s="561"/>
      <c r="BW24" s="561"/>
      <c r="BX24" s="561"/>
      <c r="BY24" s="561"/>
      <c r="BZ24" s="561"/>
      <c r="CA24" s="561"/>
      <c r="CB24" s="561"/>
      <c r="CC24" s="561"/>
      <c r="CD24" s="561"/>
      <c r="CE24" s="561"/>
      <c r="CF24" s="561"/>
      <c r="CG24" s="561"/>
      <c r="CH24" s="561"/>
      <c r="CI24" s="561"/>
      <c r="CJ24" s="561"/>
      <c r="CK24" s="561"/>
      <c r="CL24" s="561"/>
      <c r="CM24" s="561"/>
      <c r="CN24" s="561"/>
      <c r="CO24" s="561"/>
      <c r="CP24" s="561"/>
      <c r="CQ24" s="561"/>
      <c r="CR24" s="561"/>
      <c r="CS24" s="561"/>
      <c r="CT24" s="561"/>
      <c r="CU24" s="561"/>
      <c r="CV24" s="561"/>
      <c r="CW24" s="561"/>
      <c r="CX24" s="561"/>
      <c r="CY24" s="561"/>
      <c r="CZ24" s="561"/>
      <c r="DA24" s="561"/>
      <c r="DB24" s="561"/>
      <c r="DC24" s="561"/>
      <c r="DD24" s="561"/>
      <c r="DE24" s="561"/>
      <c r="DF24" s="561"/>
      <c r="DG24" s="561"/>
      <c r="DH24" s="561"/>
      <c r="DI24" s="561"/>
      <c r="DJ24" s="561"/>
      <c r="DK24" s="561"/>
      <c r="DL24" s="561"/>
      <c r="DM24" s="561"/>
      <c r="DN24" s="561"/>
      <c r="DO24" s="561"/>
      <c r="DP24" s="561"/>
      <c r="DQ24" s="561"/>
      <c r="DR24" s="561"/>
      <c r="DS24" s="561"/>
      <c r="DT24" s="561"/>
      <c r="DU24" s="561"/>
      <c r="DV24" s="561"/>
      <c r="DW24" s="561"/>
      <c r="DX24" s="561"/>
      <c r="DY24" s="561"/>
      <c r="DZ24" s="561"/>
      <c r="EA24" s="561"/>
      <c r="EB24" s="561"/>
      <c r="EC24" s="561"/>
      <c r="ED24" s="561"/>
      <c r="EE24" s="561"/>
      <c r="EF24" s="561"/>
      <c r="EG24" s="561"/>
      <c r="EH24" s="561"/>
      <c r="EI24" s="561"/>
      <c r="EJ24" s="561"/>
      <c r="EK24" s="561"/>
      <c r="EL24" s="561"/>
      <c r="EM24" s="561"/>
      <c r="EN24" s="561"/>
      <c r="EO24" s="561"/>
      <c r="EP24" s="561"/>
      <c r="EQ24" s="561"/>
      <c r="ER24" s="561"/>
      <c r="ES24" s="561"/>
      <c r="ET24" s="561"/>
      <c r="EU24" s="561"/>
      <c r="EV24" s="561"/>
      <c r="EW24" s="561"/>
      <c r="EX24" s="561"/>
      <c r="EY24" s="561"/>
      <c r="EZ24" s="561"/>
      <c r="FA24" s="561"/>
      <c r="FB24" s="561"/>
      <c r="FC24" s="561"/>
      <c r="FD24" s="561"/>
      <c r="FE24" s="561"/>
      <c r="FF24" s="561"/>
      <c r="FG24" s="561"/>
      <c r="FH24" s="561"/>
      <c r="FI24" s="561"/>
      <c r="FJ24" s="561"/>
      <c r="FK24" s="561"/>
      <c r="FL24" s="561"/>
      <c r="FM24" s="561"/>
      <c r="FN24" s="567"/>
      <c r="FO24" s="567"/>
      <c r="FP24" s="567"/>
      <c r="FQ24" s="567"/>
      <c r="FR24" s="567"/>
      <c r="FS24" s="567"/>
      <c r="FT24" s="567"/>
      <c r="FU24" s="567"/>
      <c r="FV24" s="567"/>
      <c r="FW24" s="567"/>
    </row>
    <row r="25" spans="1:179" s="549" customFormat="1" ht="15.75" x14ac:dyDescent="0.25">
      <c r="A25" s="545" t="str">
        <f>Hipótesis!B64</f>
        <v>Temporal</v>
      </c>
      <c r="B25" s="546">
        <f>Hipótesis!C64</f>
        <v>600000</v>
      </c>
      <c r="C25" s="547">
        <v>1</v>
      </c>
      <c r="D25" s="546">
        <f t="shared" si="16"/>
        <v>600000</v>
      </c>
      <c r="E25" s="548">
        <f t="shared" si="17"/>
        <v>0.06</v>
      </c>
      <c r="F25" s="546">
        <f t="shared" si="18"/>
        <v>36000</v>
      </c>
      <c r="G25" s="548">
        <f t="shared" si="19"/>
        <v>0.04</v>
      </c>
      <c r="H25" s="546">
        <f t="shared" si="20"/>
        <v>24000</v>
      </c>
      <c r="I25" s="548">
        <f t="shared" si="0"/>
        <v>0.08</v>
      </c>
      <c r="J25" s="546">
        <f t="shared" si="1"/>
        <v>48000</v>
      </c>
      <c r="K25" s="548">
        <f t="shared" si="2"/>
        <v>7.0000000000000007E-2</v>
      </c>
      <c r="L25" s="546">
        <f t="shared" si="3"/>
        <v>42000.000000000007</v>
      </c>
      <c r="M25" s="548">
        <f t="shared" si="21"/>
        <v>0.11</v>
      </c>
      <c r="N25" s="546">
        <f t="shared" si="22"/>
        <v>66000</v>
      </c>
      <c r="O25" s="548">
        <f t="shared" si="4"/>
        <v>0.04</v>
      </c>
      <c r="P25" s="546">
        <f t="shared" si="5"/>
        <v>24000</v>
      </c>
      <c r="Q25" s="548">
        <f t="shared" si="6"/>
        <v>0.06</v>
      </c>
      <c r="R25" s="546">
        <f t="shared" si="7"/>
        <v>36000</v>
      </c>
      <c r="S25" s="548">
        <f t="shared" si="8"/>
        <v>0.12</v>
      </c>
      <c r="T25" s="546">
        <f t="shared" si="9"/>
        <v>72000</v>
      </c>
      <c r="U25" s="548">
        <f t="shared" si="10"/>
        <v>0.11</v>
      </c>
      <c r="V25" s="546">
        <f t="shared" si="11"/>
        <v>66000</v>
      </c>
      <c r="W25" s="548">
        <f t="shared" si="12"/>
        <v>0.14000000000000001</v>
      </c>
      <c r="X25" s="546">
        <f t="shared" si="13"/>
        <v>84000.000000000015</v>
      </c>
      <c r="Y25" s="548">
        <f t="shared" si="14"/>
        <v>0.08</v>
      </c>
      <c r="Z25" s="548">
        <f t="shared" si="15"/>
        <v>48000</v>
      </c>
      <c r="AA25" s="548">
        <f t="shared" si="23"/>
        <v>0.09</v>
      </c>
      <c r="AB25" s="557">
        <f t="shared" si="24"/>
        <v>54000</v>
      </c>
      <c r="AC25" s="565"/>
      <c r="AD25" s="561"/>
      <c r="AE25" s="561"/>
      <c r="AF25" s="561"/>
      <c r="AG25" s="561"/>
      <c r="AH25" s="561"/>
      <c r="AI25" s="561"/>
      <c r="AJ25" s="561"/>
      <c r="AK25" s="561"/>
      <c r="AL25" s="561"/>
      <c r="AM25" s="561"/>
      <c r="AN25" s="561"/>
      <c r="AO25" s="561"/>
      <c r="AP25" s="561"/>
      <c r="AQ25" s="561"/>
      <c r="AR25" s="561"/>
      <c r="AS25" s="561"/>
      <c r="AT25" s="561"/>
      <c r="AU25" s="561"/>
      <c r="AV25" s="561"/>
      <c r="AW25" s="561"/>
      <c r="AX25" s="561"/>
      <c r="AY25" s="561"/>
      <c r="AZ25" s="561"/>
      <c r="BA25" s="561"/>
      <c r="BB25" s="561"/>
      <c r="BC25" s="561"/>
      <c r="BD25" s="561"/>
      <c r="BE25" s="561"/>
      <c r="BF25" s="561"/>
      <c r="BG25" s="561"/>
      <c r="BH25" s="561"/>
      <c r="BI25" s="561"/>
      <c r="BJ25" s="561"/>
      <c r="BK25" s="561"/>
      <c r="BL25" s="561"/>
      <c r="BM25" s="561"/>
      <c r="BN25" s="561"/>
      <c r="BO25" s="561"/>
      <c r="BP25" s="561"/>
      <c r="BQ25" s="561"/>
      <c r="BR25" s="561"/>
      <c r="BS25" s="561"/>
      <c r="BT25" s="561"/>
      <c r="BU25" s="561"/>
      <c r="BV25" s="561"/>
      <c r="BW25" s="561"/>
      <c r="BX25" s="561"/>
      <c r="BY25" s="561"/>
      <c r="BZ25" s="561"/>
      <c r="CA25" s="561"/>
      <c r="CB25" s="561"/>
      <c r="CC25" s="561"/>
      <c r="CD25" s="561"/>
      <c r="CE25" s="561"/>
      <c r="CF25" s="561"/>
      <c r="CG25" s="561"/>
      <c r="CH25" s="561"/>
      <c r="CI25" s="561"/>
      <c r="CJ25" s="561"/>
      <c r="CK25" s="561"/>
      <c r="CL25" s="561"/>
      <c r="CM25" s="561"/>
      <c r="CN25" s="561"/>
      <c r="CO25" s="561"/>
      <c r="CP25" s="561"/>
      <c r="CQ25" s="561"/>
      <c r="CR25" s="561"/>
      <c r="CS25" s="561"/>
      <c r="CT25" s="561"/>
      <c r="CU25" s="561"/>
      <c r="CV25" s="561"/>
      <c r="CW25" s="561"/>
      <c r="CX25" s="561"/>
      <c r="CY25" s="561"/>
      <c r="CZ25" s="561"/>
      <c r="DA25" s="561"/>
      <c r="DB25" s="561"/>
      <c r="DC25" s="561"/>
      <c r="DD25" s="561"/>
      <c r="DE25" s="561"/>
      <c r="DF25" s="561"/>
      <c r="DG25" s="561"/>
      <c r="DH25" s="561"/>
      <c r="DI25" s="561"/>
      <c r="DJ25" s="561"/>
      <c r="DK25" s="561"/>
      <c r="DL25" s="561"/>
      <c r="DM25" s="561"/>
      <c r="DN25" s="561"/>
      <c r="DO25" s="561"/>
      <c r="DP25" s="561"/>
      <c r="DQ25" s="561"/>
      <c r="DR25" s="561"/>
      <c r="DS25" s="561"/>
      <c r="DT25" s="561"/>
      <c r="DU25" s="561"/>
      <c r="DV25" s="561"/>
      <c r="DW25" s="561"/>
      <c r="DX25" s="561"/>
      <c r="DY25" s="561"/>
      <c r="DZ25" s="561"/>
      <c r="EA25" s="561"/>
      <c r="EB25" s="561"/>
      <c r="EC25" s="561"/>
      <c r="ED25" s="561"/>
      <c r="EE25" s="561"/>
      <c r="EF25" s="561"/>
      <c r="EG25" s="561"/>
      <c r="EH25" s="561"/>
      <c r="EI25" s="561"/>
      <c r="EJ25" s="561"/>
      <c r="EK25" s="561"/>
      <c r="EL25" s="561"/>
      <c r="EM25" s="561"/>
      <c r="EN25" s="561"/>
      <c r="EO25" s="561"/>
      <c r="EP25" s="561"/>
      <c r="EQ25" s="561"/>
      <c r="ER25" s="561"/>
      <c r="ES25" s="561"/>
      <c r="ET25" s="561"/>
      <c r="EU25" s="561"/>
      <c r="EV25" s="561"/>
      <c r="EW25" s="561"/>
      <c r="EX25" s="561"/>
      <c r="EY25" s="561"/>
      <c r="EZ25" s="561"/>
      <c r="FA25" s="561"/>
      <c r="FB25" s="561"/>
      <c r="FC25" s="561"/>
      <c r="FD25" s="561"/>
      <c r="FE25" s="561"/>
      <c r="FF25" s="561"/>
      <c r="FG25" s="561"/>
      <c r="FH25" s="561"/>
      <c r="FI25" s="561"/>
      <c r="FJ25" s="561"/>
      <c r="FK25" s="561"/>
      <c r="FL25" s="561"/>
      <c r="FM25" s="561"/>
      <c r="FN25" s="567"/>
      <c r="FO25" s="567"/>
      <c r="FP25" s="567"/>
      <c r="FQ25" s="567"/>
      <c r="FR25" s="567"/>
      <c r="FS25" s="567"/>
      <c r="FT25" s="567"/>
      <c r="FU25" s="567"/>
      <c r="FV25" s="567"/>
      <c r="FW25" s="567"/>
    </row>
    <row r="26" spans="1:179" s="554" customFormat="1" ht="16.5" thickBot="1" x14ac:dyDescent="0.3">
      <c r="A26" s="550" t="str">
        <f>Hipótesis!B65</f>
        <v>Experto</v>
      </c>
      <c r="B26" s="551">
        <f>Hipótesis!C65</f>
        <v>800000</v>
      </c>
      <c r="C26" s="552">
        <v>1</v>
      </c>
      <c r="D26" s="551">
        <f t="shared" si="16"/>
        <v>800000</v>
      </c>
      <c r="E26" s="553">
        <f t="shared" si="17"/>
        <v>0.06</v>
      </c>
      <c r="F26" s="551">
        <f t="shared" si="18"/>
        <v>48000</v>
      </c>
      <c r="G26" s="553">
        <f t="shared" si="19"/>
        <v>0.04</v>
      </c>
      <c r="H26" s="551">
        <f t="shared" si="20"/>
        <v>32000</v>
      </c>
      <c r="I26" s="553">
        <f t="shared" si="0"/>
        <v>0.08</v>
      </c>
      <c r="J26" s="551">
        <f t="shared" si="1"/>
        <v>64000</v>
      </c>
      <c r="K26" s="553">
        <f t="shared" si="2"/>
        <v>7.0000000000000007E-2</v>
      </c>
      <c r="L26" s="551">
        <f t="shared" si="3"/>
        <v>56000.000000000007</v>
      </c>
      <c r="M26" s="553">
        <f t="shared" si="21"/>
        <v>0.11</v>
      </c>
      <c r="N26" s="551">
        <f t="shared" si="22"/>
        <v>88000</v>
      </c>
      <c r="O26" s="553">
        <f t="shared" si="4"/>
        <v>0.04</v>
      </c>
      <c r="P26" s="551">
        <f t="shared" si="5"/>
        <v>32000</v>
      </c>
      <c r="Q26" s="553">
        <f t="shared" si="6"/>
        <v>0.06</v>
      </c>
      <c r="R26" s="551">
        <f t="shared" si="7"/>
        <v>48000</v>
      </c>
      <c r="S26" s="553">
        <f t="shared" si="8"/>
        <v>0.12</v>
      </c>
      <c r="T26" s="551">
        <f t="shared" si="9"/>
        <v>96000</v>
      </c>
      <c r="U26" s="553">
        <f t="shared" si="10"/>
        <v>0.11</v>
      </c>
      <c r="V26" s="551">
        <f t="shared" si="11"/>
        <v>88000</v>
      </c>
      <c r="W26" s="553">
        <f t="shared" si="12"/>
        <v>0.14000000000000001</v>
      </c>
      <c r="X26" s="551">
        <f t="shared" si="13"/>
        <v>112000.00000000001</v>
      </c>
      <c r="Y26" s="553">
        <f t="shared" si="14"/>
        <v>0.08</v>
      </c>
      <c r="Z26" s="553">
        <f t="shared" si="15"/>
        <v>64000</v>
      </c>
      <c r="AA26" s="553">
        <f t="shared" si="23"/>
        <v>0.09</v>
      </c>
      <c r="AB26" s="558">
        <f t="shared" si="24"/>
        <v>72000</v>
      </c>
      <c r="AC26" s="565"/>
      <c r="AD26" s="561"/>
      <c r="AE26" s="561"/>
      <c r="AF26" s="561"/>
      <c r="AG26" s="561"/>
      <c r="AH26" s="561"/>
      <c r="AI26" s="561"/>
      <c r="AJ26" s="561"/>
      <c r="AK26" s="561"/>
      <c r="AL26" s="561"/>
      <c r="AM26" s="561"/>
      <c r="AN26" s="561"/>
      <c r="AO26" s="561"/>
      <c r="AP26" s="561"/>
      <c r="AQ26" s="561"/>
      <c r="AR26" s="561"/>
      <c r="AS26" s="561"/>
      <c r="AT26" s="561"/>
      <c r="AU26" s="561"/>
      <c r="AV26" s="561"/>
      <c r="AW26" s="561"/>
      <c r="AX26" s="561"/>
      <c r="AY26" s="561"/>
      <c r="AZ26" s="561"/>
      <c r="BA26" s="561"/>
      <c r="BB26" s="561"/>
      <c r="BC26" s="561"/>
      <c r="BD26" s="561"/>
      <c r="BE26" s="561"/>
      <c r="BF26" s="561"/>
      <c r="BG26" s="561"/>
      <c r="BH26" s="561"/>
      <c r="BI26" s="561"/>
      <c r="BJ26" s="561"/>
      <c r="BK26" s="561"/>
      <c r="BL26" s="561"/>
      <c r="BM26" s="561"/>
      <c r="BN26" s="561"/>
      <c r="BO26" s="561"/>
      <c r="BP26" s="561"/>
      <c r="BQ26" s="561"/>
      <c r="BR26" s="561"/>
      <c r="BS26" s="561"/>
      <c r="BT26" s="561"/>
      <c r="BU26" s="561"/>
      <c r="BV26" s="561"/>
      <c r="BW26" s="561"/>
      <c r="BX26" s="561"/>
      <c r="BY26" s="561"/>
      <c r="BZ26" s="561"/>
      <c r="CA26" s="561"/>
      <c r="CB26" s="561"/>
      <c r="CC26" s="561"/>
      <c r="CD26" s="561"/>
      <c r="CE26" s="561"/>
      <c r="CF26" s="561"/>
      <c r="CG26" s="561"/>
      <c r="CH26" s="561"/>
      <c r="CI26" s="561"/>
      <c r="CJ26" s="561"/>
      <c r="CK26" s="561"/>
      <c r="CL26" s="561"/>
      <c r="CM26" s="561"/>
      <c r="CN26" s="561"/>
      <c r="CO26" s="561"/>
      <c r="CP26" s="561"/>
      <c r="CQ26" s="561"/>
      <c r="CR26" s="561"/>
      <c r="CS26" s="561"/>
      <c r="CT26" s="561"/>
      <c r="CU26" s="561"/>
      <c r="CV26" s="561"/>
      <c r="CW26" s="561"/>
      <c r="CX26" s="561"/>
      <c r="CY26" s="561"/>
      <c r="CZ26" s="561"/>
      <c r="DA26" s="561"/>
      <c r="DB26" s="561"/>
      <c r="DC26" s="561"/>
      <c r="DD26" s="561"/>
      <c r="DE26" s="561"/>
      <c r="DF26" s="561"/>
      <c r="DG26" s="561"/>
      <c r="DH26" s="561"/>
      <c r="DI26" s="561"/>
      <c r="DJ26" s="561"/>
      <c r="DK26" s="561"/>
      <c r="DL26" s="561"/>
      <c r="DM26" s="561"/>
      <c r="DN26" s="561"/>
      <c r="DO26" s="561"/>
      <c r="DP26" s="561"/>
      <c r="DQ26" s="561"/>
      <c r="DR26" s="561"/>
      <c r="DS26" s="561"/>
      <c r="DT26" s="561"/>
      <c r="DU26" s="561"/>
      <c r="DV26" s="561"/>
      <c r="DW26" s="561"/>
      <c r="DX26" s="561"/>
      <c r="DY26" s="561"/>
      <c r="DZ26" s="561"/>
      <c r="EA26" s="561"/>
      <c r="EB26" s="561"/>
      <c r="EC26" s="561"/>
      <c r="ED26" s="561"/>
      <c r="EE26" s="561"/>
      <c r="EF26" s="561"/>
      <c r="EG26" s="561"/>
      <c r="EH26" s="561"/>
      <c r="EI26" s="561"/>
      <c r="EJ26" s="561"/>
      <c r="EK26" s="561"/>
      <c r="EL26" s="561"/>
      <c r="EM26" s="561"/>
      <c r="EN26" s="561"/>
      <c r="EO26" s="561"/>
      <c r="EP26" s="561"/>
      <c r="EQ26" s="561"/>
      <c r="ER26" s="561"/>
      <c r="ES26" s="561"/>
      <c r="ET26" s="561"/>
      <c r="EU26" s="561"/>
      <c r="EV26" s="561"/>
      <c r="EW26" s="561"/>
      <c r="EX26" s="561"/>
      <c r="EY26" s="561"/>
      <c r="EZ26" s="561"/>
      <c r="FA26" s="561"/>
      <c r="FB26" s="561"/>
      <c r="FC26" s="561"/>
      <c r="FD26" s="561"/>
      <c r="FE26" s="561"/>
      <c r="FF26" s="561"/>
      <c r="FG26" s="561"/>
      <c r="FH26" s="561"/>
      <c r="FI26" s="561"/>
      <c r="FJ26" s="561"/>
      <c r="FK26" s="561"/>
      <c r="FL26" s="561"/>
      <c r="FM26" s="561"/>
      <c r="FN26" s="567"/>
      <c r="FO26" s="567"/>
      <c r="FP26" s="567"/>
      <c r="FQ26" s="567"/>
      <c r="FR26" s="567"/>
      <c r="FS26" s="567"/>
      <c r="FT26" s="567"/>
      <c r="FU26" s="567"/>
      <c r="FV26" s="567"/>
      <c r="FW26" s="567"/>
    </row>
    <row r="27" spans="1:179" ht="16.5" thickBot="1" x14ac:dyDescent="0.3">
      <c r="A27" s="862" t="s">
        <v>73</v>
      </c>
      <c r="B27" s="863"/>
      <c r="C27" s="574"/>
      <c r="D27" s="575">
        <f>SUM(D19:D26)</f>
        <v>18100000</v>
      </c>
      <c r="E27" s="576"/>
      <c r="F27" s="577">
        <f>SUM(F19:F26)</f>
        <v>1086000</v>
      </c>
      <c r="G27" s="576"/>
      <c r="H27" s="577">
        <f>SUM(H19:H26)</f>
        <v>724000</v>
      </c>
      <c r="I27" s="576"/>
      <c r="J27" s="577">
        <f>SUM(J19:J26)</f>
        <v>1448000</v>
      </c>
      <c r="K27" s="576"/>
      <c r="L27" s="577">
        <f>SUM(L19:L26)</f>
        <v>1267000</v>
      </c>
      <c r="M27" s="576"/>
      <c r="N27" s="577">
        <f>SUM(N19:N26)</f>
        <v>1991000</v>
      </c>
      <c r="O27" s="576"/>
      <c r="P27" s="577">
        <f>SUM(P19:P26)</f>
        <v>724000</v>
      </c>
      <c r="Q27" s="576"/>
      <c r="R27" s="577">
        <f>SUM(R19:R26)</f>
        <v>1086000</v>
      </c>
      <c r="S27" s="576"/>
      <c r="T27" s="577">
        <f>SUM(T19:T26)</f>
        <v>2172000</v>
      </c>
      <c r="U27" s="576"/>
      <c r="V27" s="577">
        <f>SUM(V19:V26)</f>
        <v>1991000</v>
      </c>
      <c r="W27" s="576"/>
      <c r="X27" s="577">
        <f>SUM(X19:X26)</f>
        <v>2534000</v>
      </c>
      <c r="Y27" s="576"/>
      <c r="Z27" s="577">
        <f>SUM(Z19:Z26)</f>
        <v>1448000</v>
      </c>
      <c r="AA27" s="576"/>
      <c r="AB27" s="577">
        <f>SUM(AB19:AB26)</f>
        <v>1629000</v>
      </c>
      <c r="AC27" s="41"/>
    </row>
    <row r="28" spans="1:179" ht="15.75" x14ac:dyDescent="0.25">
      <c r="A28" s="864" t="s">
        <v>339</v>
      </c>
      <c r="B28" s="865"/>
      <c r="C28" s="570">
        <f>SUM(C19:C22)</f>
        <v>7</v>
      </c>
      <c r="D28" s="571"/>
      <c r="E28" s="572">
        <f>E19</f>
        <v>0.12</v>
      </c>
      <c r="F28" s="573"/>
      <c r="G28" s="572">
        <f>G19</f>
        <v>0.08</v>
      </c>
      <c r="H28" s="573"/>
      <c r="I28" s="572">
        <f>I19</f>
        <v>0.16</v>
      </c>
      <c r="J28" s="573"/>
      <c r="K28" s="572">
        <f>K19</f>
        <v>0.14000000000000001</v>
      </c>
      <c r="L28" s="573"/>
      <c r="M28" s="572">
        <f>M19</f>
        <v>0.22</v>
      </c>
      <c r="N28" s="573"/>
      <c r="O28" s="572">
        <f>O19</f>
        <v>0.08</v>
      </c>
      <c r="P28" s="573"/>
      <c r="Q28" s="572">
        <f>Q19</f>
        <v>0.12</v>
      </c>
      <c r="R28" s="573"/>
      <c r="S28" s="572">
        <f>S19</f>
        <v>0.24</v>
      </c>
      <c r="T28" s="573"/>
      <c r="U28" s="572">
        <f>U19</f>
        <v>0.22</v>
      </c>
      <c r="V28" s="573"/>
      <c r="W28" s="572">
        <f>W19</f>
        <v>0.28000000000000003</v>
      </c>
      <c r="X28" s="573"/>
      <c r="Y28" s="572">
        <f>Y19</f>
        <v>0.16</v>
      </c>
      <c r="Z28" s="573"/>
      <c r="AA28" s="572">
        <f>AA19</f>
        <v>0.18</v>
      </c>
      <c r="AB28" s="571"/>
    </row>
    <row r="29" spans="1:179" ht="16.5" thickBot="1" x14ac:dyDescent="0.3">
      <c r="A29" s="866" t="s">
        <v>340</v>
      </c>
      <c r="B29" s="867"/>
      <c r="C29" s="568">
        <f>SUM(C23:C26)</f>
        <v>4</v>
      </c>
      <c r="D29" s="75"/>
      <c r="E29" s="569">
        <f>E20</f>
        <v>0.12</v>
      </c>
      <c r="F29" s="74"/>
      <c r="G29" s="569">
        <f>G20</f>
        <v>0.08</v>
      </c>
      <c r="H29" s="74"/>
      <c r="I29" s="569">
        <f>I20</f>
        <v>0.16</v>
      </c>
      <c r="J29" s="74"/>
      <c r="K29" s="569">
        <f>K20</f>
        <v>0.14000000000000001</v>
      </c>
      <c r="L29" s="74"/>
      <c r="M29" s="569">
        <f>M20</f>
        <v>0.22</v>
      </c>
      <c r="N29" s="74"/>
      <c r="O29" s="569">
        <f>O20</f>
        <v>0.08</v>
      </c>
      <c r="P29" s="74"/>
      <c r="Q29" s="569">
        <f>Q20</f>
        <v>0.12</v>
      </c>
      <c r="R29" s="74"/>
      <c r="S29" s="569">
        <f>S20</f>
        <v>0.24</v>
      </c>
      <c r="T29" s="74"/>
      <c r="U29" s="569">
        <f>U20</f>
        <v>0.22</v>
      </c>
      <c r="V29" s="74"/>
      <c r="W29" s="569">
        <f>W20</f>
        <v>0.28000000000000003</v>
      </c>
      <c r="X29" s="74"/>
      <c r="Y29" s="569">
        <f>Y20</f>
        <v>0.16</v>
      </c>
      <c r="Z29" s="74"/>
      <c r="AA29" s="569">
        <f>AA20</f>
        <v>0.18</v>
      </c>
      <c r="AB29" s="75"/>
    </row>
    <row r="30" spans="1:179" ht="15.75" thickBot="1" x14ac:dyDescent="0.3">
      <c r="D30" s="33"/>
      <c r="I30" s="39"/>
      <c r="J30" s="39"/>
      <c r="K30" s="39"/>
      <c r="L30" s="39"/>
      <c r="N30" s="39"/>
      <c r="O30" s="39"/>
      <c r="P30" s="39"/>
      <c r="Q30" s="39"/>
      <c r="R30" s="39"/>
      <c r="S30" s="39"/>
      <c r="T30" s="39"/>
      <c r="U30" s="39"/>
      <c r="V30" s="39"/>
      <c r="W30" s="39"/>
      <c r="X30" s="39"/>
      <c r="Y30" s="39"/>
      <c r="Z30" s="39"/>
      <c r="AB30" s="39"/>
    </row>
    <row r="31" spans="1:179" ht="27" thickBot="1" x14ac:dyDescent="0.45">
      <c r="A31" s="798" t="s">
        <v>334</v>
      </c>
      <c r="B31" s="799"/>
      <c r="C31" s="799"/>
      <c r="D31" s="799"/>
      <c r="E31" s="799"/>
      <c r="F31" s="799"/>
      <c r="G31" s="799"/>
      <c r="H31" s="799"/>
      <c r="I31" s="799"/>
      <c r="J31" s="799"/>
      <c r="K31" s="799"/>
      <c r="L31" s="799"/>
      <c r="M31" s="799"/>
      <c r="N31" s="799"/>
      <c r="O31" s="799"/>
      <c r="P31" s="799"/>
      <c r="Q31" s="799"/>
      <c r="R31" s="799"/>
      <c r="S31" s="799"/>
      <c r="T31" s="799"/>
      <c r="U31" s="799"/>
      <c r="V31" s="799"/>
      <c r="W31" s="799"/>
      <c r="X31" s="799"/>
      <c r="Y31" s="799"/>
      <c r="Z31" s="799"/>
      <c r="AA31" s="799"/>
      <c r="AB31" s="800"/>
    </row>
    <row r="32" spans="1:179" ht="158.25" customHeight="1" thickBot="1" x14ac:dyDescent="0.3">
      <c r="A32" s="583" t="s">
        <v>68</v>
      </c>
      <c r="B32" s="782" t="s">
        <v>374</v>
      </c>
      <c r="C32" s="783"/>
      <c r="D32" s="783"/>
      <c r="E32" s="784"/>
      <c r="F32" s="784"/>
      <c r="G32" s="784"/>
      <c r="H32" s="784"/>
      <c r="I32" s="784"/>
      <c r="J32" s="784"/>
      <c r="K32" s="784"/>
      <c r="L32" s="784"/>
      <c r="M32" s="784"/>
      <c r="N32" s="784"/>
      <c r="O32" s="784"/>
      <c r="P32" s="784"/>
      <c r="Q32" s="784"/>
      <c r="R32" s="784"/>
      <c r="S32" s="784"/>
      <c r="T32" s="784"/>
      <c r="U32" s="784"/>
      <c r="V32" s="784"/>
      <c r="W32" s="784"/>
      <c r="X32" s="784"/>
      <c r="Y32" s="784"/>
      <c r="Z32" s="784"/>
      <c r="AA32" s="784"/>
      <c r="AB32" s="785"/>
    </row>
    <row r="33" spans="1:28" ht="21.75" thickBot="1" x14ac:dyDescent="0.4">
      <c r="A33" s="805" t="s">
        <v>61</v>
      </c>
      <c r="B33" s="806"/>
      <c r="C33" s="787" t="s">
        <v>62</v>
      </c>
      <c r="D33" s="788"/>
      <c r="E33" s="796" t="s">
        <v>341</v>
      </c>
      <c r="F33" s="796"/>
      <c r="G33" s="796"/>
      <c r="H33" s="796"/>
      <c r="I33" s="796"/>
      <c r="J33" s="796"/>
      <c r="K33" s="796"/>
      <c r="L33" s="796"/>
      <c r="M33" s="796"/>
      <c r="N33" s="796"/>
      <c r="O33" s="796"/>
      <c r="P33" s="796"/>
      <c r="Q33" s="796"/>
      <c r="R33" s="796"/>
      <c r="S33" s="796"/>
      <c r="T33" s="796"/>
      <c r="U33" s="796"/>
      <c r="V33" s="796"/>
      <c r="W33" s="796"/>
      <c r="X33" s="796"/>
      <c r="Y33" s="796"/>
      <c r="Z33" s="796"/>
      <c r="AA33" s="796"/>
      <c r="AB33" s="797"/>
    </row>
    <row r="34" spans="1:28" ht="15.75" thickBot="1" x14ac:dyDescent="0.3">
      <c r="A34" s="807"/>
      <c r="B34" s="808"/>
      <c r="C34" s="727" t="s">
        <v>57</v>
      </c>
      <c r="D34" s="728" t="s">
        <v>61</v>
      </c>
      <c r="E34" s="757" t="s">
        <v>42</v>
      </c>
      <c r="F34" s="758"/>
      <c r="G34" s="759" t="s">
        <v>43</v>
      </c>
      <c r="H34" s="758"/>
      <c r="I34" s="759" t="s">
        <v>44</v>
      </c>
      <c r="J34" s="758"/>
      <c r="K34" s="759" t="s">
        <v>45</v>
      </c>
      <c r="L34" s="758"/>
      <c r="M34" s="759" t="s">
        <v>46</v>
      </c>
      <c r="N34" s="758"/>
      <c r="O34" s="759" t="s">
        <v>47</v>
      </c>
      <c r="P34" s="758"/>
      <c r="Q34" s="759" t="s">
        <v>48</v>
      </c>
      <c r="R34" s="758"/>
      <c r="S34" s="759" t="s">
        <v>49</v>
      </c>
      <c r="T34" s="758"/>
      <c r="U34" s="759" t="s">
        <v>50</v>
      </c>
      <c r="V34" s="758"/>
      <c r="W34" s="759" t="s">
        <v>51</v>
      </c>
      <c r="X34" s="758"/>
      <c r="Y34" s="759" t="s">
        <v>52</v>
      </c>
      <c r="Z34" s="758"/>
      <c r="AA34" s="759" t="s">
        <v>53</v>
      </c>
      <c r="AB34" s="758"/>
    </row>
    <row r="35" spans="1:28" x14ac:dyDescent="0.25">
      <c r="A35" s="809" t="s">
        <v>60</v>
      </c>
      <c r="B35" s="810"/>
      <c r="C35" s="585">
        <v>1</v>
      </c>
      <c r="D35" s="586" t="s">
        <v>344</v>
      </c>
      <c r="E35" s="795"/>
      <c r="F35" s="777"/>
      <c r="G35" s="777"/>
      <c r="H35" s="777"/>
      <c r="I35" s="777"/>
      <c r="J35" s="777"/>
      <c r="K35" s="777"/>
      <c r="L35" s="777"/>
      <c r="M35" s="777"/>
      <c r="N35" s="777"/>
      <c r="O35" s="777"/>
      <c r="P35" s="777"/>
      <c r="Q35" s="777"/>
      <c r="R35" s="777"/>
      <c r="S35" s="777"/>
      <c r="T35" s="777"/>
      <c r="U35" s="777"/>
      <c r="V35" s="777"/>
      <c r="W35" s="777"/>
      <c r="X35" s="777"/>
      <c r="Y35" s="777"/>
      <c r="Z35" s="777"/>
      <c r="AA35" s="777"/>
      <c r="AB35" s="778"/>
    </row>
    <row r="36" spans="1:28" x14ac:dyDescent="0.25">
      <c r="A36" s="811"/>
      <c r="B36" s="812"/>
      <c r="C36" s="587">
        <v>1</v>
      </c>
      <c r="D36" s="588" t="s">
        <v>345</v>
      </c>
      <c r="E36" s="724"/>
      <c r="F36" s="731"/>
      <c r="G36" s="731"/>
      <c r="H36" s="731"/>
      <c r="I36" s="731"/>
      <c r="J36" s="731"/>
      <c r="K36" s="731"/>
      <c r="L36" s="731"/>
      <c r="M36" s="731"/>
      <c r="N36" s="731"/>
      <c r="O36" s="731"/>
      <c r="P36" s="731"/>
      <c r="Q36" s="731"/>
      <c r="R36" s="731"/>
      <c r="S36" s="731"/>
      <c r="T36" s="731"/>
      <c r="U36" s="731"/>
      <c r="V36" s="731"/>
      <c r="W36" s="731"/>
      <c r="X36" s="731"/>
      <c r="Y36" s="731"/>
      <c r="Z36" s="731"/>
      <c r="AA36" s="731"/>
      <c r="AB36" s="779"/>
    </row>
    <row r="37" spans="1:28" x14ac:dyDescent="0.25">
      <c r="A37" s="811"/>
      <c r="B37" s="812"/>
      <c r="C37" s="587">
        <v>1</v>
      </c>
      <c r="D37" s="588" t="s">
        <v>346</v>
      </c>
      <c r="E37" s="724"/>
      <c r="F37" s="731"/>
      <c r="G37" s="731"/>
      <c r="H37" s="731"/>
      <c r="I37" s="731"/>
      <c r="J37" s="731"/>
      <c r="K37" s="731"/>
      <c r="L37" s="731"/>
      <c r="M37" s="731"/>
      <c r="N37" s="731"/>
      <c r="O37" s="731"/>
      <c r="P37" s="731"/>
      <c r="Q37" s="731"/>
      <c r="R37" s="731"/>
      <c r="S37" s="731"/>
      <c r="T37" s="731"/>
      <c r="U37" s="731"/>
      <c r="V37" s="731"/>
      <c r="W37" s="731"/>
      <c r="X37" s="731"/>
      <c r="Y37" s="731"/>
      <c r="Z37" s="731"/>
      <c r="AA37" s="731"/>
      <c r="AB37" s="779"/>
    </row>
    <row r="38" spans="1:28" x14ac:dyDescent="0.25">
      <c r="A38" s="811"/>
      <c r="B38" s="812"/>
      <c r="C38" s="587">
        <v>1</v>
      </c>
      <c r="D38" s="588" t="s">
        <v>347</v>
      </c>
      <c r="E38" s="724"/>
      <c r="F38" s="731"/>
      <c r="G38" s="731"/>
      <c r="H38" s="731"/>
      <c r="I38" s="731"/>
      <c r="J38" s="731"/>
      <c r="K38" s="731"/>
      <c r="L38" s="731"/>
      <c r="M38" s="731"/>
      <c r="N38" s="731"/>
      <c r="O38" s="731"/>
      <c r="P38" s="731"/>
      <c r="Q38" s="731"/>
      <c r="R38" s="731"/>
      <c r="S38" s="731"/>
      <c r="T38" s="731"/>
      <c r="U38" s="731"/>
      <c r="V38" s="731"/>
      <c r="W38" s="731"/>
      <c r="X38" s="731"/>
      <c r="Y38" s="731"/>
      <c r="Z38" s="731"/>
      <c r="AA38" s="731"/>
      <c r="AB38" s="779"/>
    </row>
    <row r="39" spans="1:28" x14ac:dyDescent="0.25">
      <c r="A39" s="811"/>
      <c r="B39" s="812"/>
      <c r="C39" s="587">
        <v>1</v>
      </c>
      <c r="D39" s="588" t="s">
        <v>348</v>
      </c>
      <c r="E39" s="724"/>
      <c r="F39" s="731"/>
      <c r="G39" s="731"/>
      <c r="H39" s="731"/>
      <c r="I39" s="731"/>
      <c r="J39" s="731"/>
      <c r="K39" s="731"/>
      <c r="L39" s="731"/>
      <c r="M39" s="731"/>
      <c r="N39" s="731"/>
      <c r="O39" s="731"/>
      <c r="P39" s="731"/>
      <c r="Q39" s="731"/>
      <c r="R39" s="731"/>
      <c r="S39" s="731"/>
      <c r="T39" s="731"/>
      <c r="U39" s="731"/>
      <c r="V39" s="731"/>
      <c r="W39" s="731"/>
      <c r="X39" s="731"/>
      <c r="Y39" s="731"/>
      <c r="Z39" s="731"/>
      <c r="AA39" s="731"/>
      <c r="AB39" s="779"/>
    </row>
    <row r="40" spans="1:28" x14ac:dyDescent="0.25">
      <c r="A40" s="811"/>
      <c r="B40" s="812"/>
      <c r="C40" s="587">
        <v>2</v>
      </c>
      <c r="D40" s="588" t="s">
        <v>349</v>
      </c>
      <c r="E40" s="724"/>
      <c r="F40" s="731"/>
      <c r="G40" s="731"/>
      <c r="H40" s="731"/>
      <c r="I40" s="731"/>
      <c r="J40" s="731"/>
      <c r="K40" s="731"/>
      <c r="L40" s="731"/>
      <c r="M40" s="731"/>
      <c r="N40" s="731"/>
      <c r="O40" s="731"/>
      <c r="P40" s="731"/>
      <c r="Q40" s="731"/>
      <c r="R40" s="731"/>
      <c r="S40" s="731"/>
      <c r="T40" s="731"/>
      <c r="U40" s="731"/>
      <c r="V40" s="731"/>
      <c r="W40" s="731"/>
      <c r="X40" s="731"/>
      <c r="Y40" s="731"/>
      <c r="Z40" s="731"/>
      <c r="AA40" s="731"/>
      <c r="AB40" s="779"/>
    </row>
    <row r="41" spans="1:28" x14ac:dyDescent="0.25">
      <c r="A41" s="811"/>
      <c r="B41" s="812"/>
      <c r="C41" s="587">
        <v>1</v>
      </c>
      <c r="D41" s="588" t="s">
        <v>350</v>
      </c>
      <c r="E41" s="724"/>
      <c r="F41" s="731"/>
      <c r="G41" s="731"/>
      <c r="H41" s="731"/>
      <c r="I41" s="731"/>
      <c r="J41" s="731"/>
      <c r="K41" s="731"/>
      <c r="L41" s="731"/>
      <c r="M41" s="731"/>
      <c r="N41" s="731"/>
      <c r="O41" s="731"/>
      <c r="P41" s="731"/>
      <c r="Q41" s="731"/>
      <c r="R41" s="731"/>
      <c r="S41" s="731"/>
      <c r="T41" s="731"/>
      <c r="U41" s="731"/>
      <c r="V41" s="731"/>
      <c r="W41" s="731"/>
      <c r="X41" s="731"/>
      <c r="Y41" s="731"/>
      <c r="Z41" s="731"/>
      <c r="AA41" s="731"/>
      <c r="AB41" s="779"/>
    </row>
    <row r="42" spans="1:28" ht="15.75" thickBot="1" x14ac:dyDescent="0.3">
      <c r="A42" s="811"/>
      <c r="B42" s="812"/>
      <c r="C42" s="587">
        <v>1</v>
      </c>
      <c r="D42" s="588" t="s">
        <v>351</v>
      </c>
      <c r="E42" s="724"/>
      <c r="F42" s="731"/>
      <c r="G42" s="731"/>
      <c r="H42" s="731"/>
      <c r="I42" s="731"/>
      <c r="J42" s="731"/>
      <c r="K42" s="731"/>
      <c r="L42" s="731"/>
      <c r="M42" s="731"/>
      <c r="N42" s="731"/>
      <c r="O42" s="731"/>
      <c r="P42" s="731"/>
      <c r="Q42" s="731"/>
      <c r="R42" s="731"/>
      <c r="S42" s="731"/>
      <c r="T42" s="731"/>
      <c r="U42" s="804"/>
      <c r="V42" s="804"/>
      <c r="W42" s="804"/>
      <c r="X42" s="804"/>
      <c r="Y42" s="804"/>
      <c r="Z42" s="804"/>
      <c r="AA42" s="731"/>
      <c r="AB42" s="779"/>
    </row>
    <row r="43" spans="1:28" x14ac:dyDescent="0.25">
      <c r="A43" s="789" t="s">
        <v>65</v>
      </c>
      <c r="B43" s="790"/>
      <c r="C43" s="585">
        <v>9</v>
      </c>
      <c r="D43" s="589" t="s">
        <v>352</v>
      </c>
      <c r="E43" s="795"/>
      <c r="F43" s="777"/>
      <c r="G43" s="777"/>
      <c r="H43" s="777"/>
      <c r="I43" s="777"/>
      <c r="J43" s="777"/>
      <c r="K43" s="777"/>
      <c r="L43" s="777"/>
      <c r="M43" s="777"/>
      <c r="N43" s="777"/>
      <c r="O43" s="777"/>
      <c r="P43" s="777"/>
      <c r="Q43" s="777"/>
      <c r="R43" s="777"/>
      <c r="S43" s="777"/>
      <c r="T43" s="777"/>
      <c r="U43" s="813"/>
      <c r="V43" s="813"/>
      <c r="W43" s="813"/>
      <c r="X43" s="813"/>
      <c r="Y43" s="777"/>
      <c r="Z43" s="777"/>
      <c r="AA43" s="777"/>
      <c r="AB43" s="778"/>
    </row>
    <row r="44" spans="1:28" x14ac:dyDescent="0.25">
      <c r="A44" s="791"/>
      <c r="B44" s="792"/>
      <c r="C44" s="587">
        <v>4</v>
      </c>
      <c r="D44" s="588" t="s">
        <v>353</v>
      </c>
      <c r="E44" s="724"/>
      <c r="F44" s="731"/>
      <c r="G44" s="731"/>
      <c r="H44" s="731"/>
      <c r="I44" s="731"/>
      <c r="J44" s="731"/>
      <c r="K44" s="731"/>
      <c r="L44" s="731"/>
      <c r="M44" s="731"/>
      <c r="N44" s="731"/>
      <c r="O44" s="731"/>
      <c r="P44" s="731"/>
      <c r="Q44" s="731"/>
      <c r="R44" s="731"/>
      <c r="S44" s="731"/>
      <c r="T44" s="731"/>
      <c r="U44" s="731"/>
      <c r="V44" s="731"/>
      <c r="W44" s="731"/>
      <c r="X44" s="731"/>
      <c r="Y44" s="731"/>
      <c r="Z44" s="731"/>
      <c r="AA44" s="731"/>
      <c r="AB44" s="779"/>
    </row>
    <row r="45" spans="1:28" x14ac:dyDescent="0.25">
      <c r="A45" s="791"/>
      <c r="B45" s="792"/>
      <c r="C45" s="587">
        <v>15</v>
      </c>
      <c r="D45" s="588" t="s">
        <v>354</v>
      </c>
      <c r="E45" s="724"/>
      <c r="F45" s="731"/>
      <c r="G45" s="731"/>
      <c r="H45" s="731"/>
      <c r="I45" s="731"/>
      <c r="J45" s="731"/>
      <c r="K45" s="731"/>
      <c r="L45" s="731"/>
      <c r="M45" s="731"/>
      <c r="N45" s="731"/>
      <c r="O45" s="731"/>
      <c r="P45" s="731"/>
      <c r="Q45" s="731"/>
      <c r="R45" s="731"/>
      <c r="S45" s="731"/>
      <c r="T45" s="731"/>
      <c r="U45" s="731"/>
      <c r="V45" s="731"/>
      <c r="W45" s="731"/>
      <c r="X45" s="731"/>
      <c r="Y45" s="731"/>
      <c r="Z45" s="731"/>
      <c r="AA45" s="731">
        <v>2</v>
      </c>
      <c r="AB45" s="779"/>
    </row>
    <row r="46" spans="1:28" x14ac:dyDescent="0.25">
      <c r="A46" s="791"/>
      <c r="B46" s="792"/>
      <c r="C46" s="587">
        <v>15</v>
      </c>
      <c r="D46" s="588" t="s">
        <v>355</v>
      </c>
      <c r="E46" s="724"/>
      <c r="F46" s="731"/>
      <c r="G46" s="731"/>
      <c r="H46" s="731"/>
      <c r="I46" s="731"/>
      <c r="J46" s="731"/>
      <c r="K46" s="731"/>
      <c r="L46" s="731"/>
      <c r="M46" s="731"/>
      <c r="N46" s="731"/>
      <c r="O46" s="731"/>
      <c r="P46" s="731"/>
      <c r="Q46" s="731"/>
      <c r="R46" s="731"/>
      <c r="S46" s="731"/>
      <c r="T46" s="731"/>
      <c r="U46" s="731"/>
      <c r="V46" s="731"/>
      <c r="W46" s="731"/>
      <c r="X46" s="731"/>
      <c r="Y46" s="731"/>
      <c r="Z46" s="731"/>
      <c r="AA46" s="731">
        <v>2</v>
      </c>
      <c r="AB46" s="779"/>
    </row>
    <row r="47" spans="1:28" ht="15.75" thickBot="1" x14ac:dyDescent="0.3">
      <c r="A47" s="791"/>
      <c r="B47" s="792"/>
      <c r="C47" s="587">
        <v>15</v>
      </c>
      <c r="D47" s="588" t="s">
        <v>356</v>
      </c>
      <c r="E47" s="724"/>
      <c r="F47" s="731"/>
      <c r="G47" s="731"/>
      <c r="H47" s="731"/>
      <c r="I47" s="731"/>
      <c r="J47" s="731"/>
      <c r="K47" s="731"/>
      <c r="L47" s="731"/>
      <c r="M47" s="731"/>
      <c r="N47" s="731"/>
      <c r="O47" s="731"/>
      <c r="P47" s="731"/>
      <c r="Q47" s="731"/>
      <c r="R47" s="731"/>
      <c r="S47" s="731"/>
      <c r="T47" s="731"/>
      <c r="U47" s="731"/>
      <c r="V47" s="731"/>
      <c r="W47" s="731"/>
      <c r="X47" s="731"/>
      <c r="Y47" s="731"/>
      <c r="Z47" s="731"/>
      <c r="AA47" s="731">
        <v>2</v>
      </c>
      <c r="AB47" s="779"/>
    </row>
    <row r="48" spans="1:28" x14ac:dyDescent="0.25">
      <c r="A48" s="789" t="s">
        <v>66</v>
      </c>
      <c r="B48" s="790"/>
      <c r="C48" s="585">
        <v>1</v>
      </c>
      <c r="D48" s="589" t="s">
        <v>357</v>
      </c>
      <c r="E48" s="795"/>
      <c r="F48" s="777"/>
      <c r="G48" s="777"/>
      <c r="H48" s="777"/>
      <c r="I48" s="777"/>
      <c r="J48" s="777"/>
      <c r="K48" s="777"/>
      <c r="L48" s="777"/>
      <c r="M48" s="777"/>
      <c r="N48" s="777"/>
      <c r="O48" s="777"/>
      <c r="P48" s="777"/>
      <c r="Q48" s="777"/>
      <c r="R48" s="777"/>
      <c r="S48" s="777"/>
      <c r="T48" s="777"/>
      <c r="U48" s="777"/>
      <c r="V48" s="777"/>
      <c r="W48" s="777"/>
      <c r="X48" s="777"/>
      <c r="Y48" s="777"/>
      <c r="Z48" s="777"/>
      <c r="AA48" s="777"/>
      <c r="AB48" s="778"/>
    </row>
    <row r="49" spans="1:43" ht="15.75" thickBot="1" x14ac:dyDescent="0.3">
      <c r="A49" s="793"/>
      <c r="B49" s="794"/>
      <c r="C49" s="590"/>
      <c r="D49" s="591"/>
      <c r="E49" s="735"/>
      <c r="F49" s="804"/>
      <c r="G49" s="804"/>
      <c r="H49" s="804"/>
      <c r="I49" s="804"/>
      <c r="J49" s="804"/>
      <c r="K49" s="804"/>
      <c r="L49" s="804"/>
      <c r="M49" s="804"/>
      <c r="N49" s="804"/>
      <c r="O49" s="804"/>
      <c r="P49" s="804"/>
      <c r="Q49" s="804"/>
      <c r="R49" s="804"/>
      <c r="S49" s="804"/>
      <c r="T49" s="804"/>
      <c r="U49" s="804"/>
      <c r="V49" s="804"/>
      <c r="W49" s="804"/>
      <c r="X49" s="804"/>
      <c r="Y49" s="804"/>
      <c r="Z49" s="804"/>
      <c r="AA49" s="804"/>
      <c r="AB49" s="814"/>
    </row>
    <row r="50" spans="1:43" ht="18.75" customHeight="1" x14ac:dyDescent="0.25">
      <c r="A50" s="59"/>
      <c r="B50" s="59"/>
      <c r="C50" s="50"/>
      <c r="D50" s="40"/>
      <c r="E50" s="61"/>
      <c r="F50" s="61"/>
      <c r="G50" s="61"/>
      <c r="H50" s="61"/>
      <c r="I50" s="61"/>
      <c r="J50" s="61"/>
      <c r="K50" s="61"/>
      <c r="L50" s="61"/>
      <c r="M50" s="61"/>
      <c r="N50" s="61"/>
      <c r="O50" s="61"/>
      <c r="P50" s="61"/>
      <c r="Q50" s="61"/>
      <c r="R50" s="61"/>
      <c r="S50" s="61"/>
      <c r="T50" s="61"/>
      <c r="U50" s="61"/>
      <c r="V50" s="61"/>
      <c r="W50" s="61"/>
      <c r="X50" s="61"/>
      <c r="Y50" s="61"/>
      <c r="Z50" s="61"/>
      <c r="AA50" s="61"/>
      <c r="AB50" s="61"/>
    </row>
    <row r="51" spans="1:43" ht="23.25" customHeight="1" x14ac:dyDescent="0.25">
      <c r="A51" s="59"/>
      <c r="B51" s="59"/>
      <c r="C51" s="50"/>
      <c r="D51" s="40"/>
      <c r="E51" s="475"/>
      <c r="F51" s="475"/>
      <c r="G51" s="475"/>
      <c r="H51" s="475"/>
      <c r="I51" s="475"/>
      <c r="J51" s="475"/>
      <c r="K51" s="475"/>
      <c r="L51" s="475"/>
      <c r="M51" s="475"/>
      <c r="N51" s="475"/>
      <c r="O51" s="475"/>
      <c r="P51" s="475"/>
      <c r="Q51" s="475"/>
      <c r="R51" s="475"/>
      <c r="S51" s="475"/>
      <c r="T51" s="475"/>
      <c r="U51" s="475"/>
      <c r="V51" s="475"/>
      <c r="W51" s="475"/>
      <c r="X51" s="475"/>
      <c r="Y51" s="475"/>
      <c r="Z51" s="475"/>
      <c r="AA51" s="475"/>
      <c r="AB51" s="475"/>
    </row>
    <row r="52" spans="1:43" ht="3" customHeight="1" x14ac:dyDescent="0.25">
      <c r="A52" s="63"/>
      <c r="B52" s="63"/>
      <c r="C52" s="64"/>
      <c r="D52" s="65"/>
      <c r="E52" s="66"/>
      <c r="F52" s="66"/>
      <c r="G52" s="66"/>
      <c r="H52" s="66"/>
      <c r="I52" s="66"/>
      <c r="J52" s="66"/>
      <c r="K52" s="66"/>
      <c r="L52" s="66"/>
      <c r="M52" s="66"/>
      <c r="N52" s="66"/>
      <c r="O52" s="66"/>
      <c r="P52" s="66"/>
      <c r="Q52" s="66"/>
      <c r="R52" s="66"/>
      <c r="S52" s="66"/>
      <c r="T52" s="66"/>
      <c r="U52" s="66"/>
      <c r="V52" s="66"/>
      <c r="W52" s="66"/>
      <c r="X52" s="66"/>
      <c r="Y52" s="66"/>
      <c r="Z52" s="66"/>
      <c r="AA52" s="66"/>
      <c r="AB52" s="66"/>
      <c r="AC52" s="67"/>
      <c r="AD52" s="67"/>
      <c r="AE52" s="67"/>
      <c r="AF52" s="67"/>
      <c r="AG52" s="67"/>
      <c r="AH52" s="67"/>
      <c r="AI52" s="67"/>
      <c r="AJ52" s="67"/>
      <c r="AK52" s="67"/>
      <c r="AL52" s="67"/>
      <c r="AM52" s="67"/>
      <c r="AN52" s="67"/>
      <c r="AO52" s="67"/>
      <c r="AP52" s="67"/>
      <c r="AQ52" s="67"/>
    </row>
    <row r="54" spans="1:43" ht="26.25" customHeight="1" thickBot="1" x14ac:dyDescent="0.3"/>
    <row r="55" spans="1:43" ht="27" thickBot="1" x14ac:dyDescent="0.45">
      <c r="A55" s="798" t="s">
        <v>335</v>
      </c>
      <c r="B55" s="799"/>
      <c r="C55" s="799"/>
      <c r="D55" s="799"/>
      <c r="E55" s="799"/>
      <c r="F55" s="799"/>
      <c r="G55" s="799"/>
      <c r="H55" s="799"/>
      <c r="I55" s="799"/>
      <c r="J55" s="799"/>
      <c r="K55" s="799"/>
      <c r="L55" s="799"/>
      <c r="M55" s="799"/>
      <c r="N55" s="799"/>
      <c r="O55" s="799"/>
      <c r="P55" s="799"/>
      <c r="Q55" s="799"/>
      <c r="R55" s="799"/>
      <c r="S55" s="799"/>
      <c r="T55" s="799"/>
      <c r="U55" s="799"/>
      <c r="V55" s="799"/>
      <c r="W55" s="799"/>
      <c r="X55" s="799"/>
      <c r="Y55" s="799"/>
      <c r="Z55" s="799"/>
      <c r="AA55" s="799"/>
      <c r="AB55" s="800"/>
    </row>
    <row r="56" spans="1:43" x14ac:dyDescent="0.25">
      <c r="A56" s="775" t="s">
        <v>32</v>
      </c>
      <c r="B56" s="786" t="s">
        <v>33</v>
      </c>
      <c r="C56" s="775" t="s">
        <v>58</v>
      </c>
      <c r="D56" s="776"/>
      <c r="E56" s="732" t="s">
        <v>42</v>
      </c>
      <c r="F56" s="733"/>
      <c r="G56" s="732" t="s">
        <v>43</v>
      </c>
      <c r="H56" s="733"/>
      <c r="I56" s="732" t="s">
        <v>44</v>
      </c>
      <c r="J56" s="733"/>
      <c r="K56" s="732" t="s">
        <v>45</v>
      </c>
      <c r="L56" s="733"/>
      <c r="M56" s="732" t="s">
        <v>46</v>
      </c>
      <c r="N56" s="733"/>
      <c r="O56" s="732" t="s">
        <v>47</v>
      </c>
      <c r="P56" s="733"/>
      <c r="Q56" s="732" t="s">
        <v>48</v>
      </c>
      <c r="R56" s="733"/>
      <c r="S56" s="732" t="s">
        <v>49</v>
      </c>
      <c r="T56" s="733"/>
      <c r="U56" s="732" t="s">
        <v>50</v>
      </c>
      <c r="V56" s="733"/>
      <c r="W56" s="732" t="s">
        <v>51</v>
      </c>
      <c r="X56" s="733"/>
      <c r="Y56" s="732" t="s">
        <v>52</v>
      </c>
      <c r="Z56" s="733"/>
      <c r="AA56" s="732" t="s">
        <v>53</v>
      </c>
      <c r="AB56" s="733"/>
    </row>
    <row r="57" spans="1:43" x14ac:dyDescent="0.25">
      <c r="A57" s="764"/>
      <c r="B57" s="767"/>
      <c r="C57" s="770" t="s">
        <v>57</v>
      </c>
      <c r="D57" s="772" t="s">
        <v>41</v>
      </c>
      <c r="E57" s="729">
        <v>0.1</v>
      </c>
      <c r="F57" s="730"/>
      <c r="G57" s="729">
        <v>0.16</v>
      </c>
      <c r="H57" s="730"/>
      <c r="I57" s="729">
        <v>7.0000000000000007E-2</v>
      </c>
      <c r="J57" s="730"/>
      <c r="K57" s="729">
        <v>0.04</v>
      </c>
      <c r="L57" s="730"/>
      <c r="M57" s="729">
        <v>0.06</v>
      </c>
      <c r="N57" s="730"/>
      <c r="O57" s="729">
        <v>0.09</v>
      </c>
      <c r="P57" s="730"/>
      <c r="Q57" s="729">
        <v>0.1</v>
      </c>
      <c r="R57" s="730"/>
      <c r="S57" s="729">
        <v>0.12</v>
      </c>
      <c r="T57" s="730"/>
      <c r="U57" s="729">
        <v>7.0000000000000007E-2</v>
      </c>
      <c r="V57" s="730"/>
      <c r="W57" s="729">
        <v>0.08</v>
      </c>
      <c r="X57" s="730"/>
      <c r="Y57" s="729">
        <v>0.06</v>
      </c>
      <c r="Z57" s="730"/>
      <c r="AA57" s="729">
        <v>0.05</v>
      </c>
      <c r="AB57" s="730"/>
    </row>
    <row r="58" spans="1:43" ht="15.75" thickBot="1" x14ac:dyDescent="0.3">
      <c r="A58" s="765"/>
      <c r="B58" s="768"/>
      <c r="C58" s="771"/>
      <c r="D58" s="773"/>
      <c r="E58" s="581" t="s">
        <v>57</v>
      </c>
      <c r="F58" s="582" t="s">
        <v>41</v>
      </c>
      <c r="G58" s="581" t="s">
        <v>57</v>
      </c>
      <c r="H58" s="582" t="s">
        <v>41</v>
      </c>
      <c r="I58" s="581" t="s">
        <v>57</v>
      </c>
      <c r="J58" s="582" t="s">
        <v>41</v>
      </c>
      <c r="K58" s="581" t="s">
        <v>57</v>
      </c>
      <c r="L58" s="582" t="s">
        <v>41</v>
      </c>
      <c r="M58" s="581" t="s">
        <v>57</v>
      </c>
      <c r="N58" s="582" t="s">
        <v>41</v>
      </c>
      <c r="O58" s="581" t="s">
        <v>57</v>
      </c>
      <c r="P58" s="582" t="s">
        <v>41</v>
      </c>
      <c r="Q58" s="581" t="s">
        <v>57</v>
      </c>
      <c r="R58" s="582" t="s">
        <v>41</v>
      </c>
      <c r="S58" s="526" t="s">
        <v>57</v>
      </c>
      <c r="T58" s="527" t="s">
        <v>41</v>
      </c>
      <c r="U58" s="526" t="s">
        <v>57</v>
      </c>
      <c r="V58" s="527" t="s">
        <v>41</v>
      </c>
      <c r="W58" s="526" t="s">
        <v>57</v>
      </c>
      <c r="X58" s="527" t="s">
        <v>41</v>
      </c>
      <c r="Y58" s="526" t="s">
        <v>57</v>
      </c>
      <c r="Z58" s="527" t="s">
        <v>41</v>
      </c>
      <c r="AA58" s="526" t="s">
        <v>57</v>
      </c>
      <c r="AB58" s="527" t="s">
        <v>41</v>
      </c>
    </row>
    <row r="59" spans="1:43" ht="15.75" x14ac:dyDescent="0.25">
      <c r="A59" s="508" t="str">
        <f>Hipótesis!B58</f>
        <v>Portal básico</v>
      </c>
      <c r="B59" s="516">
        <f>Hipótesis!C58</f>
        <v>2000000</v>
      </c>
      <c r="C59" s="592">
        <v>5</v>
      </c>
      <c r="D59" s="516">
        <f>B59*C59</f>
        <v>10000000</v>
      </c>
      <c r="E59" s="518">
        <f t="shared" ref="E59:E66" si="25">C59*$E$57</f>
        <v>0.5</v>
      </c>
      <c r="F59" s="516">
        <f>D59*$E$17</f>
        <v>600000</v>
      </c>
      <c r="G59" s="518">
        <f t="shared" ref="G59:G66" si="26">C59*$G$57</f>
        <v>0.8</v>
      </c>
      <c r="H59" s="516">
        <f>D59*$G$17</f>
        <v>400000</v>
      </c>
      <c r="I59" s="518">
        <f t="shared" ref="I59:I66" si="27">C59*$I$57</f>
        <v>0.35000000000000003</v>
      </c>
      <c r="J59" s="516">
        <f t="shared" ref="J59:J66" si="28">D59*$I$17</f>
        <v>800000</v>
      </c>
      <c r="K59" s="518">
        <f t="shared" ref="K59:K66" si="29">C59*$K$57</f>
        <v>0.2</v>
      </c>
      <c r="L59" s="516">
        <f t="shared" ref="L59:L66" si="30">D59*$K$17</f>
        <v>700000.00000000012</v>
      </c>
      <c r="M59" s="518">
        <f t="shared" ref="M59:M66" si="31">C59*$M$57</f>
        <v>0.3</v>
      </c>
      <c r="N59" s="516">
        <f>D59*$M$17</f>
        <v>1100000</v>
      </c>
      <c r="O59" s="518">
        <f t="shared" ref="O59:O66" si="32">C59*$O$57</f>
        <v>0.44999999999999996</v>
      </c>
      <c r="P59" s="516">
        <f t="shared" ref="P59:P66" si="33">D59*$O$17</f>
        <v>400000</v>
      </c>
      <c r="Q59" s="518">
        <f t="shared" ref="Q59:Q66" si="34">C59*$Q$57</f>
        <v>0.5</v>
      </c>
      <c r="R59" s="516">
        <f t="shared" ref="R59:R66" si="35">D59*$Q$17</f>
        <v>600000</v>
      </c>
      <c r="S59" s="518">
        <f t="shared" ref="S59:S66" si="36">C59*$S$57</f>
        <v>0.6</v>
      </c>
      <c r="T59" s="516">
        <f t="shared" ref="T59:T66" si="37">D59*$S$17</f>
        <v>1200000</v>
      </c>
      <c r="U59" s="518">
        <f t="shared" ref="U59:U66" si="38">C59*$U$57</f>
        <v>0.35000000000000003</v>
      </c>
      <c r="V59" s="516">
        <f t="shared" ref="V59:V66" si="39">D59*$U$17</f>
        <v>1100000</v>
      </c>
      <c r="W59" s="518">
        <f t="shared" ref="W59:W66" si="40">C59*$W$57</f>
        <v>0.4</v>
      </c>
      <c r="X59" s="516">
        <f t="shared" ref="X59:X66" si="41">D59*$W$17</f>
        <v>1400000.0000000002</v>
      </c>
      <c r="Y59" s="518">
        <f t="shared" ref="Y59:Y66" si="42">C59*$Y$57</f>
        <v>0.3</v>
      </c>
      <c r="Z59" s="518">
        <f t="shared" ref="Z59:Z66" si="43">D59*$Y$17</f>
        <v>800000</v>
      </c>
      <c r="AA59" s="518">
        <f t="shared" ref="AA59:AA66" si="44">C59*$AA$57</f>
        <v>0.25</v>
      </c>
      <c r="AB59" s="593">
        <f>D59*$AA$17</f>
        <v>900000</v>
      </c>
    </row>
    <row r="60" spans="1:43" ht="15.75" x14ac:dyDescent="0.25">
      <c r="A60" s="520" t="str">
        <f>Hipótesis!B59</f>
        <v>Portal aprendizaje</v>
      </c>
      <c r="B60" s="512">
        <f>Hipótesis!C59</f>
        <v>2300000</v>
      </c>
      <c r="C60" s="594">
        <v>3</v>
      </c>
      <c r="D60" s="512">
        <f t="shared" ref="D60:D66" si="45">B60*C60</f>
        <v>6900000</v>
      </c>
      <c r="E60" s="514">
        <f t="shared" si="25"/>
        <v>0.30000000000000004</v>
      </c>
      <c r="F60" s="512">
        <f t="shared" ref="F60:F66" si="46">D60*$E$17</f>
        <v>414000</v>
      </c>
      <c r="G60" s="514">
        <f t="shared" si="26"/>
        <v>0.48</v>
      </c>
      <c r="H60" s="512">
        <f t="shared" ref="H60:H66" si="47">D60*$G$17</f>
        <v>276000</v>
      </c>
      <c r="I60" s="514">
        <f t="shared" si="27"/>
        <v>0.21000000000000002</v>
      </c>
      <c r="J60" s="512">
        <f t="shared" si="28"/>
        <v>552000</v>
      </c>
      <c r="K60" s="514">
        <f t="shared" si="29"/>
        <v>0.12</v>
      </c>
      <c r="L60" s="512">
        <f t="shared" si="30"/>
        <v>483000.00000000006</v>
      </c>
      <c r="M60" s="514">
        <f t="shared" si="31"/>
        <v>0.18</v>
      </c>
      <c r="N60" s="512">
        <f t="shared" ref="N60:N66" si="48">D60*$M$17</f>
        <v>759000</v>
      </c>
      <c r="O60" s="514">
        <f t="shared" si="32"/>
        <v>0.27</v>
      </c>
      <c r="P60" s="512">
        <f t="shared" si="33"/>
        <v>276000</v>
      </c>
      <c r="Q60" s="514">
        <f t="shared" si="34"/>
        <v>0.30000000000000004</v>
      </c>
      <c r="R60" s="512">
        <f t="shared" si="35"/>
        <v>414000</v>
      </c>
      <c r="S60" s="514">
        <f t="shared" si="36"/>
        <v>0.36</v>
      </c>
      <c r="T60" s="512">
        <f t="shared" si="37"/>
        <v>828000</v>
      </c>
      <c r="U60" s="514">
        <f t="shared" si="38"/>
        <v>0.21000000000000002</v>
      </c>
      <c r="V60" s="512">
        <f t="shared" si="39"/>
        <v>759000</v>
      </c>
      <c r="W60" s="514">
        <f t="shared" si="40"/>
        <v>0.24</v>
      </c>
      <c r="X60" s="512">
        <f t="shared" si="41"/>
        <v>966000.00000000012</v>
      </c>
      <c r="Y60" s="514">
        <f t="shared" si="42"/>
        <v>0.18</v>
      </c>
      <c r="Z60" s="514">
        <f t="shared" si="43"/>
        <v>552000</v>
      </c>
      <c r="AA60" s="514">
        <f t="shared" si="44"/>
        <v>0.15000000000000002</v>
      </c>
      <c r="AB60" s="595">
        <f>D60*$AA$17</f>
        <v>621000</v>
      </c>
    </row>
    <row r="61" spans="1:43" ht="15.75" x14ac:dyDescent="0.25">
      <c r="A61" s="520" t="str">
        <f>Hipótesis!B60</f>
        <v>Portal sugerencia</v>
      </c>
      <c r="B61" s="512">
        <f>Hipótesis!C60</f>
        <v>2300000</v>
      </c>
      <c r="C61" s="594">
        <v>3</v>
      </c>
      <c r="D61" s="512">
        <f t="shared" si="45"/>
        <v>6900000</v>
      </c>
      <c r="E61" s="514">
        <f t="shared" si="25"/>
        <v>0.30000000000000004</v>
      </c>
      <c r="F61" s="512">
        <f t="shared" si="46"/>
        <v>414000</v>
      </c>
      <c r="G61" s="514">
        <f t="shared" si="26"/>
        <v>0.48</v>
      </c>
      <c r="H61" s="512">
        <f t="shared" si="47"/>
        <v>276000</v>
      </c>
      <c r="I61" s="514">
        <f t="shared" si="27"/>
        <v>0.21000000000000002</v>
      </c>
      <c r="J61" s="512">
        <f t="shared" si="28"/>
        <v>552000</v>
      </c>
      <c r="K61" s="514">
        <f t="shared" si="29"/>
        <v>0.12</v>
      </c>
      <c r="L61" s="512">
        <f t="shared" si="30"/>
        <v>483000.00000000006</v>
      </c>
      <c r="M61" s="514">
        <f t="shared" si="31"/>
        <v>0.18</v>
      </c>
      <c r="N61" s="512">
        <f t="shared" si="48"/>
        <v>759000</v>
      </c>
      <c r="O61" s="514">
        <f t="shared" si="32"/>
        <v>0.27</v>
      </c>
      <c r="P61" s="512">
        <f t="shared" si="33"/>
        <v>276000</v>
      </c>
      <c r="Q61" s="514">
        <f t="shared" si="34"/>
        <v>0.30000000000000004</v>
      </c>
      <c r="R61" s="512">
        <f t="shared" si="35"/>
        <v>414000</v>
      </c>
      <c r="S61" s="514">
        <f t="shared" si="36"/>
        <v>0.36</v>
      </c>
      <c r="T61" s="512">
        <f t="shared" si="37"/>
        <v>828000</v>
      </c>
      <c r="U61" s="514">
        <f t="shared" si="38"/>
        <v>0.21000000000000002</v>
      </c>
      <c r="V61" s="512">
        <f t="shared" si="39"/>
        <v>759000</v>
      </c>
      <c r="W61" s="514">
        <f t="shared" si="40"/>
        <v>0.24</v>
      </c>
      <c r="X61" s="512">
        <f t="shared" si="41"/>
        <v>966000.00000000012</v>
      </c>
      <c r="Y61" s="514">
        <f t="shared" si="42"/>
        <v>0.18</v>
      </c>
      <c r="Z61" s="514">
        <f t="shared" si="43"/>
        <v>552000</v>
      </c>
      <c r="AA61" s="514">
        <f t="shared" si="44"/>
        <v>0.15000000000000002</v>
      </c>
      <c r="AB61" s="595">
        <f t="shared" ref="AB61:AB66" si="49">D61*$AA$17</f>
        <v>621000</v>
      </c>
    </row>
    <row r="62" spans="1:43" ht="16.5" thickBot="1" x14ac:dyDescent="0.3">
      <c r="A62" s="521" t="str">
        <f>Hipótesis!B61</f>
        <v>Portal experto</v>
      </c>
      <c r="B62" s="522">
        <f>Hipótesis!C61</f>
        <v>2500000</v>
      </c>
      <c r="C62" s="596">
        <v>4</v>
      </c>
      <c r="D62" s="522">
        <f t="shared" si="45"/>
        <v>10000000</v>
      </c>
      <c r="E62" s="524">
        <f t="shared" si="25"/>
        <v>0.4</v>
      </c>
      <c r="F62" s="522">
        <f t="shared" si="46"/>
        <v>600000</v>
      </c>
      <c r="G62" s="524">
        <f t="shared" si="26"/>
        <v>0.64</v>
      </c>
      <c r="H62" s="522">
        <f t="shared" si="47"/>
        <v>400000</v>
      </c>
      <c r="I62" s="524">
        <f t="shared" si="27"/>
        <v>0.28000000000000003</v>
      </c>
      <c r="J62" s="522">
        <f t="shared" si="28"/>
        <v>800000</v>
      </c>
      <c r="K62" s="524">
        <f t="shared" si="29"/>
        <v>0.16</v>
      </c>
      <c r="L62" s="522">
        <f t="shared" si="30"/>
        <v>700000.00000000012</v>
      </c>
      <c r="M62" s="524">
        <f t="shared" si="31"/>
        <v>0.24</v>
      </c>
      <c r="N62" s="522">
        <f t="shared" si="48"/>
        <v>1100000</v>
      </c>
      <c r="O62" s="524">
        <f t="shared" si="32"/>
        <v>0.36</v>
      </c>
      <c r="P62" s="522">
        <f t="shared" si="33"/>
        <v>400000</v>
      </c>
      <c r="Q62" s="524">
        <f t="shared" si="34"/>
        <v>0.4</v>
      </c>
      <c r="R62" s="522">
        <f t="shared" si="35"/>
        <v>600000</v>
      </c>
      <c r="S62" s="524">
        <f t="shared" si="36"/>
        <v>0.48</v>
      </c>
      <c r="T62" s="522">
        <f t="shared" si="37"/>
        <v>1200000</v>
      </c>
      <c r="U62" s="524">
        <f t="shared" si="38"/>
        <v>0.28000000000000003</v>
      </c>
      <c r="V62" s="522">
        <f t="shared" si="39"/>
        <v>1100000</v>
      </c>
      <c r="W62" s="524">
        <f t="shared" si="40"/>
        <v>0.32</v>
      </c>
      <c r="X62" s="522">
        <f t="shared" si="41"/>
        <v>1400000.0000000002</v>
      </c>
      <c r="Y62" s="524">
        <f t="shared" si="42"/>
        <v>0.24</v>
      </c>
      <c r="Z62" s="524">
        <f t="shared" si="43"/>
        <v>800000</v>
      </c>
      <c r="AA62" s="524">
        <f t="shared" si="44"/>
        <v>0.2</v>
      </c>
      <c r="AB62" s="597">
        <f t="shared" si="49"/>
        <v>900000</v>
      </c>
    </row>
    <row r="63" spans="1:43" ht="15.75" x14ac:dyDescent="0.25">
      <c r="A63" s="540" t="str">
        <f>Hipótesis!B62</f>
        <v>Simple</v>
      </c>
      <c r="B63" s="541">
        <f>Hipótesis!C62</f>
        <v>300000</v>
      </c>
      <c r="C63" s="598">
        <v>6</v>
      </c>
      <c r="D63" s="541">
        <f t="shared" si="45"/>
        <v>1800000</v>
      </c>
      <c r="E63" s="543">
        <f t="shared" si="25"/>
        <v>0.60000000000000009</v>
      </c>
      <c r="F63" s="541">
        <f t="shared" si="46"/>
        <v>108000</v>
      </c>
      <c r="G63" s="543">
        <f t="shared" si="26"/>
        <v>0.96</v>
      </c>
      <c r="H63" s="541">
        <f t="shared" si="47"/>
        <v>72000</v>
      </c>
      <c r="I63" s="543">
        <f t="shared" si="27"/>
        <v>0.42000000000000004</v>
      </c>
      <c r="J63" s="541">
        <f t="shared" si="28"/>
        <v>144000</v>
      </c>
      <c r="K63" s="543">
        <f t="shared" si="29"/>
        <v>0.24</v>
      </c>
      <c r="L63" s="541">
        <f t="shared" si="30"/>
        <v>126000.00000000001</v>
      </c>
      <c r="M63" s="543">
        <f t="shared" si="31"/>
        <v>0.36</v>
      </c>
      <c r="N63" s="541">
        <f t="shared" si="48"/>
        <v>198000</v>
      </c>
      <c r="O63" s="543">
        <f t="shared" si="32"/>
        <v>0.54</v>
      </c>
      <c r="P63" s="541">
        <f t="shared" si="33"/>
        <v>72000</v>
      </c>
      <c r="Q63" s="543">
        <f t="shared" si="34"/>
        <v>0.60000000000000009</v>
      </c>
      <c r="R63" s="541">
        <f t="shared" si="35"/>
        <v>108000</v>
      </c>
      <c r="S63" s="543">
        <f t="shared" si="36"/>
        <v>0.72</v>
      </c>
      <c r="T63" s="541">
        <f t="shared" si="37"/>
        <v>216000</v>
      </c>
      <c r="U63" s="543">
        <f t="shared" si="38"/>
        <v>0.42000000000000004</v>
      </c>
      <c r="V63" s="541">
        <f t="shared" si="39"/>
        <v>198000</v>
      </c>
      <c r="W63" s="543">
        <f t="shared" si="40"/>
        <v>0.48</v>
      </c>
      <c r="X63" s="541">
        <f t="shared" si="41"/>
        <v>252000.00000000003</v>
      </c>
      <c r="Y63" s="543">
        <f t="shared" si="42"/>
        <v>0.36</v>
      </c>
      <c r="Z63" s="543">
        <f t="shared" si="43"/>
        <v>144000</v>
      </c>
      <c r="AA63" s="543">
        <f t="shared" si="44"/>
        <v>0.30000000000000004</v>
      </c>
      <c r="AB63" s="599">
        <f t="shared" si="49"/>
        <v>162000</v>
      </c>
    </row>
    <row r="64" spans="1:43" ht="15.75" x14ac:dyDescent="0.25">
      <c r="A64" s="545" t="str">
        <f>Hipótesis!B63</f>
        <v>Funcional</v>
      </c>
      <c r="B64" s="546">
        <f>Hipótesis!C63</f>
        <v>500000</v>
      </c>
      <c r="C64" s="600">
        <v>4</v>
      </c>
      <c r="D64" s="546">
        <f t="shared" si="45"/>
        <v>2000000</v>
      </c>
      <c r="E64" s="548">
        <f t="shared" si="25"/>
        <v>0.4</v>
      </c>
      <c r="F64" s="546">
        <f t="shared" si="46"/>
        <v>120000</v>
      </c>
      <c r="G64" s="548">
        <f t="shared" si="26"/>
        <v>0.64</v>
      </c>
      <c r="H64" s="546">
        <f t="shared" si="47"/>
        <v>80000</v>
      </c>
      <c r="I64" s="548">
        <f t="shared" si="27"/>
        <v>0.28000000000000003</v>
      </c>
      <c r="J64" s="546">
        <f t="shared" si="28"/>
        <v>160000</v>
      </c>
      <c r="K64" s="548">
        <f t="shared" si="29"/>
        <v>0.16</v>
      </c>
      <c r="L64" s="546">
        <f t="shared" si="30"/>
        <v>140000</v>
      </c>
      <c r="M64" s="548">
        <f t="shared" si="31"/>
        <v>0.24</v>
      </c>
      <c r="N64" s="546">
        <f t="shared" si="48"/>
        <v>220000</v>
      </c>
      <c r="O64" s="548">
        <f t="shared" si="32"/>
        <v>0.36</v>
      </c>
      <c r="P64" s="546">
        <f t="shared" si="33"/>
        <v>80000</v>
      </c>
      <c r="Q64" s="548">
        <f t="shared" si="34"/>
        <v>0.4</v>
      </c>
      <c r="R64" s="546">
        <f t="shared" si="35"/>
        <v>120000</v>
      </c>
      <c r="S64" s="548">
        <f t="shared" si="36"/>
        <v>0.48</v>
      </c>
      <c r="T64" s="546">
        <f t="shared" si="37"/>
        <v>240000</v>
      </c>
      <c r="U64" s="548">
        <f t="shared" si="38"/>
        <v>0.28000000000000003</v>
      </c>
      <c r="V64" s="546">
        <f t="shared" si="39"/>
        <v>220000</v>
      </c>
      <c r="W64" s="548">
        <f t="shared" si="40"/>
        <v>0.32</v>
      </c>
      <c r="X64" s="546">
        <f t="shared" si="41"/>
        <v>280000</v>
      </c>
      <c r="Y64" s="548">
        <f t="shared" si="42"/>
        <v>0.24</v>
      </c>
      <c r="Z64" s="548">
        <f t="shared" si="43"/>
        <v>160000</v>
      </c>
      <c r="AA64" s="548">
        <f t="shared" si="44"/>
        <v>0.2</v>
      </c>
      <c r="AB64" s="601">
        <f t="shared" si="49"/>
        <v>180000</v>
      </c>
    </row>
    <row r="65" spans="1:28" ht="15.75" x14ac:dyDescent="0.25">
      <c r="A65" s="545" t="str">
        <f>Hipótesis!B64</f>
        <v>Temporal</v>
      </c>
      <c r="B65" s="546">
        <f>Hipótesis!C64</f>
        <v>600000</v>
      </c>
      <c r="C65" s="600">
        <v>3</v>
      </c>
      <c r="D65" s="546">
        <f t="shared" si="45"/>
        <v>1800000</v>
      </c>
      <c r="E65" s="548">
        <f t="shared" si="25"/>
        <v>0.30000000000000004</v>
      </c>
      <c r="F65" s="546">
        <f t="shared" si="46"/>
        <v>108000</v>
      </c>
      <c r="G65" s="548">
        <f t="shared" si="26"/>
        <v>0.48</v>
      </c>
      <c r="H65" s="546">
        <f t="shared" si="47"/>
        <v>72000</v>
      </c>
      <c r="I65" s="548">
        <f t="shared" si="27"/>
        <v>0.21000000000000002</v>
      </c>
      <c r="J65" s="546">
        <f t="shared" si="28"/>
        <v>144000</v>
      </c>
      <c r="K65" s="548">
        <f t="shared" si="29"/>
        <v>0.12</v>
      </c>
      <c r="L65" s="546">
        <f t="shared" si="30"/>
        <v>126000.00000000001</v>
      </c>
      <c r="M65" s="548">
        <f t="shared" si="31"/>
        <v>0.18</v>
      </c>
      <c r="N65" s="546">
        <f t="shared" si="48"/>
        <v>198000</v>
      </c>
      <c r="O65" s="548">
        <f t="shared" si="32"/>
        <v>0.27</v>
      </c>
      <c r="P65" s="546">
        <f t="shared" si="33"/>
        <v>72000</v>
      </c>
      <c r="Q65" s="548">
        <f t="shared" si="34"/>
        <v>0.30000000000000004</v>
      </c>
      <c r="R65" s="546">
        <f t="shared" si="35"/>
        <v>108000</v>
      </c>
      <c r="S65" s="548">
        <f t="shared" si="36"/>
        <v>0.36</v>
      </c>
      <c r="T65" s="546">
        <f t="shared" si="37"/>
        <v>216000</v>
      </c>
      <c r="U65" s="548">
        <f t="shared" si="38"/>
        <v>0.21000000000000002</v>
      </c>
      <c r="V65" s="546">
        <f t="shared" si="39"/>
        <v>198000</v>
      </c>
      <c r="W65" s="548">
        <f t="shared" si="40"/>
        <v>0.24</v>
      </c>
      <c r="X65" s="546">
        <f t="shared" si="41"/>
        <v>252000.00000000003</v>
      </c>
      <c r="Y65" s="548">
        <f t="shared" si="42"/>
        <v>0.18</v>
      </c>
      <c r="Z65" s="548">
        <f t="shared" si="43"/>
        <v>144000</v>
      </c>
      <c r="AA65" s="548">
        <f t="shared" si="44"/>
        <v>0.15000000000000002</v>
      </c>
      <c r="AB65" s="601">
        <f t="shared" si="49"/>
        <v>162000</v>
      </c>
    </row>
    <row r="66" spans="1:28" ht="16.5" thickBot="1" x14ac:dyDescent="0.3">
      <c r="A66" s="550" t="str">
        <f>Hipótesis!B65</f>
        <v>Experto</v>
      </c>
      <c r="B66" s="551">
        <f>Hipótesis!C65</f>
        <v>800000</v>
      </c>
      <c r="C66" s="602">
        <v>5</v>
      </c>
      <c r="D66" s="551">
        <f t="shared" si="45"/>
        <v>4000000</v>
      </c>
      <c r="E66" s="553">
        <f t="shared" si="25"/>
        <v>0.5</v>
      </c>
      <c r="F66" s="551">
        <f t="shared" si="46"/>
        <v>240000</v>
      </c>
      <c r="G66" s="553">
        <f t="shared" si="26"/>
        <v>0.8</v>
      </c>
      <c r="H66" s="551">
        <f t="shared" si="47"/>
        <v>160000</v>
      </c>
      <c r="I66" s="553">
        <f t="shared" si="27"/>
        <v>0.35000000000000003</v>
      </c>
      <c r="J66" s="551">
        <f t="shared" si="28"/>
        <v>320000</v>
      </c>
      <c r="K66" s="553">
        <f t="shared" si="29"/>
        <v>0.2</v>
      </c>
      <c r="L66" s="551">
        <f t="shared" si="30"/>
        <v>280000</v>
      </c>
      <c r="M66" s="553">
        <f t="shared" si="31"/>
        <v>0.3</v>
      </c>
      <c r="N66" s="551">
        <f t="shared" si="48"/>
        <v>440000</v>
      </c>
      <c r="O66" s="553">
        <f t="shared" si="32"/>
        <v>0.44999999999999996</v>
      </c>
      <c r="P66" s="551">
        <f t="shared" si="33"/>
        <v>160000</v>
      </c>
      <c r="Q66" s="553">
        <f t="shared" si="34"/>
        <v>0.5</v>
      </c>
      <c r="R66" s="551">
        <f t="shared" si="35"/>
        <v>240000</v>
      </c>
      <c r="S66" s="553">
        <f t="shared" si="36"/>
        <v>0.6</v>
      </c>
      <c r="T66" s="551">
        <f t="shared" si="37"/>
        <v>480000</v>
      </c>
      <c r="U66" s="553">
        <f t="shared" si="38"/>
        <v>0.35000000000000003</v>
      </c>
      <c r="V66" s="551">
        <f t="shared" si="39"/>
        <v>440000</v>
      </c>
      <c r="W66" s="553">
        <f t="shared" si="40"/>
        <v>0.4</v>
      </c>
      <c r="X66" s="551">
        <f t="shared" si="41"/>
        <v>560000</v>
      </c>
      <c r="Y66" s="553">
        <f t="shared" si="42"/>
        <v>0.3</v>
      </c>
      <c r="Z66" s="553">
        <f t="shared" si="43"/>
        <v>320000</v>
      </c>
      <c r="AA66" s="553">
        <f t="shared" si="44"/>
        <v>0.25</v>
      </c>
      <c r="AB66" s="603">
        <f t="shared" si="49"/>
        <v>360000</v>
      </c>
    </row>
    <row r="67" spans="1:28" ht="16.5" thickBot="1" x14ac:dyDescent="0.3">
      <c r="A67" s="860" t="s">
        <v>73</v>
      </c>
      <c r="B67" s="861"/>
      <c r="C67" s="67"/>
      <c r="D67" s="70">
        <f>SUM(D59:D66)</f>
        <v>43400000</v>
      </c>
      <c r="E67" s="71"/>
      <c r="F67" s="72">
        <f>SUM(F59:F66)</f>
        <v>2604000</v>
      </c>
      <c r="G67" s="71"/>
      <c r="H67" s="72">
        <f>SUM(H59:H66)</f>
        <v>1736000</v>
      </c>
      <c r="I67" s="71"/>
      <c r="J67" s="72">
        <f>SUM(J59:J66)</f>
        <v>3472000</v>
      </c>
      <c r="K67" s="71"/>
      <c r="L67" s="72">
        <f>SUM(L59:L66)</f>
        <v>3038000.0000000005</v>
      </c>
      <c r="M67" s="71"/>
      <c r="N67" s="72">
        <f>SUM(N59:N66)</f>
        <v>4774000</v>
      </c>
      <c r="O67" s="71"/>
      <c r="P67" s="72">
        <f>SUM(P59:P66)</f>
        <v>1736000</v>
      </c>
      <c r="Q67" s="71"/>
      <c r="R67" s="72">
        <f>SUM(R59:R66)</f>
        <v>2604000</v>
      </c>
      <c r="S67" s="71"/>
      <c r="T67" s="72">
        <f>SUM(T59:T66)</f>
        <v>5208000</v>
      </c>
      <c r="U67" s="71"/>
      <c r="V67" s="72">
        <f>SUM(V59:V66)</f>
        <v>4774000</v>
      </c>
      <c r="W67" s="71"/>
      <c r="X67" s="72">
        <f>SUM(X59:X66)</f>
        <v>6076000.0000000009</v>
      </c>
      <c r="Y67" s="71"/>
      <c r="Z67" s="72">
        <f>SUM(Z59:Z66)</f>
        <v>3472000</v>
      </c>
      <c r="AA67" s="71"/>
      <c r="AB67" s="72">
        <f>SUM(AB59:AB66)</f>
        <v>3906000</v>
      </c>
    </row>
    <row r="68" spans="1:28" ht="15.75" x14ac:dyDescent="0.25">
      <c r="A68" s="858" t="s">
        <v>339</v>
      </c>
      <c r="B68" s="859"/>
      <c r="C68" s="604">
        <f>SUM(C59:C62)</f>
        <v>15</v>
      </c>
      <c r="D68" s="605"/>
      <c r="E68" s="606">
        <f>E59</f>
        <v>0.5</v>
      </c>
      <c r="F68" s="605"/>
      <c r="G68" s="606">
        <f>G59</f>
        <v>0.8</v>
      </c>
      <c r="H68" s="605"/>
      <c r="I68" s="606">
        <f>I59</f>
        <v>0.35000000000000003</v>
      </c>
      <c r="J68" s="605"/>
      <c r="K68" s="606">
        <f>K59</f>
        <v>0.2</v>
      </c>
      <c r="L68" s="605"/>
      <c r="M68" s="606">
        <f>M59</f>
        <v>0.3</v>
      </c>
      <c r="N68" s="605"/>
      <c r="O68" s="606">
        <f>O59</f>
        <v>0.44999999999999996</v>
      </c>
      <c r="P68" s="605"/>
      <c r="Q68" s="606">
        <f>Q59</f>
        <v>0.5</v>
      </c>
      <c r="R68" s="605"/>
      <c r="S68" s="606">
        <f>S59</f>
        <v>0.6</v>
      </c>
      <c r="T68" s="605"/>
      <c r="U68" s="606">
        <f>U59</f>
        <v>0.35000000000000003</v>
      </c>
      <c r="V68" s="605"/>
      <c r="W68" s="606">
        <f>W59</f>
        <v>0.4</v>
      </c>
      <c r="X68" s="605"/>
      <c r="Y68" s="606">
        <f>Y59</f>
        <v>0.3</v>
      </c>
      <c r="Z68" s="605"/>
      <c r="AA68" s="606">
        <f>AA59</f>
        <v>0.25</v>
      </c>
      <c r="AB68" s="607"/>
    </row>
    <row r="69" spans="1:28" ht="16.5" thickBot="1" x14ac:dyDescent="0.3">
      <c r="A69" s="856" t="s">
        <v>340</v>
      </c>
      <c r="B69" s="857"/>
      <c r="C69" s="608">
        <f>SUM(C63:C66)</f>
        <v>18</v>
      </c>
      <c r="D69" s="609"/>
      <c r="E69" s="610">
        <f>E60</f>
        <v>0.30000000000000004</v>
      </c>
      <c r="F69" s="609"/>
      <c r="G69" s="610">
        <f>G60</f>
        <v>0.48</v>
      </c>
      <c r="H69" s="609"/>
      <c r="I69" s="610">
        <f>I60</f>
        <v>0.21000000000000002</v>
      </c>
      <c r="J69" s="609"/>
      <c r="K69" s="610">
        <f>K60</f>
        <v>0.12</v>
      </c>
      <c r="L69" s="609"/>
      <c r="M69" s="610">
        <f>M60</f>
        <v>0.18</v>
      </c>
      <c r="N69" s="609"/>
      <c r="O69" s="610">
        <f>O60</f>
        <v>0.27</v>
      </c>
      <c r="P69" s="609"/>
      <c r="Q69" s="610">
        <f>Q60</f>
        <v>0.30000000000000004</v>
      </c>
      <c r="R69" s="609"/>
      <c r="S69" s="610">
        <f>S60</f>
        <v>0.36</v>
      </c>
      <c r="T69" s="609"/>
      <c r="U69" s="610">
        <f>U60</f>
        <v>0.21000000000000002</v>
      </c>
      <c r="V69" s="609"/>
      <c r="W69" s="610">
        <f>W60</f>
        <v>0.24</v>
      </c>
      <c r="X69" s="609"/>
      <c r="Y69" s="610">
        <f>Y60</f>
        <v>0.18</v>
      </c>
      <c r="Z69" s="609"/>
      <c r="AA69" s="610">
        <f>AA60</f>
        <v>0.15000000000000002</v>
      </c>
      <c r="AB69" s="611"/>
    </row>
    <row r="70" spans="1:28" ht="15.75" thickBot="1" x14ac:dyDescent="0.3">
      <c r="D70" s="33"/>
    </row>
    <row r="71" spans="1:28" ht="27" thickBot="1" x14ac:dyDescent="0.45">
      <c r="A71" s="752" t="s">
        <v>343</v>
      </c>
      <c r="B71" s="753"/>
      <c r="C71" s="753"/>
      <c r="D71" s="753"/>
      <c r="E71" s="753"/>
      <c r="F71" s="753"/>
      <c r="G71" s="753"/>
      <c r="H71" s="753"/>
      <c r="I71" s="753"/>
      <c r="J71" s="753"/>
      <c r="K71" s="753"/>
      <c r="L71" s="753"/>
      <c r="M71" s="753"/>
      <c r="N71" s="753"/>
      <c r="O71" s="753"/>
      <c r="P71" s="753"/>
      <c r="Q71" s="753"/>
      <c r="R71" s="753"/>
      <c r="S71" s="753"/>
      <c r="T71" s="753"/>
      <c r="U71" s="753"/>
      <c r="V71" s="753"/>
      <c r="W71" s="753"/>
      <c r="X71" s="753"/>
      <c r="Y71" s="753"/>
      <c r="Z71" s="753"/>
      <c r="AA71" s="753"/>
      <c r="AB71" s="754"/>
    </row>
    <row r="72" spans="1:28" ht="79.5" customHeight="1" thickBot="1" x14ac:dyDescent="0.3">
      <c r="A72" s="584" t="s">
        <v>68</v>
      </c>
      <c r="B72" s="737" t="s">
        <v>360</v>
      </c>
      <c r="C72" s="738"/>
      <c r="D72" s="738"/>
      <c r="E72" s="738"/>
      <c r="F72" s="738"/>
      <c r="G72" s="738"/>
      <c r="H72" s="738"/>
      <c r="I72" s="738"/>
      <c r="J72" s="738"/>
      <c r="K72" s="738"/>
      <c r="L72" s="738"/>
      <c r="M72" s="738"/>
      <c r="N72" s="738"/>
      <c r="O72" s="738"/>
      <c r="P72" s="738"/>
      <c r="Q72" s="738"/>
      <c r="R72" s="738"/>
      <c r="S72" s="738"/>
      <c r="T72" s="738"/>
      <c r="U72" s="738"/>
      <c r="V72" s="738"/>
      <c r="W72" s="738"/>
      <c r="X72" s="738"/>
      <c r="Y72" s="738"/>
      <c r="Z72" s="738"/>
      <c r="AA72" s="738"/>
      <c r="AB72" s="739"/>
    </row>
    <row r="73" spans="1:28" ht="21.75" thickBot="1" x14ac:dyDescent="0.3">
      <c r="A73" s="755"/>
      <c r="B73" s="756"/>
      <c r="C73" s="834" t="s">
        <v>61</v>
      </c>
      <c r="D73" s="835"/>
      <c r="E73" s="757" t="s">
        <v>42</v>
      </c>
      <c r="F73" s="758"/>
      <c r="G73" s="759" t="s">
        <v>43</v>
      </c>
      <c r="H73" s="758"/>
      <c r="I73" s="759" t="s">
        <v>44</v>
      </c>
      <c r="J73" s="758"/>
      <c r="K73" s="759" t="s">
        <v>45</v>
      </c>
      <c r="L73" s="758"/>
      <c r="M73" s="759" t="s">
        <v>46</v>
      </c>
      <c r="N73" s="758"/>
      <c r="O73" s="759" t="s">
        <v>47</v>
      </c>
      <c r="P73" s="758"/>
      <c r="Q73" s="759" t="s">
        <v>48</v>
      </c>
      <c r="R73" s="758"/>
      <c r="S73" s="759" t="s">
        <v>49</v>
      </c>
      <c r="T73" s="758"/>
      <c r="U73" s="759" t="s">
        <v>50</v>
      </c>
      <c r="V73" s="758"/>
      <c r="W73" s="759" t="s">
        <v>51</v>
      </c>
      <c r="X73" s="758"/>
      <c r="Y73" s="759" t="s">
        <v>52</v>
      </c>
      <c r="Z73" s="758"/>
      <c r="AA73" s="759" t="s">
        <v>53</v>
      </c>
      <c r="AB73" s="758"/>
    </row>
    <row r="74" spans="1:28" x14ac:dyDescent="0.25">
      <c r="A74" s="815" t="s">
        <v>60</v>
      </c>
      <c r="B74" s="816"/>
      <c r="C74" s="832" t="s">
        <v>358</v>
      </c>
      <c r="D74" s="833"/>
      <c r="E74" s="819">
        <v>1</v>
      </c>
      <c r="F74" s="795"/>
      <c r="G74" s="820" t="s">
        <v>64</v>
      </c>
      <c r="H74" s="795"/>
      <c r="I74" s="820" t="s">
        <v>64</v>
      </c>
      <c r="J74" s="795"/>
      <c r="K74" s="820" t="s">
        <v>64</v>
      </c>
      <c r="L74" s="795"/>
      <c r="M74" s="820" t="s">
        <v>64</v>
      </c>
      <c r="N74" s="795"/>
      <c r="O74" s="820" t="s">
        <v>64</v>
      </c>
      <c r="P74" s="795"/>
      <c r="Q74" s="820" t="s">
        <v>64</v>
      </c>
      <c r="R74" s="795"/>
      <c r="S74" s="820" t="s">
        <v>64</v>
      </c>
      <c r="T74" s="795"/>
      <c r="U74" s="777" t="s">
        <v>64</v>
      </c>
      <c r="V74" s="777"/>
      <c r="W74" s="777" t="s">
        <v>64</v>
      </c>
      <c r="X74" s="777"/>
      <c r="Y74" s="777" t="s">
        <v>64</v>
      </c>
      <c r="Z74" s="777"/>
      <c r="AA74" s="777" t="s">
        <v>64</v>
      </c>
      <c r="AB74" s="778"/>
    </row>
    <row r="75" spans="1:28" x14ac:dyDescent="0.25">
      <c r="A75" s="817"/>
      <c r="B75" s="818"/>
      <c r="C75" s="826" t="s">
        <v>359</v>
      </c>
      <c r="D75" s="827"/>
      <c r="E75" s="724">
        <v>1</v>
      </c>
      <c r="F75" s="731"/>
      <c r="G75" s="731" t="s">
        <v>64</v>
      </c>
      <c r="H75" s="731"/>
      <c r="I75" s="731" t="s">
        <v>64</v>
      </c>
      <c r="J75" s="731"/>
      <c r="K75" s="731" t="s">
        <v>64</v>
      </c>
      <c r="L75" s="731"/>
      <c r="M75" s="731" t="s">
        <v>64</v>
      </c>
      <c r="N75" s="731"/>
      <c r="O75" s="731" t="s">
        <v>64</v>
      </c>
      <c r="P75" s="731"/>
      <c r="Q75" s="731" t="s">
        <v>64</v>
      </c>
      <c r="R75" s="731"/>
      <c r="S75" s="731" t="s">
        <v>64</v>
      </c>
      <c r="T75" s="731"/>
      <c r="U75" s="731" t="s">
        <v>64</v>
      </c>
      <c r="V75" s="731"/>
      <c r="W75" s="731" t="s">
        <v>64</v>
      </c>
      <c r="X75" s="731"/>
      <c r="Y75" s="731" t="s">
        <v>64</v>
      </c>
      <c r="Z75" s="731"/>
      <c r="AA75" s="731" t="s">
        <v>64</v>
      </c>
      <c r="AB75" s="779"/>
    </row>
    <row r="76" spans="1:28" x14ac:dyDescent="0.25">
      <c r="A76" s="817"/>
      <c r="B76" s="818"/>
      <c r="C76" s="826" t="s">
        <v>349</v>
      </c>
      <c r="D76" s="827"/>
      <c r="E76" s="724" t="s">
        <v>64</v>
      </c>
      <c r="F76" s="731"/>
      <c r="G76" s="731" t="s">
        <v>64</v>
      </c>
      <c r="H76" s="731"/>
      <c r="I76" s="724">
        <v>1</v>
      </c>
      <c r="J76" s="731"/>
      <c r="K76" s="731" t="s">
        <v>64</v>
      </c>
      <c r="L76" s="731"/>
      <c r="M76" s="731" t="s">
        <v>64</v>
      </c>
      <c r="N76" s="731"/>
      <c r="O76" s="731" t="s">
        <v>64</v>
      </c>
      <c r="P76" s="731"/>
      <c r="Q76" s="724">
        <v>1</v>
      </c>
      <c r="R76" s="731"/>
      <c r="S76" s="731" t="s">
        <v>64</v>
      </c>
      <c r="T76" s="731"/>
      <c r="U76" s="731" t="s">
        <v>64</v>
      </c>
      <c r="V76" s="731"/>
      <c r="W76" s="724" t="s">
        <v>64</v>
      </c>
      <c r="X76" s="731"/>
      <c r="Y76" s="731" t="s">
        <v>64</v>
      </c>
      <c r="Z76" s="731"/>
      <c r="AA76" s="731" t="s">
        <v>64</v>
      </c>
      <c r="AB76" s="779"/>
    </row>
    <row r="77" spans="1:28" x14ac:dyDescent="0.25">
      <c r="A77" s="817"/>
      <c r="B77" s="818"/>
      <c r="C77" s="826" t="s">
        <v>351</v>
      </c>
      <c r="D77" s="827"/>
      <c r="E77" s="724" t="s">
        <v>64</v>
      </c>
      <c r="F77" s="731"/>
      <c r="G77" s="731" t="s">
        <v>64</v>
      </c>
      <c r="H77" s="731"/>
      <c r="I77" s="731">
        <v>1</v>
      </c>
      <c r="J77" s="731"/>
      <c r="K77" s="731" t="s">
        <v>64</v>
      </c>
      <c r="L77" s="731"/>
      <c r="M77" s="724" t="s">
        <v>64</v>
      </c>
      <c r="N77" s="731"/>
      <c r="O77" s="731" t="s">
        <v>64</v>
      </c>
      <c r="P77" s="731"/>
      <c r="Q77" s="724" t="s">
        <v>64</v>
      </c>
      <c r="R77" s="731"/>
      <c r="S77" s="731" t="s">
        <v>64</v>
      </c>
      <c r="T77" s="731"/>
      <c r="U77" s="731" t="s">
        <v>64</v>
      </c>
      <c r="V77" s="731"/>
      <c r="W77" s="731" t="s">
        <v>64</v>
      </c>
      <c r="X77" s="731"/>
      <c r="Y77" s="731" t="s">
        <v>64</v>
      </c>
      <c r="Z77" s="731"/>
      <c r="AA77" s="731" t="s">
        <v>64</v>
      </c>
      <c r="AB77" s="779"/>
    </row>
    <row r="78" spans="1:28" x14ac:dyDescent="0.25">
      <c r="A78" s="817"/>
      <c r="B78" s="818"/>
      <c r="C78" s="826"/>
      <c r="D78" s="827"/>
      <c r="E78" s="725"/>
      <c r="F78" s="724"/>
      <c r="G78" s="723"/>
      <c r="H78" s="724"/>
      <c r="I78" s="723"/>
      <c r="J78" s="724"/>
      <c r="K78" s="723"/>
      <c r="L78" s="724"/>
      <c r="M78" s="723"/>
      <c r="N78" s="724"/>
      <c r="O78" s="723"/>
      <c r="P78" s="724"/>
      <c r="Q78" s="723"/>
      <c r="R78" s="724"/>
      <c r="S78" s="723"/>
      <c r="T78" s="724"/>
      <c r="U78" s="723"/>
      <c r="V78" s="724"/>
      <c r="W78" s="723"/>
      <c r="X78" s="724"/>
      <c r="Y78" s="723"/>
      <c r="Z78" s="724"/>
      <c r="AA78" s="723"/>
      <c r="AB78" s="726"/>
    </row>
    <row r="79" spans="1:28" x14ac:dyDescent="0.25">
      <c r="A79" s="817"/>
      <c r="B79" s="818"/>
      <c r="C79" s="828"/>
      <c r="D79" s="829"/>
      <c r="E79" s="725"/>
      <c r="F79" s="724"/>
      <c r="G79" s="723"/>
      <c r="H79" s="724"/>
      <c r="I79" s="723"/>
      <c r="J79" s="724"/>
      <c r="K79" s="723"/>
      <c r="L79" s="724"/>
      <c r="M79" s="723"/>
      <c r="N79" s="724"/>
      <c r="O79" s="723"/>
      <c r="P79" s="724"/>
      <c r="Q79" s="723"/>
      <c r="R79" s="724"/>
      <c r="S79" s="723"/>
      <c r="T79" s="724"/>
      <c r="U79" s="723"/>
      <c r="V79" s="724"/>
      <c r="W79" s="723"/>
      <c r="X79" s="724"/>
      <c r="Y79" s="723"/>
      <c r="Z79" s="724"/>
      <c r="AA79" s="723"/>
      <c r="AB79" s="726"/>
    </row>
    <row r="80" spans="1:28" x14ac:dyDescent="0.25">
      <c r="A80" s="817"/>
      <c r="B80" s="818"/>
      <c r="C80" s="828"/>
      <c r="D80" s="829"/>
      <c r="E80" s="725"/>
      <c r="F80" s="724"/>
      <c r="G80" s="723"/>
      <c r="H80" s="724"/>
      <c r="I80" s="723"/>
      <c r="J80" s="724"/>
      <c r="K80" s="723"/>
      <c r="L80" s="724"/>
      <c r="M80" s="731"/>
      <c r="N80" s="731"/>
      <c r="O80" s="725"/>
      <c r="P80" s="724"/>
      <c r="Q80" s="723"/>
      <c r="R80" s="724"/>
      <c r="S80" s="723"/>
      <c r="T80" s="724"/>
      <c r="U80" s="723"/>
      <c r="V80" s="724"/>
      <c r="W80" s="723"/>
      <c r="X80" s="724"/>
      <c r="Y80" s="723"/>
      <c r="Z80" s="724"/>
      <c r="AA80" s="723"/>
      <c r="AB80" s="726"/>
    </row>
    <row r="81" spans="1:43" x14ac:dyDescent="0.25">
      <c r="A81" s="817"/>
      <c r="B81" s="818"/>
      <c r="C81" s="828"/>
      <c r="D81" s="829"/>
      <c r="E81" s="725"/>
      <c r="F81" s="724"/>
      <c r="G81" s="723"/>
      <c r="H81" s="724"/>
      <c r="I81" s="723"/>
      <c r="J81" s="724"/>
      <c r="K81" s="723"/>
      <c r="L81" s="724"/>
      <c r="M81" s="723"/>
      <c r="N81" s="724"/>
      <c r="O81" s="723"/>
      <c r="P81" s="724"/>
      <c r="Q81" s="723"/>
      <c r="R81" s="724"/>
      <c r="S81" s="723"/>
      <c r="T81" s="724"/>
      <c r="U81" s="723"/>
      <c r="V81" s="724"/>
      <c r="W81" s="723"/>
      <c r="X81" s="724"/>
      <c r="Y81" s="723"/>
      <c r="Z81" s="724"/>
      <c r="AA81" s="723"/>
      <c r="AB81" s="726"/>
    </row>
    <row r="82" spans="1:43" ht="15.75" thickBot="1" x14ac:dyDescent="0.3">
      <c r="A82" s="817"/>
      <c r="B82" s="818"/>
      <c r="C82" s="828"/>
      <c r="D82" s="829"/>
      <c r="E82" s="734"/>
      <c r="F82" s="735"/>
      <c r="G82" s="723"/>
      <c r="H82" s="724"/>
      <c r="I82" s="723"/>
      <c r="J82" s="724"/>
      <c r="K82" s="723"/>
      <c r="L82" s="724"/>
      <c r="M82" s="736"/>
      <c r="N82" s="735"/>
      <c r="O82" s="723"/>
      <c r="P82" s="724"/>
      <c r="Q82" s="723"/>
      <c r="R82" s="724"/>
      <c r="S82" s="723"/>
      <c r="T82" s="724"/>
      <c r="U82" s="723"/>
      <c r="V82" s="724"/>
      <c r="W82" s="723"/>
      <c r="X82" s="724"/>
      <c r="Y82" s="723"/>
      <c r="Z82" s="724"/>
      <c r="AA82" s="723"/>
      <c r="AB82" s="726"/>
    </row>
    <row r="83" spans="1:43" x14ac:dyDescent="0.25">
      <c r="A83" s="821" t="s">
        <v>65</v>
      </c>
      <c r="B83" s="822"/>
      <c r="C83" s="840" t="s">
        <v>352</v>
      </c>
      <c r="D83" s="841"/>
      <c r="E83" s="825">
        <v>2</v>
      </c>
      <c r="F83" s="813"/>
      <c r="G83" s="777" t="s">
        <v>64</v>
      </c>
      <c r="H83" s="777"/>
      <c r="I83" s="777" t="s">
        <v>64</v>
      </c>
      <c r="J83" s="777"/>
      <c r="K83" s="777" t="s">
        <v>64</v>
      </c>
      <c r="L83" s="777"/>
      <c r="M83" s="777" t="s">
        <v>64</v>
      </c>
      <c r="N83" s="777"/>
      <c r="O83" s="777" t="s">
        <v>64</v>
      </c>
      <c r="P83" s="777"/>
      <c r="Q83" s="777" t="s">
        <v>64</v>
      </c>
      <c r="R83" s="777"/>
      <c r="S83" s="777" t="s">
        <v>64</v>
      </c>
      <c r="T83" s="777"/>
      <c r="U83" s="777" t="s">
        <v>64</v>
      </c>
      <c r="V83" s="777"/>
      <c r="W83" s="777" t="s">
        <v>64</v>
      </c>
      <c r="X83" s="777"/>
      <c r="Y83" s="777" t="s">
        <v>64</v>
      </c>
      <c r="Z83" s="777"/>
      <c r="AA83" s="777" t="s">
        <v>64</v>
      </c>
      <c r="AB83" s="778"/>
    </row>
    <row r="84" spans="1:43" x14ac:dyDescent="0.25">
      <c r="A84" s="823"/>
      <c r="B84" s="824"/>
      <c r="C84" s="826" t="s">
        <v>353</v>
      </c>
      <c r="D84" s="827"/>
      <c r="E84" s="724">
        <v>3</v>
      </c>
      <c r="F84" s="731"/>
      <c r="G84" s="731" t="s">
        <v>64</v>
      </c>
      <c r="H84" s="731"/>
      <c r="I84" s="731" t="s">
        <v>64</v>
      </c>
      <c r="J84" s="731"/>
      <c r="K84" s="731" t="s">
        <v>64</v>
      </c>
      <c r="L84" s="731"/>
      <c r="M84" s="731" t="s">
        <v>64</v>
      </c>
      <c r="N84" s="731"/>
      <c r="O84" s="731" t="s">
        <v>64</v>
      </c>
      <c r="P84" s="731"/>
      <c r="Q84" s="731" t="s">
        <v>64</v>
      </c>
      <c r="R84" s="731"/>
      <c r="S84" s="731" t="s">
        <v>64</v>
      </c>
      <c r="T84" s="731"/>
      <c r="U84" s="731" t="s">
        <v>64</v>
      </c>
      <c r="V84" s="731"/>
      <c r="W84" s="731" t="s">
        <v>64</v>
      </c>
      <c r="X84" s="731"/>
      <c r="Y84" s="731" t="s">
        <v>64</v>
      </c>
      <c r="Z84" s="731"/>
      <c r="AA84" s="731" t="s">
        <v>64</v>
      </c>
      <c r="AB84" s="779"/>
    </row>
    <row r="85" spans="1:43" x14ac:dyDescent="0.25">
      <c r="A85" s="823"/>
      <c r="B85" s="824"/>
      <c r="C85" s="826" t="s">
        <v>354</v>
      </c>
      <c r="D85" s="827"/>
      <c r="E85" s="724">
        <v>3</v>
      </c>
      <c r="F85" s="731"/>
      <c r="G85" s="731" t="s">
        <v>64</v>
      </c>
      <c r="H85" s="731"/>
      <c r="I85" s="731" t="s">
        <v>64</v>
      </c>
      <c r="J85" s="731"/>
      <c r="K85" s="731" t="s">
        <v>64</v>
      </c>
      <c r="L85" s="731"/>
      <c r="M85" s="731" t="s">
        <v>64</v>
      </c>
      <c r="N85" s="731"/>
      <c r="O85" s="731" t="s">
        <v>64</v>
      </c>
      <c r="P85" s="731"/>
      <c r="Q85" s="731" t="s">
        <v>64</v>
      </c>
      <c r="R85" s="731"/>
      <c r="S85" s="731" t="s">
        <v>64</v>
      </c>
      <c r="T85" s="731"/>
      <c r="U85" s="731" t="s">
        <v>64</v>
      </c>
      <c r="V85" s="731"/>
      <c r="W85" s="731" t="s">
        <v>64</v>
      </c>
      <c r="X85" s="731"/>
      <c r="Y85" s="731" t="s">
        <v>64</v>
      </c>
      <c r="Z85" s="731"/>
      <c r="AA85" s="731" t="s">
        <v>64</v>
      </c>
      <c r="AB85" s="779"/>
    </row>
    <row r="86" spans="1:43" x14ac:dyDescent="0.25">
      <c r="A86" s="823"/>
      <c r="B86" s="824"/>
      <c r="C86" s="826" t="s">
        <v>355</v>
      </c>
      <c r="D86" s="827"/>
      <c r="E86" s="724">
        <v>3</v>
      </c>
      <c r="F86" s="731"/>
      <c r="G86" s="731" t="s">
        <v>64</v>
      </c>
      <c r="H86" s="731"/>
      <c r="I86" s="731" t="s">
        <v>64</v>
      </c>
      <c r="J86" s="731"/>
      <c r="K86" s="731" t="s">
        <v>64</v>
      </c>
      <c r="L86" s="731"/>
      <c r="M86" s="731" t="s">
        <v>64</v>
      </c>
      <c r="N86" s="731"/>
      <c r="O86" s="731" t="s">
        <v>64</v>
      </c>
      <c r="P86" s="731"/>
      <c r="Q86" s="731" t="s">
        <v>64</v>
      </c>
      <c r="R86" s="731"/>
      <c r="S86" s="731" t="s">
        <v>64</v>
      </c>
      <c r="T86" s="731"/>
      <c r="U86" s="731" t="s">
        <v>64</v>
      </c>
      <c r="V86" s="731"/>
      <c r="W86" s="731" t="s">
        <v>64</v>
      </c>
      <c r="X86" s="731"/>
      <c r="Y86" s="731" t="s">
        <v>64</v>
      </c>
      <c r="Z86" s="731"/>
      <c r="AA86" s="731" t="s">
        <v>64</v>
      </c>
      <c r="AB86" s="779"/>
    </row>
    <row r="87" spans="1:43" ht="15.75" thickBot="1" x14ac:dyDescent="0.3">
      <c r="A87" s="823"/>
      <c r="B87" s="824"/>
      <c r="C87" s="826" t="s">
        <v>356</v>
      </c>
      <c r="D87" s="827"/>
      <c r="E87" s="724">
        <v>3</v>
      </c>
      <c r="F87" s="731"/>
      <c r="G87" s="731" t="s">
        <v>64</v>
      </c>
      <c r="H87" s="731"/>
      <c r="I87" s="731" t="s">
        <v>64</v>
      </c>
      <c r="J87" s="731"/>
      <c r="K87" s="731" t="s">
        <v>64</v>
      </c>
      <c r="L87" s="731"/>
      <c r="M87" s="731" t="s">
        <v>64</v>
      </c>
      <c r="N87" s="731"/>
      <c r="O87" s="731" t="s">
        <v>64</v>
      </c>
      <c r="P87" s="731"/>
      <c r="Q87" s="731" t="s">
        <v>64</v>
      </c>
      <c r="R87" s="731"/>
      <c r="S87" s="731" t="s">
        <v>64</v>
      </c>
      <c r="T87" s="731"/>
      <c r="U87" s="731" t="s">
        <v>64</v>
      </c>
      <c r="V87" s="731"/>
      <c r="W87" s="731" t="s">
        <v>64</v>
      </c>
      <c r="X87" s="731"/>
      <c r="Y87" s="731" t="s">
        <v>64</v>
      </c>
      <c r="Z87" s="731"/>
      <c r="AA87" s="731" t="s">
        <v>64</v>
      </c>
      <c r="AB87" s="779"/>
    </row>
    <row r="88" spans="1:43" x14ac:dyDescent="0.25">
      <c r="A88" s="821" t="s">
        <v>66</v>
      </c>
      <c r="B88" s="822"/>
      <c r="C88" s="836"/>
      <c r="D88" s="837"/>
      <c r="E88" s="795"/>
      <c r="F88" s="777"/>
      <c r="G88" s="777"/>
      <c r="H88" s="777"/>
      <c r="I88" s="777"/>
      <c r="J88" s="777"/>
      <c r="K88" s="777"/>
      <c r="L88" s="777"/>
      <c r="M88" s="777"/>
      <c r="N88" s="777"/>
      <c r="O88" s="777"/>
      <c r="P88" s="777"/>
      <c r="Q88" s="777"/>
      <c r="R88" s="777"/>
      <c r="S88" s="777"/>
      <c r="T88" s="777"/>
      <c r="U88" s="777"/>
      <c r="V88" s="777"/>
      <c r="W88" s="777"/>
      <c r="X88" s="777"/>
      <c r="Y88" s="777"/>
      <c r="Z88" s="777"/>
      <c r="AA88" s="777"/>
      <c r="AB88" s="778"/>
    </row>
    <row r="89" spans="1:43" ht="15.75" thickBot="1" x14ac:dyDescent="0.3">
      <c r="A89" s="830"/>
      <c r="B89" s="831"/>
      <c r="C89" s="838"/>
      <c r="D89" s="839"/>
      <c r="E89" s="735"/>
      <c r="F89" s="804"/>
      <c r="G89" s="804"/>
      <c r="H89" s="804"/>
      <c r="I89" s="804"/>
      <c r="J89" s="804"/>
      <c r="K89" s="804"/>
      <c r="L89" s="804"/>
      <c r="M89" s="804"/>
      <c r="N89" s="804"/>
      <c r="O89" s="804"/>
      <c r="P89" s="804"/>
      <c r="Q89" s="804"/>
      <c r="R89" s="804"/>
      <c r="S89" s="804"/>
      <c r="T89" s="804"/>
      <c r="U89" s="804"/>
      <c r="V89" s="804"/>
      <c r="W89" s="804"/>
      <c r="X89" s="804"/>
      <c r="Y89" s="804"/>
      <c r="Z89" s="804"/>
      <c r="AA89" s="804"/>
      <c r="AB89" s="814"/>
    </row>
    <row r="90" spans="1:43" ht="26.25" x14ac:dyDescent="0.25">
      <c r="A90" s="59"/>
      <c r="B90" s="59"/>
      <c r="C90" s="60"/>
      <c r="D90" s="40"/>
      <c r="E90" s="61"/>
      <c r="F90" s="61"/>
      <c r="G90" s="61"/>
      <c r="H90" s="61"/>
      <c r="I90" s="61"/>
      <c r="J90" s="61"/>
      <c r="K90" s="61"/>
      <c r="L90" s="61"/>
      <c r="M90" s="61"/>
      <c r="N90" s="61"/>
      <c r="O90" s="61"/>
      <c r="P90" s="61"/>
      <c r="Q90" s="61"/>
      <c r="R90" s="61"/>
      <c r="S90" s="61"/>
      <c r="T90" s="61"/>
      <c r="U90" s="61"/>
      <c r="V90" s="61"/>
      <c r="W90" s="61"/>
      <c r="X90" s="61"/>
      <c r="Y90" s="61"/>
      <c r="Z90" s="61"/>
      <c r="AA90" s="61"/>
      <c r="AB90" s="61"/>
      <c r="AC90" s="50"/>
    </row>
    <row r="91" spans="1:43" ht="17.25" customHeight="1" x14ac:dyDescent="0.25">
      <c r="A91" s="59"/>
      <c r="B91" s="59"/>
      <c r="C91" s="60"/>
      <c r="D91" s="40"/>
      <c r="E91" s="475"/>
      <c r="F91" s="475"/>
      <c r="G91" s="475"/>
      <c r="H91" s="475"/>
      <c r="I91" s="475"/>
      <c r="J91" s="475"/>
      <c r="K91" s="475"/>
      <c r="L91" s="475"/>
      <c r="M91" s="475"/>
      <c r="N91" s="475"/>
      <c r="O91" s="475"/>
      <c r="P91" s="475"/>
      <c r="Q91" s="475"/>
      <c r="R91" s="475"/>
      <c r="S91" s="475"/>
      <c r="T91" s="475"/>
      <c r="U91" s="475"/>
      <c r="V91" s="475"/>
      <c r="W91" s="475"/>
      <c r="X91" s="475"/>
      <c r="Y91" s="475"/>
      <c r="Z91" s="475"/>
      <c r="AA91" s="475"/>
      <c r="AB91" s="475"/>
      <c r="AC91" s="50"/>
    </row>
    <row r="92" spans="1:43" ht="3.75" customHeight="1" x14ac:dyDescent="0.25">
      <c r="A92" s="63"/>
      <c r="B92" s="63"/>
      <c r="C92" s="68"/>
      <c r="D92" s="65"/>
      <c r="E92" s="66"/>
      <c r="F92" s="66"/>
      <c r="G92" s="66"/>
      <c r="H92" s="66"/>
      <c r="I92" s="66"/>
      <c r="J92" s="66"/>
      <c r="K92" s="66"/>
      <c r="L92" s="66"/>
      <c r="M92" s="66"/>
      <c r="N92" s="66"/>
      <c r="O92" s="66"/>
      <c r="P92" s="66"/>
      <c r="Q92" s="66"/>
      <c r="R92" s="66"/>
      <c r="S92" s="66"/>
      <c r="T92" s="66"/>
      <c r="U92" s="66"/>
      <c r="V92" s="66"/>
      <c r="W92" s="66"/>
      <c r="X92" s="66"/>
      <c r="Y92" s="66"/>
      <c r="Z92" s="66"/>
      <c r="AA92" s="66"/>
      <c r="AB92" s="66"/>
      <c r="AC92" s="64"/>
      <c r="AD92" s="67"/>
      <c r="AE92" s="67"/>
      <c r="AF92" s="67"/>
      <c r="AG92" s="67"/>
      <c r="AH92" s="67"/>
      <c r="AI92" s="67"/>
      <c r="AJ92" s="67"/>
      <c r="AK92" s="67"/>
      <c r="AL92" s="67"/>
      <c r="AM92" s="67"/>
      <c r="AN92" s="67"/>
      <c r="AO92" s="67"/>
      <c r="AP92" s="67"/>
      <c r="AQ92" s="67"/>
    </row>
    <row r="93" spans="1:43" ht="15" customHeight="1" x14ac:dyDescent="0.25">
      <c r="A93" s="59"/>
      <c r="B93" s="59"/>
      <c r="C93" s="60"/>
      <c r="D93" s="40"/>
      <c r="E93" s="61"/>
      <c r="F93" s="61"/>
      <c r="G93" s="61"/>
      <c r="H93" s="61"/>
      <c r="I93" s="61"/>
      <c r="J93" s="61"/>
      <c r="K93" s="61"/>
      <c r="L93" s="61"/>
      <c r="M93" s="61"/>
      <c r="N93" s="61"/>
      <c r="O93" s="61"/>
      <c r="P93" s="61"/>
      <c r="Q93" s="61"/>
      <c r="R93" s="61"/>
      <c r="S93" s="61"/>
      <c r="T93" s="61"/>
      <c r="U93" s="61"/>
      <c r="V93" s="61"/>
      <c r="W93" s="61"/>
      <c r="X93" s="61"/>
      <c r="Y93" s="61"/>
      <c r="Z93" s="61"/>
      <c r="AA93" s="61"/>
      <c r="AB93" s="61"/>
      <c r="AC93" s="50"/>
    </row>
    <row r="94" spans="1:43" ht="26.25" customHeight="1" thickBot="1" x14ac:dyDescent="0.3">
      <c r="A94" s="59"/>
      <c r="B94" s="59"/>
      <c r="C94" s="60"/>
      <c r="D94" s="40"/>
      <c r="E94" s="475"/>
      <c r="F94" s="475"/>
      <c r="G94" s="475"/>
      <c r="H94" s="475"/>
      <c r="I94" s="475"/>
      <c r="J94" s="475"/>
      <c r="K94" s="475"/>
      <c r="L94" s="475"/>
      <c r="M94" s="475"/>
      <c r="N94" s="475"/>
      <c r="O94" s="475"/>
      <c r="P94" s="475"/>
      <c r="Q94" s="475"/>
      <c r="R94" s="475"/>
      <c r="S94" s="475"/>
      <c r="T94" s="475"/>
      <c r="U94" s="475"/>
      <c r="V94" s="475"/>
      <c r="W94" s="475"/>
      <c r="X94" s="475"/>
      <c r="Y94" s="475"/>
      <c r="Z94" s="475"/>
      <c r="AA94" s="475"/>
      <c r="AB94" s="475"/>
      <c r="AC94" s="50"/>
    </row>
    <row r="95" spans="1:43" ht="27" thickBot="1" x14ac:dyDescent="0.45">
      <c r="A95" s="798" t="s">
        <v>337</v>
      </c>
      <c r="B95" s="799"/>
      <c r="C95" s="799"/>
      <c r="D95" s="799"/>
      <c r="E95" s="799"/>
      <c r="F95" s="799"/>
      <c r="G95" s="799"/>
      <c r="H95" s="799"/>
      <c r="I95" s="799"/>
      <c r="J95" s="799"/>
      <c r="K95" s="799"/>
      <c r="L95" s="799"/>
      <c r="M95" s="799"/>
      <c r="N95" s="799"/>
      <c r="O95" s="799"/>
      <c r="P95" s="799"/>
      <c r="Q95" s="799"/>
      <c r="R95" s="799"/>
      <c r="S95" s="799"/>
      <c r="T95" s="799"/>
      <c r="U95" s="799"/>
      <c r="V95" s="799"/>
      <c r="W95" s="799"/>
      <c r="X95" s="799"/>
      <c r="Y95" s="799"/>
      <c r="Z95" s="799"/>
      <c r="AA95" s="799"/>
      <c r="AB95" s="800"/>
    </row>
    <row r="96" spans="1:43" x14ac:dyDescent="0.25">
      <c r="A96" s="763" t="s">
        <v>32</v>
      </c>
      <c r="B96" s="766" t="s">
        <v>33</v>
      </c>
      <c r="C96" s="763" t="s">
        <v>58</v>
      </c>
      <c r="D96" s="769"/>
      <c r="E96" s="774" t="s">
        <v>42</v>
      </c>
      <c r="F96" s="733"/>
      <c r="G96" s="732" t="s">
        <v>43</v>
      </c>
      <c r="H96" s="733"/>
      <c r="I96" s="732" t="s">
        <v>44</v>
      </c>
      <c r="J96" s="733"/>
      <c r="K96" s="732" t="s">
        <v>45</v>
      </c>
      <c r="L96" s="733"/>
      <c r="M96" s="732" t="s">
        <v>46</v>
      </c>
      <c r="N96" s="733"/>
      <c r="O96" s="732" t="s">
        <v>47</v>
      </c>
      <c r="P96" s="733"/>
      <c r="Q96" s="732" t="s">
        <v>48</v>
      </c>
      <c r="R96" s="733"/>
      <c r="S96" s="732" t="s">
        <v>49</v>
      </c>
      <c r="T96" s="733"/>
      <c r="U96" s="732" t="s">
        <v>50</v>
      </c>
      <c r="V96" s="733"/>
      <c r="W96" s="732" t="s">
        <v>51</v>
      </c>
      <c r="X96" s="733"/>
      <c r="Y96" s="732" t="s">
        <v>52</v>
      </c>
      <c r="Z96" s="733"/>
      <c r="AA96" s="732" t="s">
        <v>53</v>
      </c>
      <c r="AB96" s="733"/>
    </row>
    <row r="97" spans="1:28" x14ac:dyDescent="0.25">
      <c r="A97" s="764"/>
      <c r="B97" s="767"/>
      <c r="C97" s="770" t="s">
        <v>57</v>
      </c>
      <c r="D97" s="772" t="s">
        <v>41</v>
      </c>
      <c r="E97" s="729">
        <v>0.1</v>
      </c>
      <c r="F97" s="730"/>
      <c r="G97" s="729">
        <v>0.16</v>
      </c>
      <c r="H97" s="730"/>
      <c r="I97" s="729">
        <v>7.0000000000000007E-2</v>
      </c>
      <c r="J97" s="730"/>
      <c r="K97" s="729">
        <v>0.05</v>
      </c>
      <c r="L97" s="730"/>
      <c r="M97" s="729">
        <v>0.06</v>
      </c>
      <c r="N97" s="730"/>
      <c r="O97" s="729">
        <v>0.09</v>
      </c>
      <c r="P97" s="730"/>
      <c r="Q97" s="729">
        <v>0.1</v>
      </c>
      <c r="R97" s="730"/>
      <c r="S97" s="729">
        <v>0.1</v>
      </c>
      <c r="T97" s="730"/>
      <c r="U97" s="729">
        <v>7.0000000000000007E-2</v>
      </c>
      <c r="V97" s="730"/>
      <c r="W97" s="729">
        <v>0.08</v>
      </c>
      <c r="X97" s="730"/>
      <c r="Y97" s="729">
        <v>7.0000000000000007E-2</v>
      </c>
      <c r="Z97" s="730"/>
      <c r="AA97" s="729">
        <v>0.05</v>
      </c>
      <c r="AB97" s="730"/>
    </row>
    <row r="98" spans="1:28" ht="15.75" thickBot="1" x14ac:dyDescent="0.3">
      <c r="A98" s="765"/>
      <c r="B98" s="768"/>
      <c r="C98" s="771"/>
      <c r="D98" s="773"/>
      <c r="E98" s="581" t="s">
        <v>57</v>
      </c>
      <c r="F98" s="582" t="s">
        <v>41</v>
      </c>
      <c r="G98" s="581" t="s">
        <v>57</v>
      </c>
      <c r="H98" s="582" t="s">
        <v>41</v>
      </c>
      <c r="I98" s="581" t="s">
        <v>57</v>
      </c>
      <c r="J98" s="582" t="s">
        <v>41</v>
      </c>
      <c r="K98" s="581" t="s">
        <v>57</v>
      </c>
      <c r="L98" s="582" t="s">
        <v>41</v>
      </c>
      <c r="M98" s="581" t="s">
        <v>57</v>
      </c>
      <c r="N98" s="582" t="s">
        <v>41</v>
      </c>
      <c r="O98" s="581" t="s">
        <v>57</v>
      </c>
      <c r="P98" s="582" t="s">
        <v>41</v>
      </c>
      <c r="Q98" s="581" t="s">
        <v>57</v>
      </c>
      <c r="R98" s="582" t="s">
        <v>41</v>
      </c>
      <c r="S98" s="526" t="s">
        <v>57</v>
      </c>
      <c r="T98" s="527" t="s">
        <v>41</v>
      </c>
      <c r="U98" s="526" t="s">
        <v>57</v>
      </c>
      <c r="V98" s="527" t="s">
        <v>41</v>
      </c>
      <c r="W98" s="526" t="s">
        <v>57</v>
      </c>
      <c r="X98" s="527" t="s">
        <v>41</v>
      </c>
      <c r="Y98" s="526" t="s">
        <v>57</v>
      </c>
      <c r="Z98" s="527" t="s">
        <v>41</v>
      </c>
      <c r="AA98" s="526" t="s">
        <v>57</v>
      </c>
      <c r="AB98" s="527" t="s">
        <v>41</v>
      </c>
    </row>
    <row r="99" spans="1:28" ht="15.75" x14ac:dyDescent="0.25">
      <c r="A99" s="508" t="str">
        <f>Hipótesis!B58</f>
        <v>Portal básico</v>
      </c>
      <c r="B99" s="516">
        <f>Hipótesis!C58</f>
        <v>2000000</v>
      </c>
      <c r="C99" s="517">
        <v>9</v>
      </c>
      <c r="D99" s="516">
        <f>B99*C99</f>
        <v>18000000</v>
      </c>
      <c r="E99" s="518">
        <f t="shared" ref="E99:E106" si="50">C99*$E$97</f>
        <v>0.9</v>
      </c>
      <c r="F99" s="516">
        <f>D99*$E$17</f>
        <v>1080000</v>
      </c>
      <c r="G99" s="518">
        <f t="shared" ref="G99:G106" si="51">C99*$G$97</f>
        <v>1.44</v>
      </c>
      <c r="H99" s="516">
        <f>D99*$G$17</f>
        <v>720000</v>
      </c>
      <c r="I99" s="518">
        <f t="shared" ref="I99:I106" si="52">C99*$I$97</f>
        <v>0.63000000000000012</v>
      </c>
      <c r="J99" s="516">
        <f t="shared" ref="J99:J106" si="53">D99*$I$17</f>
        <v>1440000</v>
      </c>
      <c r="K99" s="518">
        <f t="shared" ref="K99:K106" si="54">C99*$K$97</f>
        <v>0.45</v>
      </c>
      <c r="L99" s="516">
        <f t="shared" ref="L99:L106" si="55">D99*$K$17</f>
        <v>1260000.0000000002</v>
      </c>
      <c r="M99" s="518">
        <f t="shared" ref="M99:M106" si="56">C99*$M$97</f>
        <v>0.54</v>
      </c>
      <c r="N99" s="516">
        <f>D99*$M$17</f>
        <v>1980000</v>
      </c>
      <c r="O99" s="518">
        <f t="shared" ref="O99:O106" si="57">C99*$O$97</f>
        <v>0.80999999999999994</v>
      </c>
      <c r="P99" s="516">
        <f t="shared" ref="P99:P106" si="58">D99*$O$17</f>
        <v>720000</v>
      </c>
      <c r="Q99" s="518">
        <f t="shared" ref="Q99:Q106" si="59">C99*$Q$97</f>
        <v>0.9</v>
      </c>
      <c r="R99" s="516">
        <f t="shared" ref="R99:R106" si="60">D99*$Q$17</f>
        <v>1080000</v>
      </c>
      <c r="S99" s="518">
        <f t="shared" ref="S99:S106" si="61">C99*$S$97</f>
        <v>0.9</v>
      </c>
      <c r="T99" s="516">
        <f t="shared" ref="T99:T106" si="62">D99*$S$17</f>
        <v>2160000</v>
      </c>
      <c r="U99" s="518">
        <f t="shared" ref="U99:U106" si="63">C99*$U$97</f>
        <v>0.63000000000000012</v>
      </c>
      <c r="V99" s="516">
        <f t="shared" ref="V99:V106" si="64">D99*$U$17</f>
        <v>1980000</v>
      </c>
      <c r="W99" s="518">
        <f t="shared" ref="W99:W106" si="65">C99*$W$97</f>
        <v>0.72</v>
      </c>
      <c r="X99" s="516">
        <f t="shared" ref="X99:X106" si="66">D99*$W$17</f>
        <v>2520000.0000000005</v>
      </c>
      <c r="Y99" s="518">
        <f t="shared" ref="Y99:Y106" si="67">C99*$Y$97</f>
        <v>0.63000000000000012</v>
      </c>
      <c r="Z99" s="518">
        <f t="shared" ref="Z99:Z106" si="68">D99*$Y$17</f>
        <v>1440000</v>
      </c>
      <c r="AA99" s="518">
        <f t="shared" ref="AA99:AA106" si="69">C99*$AA$97</f>
        <v>0.45</v>
      </c>
      <c r="AB99" s="593">
        <f>D99*$AA$17</f>
        <v>1620000</v>
      </c>
    </row>
    <row r="100" spans="1:28" ht="15.75" x14ac:dyDescent="0.25">
      <c r="A100" s="520" t="str">
        <f>Hipótesis!B59</f>
        <v>Portal aprendizaje</v>
      </c>
      <c r="B100" s="512">
        <f>Hipótesis!C59</f>
        <v>2300000</v>
      </c>
      <c r="C100" s="513">
        <v>6</v>
      </c>
      <c r="D100" s="512">
        <f t="shared" ref="D100:D106" si="70">B100*C100</f>
        <v>13800000</v>
      </c>
      <c r="E100" s="514">
        <f t="shared" si="50"/>
        <v>0.60000000000000009</v>
      </c>
      <c r="F100" s="512">
        <f t="shared" ref="F100:F106" si="71">D100*$E$17</f>
        <v>828000</v>
      </c>
      <c r="G100" s="514">
        <f t="shared" si="51"/>
        <v>0.96</v>
      </c>
      <c r="H100" s="512">
        <f t="shared" ref="H100:H106" si="72">D100*$G$17</f>
        <v>552000</v>
      </c>
      <c r="I100" s="514">
        <f t="shared" si="52"/>
        <v>0.42000000000000004</v>
      </c>
      <c r="J100" s="512">
        <f t="shared" si="53"/>
        <v>1104000</v>
      </c>
      <c r="K100" s="514">
        <f t="shared" si="54"/>
        <v>0.30000000000000004</v>
      </c>
      <c r="L100" s="512">
        <f t="shared" si="55"/>
        <v>966000.00000000012</v>
      </c>
      <c r="M100" s="514">
        <f t="shared" si="56"/>
        <v>0.36</v>
      </c>
      <c r="N100" s="512">
        <f t="shared" ref="N100:N106" si="73">D100*$M$17</f>
        <v>1518000</v>
      </c>
      <c r="O100" s="514">
        <f t="shared" si="57"/>
        <v>0.54</v>
      </c>
      <c r="P100" s="512">
        <f t="shared" si="58"/>
        <v>552000</v>
      </c>
      <c r="Q100" s="514">
        <f t="shared" si="59"/>
        <v>0.60000000000000009</v>
      </c>
      <c r="R100" s="512">
        <f t="shared" si="60"/>
        <v>828000</v>
      </c>
      <c r="S100" s="514">
        <f t="shared" si="61"/>
        <v>0.60000000000000009</v>
      </c>
      <c r="T100" s="512">
        <f t="shared" si="62"/>
        <v>1656000</v>
      </c>
      <c r="U100" s="514">
        <f t="shared" si="63"/>
        <v>0.42000000000000004</v>
      </c>
      <c r="V100" s="512">
        <f t="shared" si="64"/>
        <v>1518000</v>
      </c>
      <c r="W100" s="514">
        <f t="shared" si="65"/>
        <v>0.48</v>
      </c>
      <c r="X100" s="512">
        <f t="shared" si="66"/>
        <v>1932000.0000000002</v>
      </c>
      <c r="Y100" s="514">
        <f t="shared" si="67"/>
        <v>0.42000000000000004</v>
      </c>
      <c r="Z100" s="514">
        <f t="shared" si="68"/>
        <v>1104000</v>
      </c>
      <c r="AA100" s="514">
        <f t="shared" si="69"/>
        <v>0.30000000000000004</v>
      </c>
      <c r="AB100" s="595">
        <f>D100*$AA$17</f>
        <v>1242000</v>
      </c>
    </row>
    <row r="101" spans="1:28" ht="15.75" x14ac:dyDescent="0.25">
      <c r="A101" s="520" t="str">
        <f>Hipótesis!B60</f>
        <v>Portal sugerencia</v>
      </c>
      <c r="B101" s="512">
        <f>Hipótesis!C60</f>
        <v>2300000</v>
      </c>
      <c r="C101" s="513">
        <v>8</v>
      </c>
      <c r="D101" s="512">
        <f t="shared" si="70"/>
        <v>18400000</v>
      </c>
      <c r="E101" s="514">
        <f t="shared" si="50"/>
        <v>0.8</v>
      </c>
      <c r="F101" s="512">
        <f t="shared" si="71"/>
        <v>1104000</v>
      </c>
      <c r="G101" s="514">
        <f t="shared" si="51"/>
        <v>1.28</v>
      </c>
      <c r="H101" s="512">
        <f t="shared" si="72"/>
        <v>736000</v>
      </c>
      <c r="I101" s="514">
        <f t="shared" si="52"/>
        <v>0.56000000000000005</v>
      </c>
      <c r="J101" s="512">
        <f t="shared" si="53"/>
        <v>1472000</v>
      </c>
      <c r="K101" s="514">
        <f t="shared" si="54"/>
        <v>0.4</v>
      </c>
      <c r="L101" s="512">
        <f t="shared" si="55"/>
        <v>1288000.0000000002</v>
      </c>
      <c r="M101" s="514">
        <f t="shared" si="56"/>
        <v>0.48</v>
      </c>
      <c r="N101" s="512">
        <f t="shared" si="73"/>
        <v>2024000</v>
      </c>
      <c r="O101" s="514">
        <f t="shared" si="57"/>
        <v>0.72</v>
      </c>
      <c r="P101" s="512">
        <f t="shared" si="58"/>
        <v>736000</v>
      </c>
      <c r="Q101" s="514">
        <f t="shared" si="59"/>
        <v>0.8</v>
      </c>
      <c r="R101" s="512">
        <f t="shared" si="60"/>
        <v>1104000</v>
      </c>
      <c r="S101" s="514">
        <f t="shared" si="61"/>
        <v>0.8</v>
      </c>
      <c r="T101" s="512">
        <f t="shared" si="62"/>
        <v>2208000</v>
      </c>
      <c r="U101" s="514">
        <f t="shared" si="63"/>
        <v>0.56000000000000005</v>
      </c>
      <c r="V101" s="512">
        <f t="shared" si="64"/>
        <v>2024000</v>
      </c>
      <c r="W101" s="514">
        <f t="shared" si="65"/>
        <v>0.64</v>
      </c>
      <c r="X101" s="512">
        <f t="shared" si="66"/>
        <v>2576000.0000000005</v>
      </c>
      <c r="Y101" s="514">
        <f t="shared" si="67"/>
        <v>0.56000000000000005</v>
      </c>
      <c r="Z101" s="514">
        <f t="shared" si="68"/>
        <v>1472000</v>
      </c>
      <c r="AA101" s="514">
        <f t="shared" si="69"/>
        <v>0.4</v>
      </c>
      <c r="AB101" s="595">
        <f t="shared" ref="AB101:AB106" si="74">D101*$AA$17</f>
        <v>1656000</v>
      </c>
    </row>
    <row r="102" spans="1:28" ht="16.5" thickBot="1" x14ac:dyDescent="0.3">
      <c r="A102" s="521" t="str">
        <f>Hipótesis!B61</f>
        <v>Portal experto</v>
      </c>
      <c r="B102" s="522">
        <f>Hipótesis!C61</f>
        <v>2500000</v>
      </c>
      <c r="C102" s="523">
        <v>7</v>
      </c>
      <c r="D102" s="522">
        <f t="shared" si="70"/>
        <v>17500000</v>
      </c>
      <c r="E102" s="524">
        <f t="shared" si="50"/>
        <v>0.70000000000000007</v>
      </c>
      <c r="F102" s="522">
        <f t="shared" si="71"/>
        <v>1050000</v>
      </c>
      <c r="G102" s="524">
        <f t="shared" si="51"/>
        <v>1.1200000000000001</v>
      </c>
      <c r="H102" s="522">
        <f t="shared" si="72"/>
        <v>700000</v>
      </c>
      <c r="I102" s="524">
        <f t="shared" si="52"/>
        <v>0.49000000000000005</v>
      </c>
      <c r="J102" s="522">
        <f t="shared" si="53"/>
        <v>1400000</v>
      </c>
      <c r="K102" s="524">
        <f t="shared" si="54"/>
        <v>0.35000000000000003</v>
      </c>
      <c r="L102" s="522">
        <f t="shared" si="55"/>
        <v>1225000.0000000002</v>
      </c>
      <c r="M102" s="524">
        <f t="shared" si="56"/>
        <v>0.42</v>
      </c>
      <c r="N102" s="522">
        <f t="shared" si="73"/>
        <v>1925000</v>
      </c>
      <c r="O102" s="524">
        <f t="shared" si="57"/>
        <v>0.63</v>
      </c>
      <c r="P102" s="522">
        <f t="shared" si="58"/>
        <v>700000</v>
      </c>
      <c r="Q102" s="524">
        <f t="shared" si="59"/>
        <v>0.70000000000000007</v>
      </c>
      <c r="R102" s="522">
        <f t="shared" si="60"/>
        <v>1050000</v>
      </c>
      <c r="S102" s="524">
        <f t="shared" si="61"/>
        <v>0.70000000000000007</v>
      </c>
      <c r="T102" s="522">
        <f t="shared" si="62"/>
        <v>2100000</v>
      </c>
      <c r="U102" s="524">
        <f t="shared" si="63"/>
        <v>0.49000000000000005</v>
      </c>
      <c r="V102" s="522">
        <f t="shared" si="64"/>
        <v>1925000</v>
      </c>
      <c r="W102" s="524">
        <f t="shared" si="65"/>
        <v>0.56000000000000005</v>
      </c>
      <c r="X102" s="522">
        <f t="shared" si="66"/>
        <v>2450000.0000000005</v>
      </c>
      <c r="Y102" s="524">
        <f t="shared" si="67"/>
        <v>0.49000000000000005</v>
      </c>
      <c r="Z102" s="524">
        <f t="shared" si="68"/>
        <v>1400000</v>
      </c>
      <c r="AA102" s="524">
        <f t="shared" si="69"/>
        <v>0.35000000000000003</v>
      </c>
      <c r="AB102" s="597">
        <f t="shared" si="74"/>
        <v>1575000</v>
      </c>
    </row>
    <row r="103" spans="1:28" ht="15.75" x14ac:dyDescent="0.25">
      <c r="A103" s="540" t="str">
        <f>Hipótesis!B62</f>
        <v>Simple</v>
      </c>
      <c r="B103" s="541">
        <f>Hipótesis!C62</f>
        <v>300000</v>
      </c>
      <c r="C103" s="542">
        <v>5</v>
      </c>
      <c r="D103" s="541">
        <f t="shared" si="70"/>
        <v>1500000</v>
      </c>
      <c r="E103" s="543">
        <f t="shared" si="50"/>
        <v>0.5</v>
      </c>
      <c r="F103" s="541">
        <f t="shared" si="71"/>
        <v>90000</v>
      </c>
      <c r="G103" s="543">
        <f t="shared" si="51"/>
        <v>0.8</v>
      </c>
      <c r="H103" s="541">
        <f t="shared" si="72"/>
        <v>60000</v>
      </c>
      <c r="I103" s="543">
        <f t="shared" si="52"/>
        <v>0.35000000000000003</v>
      </c>
      <c r="J103" s="541">
        <f t="shared" si="53"/>
        <v>120000</v>
      </c>
      <c r="K103" s="543">
        <f t="shared" si="54"/>
        <v>0.25</v>
      </c>
      <c r="L103" s="541">
        <f t="shared" si="55"/>
        <v>105000.00000000001</v>
      </c>
      <c r="M103" s="543">
        <f t="shared" si="56"/>
        <v>0.3</v>
      </c>
      <c r="N103" s="541">
        <f t="shared" si="73"/>
        <v>165000</v>
      </c>
      <c r="O103" s="543">
        <f t="shared" si="57"/>
        <v>0.44999999999999996</v>
      </c>
      <c r="P103" s="541">
        <f t="shared" si="58"/>
        <v>60000</v>
      </c>
      <c r="Q103" s="543">
        <f t="shared" si="59"/>
        <v>0.5</v>
      </c>
      <c r="R103" s="541">
        <f t="shared" si="60"/>
        <v>90000</v>
      </c>
      <c r="S103" s="543">
        <f t="shared" si="61"/>
        <v>0.5</v>
      </c>
      <c r="T103" s="541">
        <f t="shared" si="62"/>
        <v>180000</v>
      </c>
      <c r="U103" s="543">
        <f t="shared" si="63"/>
        <v>0.35000000000000003</v>
      </c>
      <c r="V103" s="541">
        <f t="shared" si="64"/>
        <v>165000</v>
      </c>
      <c r="W103" s="543">
        <f t="shared" si="65"/>
        <v>0.4</v>
      </c>
      <c r="X103" s="541">
        <f t="shared" si="66"/>
        <v>210000.00000000003</v>
      </c>
      <c r="Y103" s="543">
        <f t="shared" si="67"/>
        <v>0.35000000000000003</v>
      </c>
      <c r="Z103" s="543">
        <f t="shared" si="68"/>
        <v>120000</v>
      </c>
      <c r="AA103" s="543">
        <f t="shared" si="69"/>
        <v>0.25</v>
      </c>
      <c r="AB103" s="599">
        <f t="shared" si="74"/>
        <v>135000</v>
      </c>
    </row>
    <row r="104" spans="1:28" ht="15.75" x14ac:dyDescent="0.25">
      <c r="A104" s="545" t="str">
        <f>Hipótesis!B63</f>
        <v>Funcional</v>
      </c>
      <c r="B104" s="546">
        <f>Hipótesis!C63</f>
        <v>500000</v>
      </c>
      <c r="C104" s="547">
        <v>2</v>
      </c>
      <c r="D104" s="546">
        <f t="shared" si="70"/>
        <v>1000000</v>
      </c>
      <c r="E104" s="548">
        <f t="shared" si="50"/>
        <v>0.2</v>
      </c>
      <c r="F104" s="546">
        <f t="shared" si="71"/>
        <v>60000</v>
      </c>
      <c r="G104" s="548">
        <f t="shared" si="51"/>
        <v>0.32</v>
      </c>
      <c r="H104" s="546">
        <f t="shared" si="72"/>
        <v>40000</v>
      </c>
      <c r="I104" s="548">
        <f t="shared" si="52"/>
        <v>0.14000000000000001</v>
      </c>
      <c r="J104" s="546">
        <f t="shared" si="53"/>
        <v>80000</v>
      </c>
      <c r="K104" s="548">
        <f t="shared" si="54"/>
        <v>0.1</v>
      </c>
      <c r="L104" s="546">
        <f t="shared" si="55"/>
        <v>70000</v>
      </c>
      <c r="M104" s="548">
        <f t="shared" si="56"/>
        <v>0.12</v>
      </c>
      <c r="N104" s="546">
        <f t="shared" si="73"/>
        <v>110000</v>
      </c>
      <c r="O104" s="548">
        <f t="shared" si="57"/>
        <v>0.18</v>
      </c>
      <c r="P104" s="546">
        <f t="shared" si="58"/>
        <v>40000</v>
      </c>
      <c r="Q104" s="548">
        <f t="shared" si="59"/>
        <v>0.2</v>
      </c>
      <c r="R104" s="546">
        <f t="shared" si="60"/>
        <v>60000</v>
      </c>
      <c r="S104" s="548">
        <f t="shared" si="61"/>
        <v>0.2</v>
      </c>
      <c r="T104" s="546">
        <f t="shared" si="62"/>
        <v>120000</v>
      </c>
      <c r="U104" s="548">
        <f t="shared" si="63"/>
        <v>0.14000000000000001</v>
      </c>
      <c r="V104" s="546">
        <f t="shared" si="64"/>
        <v>110000</v>
      </c>
      <c r="W104" s="548">
        <f t="shared" si="65"/>
        <v>0.16</v>
      </c>
      <c r="X104" s="546">
        <f t="shared" si="66"/>
        <v>140000</v>
      </c>
      <c r="Y104" s="548">
        <f t="shared" si="67"/>
        <v>0.14000000000000001</v>
      </c>
      <c r="Z104" s="548">
        <f t="shared" si="68"/>
        <v>80000</v>
      </c>
      <c r="AA104" s="548">
        <f t="shared" si="69"/>
        <v>0.1</v>
      </c>
      <c r="AB104" s="601">
        <f t="shared" si="74"/>
        <v>90000</v>
      </c>
    </row>
    <row r="105" spans="1:28" ht="15.75" x14ac:dyDescent="0.25">
      <c r="A105" s="545" t="str">
        <f>Hipótesis!B64</f>
        <v>Temporal</v>
      </c>
      <c r="B105" s="546">
        <f>Hipótesis!C64</f>
        <v>600000</v>
      </c>
      <c r="C105" s="547">
        <v>3</v>
      </c>
      <c r="D105" s="546">
        <f t="shared" si="70"/>
        <v>1800000</v>
      </c>
      <c r="E105" s="548">
        <f t="shared" si="50"/>
        <v>0.30000000000000004</v>
      </c>
      <c r="F105" s="546">
        <f t="shared" si="71"/>
        <v>108000</v>
      </c>
      <c r="G105" s="548">
        <f t="shared" si="51"/>
        <v>0.48</v>
      </c>
      <c r="H105" s="546">
        <f t="shared" si="72"/>
        <v>72000</v>
      </c>
      <c r="I105" s="548">
        <f t="shared" si="52"/>
        <v>0.21000000000000002</v>
      </c>
      <c r="J105" s="546">
        <f t="shared" si="53"/>
        <v>144000</v>
      </c>
      <c r="K105" s="548">
        <f t="shared" si="54"/>
        <v>0.15000000000000002</v>
      </c>
      <c r="L105" s="546">
        <f t="shared" si="55"/>
        <v>126000.00000000001</v>
      </c>
      <c r="M105" s="548">
        <f t="shared" si="56"/>
        <v>0.18</v>
      </c>
      <c r="N105" s="546">
        <f t="shared" si="73"/>
        <v>198000</v>
      </c>
      <c r="O105" s="548">
        <f t="shared" si="57"/>
        <v>0.27</v>
      </c>
      <c r="P105" s="546">
        <f t="shared" si="58"/>
        <v>72000</v>
      </c>
      <c r="Q105" s="548">
        <f t="shared" si="59"/>
        <v>0.30000000000000004</v>
      </c>
      <c r="R105" s="546">
        <f t="shared" si="60"/>
        <v>108000</v>
      </c>
      <c r="S105" s="548">
        <f t="shared" si="61"/>
        <v>0.30000000000000004</v>
      </c>
      <c r="T105" s="546">
        <f t="shared" si="62"/>
        <v>216000</v>
      </c>
      <c r="U105" s="548">
        <f t="shared" si="63"/>
        <v>0.21000000000000002</v>
      </c>
      <c r="V105" s="546">
        <f t="shared" si="64"/>
        <v>198000</v>
      </c>
      <c r="W105" s="548">
        <f t="shared" si="65"/>
        <v>0.24</v>
      </c>
      <c r="X105" s="546">
        <f t="shared" si="66"/>
        <v>252000.00000000003</v>
      </c>
      <c r="Y105" s="548">
        <f t="shared" si="67"/>
        <v>0.21000000000000002</v>
      </c>
      <c r="Z105" s="548">
        <f t="shared" si="68"/>
        <v>144000</v>
      </c>
      <c r="AA105" s="548">
        <f t="shared" si="69"/>
        <v>0.15000000000000002</v>
      </c>
      <c r="AB105" s="601">
        <f t="shared" si="74"/>
        <v>162000</v>
      </c>
    </row>
    <row r="106" spans="1:28" ht="16.5" thickBot="1" x14ac:dyDescent="0.3">
      <c r="A106" s="550" t="str">
        <f>Hipótesis!B65</f>
        <v>Experto</v>
      </c>
      <c r="B106" s="551">
        <f>Hipótesis!C65</f>
        <v>800000</v>
      </c>
      <c r="C106" s="552">
        <v>4</v>
      </c>
      <c r="D106" s="551">
        <f t="shared" si="70"/>
        <v>3200000</v>
      </c>
      <c r="E106" s="553">
        <f t="shared" si="50"/>
        <v>0.4</v>
      </c>
      <c r="F106" s="551">
        <f t="shared" si="71"/>
        <v>192000</v>
      </c>
      <c r="G106" s="553">
        <f t="shared" si="51"/>
        <v>0.64</v>
      </c>
      <c r="H106" s="551">
        <f t="shared" si="72"/>
        <v>128000</v>
      </c>
      <c r="I106" s="553">
        <f t="shared" si="52"/>
        <v>0.28000000000000003</v>
      </c>
      <c r="J106" s="551">
        <f t="shared" si="53"/>
        <v>256000</v>
      </c>
      <c r="K106" s="553">
        <f t="shared" si="54"/>
        <v>0.2</v>
      </c>
      <c r="L106" s="551">
        <f t="shared" si="55"/>
        <v>224000.00000000003</v>
      </c>
      <c r="M106" s="553">
        <f t="shared" si="56"/>
        <v>0.24</v>
      </c>
      <c r="N106" s="551">
        <f t="shared" si="73"/>
        <v>352000</v>
      </c>
      <c r="O106" s="553">
        <f t="shared" si="57"/>
        <v>0.36</v>
      </c>
      <c r="P106" s="551">
        <f t="shared" si="58"/>
        <v>128000</v>
      </c>
      <c r="Q106" s="553">
        <f t="shared" si="59"/>
        <v>0.4</v>
      </c>
      <c r="R106" s="551">
        <f t="shared" si="60"/>
        <v>192000</v>
      </c>
      <c r="S106" s="553">
        <f t="shared" si="61"/>
        <v>0.4</v>
      </c>
      <c r="T106" s="551">
        <f t="shared" si="62"/>
        <v>384000</v>
      </c>
      <c r="U106" s="553">
        <f t="shared" si="63"/>
        <v>0.28000000000000003</v>
      </c>
      <c r="V106" s="551">
        <f t="shared" si="64"/>
        <v>352000</v>
      </c>
      <c r="W106" s="553">
        <f t="shared" si="65"/>
        <v>0.32</v>
      </c>
      <c r="X106" s="551">
        <f t="shared" si="66"/>
        <v>448000.00000000006</v>
      </c>
      <c r="Y106" s="553">
        <f t="shared" si="67"/>
        <v>0.28000000000000003</v>
      </c>
      <c r="Z106" s="553">
        <f t="shared" si="68"/>
        <v>256000</v>
      </c>
      <c r="AA106" s="553">
        <f t="shared" si="69"/>
        <v>0.2</v>
      </c>
      <c r="AB106" s="603">
        <f t="shared" si="74"/>
        <v>288000</v>
      </c>
    </row>
    <row r="107" spans="1:28" ht="15.75" thickBot="1" x14ac:dyDescent="0.3">
      <c r="A107" s="868" t="s">
        <v>73</v>
      </c>
      <c r="B107" s="869"/>
      <c r="C107" s="67"/>
      <c r="D107" s="70">
        <f>SUM(D99:D106)</f>
        <v>75200000</v>
      </c>
      <c r="E107" s="71"/>
      <c r="F107" s="72">
        <f>SUM(F99:F106)</f>
        <v>4512000</v>
      </c>
      <c r="G107" s="71"/>
      <c r="H107" s="72">
        <f>SUM(H99:H106)</f>
        <v>3008000</v>
      </c>
      <c r="I107" s="71"/>
      <c r="J107" s="72">
        <f>SUM(J99:J106)</f>
        <v>6016000</v>
      </c>
      <c r="K107" s="71"/>
      <c r="L107" s="72">
        <f>SUM(L99:L106)</f>
        <v>5264000.0000000009</v>
      </c>
      <c r="M107" s="71"/>
      <c r="N107" s="72">
        <f>SUM(N99:N106)</f>
        <v>8272000</v>
      </c>
      <c r="O107" s="71"/>
      <c r="P107" s="72">
        <f>SUM(P99:P106)</f>
        <v>3008000</v>
      </c>
      <c r="Q107" s="71"/>
      <c r="R107" s="72">
        <f>SUM(R99:R106)</f>
        <v>4512000</v>
      </c>
      <c r="S107" s="71"/>
      <c r="T107" s="72">
        <f>SUM(T99:T106)</f>
        <v>9024000</v>
      </c>
      <c r="U107" s="71"/>
      <c r="V107" s="72">
        <f>SUM(V99:V106)</f>
        <v>8272000</v>
      </c>
      <c r="W107" s="71"/>
      <c r="X107" s="72">
        <f>SUM(X99:X106)</f>
        <v>10528000.000000002</v>
      </c>
      <c r="Y107" s="71"/>
      <c r="Z107" s="72">
        <f>SUM(Z99:Z106)</f>
        <v>6016000</v>
      </c>
      <c r="AA107" s="71"/>
      <c r="AB107" s="72">
        <f>SUM(AB99:AB106)</f>
        <v>6768000</v>
      </c>
    </row>
    <row r="108" spans="1:28" ht="15.75" x14ac:dyDescent="0.25">
      <c r="A108" s="858" t="s">
        <v>339</v>
      </c>
      <c r="B108" s="859"/>
      <c r="C108" s="604">
        <f>SUM(C99:C106)</f>
        <v>44</v>
      </c>
      <c r="D108" s="605"/>
      <c r="E108" s="606">
        <f>E99</f>
        <v>0.9</v>
      </c>
      <c r="F108" s="605"/>
      <c r="G108" s="606">
        <f>G99</f>
        <v>1.44</v>
      </c>
      <c r="H108" s="605"/>
      <c r="I108" s="606">
        <f>I99</f>
        <v>0.63000000000000012</v>
      </c>
      <c r="J108" s="605"/>
      <c r="K108" s="606">
        <f>K99</f>
        <v>0.45</v>
      </c>
      <c r="L108" s="605"/>
      <c r="M108" s="606">
        <f>M99</f>
        <v>0.54</v>
      </c>
      <c r="N108" s="605"/>
      <c r="O108" s="606">
        <f>O99</f>
        <v>0.80999999999999994</v>
      </c>
      <c r="P108" s="605"/>
      <c r="Q108" s="606">
        <f>Q99</f>
        <v>0.9</v>
      </c>
      <c r="R108" s="605"/>
      <c r="S108" s="606">
        <f>S99</f>
        <v>0.9</v>
      </c>
      <c r="T108" s="605"/>
      <c r="U108" s="606">
        <f>U99</f>
        <v>0.63000000000000012</v>
      </c>
      <c r="V108" s="605"/>
      <c r="W108" s="606">
        <f>W99</f>
        <v>0.72</v>
      </c>
      <c r="X108" s="605"/>
      <c r="Y108" s="606">
        <f>Y99</f>
        <v>0.63000000000000012</v>
      </c>
      <c r="Z108" s="605"/>
      <c r="AA108" s="606">
        <f>AA99</f>
        <v>0.45</v>
      </c>
      <c r="AB108" s="607"/>
    </row>
    <row r="109" spans="1:28" ht="16.5" thickBot="1" x14ac:dyDescent="0.3">
      <c r="A109" s="856" t="s">
        <v>340</v>
      </c>
      <c r="B109" s="857"/>
      <c r="C109" s="608">
        <f>SUM(C103:C106)</f>
        <v>14</v>
      </c>
      <c r="D109" s="609"/>
      <c r="E109" s="610">
        <f>E100</f>
        <v>0.60000000000000009</v>
      </c>
      <c r="F109" s="609"/>
      <c r="G109" s="610">
        <f>G100</f>
        <v>0.96</v>
      </c>
      <c r="H109" s="609"/>
      <c r="I109" s="610">
        <f>I100</f>
        <v>0.42000000000000004</v>
      </c>
      <c r="J109" s="609"/>
      <c r="K109" s="610">
        <f>K100</f>
        <v>0.30000000000000004</v>
      </c>
      <c r="L109" s="609"/>
      <c r="M109" s="610">
        <f>M100</f>
        <v>0.36</v>
      </c>
      <c r="N109" s="609"/>
      <c r="O109" s="610">
        <f>O100</f>
        <v>0.54</v>
      </c>
      <c r="P109" s="609"/>
      <c r="Q109" s="610">
        <f>Q100</f>
        <v>0.60000000000000009</v>
      </c>
      <c r="R109" s="609"/>
      <c r="S109" s="610">
        <f>S100</f>
        <v>0.60000000000000009</v>
      </c>
      <c r="T109" s="609"/>
      <c r="U109" s="610">
        <f>U100</f>
        <v>0.42000000000000004</v>
      </c>
      <c r="V109" s="609"/>
      <c r="W109" s="610">
        <f>W100</f>
        <v>0.48</v>
      </c>
      <c r="X109" s="609"/>
      <c r="Y109" s="610">
        <f>Y100</f>
        <v>0.42000000000000004</v>
      </c>
      <c r="Z109" s="609"/>
      <c r="AA109" s="610">
        <f>AA100</f>
        <v>0.30000000000000004</v>
      </c>
      <c r="AB109" s="611"/>
    </row>
    <row r="110" spans="1:28" ht="15.75" thickBot="1" x14ac:dyDescent="0.3">
      <c r="D110" s="354"/>
      <c r="E110" s="41"/>
      <c r="F110" s="41"/>
    </row>
    <row r="111" spans="1:28" ht="27" thickBot="1" x14ac:dyDescent="0.45">
      <c r="A111" s="752" t="s">
        <v>336</v>
      </c>
      <c r="B111" s="753"/>
      <c r="C111" s="753"/>
      <c r="D111" s="753"/>
      <c r="E111" s="753"/>
      <c r="F111" s="753"/>
      <c r="G111" s="753"/>
      <c r="H111" s="753"/>
      <c r="I111" s="753"/>
      <c r="J111" s="753"/>
      <c r="K111" s="753"/>
      <c r="L111" s="753"/>
      <c r="M111" s="753"/>
      <c r="N111" s="753"/>
      <c r="O111" s="753"/>
      <c r="P111" s="753"/>
      <c r="Q111" s="753"/>
      <c r="R111" s="753"/>
      <c r="S111" s="753"/>
      <c r="T111" s="753"/>
      <c r="U111" s="753"/>
      <c r="V111" s="753"/>
      <c r="W111" s="753"/>
      <c r="X111" s="753"/>
      <c r="Y111" s="753"/>
      <c r="Z111" s="753"/>
      <c r="AA111" s="753"/>
      <c r="AB111" s="754"/>
    </row>
    <row r="112" spans="1:28" ht="104.25" customHeight="1" thickBot="1" x14ac:dyDescent="0.3">
      <c r="A112" s="584" t="s">
        <v>68</v>
      </c>
      <c r="B112" s="740" t="s">
        <v>362</v>
      </c>
      <c r="C112" s="741"/>
      <c r="D112" s="741"/>
      <c r="E112" s="741"/>
      <c r="F112" s="741"/>
      <c r="G112" s="741"/>
      <c r="H112" s="741"/>
      <c r="I112" s="741"/>
      <c r="J112" s="741"/>
      <c r="K112" s="741"/>
      <c r="L112" s="741"/>
      <c r="M112" s="741"/>
      <c r="N112" s="741"/>
      <c r="O112" s="741"/>
      <c r="P112" s="741"/>
      <c r="Q112" s="741"/>
      <c r="R112" s="741"/>
      <c r="S112" s="741"/>
      <c r="T112" s="741"/>
      <c r="U112" s="741"/>
      <c r="V112" s="741"/>
      <c r="W112" s="741"/>
      <c r="X112" s="741"/>
      <c r="Y112" s="741"/>
      <c r="Z112" s="741"/>
      <c r="AA112" s="741"/>
      <c r="AB112" s="742"/>
    </row>
    <row r="113" spans="1:28" ht="21.75" thickBot="1" x14ac:dyDescent="0.3">
      <c r="A113" s="755"/>
      <c r="B113" s="756"/>
      <c r="C113" s="834" t="s">
        <v>61</v>
      </c>
      <c r="D113" s="835"/>
      <c r="E113" s="757" t="s">
        <v>42</v>
      </c>
      <c r="F113" s="758"/>
      <c r="G113" s="759" t="s">
        <v>43</v>
      </c>
      <c r="H113" s="758"/>
      <c r="I113" s="759" t="s">
        <v>44</v>
      </c>
      <c r="J113" s="758"/>
      <c r="K113" s="759" t="s">
        <v>45</v>
      </c>
      <c r="L113" s="758"/>
      <c r="M113" s="759" t="s">
        <v>46</v>
      </c>
      <c r="N113" s="758"/>
      <c r="O113" s="759" t="s">
        <v>47</v>
      </c>
      <c r="P113" s="758"/>
      <c r="Q113" s="759" t="s">
        <v>48</v>
      </c>
      <c r="R113" s="758"/>
      <c r="S113" s="759" t="s">
        <v>49</v>
      </c>
      <c r="T113" s="758"/>
      <c r="U113" s="759" t="s">
        <v>50</v>
      </c>
      <c r="V113" s="758"/>
      <c r="W113" s="759" t="s">
        <v>51</v>
      </c>
      <c r="X113" s="758"/>
      <c r="Y113" s="759" t="s">
        <v>52</v>
      </c>
      <c r="Z113" s="758"/>
      <c r="AA113" s="759" t="s">
        <v>53</v>
      </c>
      <c r="AB113" s="758"/>
    </row>
    <row r="114" spans="1:28" x14ac:dyDescent="0.25">
      <c r="A114" s="815" t="s">
        <v>60</v>
      </c>
      <c r="B114" s="816"/>
      <c r="C114" s="832" t="s">
        <v>349</v>
      </c>
      <c r="D114" s="849"/>
      <c r="E114" s="850" t="s">
        <v>64</v>
      </c>
      <c r="F114" s="843"/>
      <c r="G114" s="842" t="s">
        <v>64</v>
      </c>
      <c r="H114" s="843"/>
      <c r="I114" s="842">
        <v>1</v>
      </c>
      <c r="J114" s="843"/>
      <c r="K114" s="842" t="s">
        <v>64</v>
      </c>
      <c r="L114" s="843"/>
      <c r="M114" s="842" t="s">
        <v>64</v>
      </c>
      <c r="N114" s="843"/>
      <c r="O114" s="842" t="s">
        <v>64</v>
      </c>
      <c r="P114" s="843"/>
      <c r="Q114" s="842" t="s">
        <v>64</v>
      </c>
      <c r="R114" s="843"/>
      <c r="S114" s="842" t="s">
        <v>64</v>
      </c>
      <c r="T114" s="843"/>
      <c r="U114" s="844" t="s">
        <v>64</v>
      </c>
      <c r="V114" s="844"/>
      <c r="W114" s="844">
        <v>1</v>
      </c>
      <c r="X114" s="844"/>
      <c r="Y114" s="844" t="s">
        <v>64</v>
      </c>
      <c r="Z114" s="844"/>
      <c r="AA114" s="844" t="s">
        <v>64</v>
      </c>
      <c r="AB114" s="845"/>
    </row>
    <row r="115" spans="1:28" x14ac:dyDescent="0.25">
      <c r="A115" s="817"/>
      <c r="B115" s="818"/>
      <c r="C115" s="828" t="s">
        <v>351</v>
      </c>
      <c r="D115" s="846"/>
      <c r="E115" s="848" t="s">
        <v>64</v>
      </c>
      <c r="F115" s="731"/>
      <c r="G115" s="731" t="s">
        <v>64</v>
      </c>
      <c r="H115" s="731"/>
      <c r="I115" s="731">
        <v>1</v>
      </c>
      <c r="J115" s="731"/>
      <c r="K115" s="731" t="s">
        <v>64</v>
      </c>
      <c r="L115" s="731"/>
      <c r="M115" s="731" t="s">
        <v>64</v>
      </c>
      <c r="N115" s="731"/>
      <c r="O115" s="731" t="s">
        <v>64</v>
      </c>
      <c r="P115" s="731"/>
      <c r="Q115" s="731" t="s">
        <v>64</v>
      </c>
      <c r="R115" s="731"/>
      <c r="S115" s="731" t="s">
        <v>64</v>
      </c>
      <c r="T115" s="731"/>
      <c r="U115" s="731" t="s">
        <v>64</v>
      </c>
      <c r="V115" s="731"/>
      <c r="W115" s="731">
        <v>1</v>
      </c>
      <c r="X115" s="731"/>
      <c r="Y115" s="731" t="s">
        <v>64</v>
      </c>
      <c r="Z115" s="731"/>
      <c r="AA115" s="731" t="s">
        <v>64</v>
      </c>
      <c r="AB115" s="847"/>
    </row>
    <row r="116" spans="1:28" x14ac:dyDescent="0.25">
      <c r="A116" s="817"/>
      <c r="B116" s="818"/>
      <c r="C116" s="828" t="s">
        <v>361</v>
      </c>
      <c r="D116" s="846"/>
      <c r="E116" s="848">
        <v>1</v>
      </c>
      <c r="F116" s="731"/>
      <c r="G116" s="731" t="s">
        <v>64</v>
      </c>
      <c r="H116" s="731"/>
      <c r="I116" s="731" t="s">
        <v>64</v>
      </c>
      <c r="J116" s="731"/>
      <c r="K116" s="731" t="s">
        <v>64</v>
      </c>
      <c r="L116" s="731"/>
      <c r="M116" s="731" t="s">
        <v>64</v>
      </c>
      <c r="N116" s="731"/>
      <c r="O116" s="731" t="s">
        <v>64</v>
      </c>
      <c r="P116" s="731"/>
      <c r="Q116" s="731" t="s">
        <v>64</v>
      </c>
      <c r="R116" s="731"/>
      <c r="S116" s="731" t="s">
        <v>64</v>
      </c>
      <c r="T116" s="731"/>
      <c r="U116" s="731" t="s">
        <v>64</v>
      </c>
      <c r="V116" s="731"/>
      <c r="W116" s="731" t="s">
        <v>64</v>
      </c>
      <c r="X116" s="731"/>
      <c r="Y116" s="731" t="s">
        <v>64</v>
      </c>
      <c r="Z116" s="731"/>
      <c r="AA116" s="731" t="s">
        <v>64</v>
      </c>
      <c r="AB116" s="847"/>
    </row>
    <row r="117" spans="1:28" x14ac:dyDescent="0.25">
      <c r="A117" s="817"/>
      <c r="B117" s="818"/>
      <c r="C117" s="826" t="s">
        <v>345</v>
      </c>
      <c r="D117" s="851"/>
      <c r="E117" s="848">
        <v>1</v>
      </c>
      <c r="F117" s="731"/>
      <c r="G117" s="731" t="s">
        <v>64</v>
      </c>
      <c r="H117" s="731"/>
      <c r="I117" s="731" t="s">
        <v>64</v>
      </c>
      <c r="J117" s="731"/>
      <c r="K117" s="731" t="s">
        <v>64</v>
      </c>
      <c r="L117" s="731"/>
      <c r="M117" s="731" t="s">
        <v>64</v>
      </c>
      <c r="N117" s="731"/>
      <c r="O117" s="731" t="s">
        <v>64</v>
      </c>
      <c r="P117" s="731"/>
      <c r="Q117" s="731" t="s">
        <v>64</v>
      </c>
      <c r="R117" s="731"/>
      <c r="S117" s="731" t="s">
        <v>64</v>
      </c>
      <c r="T117" s="731"/>
      <c r="U117" s="731" t="s">
        <v>64</v>
      </c>
      <c r="V117" s="731"/>
      <c r="W117" s="731" t="s">
        <v>64</v>
      </c>
      <c r="X117" s="731"/>
      <c r="Y117" s="731" t="s">
        <v>64</v>
      </c>
      <c r="Z117" s="731"/>
      <c r="AA117" s="731" t="s">
        <v>64</v>
      </c>
      <c r="AB117" s="847"/>
    </row>
    <row r="118" spans="1:28" x14ac:dyDescent="0.25">
      <c r="A118" s="817"/>
      <c r="B118" s="818"/>
      <c r="C118" s="826" t="s">
        <v>346</v>
      </c>
      <c r="D118" s="851"/>
      <c r="E118" s="848">
        <v>1</v>
      </c>
      <c r="F118" s="731"/>
      <c r="G118" s="731" t="s">
        <v>64</v>
      </c>
      <c r="H118" s="731"/>
      <c r="I118" s="731" t="s">
        <v>64</v>
      </c>
      <c r="J118" s="731"/>
      <c r="K118" s="731" t="s">
        <v>64</v>
      </c>
      <c r="L118" s="731"/>
      <c r="M118" s="731" t="s">
        <v>64</v>
      </c>
      <c r="N118" s="731"/>
      <c r="O118" s="731" t="s">
        <v>64</v>
      </c>
      <c r="P118" s="731"/>
      <c r="Q118" s="731" t="s">
        <v>64</v>
      </c>
      <c r="R118" s="731"/>
      <c r="S118" s="731" t="s">
        <v>64</v>
      </c>
      <c r="T118" s="731"/>
      <c r="U118" s="731" t="s">
        <v>64</v>
      </c>
      <c r="V118" s="731"/>
      <c r="W118" s="731" t="s">
        <v>64</v>
      </c>
      <c r="X118" s="731"/>
      <c r="Y118" s="731" t="s">
        <v>64</v>
      </c>
      <c r="Z118" s="731"/>
      <c r="AA118" s="731" t="s">
        <v>64</v>
      </c>
      <c r="AB118" s="847"/>
    </row>
    <row r="119" spans="1:28" x14ac:dyDescent="0.25">
      <c r="A119" s="817"/>
      <c r="B119" s="818"/>
      <c r="C119" s="828" t="s">
        <v>350</v>
      </c>
      <c r="D119" s="846"/>
      <c r="E119" s="848" t="s">
        <v>64</v>
      </c>
      <c r="F119" s="731"/>
      <c r="G119" s="731" t="s">
        <v>64</v>
      </c>
      <c r="H119" s="731"/>
      <c r="I119" s="731" t="s">
        <v>64</v>
      </c>
      <c r="J119" s="731"/>
      <c r="K119" s="731" t="s">
        <v>64</v>
      </c>
      <c r="L119" s="731"/>
      <c r="M119" s="731" t="s">
        <v>64</v>
      </c>
      <c r="N119" s="731"/>
      <c r="O119" s="731" t="s">
        <v>64</v>
      </c>
      <c r="P119" s="731"/>
      <c r="Q119" s="731" t="s">
        <v>64</v>
      </c>
      <c r="R119" s="731"/>
      <c r="S119" s="731">
        <v>1</v>
      </c>
      <c r="T119" s="731"/>
      <c r="U119" s="731" t="s">
        <v>64</v>
      </c>
      <c r="V119" s="731"/>
      <c r="W119" s="731" t="s">
        <v>64</v>
      </c>
      <c r="X119" s="731"/>
      <c r="Y119" s="731" t="s">
        <v>64</v>
      </c>
      <c r="Z119" s="731"/>
      <c r="AA119" s="731" t="s">
        <v>64</v>
      </c>
      <c r="AB119" s="847"/>
    </row>
    <row r="120" spans="1:28" x14ac:dyDescent="0.25">
      <c r="A120" s="817"/>
      <c r="B120" s="818"/>
      <c r="C120" s="828"/>
      <c r="D120" s="846"/>
      <c r="E120" s="848"/>
      <c r="F120" s="731"/>
      <c r="G120" s="731"/>
      <c r="H120" s="731"/>
      <c r="I120" s="731"/>
      <c r="J120" s="731"/>
      <c r="K120" s="731"/>
      <c r="L120" s="731"/>
      <c r="M120" s="731"/>
      <c r="N120" s="731"/>
      <c r="O120" s="731"/>
      <c r="P120" s="731"/>
      <c r="Q120" s="731"/>
      <c r="R120" s="731"/>
      <c r="S120" s="731"/>
      <c r="T120" s="731"/>
      <c r="U120" s="731"/>
      <c r="V120" s="731"/>
      <c r="W120" s="731"/>
      <c r="X120" s="731"/>
      <c r="Y120" s="731"/>
      <c r="Z120" s="731"/>
      <c r="AA120" s="731"/>
      <c r="AB120" s="847"/>
    </row>
    <row r="121" spans="1:28" x14ac:dyDescent="0.25">
      <c r="A121" s="817"/>
      <c r="B121" s="818"/>
      <c r="C121" s="828"/>
      <c r="D121" s="846"/>
      <c r="E121" s="848"/>
      <c r="F121" s="731"/>
      <c r="G121" s="731"/>
      <c r="H121" s="731"/>
      <c r="I121" s="731"/>
      <c r="J121" s="731"/>
      <c r="K121" s="731"/>
      <c r="L121" s="731"/>
      <c r="M121" s="731"/>
      <c r="N121" s="731"/>
      <c r="O121" s="731"/>
      <c r="P121" s="731"/>
      <c r="Q121" s="731"/>
      <c r="R121" s="731"/>
      <c r="S121" s="731"/>
      <c r="T121" s="731"/>
      <c r="U121" s="731"/>
      <c r="V121" s="731"/>
      <c r="W121" s="731"/>
      <c r="X121" s="731"/>
      <c r="Y121" s="731"/>
      <c r="Z121" s="731"/>
      <c r="AA121" s="731"/>
      <c r="AB121" s="847"/>
    </row>
    <row r="122" spans="1:28" ht="15.75" thickBot="1" x14ac:dyDescent="0.3">
      <c r="A122" s="817"/>
      <c r="B122" s="818"/>
      <c r="C122" s="828"/>
      <c r="D122" s="846"/>
      <c r="E122" s="854"/>
      <c r="F122" s="852"/>
      <c r="G122" s="852"/>
      <c r="H122" s="852"/>
      <c r="I122" s="852"/>
      <c r="J122" s="852"/>
      <c r="K122" s="852"/>
      <c r="L122" s="852"/>
      <c r="M122" s="852"/>
      <c r="N122" s="852"/>
      <c r="O122" s="852"/>
      <c r="P122" s="852"/>
      <c r="Q122" s="852"/>
      <c r="R122" s="852"/>
      <c r="S122" s="852"/>
      <c r="T122" s="852"/>
      <c r="U122" s="852"/>
      <c r="V122" s="852"/>
      <c r="W122" s="852"/>
      <c r="X122" s="852"/>
      <c r="Y122" s="852"/>
      <c r="Z122" s="852"/>
      <c r="AA122" s="852"/>
      <c r="AB122" s="853"/>
    </row>
    <row r="123" spans="1:28" x14ac:dyDescent="0.25">
      <c r="A123" s="821" t="s">
        <v>65</v>
      </c>
      <c r="B123" s="822"/>
      <c r="C123" s="840" t="s">
        <v>352</v>
      </c>
      <c r="D123" s="841"/>
      <c r="E123" s="825">
        <v>4</v>
      </c>
      <c r="F123" s="813"/>
      <c r="G123" s="813" t="s">
        <v>64</v>
      </c>
      <c r="H123" s="813"/>
      <c r="I123" s="813" t="s">
        <v>64</v>
      </c>
      <c r="J123" s="813"/>
      <c r="K123" s="813" t="s">
        <v>64</v>
      </c>
      <c r="L123" s="813"/>
      <c r="M123" s="813" t="s">
        <v>64</v>
      </c>
      <c r="N123" s="813"/>
      <c r="O123" s="813" t="s">
        <v>64</v>
      </c>
      <c r="P123" s="813"/>
      <c r="Q123" s="813" t="s">
        <v>64</v>
      </c>
      <c r="R123" s="813"/>
      <c r="S123" s="813" t="s">
        <v>64</v>
      </c>
      <c r="T123" s="813"/>
      <c r="U123" s="813" t="s">
        <v>64</v>
      </c>
      <c r="V123" s="813"/>
      <c r="W123" s="813" t="s">
        <v>64</v>
      </c>
      <c r="X123" s="813"/>
      <c r="Y123" s="813" t="s">
        <v>64</v>
      </c>
      <c r="Z123" s="813"/>
      <c r="AA123" s="813" t="s">
        <v>64</v>
      </c>
      <c r="AB123" s="855"/>
    </row>
    <row r="124" spans="1:28" x14ac:dyDescent="0.25">
      <c r="A124" s="823"/>
      <c r="B124" s="824"/>
      <c r="C124" s="826" t="s">
        <v>353</v>
      </c>
      <c r="D124" s="827"/>
      <c r="E124" s="731">
        <v>5</v>
      </c>
      <c r="F124" s="731"/>
      <c r="G124" s="731" t="s">
        <v>64</v>
      </c>
      <c r="H124" s="731"/>
      <c r="I124" s="731" t="s">
        <v>64</v>
      </c>
      <c r="J124" s="731"/>
      <c r="K124" s="731" t="s">
        <v>64</v>
      </c>
      <c r="L124" s="731"/>
      <c r="M124" s="731" t="s">
        <v>64</v>
      </c>
      <c r="N124" s="731"/>
      <c r="O124" s="731">
        <v>5</v>
      </c>
      <c r="P124" s="731"/>
      <c r="Q124" s="731" t="s">
        <v>64</v>
      </c>
      <c r="R124" s="731"/>
      <c r="S124" s="731" t="s">
        <v>64</v>
      </c>
      <c r="T124" s="731"/>
      <c r="U124" s="731" t="s">
        <v>64</v>
      </c>
      <c r="V124" s="731"/>
      <c r="W124" s="731" t="s">
        <v>64</v>
      </c>
      <c r="X124" s="731"/>
      <c r="Y124" s="731" t="s">
        <v>64</v>
      </c>
      <c r="Z124" s="731"/>
      <c r="AA124" s="731" t="s">
        <v>64</v>
      </c>
      <c r="AB124" s="779"/>
    </row>
    <row r="125" spans="1:28" x14ac:dyDescent="0.25">
      <c r="A125" s="823"/>
      <c r="B125" s="824"/>
      <c r="C125" s="826" t="s">
        <v>354</v>
      </c>
      <c r="D125" s="827"/>
      <c r="E125" s="724">
        <v>7</v>
      </c>
      <c r="F125" s="731"/>
      <c r="G125" s="731" t="s">
        <v>64</v>
      </c>
      <c r="H125" s="731"/>
      <c r="I125" s="731" t="s">
        <v>64</v>
      </c>
      <c r="J125" s="731"/>
      <c r="K125" s="731" t="s">
        <v>64</v>
      </c>
      <c r="L125" s="731"/>
      <c r="M125" s="731" t="s">
        <v>64</v>
      </c>
      <c r="N125" s="731"/>
      <c r="O125" s="731">
        <v>7</v>
      </c>
      <c r="P125" s="731"/>
      <c r="Q125" s="731" t="s">
        <v>64</v>
      </c>
      <c r="R125" s="731"/>
      <c r="S125" s="731" t="s">
        <v>64</v>
      </c>
      <c r="T125" s="731"/>
      <c r="U125" s="731" t="s">
        <v>64</v>
      </c>
      <c r="V125" s="731"/>
      <c r="W125" s="731" t="s">
        <v>64</v>
      </c>
      <c r="X125" s="731"/>
      <c r="Y125" s="731" t="s">
        <v>64</v>
      </c>
      <c r="Z125" s="731"/>
      <c r="AA125" s="731" t="s">
        <v>64</v>
      </c>
      <c r="AB125" s="779"/>
    </row>
    <row r="126" spans="1:28" x14ac:dyDescent="0.25">
      <c r="A126" s="823"/>
      <c r="B126" s="824"/>
      <c r="C126" s="826" t="s">
        <v>355</v>
      </c>
      <c r="D126" s="827"/>
      <c r="E126" s="724">
        <v>7</v>
      </c>
      <c r="F126" s="731"/>
      <c r="G126" s="731" t="s">
        <v>64</v>
      </c>
      <c r="H126" s="731"/>
      <c r="I126" s="731" t="s">
        <v>64</v>
      </c>
      <c r="J126" s="731"/>
      <c r="K126" s="731" t="s">
        <v>64</v>
      </c>
      <c r="L126" s="731"/>
      <c r="M126" s="731" t="s">
        <v>64</v>
      </c>
      <c r="N126" s="731"/>
      <c r="O126" s="731">
        <v>7</v>
      </c>
      <c r="P126" s="731"/>
      <c r="Q126" s="731" t="s">
        <v>64</v>
      </c>
      <c r="R126" s="731"/>
      <c r="S126" s="731" t="s">
        <v>64</v>
      </c>
      <c r="T126" s="731"/>
      <c r="U126" s="731" t="s">
        <v>64</v>
      </c>
      <c r="V126" s="731"/>
      <c r="W126" s="731" t="s">
        <v>64</v>
      </c>
      <c r="X126" s="731"/>
      <c r="Y126" s="731" t="s">
        <v>64</v>
      </c>
      <c r="Z126" s="731"/>
      <c r="AA126" s="731" t="s">
        <v>64</v>
      </c>
      <c r="AB126" s="779"/>
    </row>
    <row r="127" spans="1:28" ht="15.75" thickBot="1" x14ac:dyDescent="0.3">
      <c r="A127" s="823"/>
      <c r="B127" s="824"/>
      <c r="C127" s="826" t="s">
        <v>356</v>
      </c>
      <c r="D127" s="827"/>
      <c r="E127" s="724">
        <v>7</v>
      </c>
      <c r="F127" s="731"/>
      <c r="G127" s="731" t="s">
        <v>64</v>
      </c>
      <c r="H127" s="731"/>
      <c r="I127" s="731" t="s">
        <v>64</v>
      </c>
      <c r="J127" s="731"/>
      <c r="K127" s="731" t="s">
        <v>64</v>
      </c>
      <c r="L127" s="731"/>
      <c r="M127" s="731" t="s">
        <v>64</v>
      </c>
      <c r="N127" s="731"/>
      <c r="O127" s="731">
        <v>7</v>
      </c>
      <c r="P127" s="731"/>
      <c r="Q127" s="731" t="s">
        <v>64</v>
      </c>
      <c r="R127" s="731"/>
      <c r="S127" s="731" t="s">
        <v>64</v>
      </c>
      <c r="T127" s="731"/>
      <c r="U127" s="731" t="s">
        <v>64</v>
      </c>
      <c r="V127" s="731"/>
      <c r="W127" s="731" t="s">
        <v>64</v>
      </c>
      <c r="X127" s="731"/>
      <c r="Y127" s="731" t="s">
        <v>64</v>
      </c>
      <c r="Z127" s="731"/>
      <c r="AA127" s="731" t="s">
        <v>64</v>
      </c>
      <c r="AB127" s="779"/>
    </row>
    <row r="128" spans="1:28" x14ac:dyDescent="0.25">
      <c r="A128" s="821" t="s">
        <v>66</v>
      </c>
      <c r="B128" s="822"/>
      <c r="C128" s="836"/>
      <c r="D128" s="837"/>
      <c r="E128" s="795"/>
      <c r="F128" s="777"/>
      <c r="G128" s="777"/>
      <c r="H128" s="777"/>
      <c r="I128" s="777"/>
      <c r="J128" s="777"/>
      <c r="K128" s="777"/>
      <c r="L128" s="777"/>
      <c r="M128" s="777"/>
      <c r="N128" s="777"/>
      <c r="O128" s="777"/>
      <c r="P128" s="777"/>
      <c r="Q128" s="777"/>
      <c r="R128" s="777"/>
      <c r="S128" s="777"/>
      <c r="T128" s="777"/>
      <c r="U128" s="777"/>
      <c r="V128" s="777"/>
      <c r="W128" s="777"/>
      <c r="X128" s="777"/>
      <c r="Y128" s="777"/>
      <c r="Z128" s="777"/>
      <c r="AA128" s="777"/>
      <c r="AB128" s="778"/>
    </row>
    <row r="129" spans="1:28" ht="15.75" thickBot="1" x14ac:dyDescent="0.3">
      <c r="A129" s="830"/>
      <c r="B129" s="831"/>
      <c r="C129" s="838"/>
      <c r="D129" s="839"/>
      <c r="E129" s="735"/>
      <c r="F129" s="804"/>
      <c r="G129" s="804"/>
      <c r="H129" s="804"/>
      <c r="I129" s="804"/>
      <c r="J129" s="804"/>
      <c r="K129" s="804"/>
      <c r="L129" s="804"/>
      <c r="M129" s="804"/>
      <c r="N129" s="804"/>
      <c r="O129" s="804"/>
      <c r="P129" s="804"/>
      <c r="Q129" s="804"/>
      <c r="R129" s="804"/>
      <c r="S129" s="804"/>
      <c r="T129" s="804"/>
      <c r="U129" s="736"/>
      <c r="V129" s="735"/>
      <c r="W129" s="804"/>
      <c r="X129" s="804"/>
      <c r="Y129" s="804"/>
      <c r="Z129" s="804"/>
      <c r="AA129" s="804"/>
      <c r="AB129" s="814"/>
    </row>
  </sheetData>
  <mergeCells count="757">
    <mergeCell ref="A69:B69"/>
    <mergeCell ref="A68:B68"/>
    <mergeCell ref="A67:B67"/>
    <mergeCell ref="A27:B27"/>
    <mergeCell ref="A28:B28"/>
    <mergeCell ref="A29:B29"/>
    <mergeCell ref="O129:P129"/>
    <mergeCell ref="Q129:R129"/>
    <mergeCell ref="K128:L128"/>
    <mergeCell ref="M128:N128"/>
    <mergeCell ref="A108:B108"/>
    <mergeCell ref="A109:B109"/>
    <mergeCell ref="A107:B107"/>
    <mergeCell ref="O128:P128"/>
    <mergeCell ref="Q128:R128"/>
    <mergeCell ref="O125:P125"/>
    <mergeCell ref="Q125:R125"/>
    <mergeCell ref="K123:L123"/>
    <mergeCell ref="M123:N123"/>
    <mergeCell ref="O123:P123"/>
    <mergeCell ref="Q123:R123"/>
    <mergeCell ref="C126:D126"/>
    <mergeCell ref="G126:H126"/>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G127:H127"/>
    <mergeCell ref="I127:J127"/>
    <mergeCell ref="K127:L127"/>
    <mergeCell ref="W127:X127"/>
    <mergeCell ref="Y127:Z127"/>
    <mergeCell ref="S128:T128"/>
    <mergeCell ref="A128:B129"/>
    <mergeCell ref="C128:D128"/>
    <mergeCell ref="E128:F128"/>
    <mergeCell ref="G128:H128"/>
    <mergeCell ref="I128:J128"/>
    <mergeCell ref="A123:B127"/>
    <mergeCell ref="C127:D127"/>
    <mergeCell ref="AA123:AB123"/>
    <mergeCell ref="C124:D124"/>
    <mergeCell ref="E124:F124"/>
    <mergeCell ref="G124:H124"/>
    <mergeCell ref="I124:J124"/>
    <mergeCell ref="K124:L124"/>
    <mergeCell ref="M124:N124"/>
    <mergeCell ref="O124:P124"/>
    <mergeCell ref="Q124:R124"/>
    <mergeCell ref="S124:T124"/>
    <mergeCell ref="U124:V124"/>
    <mergeCell ref="W124:X124"/>
    <mergeCell ref="Y124:Z124"/>
    <mergeCell ref="AA124:AB124"/>
    <mergeCell ref="E123:F123"/>
    <mergeCell ref="I123:J123"/>
    <mergeCell ref="AA127:AB127"/>
    <mergeCell ref="M127:N127"/>
    <mergeCell ref="O127:P127"/>
    <mergeCell ref="Q127:R127"/>
    <mergeCell ref="S127:T127"/>
    <mergeCell ref="U127:V127"/>
    <mergeCell ref="E127:F127"/>
    <mergeCell ref="S123:T123"/>
    <mergeCell ref="W123:X123"/>
    <mergeCell ref="Y123:Z123"/>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U125:V125"/>
    <mergeCell ref="C125:D125"/>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S125:T125"/>
    <mergeCell ref="E125:F125"/>
    <mergeCell ref="G125:H125"/>
    <mergeCell ref="I125:J125"/>
    <mergeCell ref="K125:L125"/>
    <mergeCell ref="W125:X125"/>
    <mergeCell ref="Y125:Z125"/>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W119:X119"/>
    <mergeCell ref="Y119:Z119"/>
    <mergeCell ref="AA119:AB119"/>
    <mergeCell ref="C120:D120"/>
    <mergeCell ref="E120:F120"/>
    <mergeCell ref="G120:H120"/>
    <mergeCell ref="I120:J120"/>
    <mergeCell ref="K120:L120"/>
    <mergeCell ref="M120:N120"/>
    <mergeCell ref="O120:P120"/>
    <mergeCell ref="Q120:R120"/>
    <mergeCell ref="S120:T120"/>
    <mergeCell ref="U120:V120"/>
    <mergeCell ref="W120:X120"/>
    <mergeCell ref="Y120:Z120"/>
    <mergeCell ref="AA120:AB120"/>
    <mergeCell ref="M119:N119"/>
    <mergeCell ref="O119:P119"/>
    <mergeCell ref="Q119:R119"/>
    <mergeCell ref="S119:T119"/>
    <mergeCell ref="U119:V119"/>
    <mergeCell ref="C119:D119"/>
    <mergeCell ref="E119:F119"/>
    <mergeCell ref="G119:H119"/>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A111:AB111"/>
    <mergeCell ref="A113:B113"/>
    <mergeCell ref="C113:D113"/>
    <mergeCell ref="E113:F113"/>
    <mergeCell ref="G113:H113"/>
    <mergeCell ref="I113:J113"/>
    <mergeCell ref="K113:L113"/>
    <mergeCell ref="M113:N113"/>
    <mergeCell ref="O113:P113"/>
    <mergeCell ref="Q113:R113"/>
    <mergeCell ref="S113:T113"/>
    <mergeCell ref="U113:V113"/>
    <mergeCell ref="W113:X113"/>
    <mergeCell ref="Y113:Z113"/>
    <mergeCell ref="AA113:AB113"/>
    <mergeCell ref="A114:B122"/>
    <mergeCell ref="C114:D114"/>
    <mergeCell ref="E114:F114"/>
    <mergeCell ref="G114:H114"/>
    <mergeCell ref="I114:J114"/>
    <mergeCell ref="K114:L114"/>
    <mergeCell ref="M114:N114"/>
    <mergeCell ref="O114:P114"/>
    <mergeCell ref="Q114:R114"/>
    <mergeCell ref="O116:P116"/>
    <mergeCell ref="Q116:R116"/>
    <mergeCell ref="O115:P115"/>
    <mergeCell ref="Q115:R115"/>
    <mergeCell ref="E115:F115"/>
    <mergeCell ref="G115:H115"/>
    <mergeCell ref="I115:J115"/>
    <mergeCell ref="K115:L115"/>
    <mergeCell ref="M115:N115"/>
    <mergeCell ref="I117:J117"/>
    <mergeCell ref="K117:L117"/>
    <mergeCell ref="I119:J119"/>
    <mergeCell ref="K119:L119"/>
    <mergeCell ref="S114:T114"/>
    <mergeCell ref="U114:V114"/>
    <mergeCell ref="W114:X114"/>
    <mergeCell ref="Y114:Z114"/>
    <mergeCell ref="AA114:AB114"/>
    <mergeCell ref="C115:D115"/>
    <mergeCell ref="Y115:Z115"/>
    <mergeCell ref="AA115:AB115"/>
    <mergeCell ref="C116:D116"/>
    <mergeCell ref="E116:F116"/>
    <mergeCell ref="G116:H116"/>
    <mergeCell ref="I116:J116"/>
    <mergeCell ref="K116:L116"/>
    <mergeCell ref="M116:N116"/>
    <mergeCell ref="S116:T116"/>
    <mergeCell ref="U116:V116"/>
    <mergeCell ref="W116:X116"/>
    <mergeCell ref="Y116:Z116"/>
    <mergeCell ref="AA116:AB116"/>
    <mergeCell ref="S115:T115"/>
    <mergeCell ref="U115:V115"/>
    <mergeCell ref="W115:X115"/>
    <mergeCell ref="C74:D74"/>
    <mergeCell ref="C73:D73"/>
    <mergeCell ref="C75:D75"/>
    <mergeCell ref="C76:D76"/>
    <mergeCell ref="C77:D77"/>
    <mergeCell ref="A95:AB95"/>
    <mergeCell ref="C88:D88"/>
    <mergeCell ref="C89:D89"/>
    <mergeCell ref="C84:D84"/>
    <mergeCell ref="C85:D85"/>
    <mergeCell ref="C86:D86"/>
    <mergeCell ref="C87:D87"/>
    <mergeCell ref="AA89:AB89"/>
    <mergeCell ref="Q89:R89"/>
    <mergeCell ref="S89:T89"/>
    <mergeCell ref="AA88:AB88"/>
    <mergeCell ref="E89:F89"/>
    <mergeCell ref="C83:D83"/>
    <mergeCell ref="U89:V89"/>
    <mergeCell ref="W89:X89"/>
    <mergeCell ref="Y89:Z89"/>
    <mergeCell ref="G89:H89"/>
    <mergeCell ref="I89:J89"/>
    <mergeCell ref="K89:L89"/>
    <mergeCell ref="M89:N89"/>
    <mergeCell ref="O89:P89"/>
    <mergeCell ref="A88:B89"/>
    <mergeCell ref="E88:F88"/>
    <mergeCell ref="G88:H88"/>
    <mergeCell ref="I88:J88"/>
    <mergeCell ref="K88:L88"/>
    <mergeCell ref="M88:N88"/>
    <mergeCell ref="O88:P88"/>
    <mergeCell ref="Q88:R88"/>
    <mergeCell ref="S88:T88"/>
    <mergeCell ref="U88:V88"/>
    <mergeCell ref="W88:X88"/>
    <mergeCell ref="Y88:Z88"/>
    <mergeCell ref="E86:F86"/>
    <mergeCell ref="G86:H86"/>
    <mergeCell ref="I86:J86"/>
    <mergeCell ref="K86:L86"/>
    <mergeCell ref="M86:N86"/>
    <mergeCell ref="K87:L87"/>
    <mergeCell ref="C78:D78"/>
    <mergeCell ref="C79:D79"/>
    <mergeCell ref="C80:D80"/>
    <mergeCell ref="C81:D81"/>
    <mergeCell ref="C82:D82"/>
    <mergeCell ref="S87:T87"/>
    <mergeCell ref="U87:V87"/>
    <mergeCell ref="W87:X87"/>
    <mergeCell ref="Y87:Z87"/>
    <mergeCell ref="S84:T84"/>
    <mergeCell ref="U84:V84"/>
    <mergeCell ref="G84:H84"/>
    <mergeCell ref="I84:J84"/>
    <mergeCell ref="K84:L84"/>
    <mergeCell ref="M84:N84"/>
    <mergeCell ref="O84:P84"/>
    <mergeCell ref="E81:F81"/>
    <mergeCell ref="G81:H81"/>
    <mergeCell ref="I81:J81"/>
    <mergeCell ref="K81:L81"/>
    <mergeCell ref="M81:N81"/>
    <mergeCell ref="E87:F87"/>
    <mergeCell ref="G87:H87"/>
    <mergeCell ref="I87:J87"/>
    <mergeCell ref="A83:B87"/>
    <mergeCell ref="E83:F83"/>
    <mergeCell ref="G83:H83"/>
    <mergeCell ref="I83:J83"/>
    <mergeCell ref="K83:L83"/>
    <mergeCell ref="O83:P83"/>
    <mergeCell ref="Q83:R83"/>
    <mergeCell ref="S83:T83"/>
    <mergeCell ref="U83:V83"/>
    <mergeCell ref="E84:F84"/>
    <mergeCell ref="E85:F85"/>
    <mergeCell ref="G85:H85"/>
    <mergeCell ref="I85:J85"/>
    <mergeCell ref="K85:L85"/>
    <mergeCell ref="S85:T85"/>
    <mergeCell ref="U85:V85"/>
    <mergeCell ref="Q84:R84"/>
    <mergeCell ref="O85:P85"/>
    <mergeCell ref="Q85:R85"/>
    <mergeCell ref="AA84:AB84"/>
    <mergeCell ref="M83:N83"/>
    <mergeCell ref="M85:N85"/>
    <mergeCell ref="M87:N87"/>
    <mergeCell ref="W83:X83"/>
    <mergeCell ref="Y83:Z83"/>
    <mergeCell ref="AA83:AB83"/>
    <mergeCell ref="W85:X85"/>
    <mergeCell ref="Y85:Z85"/>
    <mergeCell ref="AA85:AB85"/>
    <mergeCell ref="W84:X84"/>
    <mergeCell ref="Y84:Z84"/>
    <mergeCell ref="AA86:AB86"/>
    <mergeCell ref="O87:P87"/>
    <mergeCell ref="Q87:R87"/>
    <mergeCell ref="AA87:AB87"/>
    <mergeCell ref="O86:P86"/>
    <mergeCell ref="Q86:R86"/>
    <mergeCell ref="S86:T86"/>
    <mergeCell ref="U86:V86"/>
    <mergeCell ref="W86:X86"/>
    <mergeCell ref="Y86:Z86"/>
    <mergeCell ref="Y77:Z77"/>
    <mergeCell ref="AA77:AB77"/>
    <mergeCell ref="O77:P77"/>
    <mergeCell ref="Q77:R77"/>
    <mergeCell ref="S77:T77"/>
    <mergeCell ref="U77:V77"/>
    <mergeCell ref="W77:X77"/>
    <mergeCell ref="E77:F77"/>
    <mergeCell ref="G77:H77"/>
    <mergeCell ref="I77:J77"/>
    <mergeCell ref="K77:L77"/>
    <mergeCell ref="M77:N77"/>
    <mergeCell ref="Y76:Z76"/>
    <mergeCell ref="AA76:AB76"/>
    <mergeCell ref="O75:P75"/>
    <mergeCell ref="Q75:R75"/>
    <mergeCell ref="S75:T75"/>
    <mergeCell ref="U75:V75"/>
    <mergeCell ref="W75:X75"/>
    <mergeCell ref="E75:F75"/>
    <mergeCell ref="G75:H75"/>
    <mergeCell ref="I75:J75"/>
    <mergeCell ref="K75:L75"/>
    <mergeCell ref="M75:N75"/>
    <mergeCell ref="G76:H76"/>
    <mergeCell ref="I76:J76"/>
    <mergeCell ref="K76:L76"/>
    <mergeCell ref="M76:N76"/>
    <mergeCell ref="O76:P76"/>
    <mergeCell ref="Q76:R76"/>
    <mergeCell ref="S76:T76"/>
    <mergeCell ref="U76:V76"/>
    <mergeCell ref="W76:X76"/>
    <mergeCell ref="W73:X73"/>
    <mergeCell ref="Y73:Z73"/>
    <mergeCell ref="AA73:AB73"/>
    <mergeCell ref="A74:B82"/>
    <mergeCell ref="E74:F74"/>
    <mergeCell ref="G74:H74"/>
    <mergeCell ref="I74:J74"/>
    <mergeCell ref="K74:L74"/>
    <mergeCell ref="M74:N74"/>
    <mergeCell ref="O74:P74"/>
    <mergeCell ref="Q74:R74"/>
    <mergeCell ref="S74:T74"/>
    <mergeCell ref="U74:V74"/>
    <mergeCell ref="W74:X74"/>
    <mergeCell ref="Y74:Z74"/>
    <mergeCell ref="AA74:AB74"/>
    <mergeCell ref="M73:N73"/>
    <mergeCell ref="O73:P73"/>
    <mergeCell ref="Q73:R73"/>
    <mergeCell ref="S73:T73"/>
    <mergeCell ref="U73:V73"/>
    <mergeCell ref="Y75:Z75"/>
    <mergeCell ref="AA75:AB75"/>
    <mergeCell ref="E76:F76"/>
    <mergeCell ref="G48:H48"/>
    <mergeCell ref="I48:J48"/>
    <mergeCell ref="K48:L48"/>
    <mergeCell ref="M48:N48"/>
    <mergeCell ref="Y48:Z48"/>
    <mergeCell ref="AA48:AB48"/>
    <mergeCell ref="E49:F49"/>
    <mergeCell ref="G49:H49"/>
    <mergeCell ref="I49:J49"/>
    <mergeCell ref="K49:L49"/>
    <mergeCell ref="M49:N49"/>
    <mergeCell ref="O49:P49"/>
    <mergeCell ref="Q49:R49"/>
    <mergeCell ref="S49:T49"/>
    <mergeCell ref="U49:V49"/>
    <mergeCell ref="W49:X49"/>
    <mergeCell ref="Y49:Z49"/>
    <mergeCell ref="AA49:AB49"/>
    <mergeCell ref="O48:P48"/>
    <mergeCell ref="Q48:R48"/>
    <mergeCell ref="S48:T48"/>
    <mergeCell ref="U48:V48"/>
    <mergeCell ref="W48:X48"/>
    <mergeCell ref="E48:F48"/>
    <mergeCell ref="E45:F45"/>
    <mergeCell ref="G45:H45"/>
    <mergeCell ref="I45:J45"/>
    <mergeCell ref="K45:L45"/>
    <mergeCell ref="M45:N45"/>
    <mergeCell ref="Y47:Z47"/>
    <mergeCell ref="AA47:AB47"/>
    <mergeCell ref="O47:P47"/>
    <mergeCell ref="Q47:R47"/>
    <mergeCell ref="S47:T47"/>
    <mergeCell ref="U47:V47"/>
    <mergeCell ref="W47:X47"/>
    <mergeCell ref="E47:F47"/>
    <mergeCell ref="G47:H47"/>
    <mergeCell ref="I47:J47"/>
    <mergeCell ref="K47:L47"/>
    <mergeCell ref="M47:N47"/>
    <mergeCell ref="S46:T46"/>
    <mergeCell ref="U46:V46"/>
    <mergeCell ref="W46:X46"/>
    <mergeCell ref="Y46:Z46"/>
    <mergeCell ref="AA46:AB46"/>
    <mergeCell ref="O45:P45"/>
    <mergeCell ref="Q45:R45"/>
    <mergeCell ref="S45:T45"/>
    <mergeCell ref="U45:V45"/>
    <mergeCell ref="W45:X45"/>
    <mergeCell ref="A31:AB31"/>
    <mergeCell ref="A33:B34"/>
    <mergeCell ref="A35:B42"/>
    <mergeCell ref="AA43:AB43"/>
    <mergeCell ref="E44:F44"/>
    <mergeCell ref="G44:H44"/>
    <mergeCell ref="I44:J44"/>
    <mergeCell ref="K44:L44"/>
    <mergeCell ref="M44:N44"/>
    <mergeCell ref="O44:P44"/>
    <mergeCell ref="Q44:R44"/>
    <mergeCell ref="S44:T44"/>
    <mergeCell ref="U44:V44"/>
    <mergeCell ref="W44:X44"/>
    <mergeCell ref="Y44:Z44"/>
    <mergeCell ref="AA44:AB44"/>
    <mergeCell ref="Q43:R43"/>
    <mergeCell ref="S43:T43"/>
    <mergeCell ref="U43:V43"/>
    <mergeCell ref="W43:X43"/>
    <mergeCell ref="Y43:Z43"/>
    <mergeCell ref="G43:H43"/>
    <mergeCell ref="I43:J43"/>
    <mergeCell ref="K43:L43"/>
    <mergeCell ref="S41:T41"/>
    <mergeCell ref="U41:V41"/>
    <mergeCell ref="W41:X41"/>
    <mergeCell ref="Y41:Z41"/>
    <mergeCell ref="AA41:AB41"/>
    <mergeCell ref="I41:J41"/>
    <mergeCell ref="K41:L41"/>
    <mergeCell ref="M41:N41"/>
    <mergeCell ref="O41:P41"/>
    <mergeCell ref="Q41:R41"/>
    <mergeCell ref="S42:T42"/>
    <mergeCell ref="U42:V42"/>
    <mergeCell ref="W42:X42"/>
    <mergeCell ref="Y42:Z42"/>
    <mergeCell ref="AA42:AB42"/>
    <mergeCell ref="I42:J42"/>
    <mergeCell ref="K42:L42"/>
    <mergeCell ref="M42:N42"/>
    <mergeCell ref="O42:P42"/>
    <mergeCell ref="Q42:R42"/>
    <mergeCell ref="M38:N38"/>
    <mergeCell ref="O38:P38"/>
    <mergeCell ref="Q38:R38"/>
    <mergeCell ref="S40:T40"/>
    <mergeCell ref="U40:V40"/>
    <mergeCell ref="W40:X40"/>
    <mergeCell ref="Y40:Z40"/>
    <mergeCell ref="AA40:AB40"/>
    <mergeCell ref="I40:J40"/>
    <mergeCell ref="K40:L40"/>
    <mergeCell ref="M40:N40"/>
    <mergeCell ref="O40:P40"/>
    <mergeCell ref="Q40:R40"/>
    <mergeCell ref="Y36:Z36"/>
    <mergeCell ref="AA36:AB36"/>
    <mergeCell ref="I36:J36"/>
    <mergeCell ref="K36:L36"/>
    <mergeCell ref="M36:N36"/>
    <mergeCell ref="O36:P36"/>
    <mergeCell ref="Q36:R36"/>
    <mergeCell ref="S39:T39"/>
    <mergeCell ref="U39:V39"/>
    <mergeCell ref="W39:X39"/>
    <mergeCell ref="Y39:Z39"/>
    <mergeCell ref="AA39:AB39"/>
    <mergeCell ref="I39:J39"/>
    <mergeCell ref="K39:L39"/>
    <mergeCell ref="M39:N39"/>
    <mergeCell ref="O39:P39"/>
    <mergeCell ref="Q39:R39"/>
    <mergeCell ref="S38:T38"/>
    <mergeCell ref="U38:V38"/>
    <mergeCell ref="W38:X38"/>
    <mergeCell ref="Y38:Z38"/>
    <mergeCell ref="AA38:AB38"/>
    <mergeCell ref="I38:J38"/>
    <mergeCell ref="K38:L38"/>
    <mergeCell ref="B5:D5"/>
    <mergeCell ref="A15:AB15"/>
    <mergeCell ref="A55:AB55"/>
    <mergeCell ref="A16:A18"/>
    <mergeCell ref="B16:B18"/>
    <mergeCell ref="E34:F34"/>
    <mergeCell ref="G34:H34"/>
    <mergeCell ref="I34:J34"/>
    <mergeCell ref="K34:L34"/>
    <mergeCell ref="M34:N34"/>
    <mergeCell ref="O34:P34"/>
    <mergeCell ref="E16:F16"/>
    <mergeCell ref="E17:F17"/>
    <mergeCell ref="AA16:AB16"/>
    <mergeCell ref="Y16:Z16"/>
    <mergeCell ref="W16:X16"/>
    <mergeCell ref="U16:V16"/>
    <mergeCell ref="AA17:AB17"/>
    <mergeCell ref="E43:F43"/>
    <mergeCell ref="E41:F41"/>
    <mergeCell ref="E42:F42"/>
    <mergeCell ref="E36:F36"/>
    <mergeCell ref="E37:F37"/>
    <mergeCell ref="K17:L17"/>
    <mergeCell ref="A56:A58"/>
    <mergeCell ref="B56:B58"/>
    <mergeCell ref="C56:D56"/>
    <mergeCell ref="C57:C58"/>
    <mergeCell ref="D57:D58"/>
    <mergeCell ref="C33:D33"/>
    <mergeCell ref="A43:B47"/>
    <mergeCell ref="A48:B49"/>
    <mergeCell ref="E35:F35"/>
    <mergeCell ref="E38:F38"/>
    <mergeCell ref="E39:F39"/>
    <mergeCell ref="E40:F40"/>
    <mergeCell ref="E33:AB33"/>
    <mergeCell ref="M43:N43"/>
    <mergeCell ref="O43:P43"/>
    <mergeCell ref="Y45:Z45"/>
    <mergeCell ref="AA45:AB45"/>
    <mergeCell ref="E46:F46"/>
    <mergeCell ref="G46:H46"/>
    <mergeCell ref="I46:J46"/>
    <mergeCell ref="K46:L46"/>
    <mergeCell ref="M46:N46"/>
    <mergeCell ref="O46:P46"/>
    <mergeCell ref="Q46:R46"/>
    <mergeCell ref="M16:N16"/>
    <mergeCell ref="M17:N17"/>
    <mergeCell ref="C17:C18"/>
    <mergeCell ref="D17:D18"/>
    <mergeCell ref="U17:V17"/>
    <mergeCell ref="W17:X17"/>
    <mergeCell ref="Y17:Z17"/>
    <mergeCell ref="G40:H40"/>
    <mergeCell ref="G35:H35"/>
    <mergeCell ref="G36:H36"/>
    <mergeCell ref="Q34:R34"/>
    <mergeCell ref="S34:T34"/>
    <mergeCell ref="U34:V34"/>
    <mergeCell ref="W34:X34"/>
    <mergeCell ref="Y34:Z34"/>
    <mergeCell ref="S35:T35"/>
    <mergeCell ref="U35:V35"/>
    <mergeCell ref="W35:X35"/>
    <mergeCell ref="Y35:Z35"/>
    <mergeCell ref="I35:J35"/>
    <mergeCell ref="K35:L35"/>
    <mergeCell ref="M35:N35"/>
    <mergeCell ref="O35:P35"/>
    <mergeCell ref="B32:AB32"/>
    <mergeCell ref="K16:L16"/>
    <mergeCell ref="Y57:Z57"/>
    <mergeCell ref="AA57:AB57"/>
    <mergeCell ref="O56:P56"/>
    <mergeCell ref="Q56:R56"/>
    <mergeCell ref="S56:T56"/>
    <mergeCell ref="Y96:Z96"/>
    <mergeCell ref="S16:T16"/>
    <mergeCell ref="S17:T17"/>
    <mergeCell ref="Q16:R16"/>
    <mergeCell ref="Q17:R17"/>
    <mergeCell ref="O16:P16"/>
    <mergeCell ref="O17:P17"/>
    <mergeCell ref="AA34:AB34"/>
    <mergeCell ref="AA35:AB35"/>
    <mergeCell ref="Q35:R35"/>
    <mergeCell ref="S37:T37"/>
    <mergeCell ref="U37:V37"/>
    <mergeCell ref="W37:X37"/>
    <mergeCell ref="Y37:Z37"/>
    <mergeCell ref="AA37:AB37"/>
    <mergeCell ref="O37:P37"/>
    <mergeCell ref="Q37:R37"/>
    <mergeCell ref="S36:T36"/>
    <mergeCell ref="O80:P80"/>
    <mergeCell ref="G5:L5"/>
    <mergeCell ref="A96:A98"/>
    <mergeCell ref="B96:B98"/>
    <mergeCell ref="C96:D96"/>
    <mergeCell ref="C97:C98"/>
    <mergeCell ref="D97:D98"/>
    <mergeCell ref="E96:F96"/>
    <mergeCell ref="G96:H96"/>
    <mergeCell ref="I96:J96"/>
    <mergeCell ref="K96:L96"/>
    <mergeCell ref="E56:F56"/>
    <mergeCell ref="G56:H56"/>
    <mergeCell ref="I56:J56"/>
    <mergeCell ref="K56:L56"/>
    <mergeCell ref="C16:D16"/>
    <mergeCell ref="E57:F57"/>
    <mergeCell ref="G57:H57"/>
    <mergeCell ref="I57:J57"/>
    <mergeCell ref="K57:L57"/>
    <mergeCell ref="G16:H16"/>
    <mergeCell ref="I16:J16"/>
    <mergeCell ref="G17:H17"/>
    <mergeCell ref="I17:J17"/>
    <mergeCell ref="K80:L80"/>
    <mergeCell ref="B72:AB72"/>
    <mergeCell ref="B112:AB112"/>
    <mergeCell ref="G6:L12"/>
    <mergeCell ref="M96:N96"/>
    <mergeCell ref="O96:P96"/>
    <mergeCell ref="Q96:R96"/>
    <mergeCell ref="S96:T96"/>
    <mergeCell ref="Y56:Z56"/>
    <mergeCell ref="U56:V56"/>
    <mergeCell ref="W56:X56"/>
    <mergeCell ref="M56:N56"/>
    <mergeCell ref="A71:AB71"/>
    <mergeCell ref="A73:B73"/>
    <mergeCell ref="E73:F73"/>
    <mergeCell ref="G73:H73"/>
    <mergeCell ref="I73:J73"/>
    <mergeCell ref="K73:L73"/>
    <mergeCell ref="W96:X96"/>
    <mergeCell ref="U96:V96"/>
    <mergeCell ref="AA56:AB56"/>
    <mergeCell ref="M57:N57"/>
    <mergeCell ref="O57:P57"/>
    <mergeCell ref="Q57:R57"/>
    <mergeCell ref="Y81:Z81"/>
    <mergeCell ref="AA81:AB81"/>
    <mergeCell ref="E82:F82"/>
    <mergeCell ref="G82:H82"/>
    <mergeCell ref="I82:J82"/>
    <mergeCell ref="K82:L82"/>
    <mergeCell ref="M82:N82"/>
    <mergeCell ref="O82:P82"/>
    <mergeCell ref="Q82:R82"/>
    <mergeCell ref="S82:T82"/>
    <mergeCell ref="U82:V82"/>
    <mergeCell ref="W82:X82"/>
    <mergeCell ref="Y82:Z82"/>
    <mergeCell ref="AA82:AB82"/>
    <mergeCell ref="O81:P81"/>
    <mergeCell ref="Q81:R81"/>
    <mergeCell ref="S81:T81"/>
    <mergeCell ref="U81:V81"/>
    <mergeCell ref="W81:X81"/>
    <mergeCell ref="AA96:AB96"/>
    <mergeCell ref="E97:F97"/>
    <mergeCell ref="G97:H97"/>
    <mergeCell ref="I97:J97"/>
    <mergeCell ref="K97:L97"/>
    <mergeCell ref="M97:N97"/>
    <mergeCell ref="O97:P97"/>
    <mergeCell ref="Q97:R97"/>
    <mergeCell ref="S97:T97"/>
    <mergeCell ref="U97:V97"/>
    <mergeCell ref="W97:X97"/>
    <mergeCell ref="Y97:Z97"/>
    <mergeCell ref="AA97:AB97"/>
    <mergeCell ref="C34:D34"/>
    <mergeCell ref="M79:N79"/>
    <mergeCell ref="K79:L79"/>
    <mergeCell ref="I79:J79"/>
    <mergeCell ref="G79:H79"/>
    <mergeCell ref="E79:F79"/>
    <mergeCell ref="W79:X79"/>
    <mergeCell ref="U79:V79"/>
    <mergeCell ref="S79:T79"/>
    <mergeCell ref="Q79:R79"/>
    <mergeCell ref="O79:P79"/>
    <mergeCell ref="S57:T57"/>
    <mergeCell ref="U57:V57"/>
    <mergeCell ref="W57:X57"/>
    <mergeCell ref="G41:H41"/>
    <mergeCell ref="G42:H42"/>
    <mergeCell ref="G37:H37"/>
    <mergeCell ref="G38:H38"/>
    <mergeCell ref="G39:H39"/>
    <mergeCell ref="I37:J37"/>
    <mergeCell ref="K37:L37"/>
    <mergeCell ref="M37:N37"/>
    <mergeCell ref="W36:X36"/>
    <mergeCell ref="U36:V36"/>
    <mergeCell ref="I80:J80"/>
    <mergeCell ref="G80:H80"/>
    <mergeCell ref="E80:F80"/>
    <mergeCell ref="AA79:AB79"/>
    <mergeCell ref="Y79:Z79"/>
    <mergeCell ref="AA78:AB78"/>
    <mergeCell ref="Y78:Z78"/>
    <mergeCell ref="W78:X78"/>
    <mergeCell ref="U78:V78"/>
    <mergeCell ref="S78:T78"/>
    <mergeCell ref="Q78:R78"/>
    <mergeCell ref="O78:P78"/>
    <mergeCell ref="M78:N78"/>
    <mergeCell ref="K78:L78"/>
    <mergeCell ref="I78:J78"/>
    <mergeCell ref="G78:H78"/>
    <mergeCell ref="E78:F78"/>
    <mergeCell ref="AA80:AB80"/>
    <mergeCell ref="Y80:Z80"/>
    <mergeCell ref="W80:X80"/>
    <mergeCell ref="U80:V80"/>
    <mergeCell ref="S80:T80"/>
    <mergeCell ref="Q80:R80"/>
    <mergeCell ref="M80:N80"/>
  </mergeCells>
  <pageMargins left="0.25" right="0.25" top="0.75" bottom="0.75" header="0.3" footer="0.3"/>
  <pageSetup paperSize="9" orientation="portrait" r:id="rId1"/>
  <ignoredErrors>
    <ignoredError sqref="C28:C29 C68:C69 C109"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 activePane="bottomLeft" state="frozen"/>
      <selection pane="bottomLeft" activeCell="I65" sqref="I65"/>
    </sheetView>
  </sheetViews>
  <sheetFormatPr defaultColWidth="11.42578125" defaultRowHeight="15" x14ac:dyDescent="0.25"/>
  <cols>
    <col min="1" max="1" width="28.28515625" style="1" bestFit="1" customWidth="1"/>
    <col min="2" max="2" width="36.140625" style="77"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647" customFormat="1" ht="58.5" customHeight="1" thickTop="1" thickBot="1" x14ac:dyDescent="0.3">
      <c r="A1" s="645"/>
      <c r="B1" s="649"/>
      <c r="C1" s="646" t="s">
        <v>74</v>
      </c>
      <c r="E1" s="646"/>
    </row>
    <row r="2" spans="1:14" ht="16.5" thickTop="1" thickBot="1" x14ac:dyDescent="0.3"/>
    <row r="3" spans="1:14" ht="27" thickBot="1" x14ac:dyDescent="0.45">
      <c r="A3" s="760" t="s">
        <v>308</v>
      </c>
      <c r="B3" s="761"/>
      <c r="C3" s="761"/>
      <c r="D3" s="761"/>
      <c r="E3" s="762"/>
    </row>
    <row r="4" spans="1:14" ht="39.75" customHeight="1" thickBot="1" x14ac:dyDescent="0.3">
      <c r="A4" s="877" t="s">
        <v>363</v>
      </c>
      <c r="B4" s="878"/>
      <c r="C4" s="878"/>
      <c r="D4" s="878"/>
      <c r="E4" s="879"/>
    </row>
    <row r="5" spans="1:14" ht="15.75" thickBot="1" x14ac:dyDescent="0.3"/>
    <row r="6" spans="1:14" ht="32.25" customHeight="1" thickBot="1" x14ac:dyDescent="0.45">
      <c r="A6" s="871" t="s">
        <v>98</v>
      </c>
      <c r="B6" s="872"/>
      <c r="C6" s="873"/>
      <c r="D6" s="93"/>
      <c r="E6" s="93"/>
    </row>
    <row r="7" spans="1:14" x14ac:dyDescent="0.25">
      <c r="A7" s="80" t="s">
        <v>79</v>
      </c>
      <c r="B7" s="81">
        <v>52</v>
      </c>
      <c r="C7" s="73" t="s">
        <v>81</v>
      </c>
    </row>
    <row r="8" spans="1:14" ht="30" x14ac:dyDescent="0.25">
      <c r="A8" s="80" t="s">
        <v>83</v>
      </c>
      <c r="B8" s="81">
        <v>2</v>
      </c>
      <c r="C8" s="73" t="s">
        <v>81</v>
      </c>
      <c r="D8" s="1" t="s">
        <v>90</v>
      </c>
    </row>
    <row r="9" spans="1:14" x14ac:dyDescent="0.25">
      <c r="A9" s="80" t="s">
        <v>80</v>
      </c>
      <c r="B9" s="81">
        <v>14</v>
      </c>
      <c r="C9" s="73" t="s">
        <v>82</v>
      </c>
    </row>
    <row r="10" spans="1:14" x14ac:dyDescent="0.25">
      <c r="A10" s="80" t="s">
        <v>91</v>
      </c>
      <c r="B10" s="81">
        <f>(B7-B8)*5 -B9</f>
        <v>236</v>
      </c>
      <c r="C10" s="73" t="s">
        <v>82</v>
      </c>
    </row>
    <row r="11" spans="1:14" x14ac:dyDescent="0.25">
      <c r="A11" s="80" t="s">
        <v>77</v>
      </c>
      <c r="B11" s="81">
        <v>8</v>
      </c>
      <c r="C11" s="73" t="s">
        <v>78</v>
      </c>
    </row>
    <row r="12" spans="1:14" ht="30.75" thickBot="1" x14ac:dyDescent="0.3">
      <c r="A12" s="94" t="s">
        <v>87</v>
      </c>
      <c r="B12" s="95">
        <f>B10*B11</f>
        <v>1888</v>
      </c>
      <c r="C12" s="96" t="s">
        <v>78</v>
      </c>
    </row>
    <row r="13" spans="1:14" ht="49.5" customHeight="1" thickBot="1" x14ac:dyDescent="0.3">
      <c r="A13" s="882" t="s">
        <v>84</v>
      </c>
      <c r="B13" s="97">
        <v>1800</v>
      </c>
      <c r="C13" s="116" t="s">
        <v>88</v>
      </c>
    </row>
    <row r="14" spans="1:14" ht="69" customHeight="1" thickBot="1" x14ac:dyDescent="0.3">
      <c r="A14" s="883"/>
      <c r="B14" s="98">
        <f>B13/12</f>
        <v>150</v>
      </c>
      <c r="C14" s="117" t="s">
        <v>89</v>
      </c>
    </row>
    <row r="15" spans="1:14" x14ac:dyDescent="0.25">
      <c r="A15" s="86"/>
      <c r="B15" s="90"/>
      <c r="C15" s="87"/>
    </row>
    <row r="16" spans="1:14" ht="3.75" customHeight="1" x14ac:dyDescent="0.25">
      <c r="A16" s="88"/>
      <c r="B16" s="91"/>
      <c r="C16" s="89"/>
      <c r="D16" s="67"/>
      <c r="E16" s="67"/>
      <c r="F16" s="67"/>
      <c r="G16" s="67"/>
      <c r="H16" s="67"/>
      <c r="I16" s="67"/>
      <c r="J16" s="67"/>
      <c r="K16" s="67"/>
      <c r="L16" s="67"/>
      <c r="M16" s="67"/>
      <c r="N16" s="67"/>
    </row>
    <row r="17" spans="1:14" ht="15.75" thickBot="1" x14ac:dyDescent="0.3">
      <c r="C17" s="76"/>
      <c r="D17" s="76"/>
      <c r="E17" s="76"/>
      <c r="F17" s="76"/>
    </row>
    <row r="18" spans="1:14" ht="27.75" customHeight="1" thickBot="1" x14ac:dyDescent="0.45">
      <c r="A18" s="760" t="s">
        <v>364</v>
      </c>
      <c r="B18" s="761"/>
      <c r="C18" s="761"/>
      <c r="D18" s="761"/>
      <c r="E18" s="762"/>
      <c r="F18" s="78"/>
    </row>
    <row r="19" spans="1:14" ht="67.5" customHeight="1" thickBot="1" x14ac:dyDescent="0.3">
      <c r="A19" s="536" t="s">
        <v>76</v>
      </c>
      <c r="B19" s="537" t="s">
        <v>86</v>
      </c>
      <c r="C19" s="537" t="s">
        <v>85</v>
      </c>
      <c r="D19" s="537" t="s">
        <v>93</v>
      </c>
      <c r="E19" s="538" t="s">
        <v>94</v>
      </c>
      <c r="F19" s="78"/>
    </row>
    <row r="20" spans="1:14" ht="35.25" customHeight="1" x14ac:dyDescent="0.25">
      <c r="A20" s="578">
        <v>1</v>
      </c>
      <c r="B20" s="99" t="s">
        <v>366</v>
      </c>
      <c r="C20" s="100">
        <v>1</v>
      </c>
      <c r="D20" s="100">
        <v>120</v>
      </c>
      <c r="E20" s="106">
        <f>D20/C20</f>
        <v>120</v>
      </c>
    </row>
    <row r="21" spans="1:14" x14ac:dyDescent="0.25">
      <c r="A21" s="579">
        <v>2</v>
      </c>
      <c r="B21" s="101" t="s">
        <v>367</v>
      </c>
      <c r="C21" s="102">
        <v>1</v>
      </c>
      <c r="D21" s="102">
        <v>150</v>
      </c>
      <c r="E21" s="107">
        <f t="shared" ref="E21:E24" si="0">D21/C21</f>
        <v>150</v>
      </c>
    </row>
    <row r="22" spans="1:14" x14ac:dyDescent="0.25">
      <c r="A22" s="579">
        <v>3</v>
      </c>
      <c r="B22" s="101" t="s">
        <v>368</v>
      </c>
      <c r="C22" s="102">
        <v>1</v>
      </c>
      <c r="D22" s="102">
        <v>300</v>
      </c>
      <c r="E22" s="107">
        <f t="shared" si="0"/>
        <v>300</v>
      </c>
    </row>
    <row r="23" spans="1:14" x14ac:dyDescent="0.25">
      <c r="A23" s="579">
        <v>4</v>
      </c>
      <c r="B23" s="101" t="s">
        <v>369</v>
      </c>
      <c r="C23" s="102">
        <v>1</v>
      </c>
      <c r="D23" s="102">
        <v>190</v>
      </c>
      <c r="E23" s="107">
        <f t="shared" si="0"/>
        <v>190</v>
      </c>
    </row>
    <row r="24" spans="1:14" ht="15.75" thickBot="1" x14ac:dyDescent="0.3">
      <c r="A24" s="580">
        <v>5</v>
      </c>
      <c r="B24" s="103" t="s">
        <v>370</v>
      </c>
      <c r="C24" s="104">
        <v>1</v>
      </c>
      <c r="D24" s="104">
        <v>100</v>
      </c>
      <c r="E24" s="108">
        <f t="shared" si="0"/>
        <v>100</v>
      </c>
    </row>
    <row r="25" spans="1:14" ht="52.5" customHeight="1" thickBot="1" x14ac:dyDescent="0.3">
      <c r="A25" s="884" t="s">
        <v>92</v>
      </c>
      <c r="B25" s="885"/>
      <c r="C25" s="886"/>
      <c r="D25" s="105" t="s">
        <v>95</v>
      </c>
      <c r="E25" s="118">
        <f>SUM(E20:E24)</f>
        <v>860</v>
      </c>
    </row>
    <row r="26" spans="1:14" ht="69.75" customHeight="1" thickBot="1" x14ac:dyDescent="0.3">
      <c r="A26" s="887"/>
      <c r="B26" s="888"/>
      <c r="C26" s="889"/>
      <c r="D26" s="98" t="s">
        <v>96</v>
      </c>
      <c r="E26" s="614">
        <f>$B$14/E25</f>
        <v>0.1744186046511628</v>
      </c>
      <c r="F26" s="112" t="s">
        <v>97</v>
      </c>
    </row>
    <row r="27" spans="1:14" x14ac:dyDescent="0.25">
      <c r="C27" s="82"/>
      <c r="D27" s="82"/>
      <c r="E27" s="83"/>
    </row>
    <row r="28" spans="1:14" ht="4.5" customHeight="1" x14ac:dyDescent="0.25">
      <c r="A28" s="67"/>
      <c r="B28" s="92"/>
      <c r="C28" s="84"/>
      <c r="D28" s="84"/>
      <c r="E28" s="85"/>
      <c r="F28" s="67"/>
      <c r="G28" s="67"/>
      <c r="H28" s="67"/>
      <c r="I28" s="67"/>
      <c r="J28" s="67"/>
      <c r="K28" s="67"/>
      <c r="L28" s="67"/>
      <c r="M28" s="67"/>
      <c r="N28" s="67"/>
    </row>
    <row r="29" spans="1:14" ht="15.75" thickBot="1" x14ac:dyDescent="0.3"/>
    <row r="30" spans="1:14" ht="27" thickBot="1" x14ac:dyDescent="0.45">
      <c r="A30" s="760" t="s">
        <v>365</v>
      </c>
      <c r="B30" s="761"/>
      <c r="C30" s="761"/>
      <c r="D30" s="761"/>
      <c r="E30" s="762"/>
    </row>
    <row r="31" spans="1:14" ht="62.25" customHeight="1" thickBot="1" x14ac:dyDescent="0.3">
      <c r="A31" s="536" t="s">
        <v>76</v>
      </c>
      <c r="B31" s="537" t="s">
        <v>86</v>
      </c>
      <c r="C31" s="537" t="s">
        <v>85</v>
      </c>
      <c r="D31" s="537" t="s">
        <v>93</v>
      </c>
      <c r="E31" s="538" t="s">
        <v>94</v>
      </c>
    </row>
    <row r="32" spans="1:14" ht="38.25" customHeight="1" x14ac:dyDescent="0.25">
      <c r="A32" s="109">
        <v>1</v>
      </c>
      <c r="B32" s="99" t="s">
        <v>372</v>
      </c>
      <c r="C32" s="100">
        <v>1</v>
      </c>
      <c r="D32" s="100">
        <v>120</v>
      </c>
      <c r="E32" s="106">
        <f>D32/C32</f>
        <v>120</v>
      </c>
    </row>
    <row r="33" spans="1:26" x14ac:dyDescent="0.25">
      <c r="A33" s="110">
        <v>2</v>
      </c>
      <c r="B33" s="101" t="s">
        <v>373</v>
      </c>
      <c r="C33" s="102">
        <v>1</v>
      </c>
      <c r="D33" s="102">
        <v>190</v>
      </c>
      <c r="E33" s="107">
        <f>D33/C33</f>
        <v>190</v>
      </c>
    </row>
    <row r="34" spans="1:26" x14ac:dyDescent="0.25">
      <c r="A34" s="110">
        <v>3</v>
      </c>
      <c r="B34" s="101" t="s">
        <v>368</v>
      </c>
      <c r="C34" s="102">
        <v>1</v>
      </c>
      <c r="D34" s="102">
        <v>300</v>
      </c>
      <c r="E34" s="107">
        <f>D34/C34</f>
        <v>300</v>
      </c>
    </row>
    <row r="35" spans="1:26" x14ac:dyDescent="0.25">
      <c r="A35" s="110">
        <v>4</v>
      </c>
      <c r="B35" s="613" t="s">
        <v>369</v>
      </c>
      <c r="C35" s="102">
        <v>1</v>
      </c>
      <c r="D35" s="102">
        <v>120</v>
      </c>
      <c r="E35" s="107">
        <f>D35/C35</f>
        <v>120</v>
      </c>
    </row>
    <row r="36" spans="1:26" ht="15.75" thickBot="1" x14ac:dyDescent="0.3">
      <c r="A36" s="111">
        <v>5</v>
      </c>
      <c r="B36" s="103" t="s">
        <v>370</v>
      </c>
      <c r="C36" s="104">
        <v>1</v>
      </c>
      <c r="D36" s="104">
        <v>90</v>
      </c>
      <c r="E36" s="108">
        <f>D36/C36</f>
        <v>90</v>
      </c>
    </row>
    <row r="37" spans="1:26" ht="57" customHeight="1" thickBot="1" x14ac:dyDescent="0.3">
      <c r="A37" s="890"/>
      <c r="B37" s="891"/>
      <c r="C37" s="892"/>
      <c r="D37" s="105" t="s">
        <v>95</v>
      </c>
      <c r="E37" s="119">
        <f>SUM(E32:E36)</f>
        <v>820</v>
      </c>
    </row>
    <row r="38" spans="1:26" ht="45" customHeight="1" thickBot="1" x14ac:dyDescent="0.3">
      <c r="A38" s="893"/>
      <c r="B38" s="894"/>
      <c r="C38" s="895"/>
      <c r="D38" s="98" t="s">
        <v>96</v>
      </c>
      <c r="E38" s="614">
        <f>$B$14/E37</f>
        <v>0.18292682926829268</v>
      </c>
      <c r="F38" s="112" t="s">
        <v>97</v>
      </c>
    </row>
    <row r="39" spans="1:26" ht="39.75" customHeight="1" x14ac:dyDescent="0.25"/>
    <row r="40" spans="1:26" ht="4.5" customHeight="1" x14ac:dyDescent="0.25">
      <c r="A40" s="67"/>
      <c r="B40" s="92"/>
      <c r="C40" s="67"/>
      <c r="D40" s="67"/>
      <c r="E40" s="67"/>
      <c r="F40" s="67"/>
      <c r="G40" s="67"/>
      <c r="H40" s="67"/>
      <c r="I40" s="67"/>
      <c r="J40" s="67"/>
      <c r="K40" s="67"/>
      <c r="L40" s="67"/>
      <c r="M40" s="67"/>
      <c r="N40" s="67"/>
    </row>
    <row r="41" spans="1:26" ht="46.5" customHeight="1" thickBot="1" x14ac:dyDescent="0.3"/>
    <row r="42" spans="1:26" ht="39.75" customHeight="1" thickBot="1" x14ac:dyDescent="0.3">
      <c r="A42" s="871" t="s">
        <v>105</v>
      </c>
      <c r="B42" s="872"/>
      <c r="C42" s="872"/>
      <c r="D42" s="872"/>
      <c r="E42" s="873"/>
    </row>
    <row r="43" spans="1:26" ht="21" customHeight="1" x14ac:dyDescent="0.25">
      <c r="A43" s="876" t="s">
        <v>102</v>
      </c>
      <c r="B43" s="876"/>
      <c r="C43" s="875" t="s">
        <v>42</v>
      </c>
      <c r="D43" s="875"/>
      <c r="E43" s="875" t="s">
        <v>43</v>
      </c>
      <c r="F43" s="875"/>
      <c r="G43" s="875" t="s">
        <v>44</v>
      </c>
      <c r="H43" s="875"/>
      <c r="I43" s="875" t="s">
        <v>45</v>
      </c>
      <c r="J43" s="875"/>
      <c r="K43" s="875" t="s">
        <v>46</v>
      </c>
      <c r="L43" s="875"/>
      <c r="M43" s="875" t="s">
        <v>47</v>
      </c>
      <c r="N43" s="875"/>
      <c r="O43" s="875" t="s">
        <v>48</v>
      </c>
      <c r="P43" s="875"/>
      <c r="Q43" s="875" t="s">
        <v>49</v>
      </c>
      <c r="R43" s="875"/>
      <c r="S43" s="875" t="s">
        <v>50</v>
      </c>
      <c r="T43" s="875"/>
      <c r="U43" s="875" t="s">
        <v>51</v>
      </c>
      <c r="V43" s="875"/>
      <c r="W43" s="875" t="s">
        <v>52</v>
      </c>
      <c r="X43" s="875"/>
      <c r="Y43" s="875" t="s">
        <v>53</v>
      </c>
      <c r="Z43" s="875"/>
    </row>
    <row r="44" spans="1:26" ht="52.5" customHeight="1" x14ac:dyDescent="0.25">
      <c r="A44" s="876"/>
      <c r="B44" s="876"/>
      <c r="C44" s="539" t="s">
        <v>99</v>
      </c>
      <c r="D44" s="539" t="s">
        <v>101</v>
      </c>
      <c r="E44" s="539" t="s">
        <v>99</v>
      </c>
      <c r="F44" s="539" t="s">
        <v>100</v>
      </c>
      <c r="G44" s="539" t="s">
        <v>99</v>
      </c>
      <c r="H44" s="539" t="s">
        <v>101</v>
      </c>
      <c r="I44" s="539" t="s">
        <v>99</v>
      </c>
      <c r="J44" s="539" t="s">
        <v>100</v>
      </c>
      <c r="K44" s="539" t="s">
        <v>99</v>
      </c>
      <c r="L44" s="539" t="s">
        <v>101</v>
      </c>
      <c r="M44" s="539" t="s">
        <v>99</v>
      </c>
      <c r="N44" s="539" t="s">
        <v>101</v>
      </c>
      <c r="O44" s="539" t="s">
        <v>99</v>
      </c>
      <c r="P44" s="539" t="s">
        <v>101</v>
      </c>
      <c r="Q44" s="539" t="s">
        <v>99</v>
      </c>
      <c r="R44" s="539" t="s">
        <v>101</v>
      </c>
      <c r="S44" s="539" t="s">
        <v>99</v>
      </c>
      <c r="T44" s="539" t="s">
        <v>101</v>
      </c>
      <c r="U44" s="539" t="s">
        <v>99</v>
      </c>
      <c r="V44" s="539" t="s">
        <v>101</v>
      </c>
      <c r="W44" s="539" t="s">
        <v>99</v>
      </c>
      <c r="X44" s="539" t="s">
        <v>101</v>
      </c>
      <c r="Y44" s="539" t="s">
        <v>99</v>
      </c>
      <c r="Z44" s="539" t="s">
        <v>101</v>
      </c>
    </row>
    <row r="45" spans="1:26" ht="18.75" customHeight="1" x14ac:dyDescent="0.25">
      <c r="A45" s="880" t="s">
        <v>371</v>
      </c>
      <c r="B45" s="881"/>
      <c r="C45" s="73">
        <f>'Proy. ventas'!E28</f>
        <v>0.12</v>
      </c>
      <c r="D45" s="73">
        <f>C45*$E$25</f>
        <v>103.2</v>
      </c>
      <c r="E45" s="114">
        <f>'Proy. ventas'!G28</f>
        <v>0.08</v>
      </c>
      <c r="F45" s="73">
        <f>E45*$E$25</f>
        <v>68.8</v>
      </c>
      <c r="G45" s="114">
        <f>'Proy. ventas'!I28</f>
        <v>0.16</v>
      </c>
      <c r="H45" s="73">
        <f>G45*$E$25</f>
        <v>137.6</v>
      </c>
      <c r="I45" s="114">
        <f>'Proy. ventas'!K28</f>
        <v>0.14000000000000001</v>
      </c>
      <c r="J45" s="73">
        <f>I45*$E$25</f>
        <v>120.4</v>
      </c>
      <c r="K45" s="114">
        <f>'Proy. ventas'!M28</f>
        <v>0.22</v>
      </c>
      <c r="L45" s="73">
        <f>K45*$E$25</f>
        <v>189.2</v>
      </c>
      <c r="M45" s="114">
        <f>'Proy. ventas'!O28</f>
        <v>0.08</v>
      </c>
      <c r="N45" s="73">
        <f>M45*$E$25</f>
        <v>68.8</v>
      </c>
      <c r="O45" s="114">
        <f>'Proy. ventas'!Q28</f>
        <v>0.12</v>
      </c>
      <c r="P45" s="73">
        <f>O45*$E$25</f>
        <v>103.2</v>
      </c>
      <c r="Q45" s="114">
        <f>'Proy. ventas'!S28</f>
        <v>0.24</v>
      </c>
      <c r="R45" s="73">
        <f>Q45*$E$25</f>
        <v>206.4</v>
      </c>
      <c r="S45" s="114">
        <f>'Proy. ventas'!U28</f>
        <v>0.22</v>
      </c>
      <c r="T45" s="73">
        <f>S45*$E$25</f>
        <v>189.2</v>
      </c>
      <c r="U45" s="114">
        <f>'Proy. ventas'!W28</f>
        <v>0.28000000000000003</v>
      </c>
      <c r="V45" s="73">
        <f>U45*$E$25</f>
        <v>240.8</v>
      </c>
      <c r="W45" s="114">
        <f>'Proy. ventas'!Y28</f>
        <v>0.16</v>
      </c>
      <c r="X45" s="73">
        <f>W45*$E$25</f>
        <v>137.6</v>
      </c>
      <c r="Y45" s="114">
        <f>'Proy. ventas'!AA28</f>
        <v>0.18</v>
      </c>
      <c r="Z45" s="73">
        <f>Y45*$E$25</f>
        <v>154.79999999999998</v>
      </c>
    </row>
    <row r="46" spans="1:26" ht="18.75" customHeight="1" x14ac:dyDescent="0.25">
      <c r="A46" s="880" t="s">
        <v>316</v>
      </c>
      <c r="B46" s="881"/>
      <c r="C46" s="73">
        <f>'Proy. ventas'!E29</f>
        <v>0.12</v>
      </c>
      <c r="D46" s="73">
        <f>C46*$E$37</f>
        <v>98.399999999999991</v>
      </c>
      <c r="E46" s="114">
        <f>'Proy. ventas'!G29</f>
        <v>0.08</v>
      </c>
      <c r="F46" s="73">
        <f>E46*$E$37</f>
        <v>65.599999999999994</v>
      </c>
      <c r="G46" s="114">
        <f>'Proy. ventas'!I29</f>
        <v>0.16</v>
      </c>
      <c r="H46" s="73">
        <f>G46*$E$37</f>
        <v>131.19999999999999</v>
      </c>
      <c r="I46" s="114">
        <f>'Proy. ventas'!K29</f>
        <v>0.14000000000000001</v>
      </c>
      <c r="J46" s="73">
        <f>I46*$E$37</f>
        <v>114.80000000000001</v>
      </c>
      <c r="K46" s="114">
        <f>'Proy. ventas'!M29</f>
        <v>0.22</v>
      </c>
      <c r="L46" s="73">
        <f>K46*$E$37</f>
        <v>180.4</v>
      </c>
      <c r="M46" s="114">
        <f>'Proy. ventas'!O29</f>
        <v>0.08</v>
      </c>
      <c r="N46" s="73">
        <f>M46*$E$37</f>
        <v>65.599999999999994</v>
      </c>
      <c r="O46" s="114">
        <f>'Proy. ventas'!Q29</f>
        <v>0.12</v>
      </c>
      <c r="P46" s="73">
        <f>O46*$E$37</f>
        <v>98.399999999999991</v>
      </c>
      <c r="Q46" s="114">
        <f>'Proy. ventas'!S29</f>
        <v>0.24</v>
      </c>
      <c r="R46" s="73">
        <f>Q46*$E$37</f>
        <v>196.79999999999998</v>
      </c>
      <c r="S46" s="114">
        <f>'Proy. ventas'!U29</f>
        <v>0.22</v>
      </c>
      <c r="T46" s="73">
        <f>S46*$E$37</f>
        <v>180.4</v>
      </c>
      <c r="U46" s="114">
        <f>'Proy. ventas'!W29</f>
        <v>0.28000000000000003</v>
      </c>
      <c r="V46" s="73">
        <f>U46*$E$37</f>
        <v>229.60000000000002</v>
      </c>
      <c r="W46" s="114">
        <f>'Proy. ventas'!Y29</f>
        <v>0.16</v>
      </c>
      <c r="X46" s="73">
        <f>W46*$E$37</f>
        <v>131.19999999999999</v>
      </c>
      <c r="Y46" s="114">
        <f>'Proy. ventas'!AA29</f>
        <v>0.18</v>
      </c>
      <c r="Z46" s="73">
        <f>Y46*$E$37</f>
        <v>147.6</v>
      </c>
    </row>
    <row r="47" spans="1:26" ht="18.75" customHeight="1" x14ac:dyDescent="0.25">
      <c r="A47" s="870" t="s">
        <v>55</v>
      </c>
      <c r="B47" s="870"/>
      <c r="C47" s="114">
        <f t="shared" ref="C47:Z47" si="1">SUM(C45:C46)</f>
        <v>0.24</v>
      </c>
      <c r="D47" s="115">
        <f t="shared" si="1"/>
        <v>201.6</v>
      </c>
      <c r="E47" s="114">
        <f t="shared" si="1"/>
        <v>0.16</v>
      </c>
      <c r="F47" s="115">
        <f t="shared" si="1"/>
        <v>134.39999999999998</v>
      </c>
      <c r="G47" s="114">
        <f t="shared" si="1"/>
        <v>0.32</v>
      </c>
      <c r="H47" s="115">
        <f t="shared" si="1"/>
        <v>268.79999999999995</v>
      </c>
      <c r="I47" s="114">
        <f t="shared" si="1"/>
        <v>0.28000000000000003</v>
      </c>
      <c r="J47" s="115">
        <f t="shared" si="1"/>
        <v>235.20000000000002</v>
      </c>
      <c r="K47" s="114">
        <f t="shared" si="1"/>
        <v>0.44</v>
      </c>
      <c r="L47" s="115">
        <f t="shared" si="1"/>
        <v>369.6</v>
      </c>
      <c r="M47" s="114">
        <f t="shared" si="1"/>
        <v>0.16</v>
      </c>
      <c r="N47" s="115">
        <f t="shared" si="1"/>
        <v>134.39999999999998</v>
      </c>
      <c r="O47" s="114">
        <f t="shared" si="1"/>
        <v>0.24</v>
      </c>
      <c r="P47" s="115">
        <f t="shared" si="1"/>
        <v>201.6</v>
      </c>
      <c r="Q47" s="114">
        <f t="shared" si="1"/>
        <v>0.48</v>
      </c>
      <c r="R47" s="115">
        <f t="shared" si="1"/>
        <v>403.2</v>
      </c>
      <c r="S47" s="114">
        <f t="shared" si="1"/>
        <v>0.44</v>
      </c>
      <c r="T47" s="115">
        <f t="shared" si="1"/>
        <v>369.6</v>
      </c>
      <c r="U47" s="114">
        <f t="shared" si="1"/>
        <v>0.56000000000000005</v>
      </c>
      <c r="V47" s="115">
        <f t="shared" si="1"/>
        <v>470.40000000000003</v>
      </c>
      <c r="W47" s="114">
        <f t="shared" si="1"/>
        <v>0.32</v>
      </c>
      <c r="X47" s="115">
        <f t="shared" si="1"/>
        <v>268.79999999999995</v>
      </c>
      <c r="Y47" s="114">
        <f t="shared" si="1"/>
        <v>0.36</v>
      </c>
      <c r="Z47" s="115">
        <f t="shared" si="1"/>
        <v>302.39999999999998</v>
      </c>
    </row>
    <row r="48" spans="1:26" ht="9.75" customHeight="1" x14ac:dyDescent="0.25"/>
    <row r="49" spans="1:26" ht="9.75" customHeight="1" x14ac:dyDescent="0.25"/>
    <row r="50" spans="1:26" ht="21" customHeight="1" x14ac:dyDescent="0.25">
      <c r="A50" s="876" t="s">
        <v>103</v>
      </c>
      <c r="B50" s="876"/>
      <c r="C50" s="875" t="s">
        <v>42</v>
      </c>
      <c r="D50" s="875"/>
      <c r="E50" s="875" t="s">
        <v>43</v>
      </c>
      <c r="F50" s="875"/>
      <c r="G50" s="875" t="s">
        <v>44</v>
      </c>
      <c r="H50" s="875"/>
      <c r="I50" s="875" t="s">
        <v>45</v>
      </c>
      <c r="J50" s="875"/>
      <c r="K50" s="875" t="s">
        <v>46</v>
      </c>
      <c r="L50" s="875"/>
      <c r="M50" s="875" t="s">
        <v>47</v>
      </c>
      <c r="N50" s="875"/>
      <c r="O50" s="875" t="s">
        <v>48</v>
      </c>
      <c r="P50" s="875"/>
      <c r="Q50" s="875" t="s">
        <v>49</v>
      </c>
      <c r="R50" s="875"/>
      <c r="S50" s="875" t="s">
        <v>50</v>
      </c>
      <c r="T50" s="875"/>
      <c r="U50" s="875" t="s">
        <v>51</v>
      </c>
      <c r="V50" s="875"/>
      <c r="W50" s="875" t="s">
        <v>52</v>
      </c>
      <c r="X50" s="875"/>
      <c r="Y50" s="875" t="s">
        <v>53</v>
      </c>
      <c r="Z50" s="875"/>
    </row>
    <row r="51" spans="1:26" ht="52.5" customHeight="1" x14ac:dyDescent="0.25">
      <c r="A51" s="876"/>
      <c r="B51" s="876"/>
      <c r="C51" s="539" t="s">
        <v>99</v>
      </c>
      <c r="D51" s="539" t="s">
        <v>101</v>
      </c>
      <c r="E51" s="539" t="s">
        <v>99</v>
      </c>
      <c r="F51" s="539" t="s">
        <v>100</v>
      </c>
      <c r="G51" s="539" t="s">
        <v>99</v>
      </c>
      <c r="H51" s="539" t="s">
        <v>101</v>
      </c>
      <c r="I51" s="539" t="s">
        <v>99</v>
      </c>
      <c r="J51" s="539" t="s">
        <v>100</v>
      </c>
      <c r="K51" s="539" t="s">
        <v>99</v>
      </c>
      <c r="L51" s="539" t="s">
        <v>101</v>
      </c>
      <c r="M51" s="539" t="s">
        <v>99</v>
      </c>
      <c r="N51" s="539" t="s">
        <v>101</v>
      </c>
      <c r="O51" s="539" t="s">
        <v>99</v>
      </c>
      <c r="P51" s="539" t="s">
        <v>101</v>
      </c>
      <c r="Q51" s="539" t="s">
        <v>99</v>
      </c>
      <c r="R51" s="539" t="s">
        <v>101</v>
      </c>
      <c r="S51" s="539" t="s">
        <v>99</v>
      </c>
      <c r="T51" s="539" t="s">
        <v>101</v>
      </c>
      <c r="U51" s="539" t="s">
        <v>99</v>
      </c>
      <c r="V51" s="539" t="s">
        <v>101</v>
      </c>
      <c r="W51" s="539" t="s">
        <v>99</v>
      </c>
      <c r="X51" s="539" t="s">
        <v>101</v>
      </c>
      <c r="Y51" s="539" t="s">
        <v>99</v>
      </c>
      <c r="Z51" s="539" t="s">
        <v>101</v>
      </c>
    </row>
    <row r="52" spans="1:26" ht="18.75" customHeight="1" x14ac:dyDescent="0.25">
      <c r="A52" s="880" t="s">
        <v>371</v>
      </c>
      <c r="B52" s="881"/>
      <c r="C52" s="73">
        <f>'Proy. ventas'!E68</f>
        <v>0.5</v>
      </c>
      <c r="D52" s="73">
        <f>C52*$E$25</f>
        <v>430</v>
      </c>
      <c r="E52" s="114">
        <f>'Proy. ventas'!G59</f>
        <v>0.8</v>
      </c>
      <c r="F52" s="73">
        <f>E52*$E$25</f>
        <v>688</v>
      </c>
      <c r="G52" s="114">
        <f>'Proy. ventas'!I59</f>
        <v>0.35000000000000003</v>
      </c>
      <c r="H52" s="73">
        <f>G52*$E$25</f>
        <v>301.00000000000006</v>
      </c>
      <c r="I52" s="114">
        <f>'Proy. ventas'!K59</f>
        <v>0.2</v>
      </c>
      <c r="J52" s="73">
        <f>I52*$E$25</f>
        <v>172</v>
      </c>
      <c r="K52" s="114">
        <f>'Proy. ventas'!M59</f>
        <v>0.3</v>
      </c>
      <c r="L52" s="73">
        <f>K52*$E$25</f>
        <v>258</v>
      </c>
      <c r="M52" s="114">
        <f>'Proy. ventas'!O59</f>
        <v>0.44999999999999996</v>
      </c>
      <c r="N52" s="73">
        <f>M52*$E$25</f>
        <v>386.99999999999994</v>
      </c>
      <c r="O52" s="114">
        <f>'Proy. ventas'!Q59</f>
        <v>0.5</v>
      </c>
      <c r="P52" s="73">
        <f>O52*$E$25</f>
        <v>430</v>
      </c>
      <c r="Q52" s="114">
        <f>'Proy. ventas'!S59</f>
        <v>0.6</v>
      </c>
      <c r="R52" s="73">
        <f>Q52*$E$25</f>
        <v>516</v>
      </c>
      <c r="S52" s="114">
        <f>'Proy. ventas'!U59</f>
        <v>0.35000000000000003</v>
      </c>
      <c r="T52" s="73">
        <f>S52*$E$25</f>
        <v>301.00000000000006</v>
      </c>
      <c r="U52" s="114">
        <f>'Proy. ventas'!W59</f>
        <v>0.4</v>
      </c>
      <c r="V52" s="73">
        <f>U52*$E$25</f>
        <v>344</v>
      </c>
      <c r="W52" s="114">
        <f>'Proy. ventas'!Y59</f>
        <v>0.3</v>
      </c>
      <c r="X52" s="73">
        <f>W52*$E$25</f>
        <v>258</v>
      </c>
      <c r="Y52" s="114">
        <f>'Proy. ventas'!AA59</f>
        <v>0.25</v>
      </c>
      <c r="Z52" s="73">
        <f>Y52*$E$25</f>
        <v>215</v>
      </c>
    </row>
    <row r="53" spans="1:26" ht="18.75" customHeight="1" x14ac:dyDescent="0.25">
      <c r="A53" s="880" t="s">
        <v>316</v>
      </c>
      <c r="B53" s="881"/>
      <c r="C53" s="114">
        <f>'Proy. ventas'!E60</f>
        <v>0.30000000000000004</v>
      </c>
      <c r="D53" s="73">
        <f>C53*$E$37</f>
        <v>246.00000000000003</v>
      </c>
      <c r="E53" s="114">
        <f>'Proy. ventas'!G60</f>
        <v>0.48</v>
      </c>
      <c r="F53" s="73">
        <f>E53*$E$37</f>
        <v>393.59999999999997</v>
      </c>
      <c r="G53" s="114">
        <f>'Proy. ventas'!I60</f>
        <v>0.21000000000000002</v>
      </c>
      <c r="H53" s="73">
        <f>G53*$E$37</f>
        <v>172.20000000000002</v>
      </c>
      <c r="I53" s="114">
        <f>'Proy. ventas'!K60</f>
        <v>0.12</v>
      </c>
      <c r="J53" s="73">
        <f>I53*$E$37</f>
        <v>98.399999999999991</v>
      </c>
      <c r="K53" s="114">
        <f>'Proy. ventas'!M60</f>
        <v>0.18</v>
      </c>
      <c r="L53" s="73">
        <f>K53*$E$37</f>
        <v>147.6</v>
      </c>
      <c r="M53" s="114">
        <f>'Proy. ventas'!O60</f>
        <v>0.27</v>
      </c>
      <c r="N53" s="73">
        <f>M53*$E$37</f>
        <v>221.4</v>
      </c>
      <c r="O53" s="114">
        <f>'Proy. ventas'!Q60</f>
        <v>0.30000000000000004</v>
      </c>
      <c r="P53" s="73">
        <f>O53*$E$37</f>
        <v>246.00000000000003</v>
      </c>
      <c r="Q53" s="114">
        <f>'Proy. ventas'!S60</f>
        <v>0.36</v>
      </c>
      <c r="R53" s="73">
        <f>Q53*$E$37</f>
        <v>295.2</v>
      </c>
      <c r="S53" s="114">
        <f>'Proy. ventas'!U60</f>
        <v>0.21000000000000002</v>
      </c>
      <c r="T53" s="73">
        <f>S53*$E$37</f>
        <v>172.20000000000002</v>
      </c>
      <c r="U53" s="114">
        <f>'Proy. ventas'!W60</f>
        <v>0.24</v>
      </c>
      <c r="V53" s="73">
        <f>U53*$E$37</f>
        <v>196.79999999999998</v>
      </c>
      <c r="W53" s="114">
        <f>'Proy. ventas'!Y60</f>
        <v>0.18</v>
      </c>
      <c r="X53" s="73">
        <f>W53*$E$37</f>
        <v>147.6</v>
      </c>
      <c r="Y53" s="114">
        <f>'Proy. ventas'!AA60</f>
        <v>0.15000000000000002</v>
      </c>
      <c r="Z53" s="73">
        <f>Y53*$E$37</f>
        <v>123.00000000000001</v>
      </c>
    </row>
    <row r="54" spans="1:26" ht="18.75" customHeight="1" x14ac:dyDescent="0.25">
      <c r="A54" s="870" t="s">
        <v>55</v>
      </c>
      <c r="B54" s="870"/>
      <c r="C54" s="114">
        <f t="shared" ref="C54:Z54" si="2">SUM(C52:C53)</f>
        <v>0.8</v>
      </c>
      <c r="D54" s="115">
        <f t="shared" si="2"/>
        <v>676</v>
      </c>
      <c r="E54" s="114">
        <f t="shared" si="2"/>
        <v>1.28</v>
      </c>
      <c r="F54" s="115">
        <f t="shared" si="2"/>
        <v>1081.5999999999999</v>
      </c>
      <c r="G54" s="114">
        <f t="shared" si="2"/>
        <v>0.56000000000000005</v>
      </c>
      <c r="H54" s="115">
        <f t="shared" si="2"/>
        <v>473.20000000000005</v>
      </c>
      <c r="I54" s="114">
        <f t="shared" si="2"/>
        <v>0.32</v>
      </c>
      <c r="J54" s="115">
        <f t="shared" si="2"/>
        <v>270.39999999999998</v>
      </c>
      <c r="K54" s="114">
        <f t="shared" si="2"/>
        <v>0.48</v>
      </c>
      <c r="L54" s="115">
        <f t="shared" si="2"/>
        <v>405.6</v>
      </c>
      <c r="M54" s="114">
        <f t="shared" si="2"/>
        <v>0.72</v>
      </c>
      <c r="N54" s="115">
        <f t="shared" si="2"/>
        <v>608.4</v>
      </c>
      <c r="O54" s="114">
        <f t="shared" si="2"/>
        <v>0.8</v>
      </c>
      <c r="P54" s="115">
        <f t="shared" si="2"/>
        <v>676</v>
      </c>
      <c r="Q54" s="114">
        <f t="shared" si="2"/>
        <v>0.96</v>
      </c>
      <c r="R54" s="115">
        <f t="shared" si="2"/>
        <v>811.2</v>
      </c>
      <c r="S54" s="114">
        <f t="shared" si="2"/>
        <v>0.56000000000000005</v>
      </c>
      <c r="T54" s="115">
        <f t="shared" si="2"/>
        <v>473.20000000000005</v>
      </c>
      <c r="U54" s="114">
        <f t="shared" si="2"/>
        <v>0.64</v>
      </c>
      <c r="V54" s="115">
        <f t="shared" si="2"/>
        <v>540.79999999999995</v>
      </c>
      <c r="W54" s="114">
        <f t="shared" si="2"/>
        <v>0.48</v>
      </c>
      <c r="X54" s="115">
        <f t="shared" si="2"/>
        <v>405.6</v>
      </c>
      <c r="Y54" s="114">
        <f t="shared" si="2"/>
        <v>0.4</v>
      </c>
      <c r="Z54" s="115">
        <f t="shared" si="2"/>
        <v>338</v>
      </c>
    </row>
    <row r="55" spans="1:26" ht="9.75" customHeight="1" x14ac:dyDescent="0.25"/>
    <row r="56" spans="1:26" ht="9.75" customHeight="1" x14ac:dyDescent="0.25"/>
    <row r="57" spans="1:26" ht="21" customHeight="1" x14ac:dyDescent="0.25">
      <c r="A57" s="876" t="s">
        <v>104</v>
      </c>
      <c r="B57" s="876"/>
      <c r="C57" s="875" t="s">
        <v>42</v>
      </c>
      <c r="D57" s="875"/>
      <c r="E57" s="875" t="s">
        <v>43</v>
      </c>
      <c r="F57" s="875"/>
      <c r="G57" s="875" t="s">
        <v>44</v>
      </c>
      <c r="H57" s="875"/>
      <c r="I57" s="875" t="s">
        <v>45</v>
      </c>
      <c r="J57" s="875"/>
      <c r="K57" s="875" t="s">
        <v>46</v>
      </c>
      <c r="L57" s="875"/>
      <c r="M57" s="875" t="s">
        <v>47</v>
      </c>
      <c r="N57" s="875"/>
      <c r="O57" s="875" t="s">
        <v>48</v>
      </c>
      <c r="P57" s="875"/>
      <c r="Q57" s="875" t="s">
        <v>49</v>
      </c>
      <c r="R57" s="875"/>
      <c r="S57" s="875" t="s">
        <v>50</v>
      </c>
      <c r="T57" s="875"/>
      <c r="U57" s="875" t="s">
        <v>51</v>
      </c>
      <c r="V57" s="875"/>
      <c r="W57" s="875" t="s">
        <v>52</v>
      </c>
      <c r="X57" s="875"/>
      <c r="Y57" s="875" t="s">
        <v>53</v>
      </c>
      <c r="Z57" s="875"/>
    </row>
    <row r="58" spans="1:26" ht="52.5" customHeight="1" x14ac:dyDescent="0.25">
      <c r="A58" s="876"/>
      <c r="B58" s="876"/>
      <c r="C58" s="539" t="s">
        <v>99</v>
      </c>
      <c r="D58" s="539" t="s">
        <v>101</v>
      </c>
      <c r="E58" s="539" t="s">
        <v>99</v>
      </c>
      <c r="F58" s="539" t="s">
        <v>100</v>
      </c>
      <c r="G58" s="539" t="s">
        <v>99</v>
      </c>
      <c r="H58" s="539" t="s">
        <v>101</v>
      </c>
      <c r="I58" s="539" t="s">
        <v>99</v>
      </c>
      <c r="J58" s="539" t="s">
        <v>100</v>
      </c>
      <c r="K58" s="539" t="s">
        <v>99</v>
      </c>
      <c r="L58" s="539" t="s">
        <v>101</v>
      </c>
      <c r="M58" s="539" t="s">
        <v>99</v>
      </c>
      <c r="N58" s="539" t="s">
        <v>101</v>
      </c>
      <c r="O58" s="539" t="s">
        <v>99</v>
      </c>
      <c r="P58" s="539" t="s">
        <v>101</v>
      </c>
      <c r="Q58" s="539" t="s">
        <v>99</v>
      </c>
      <c r="R58" s="539" t="s">
        <v>101</v>
      </c>
      <c r="S58" s="539" t="s">
        <v>99</v>
      </c>
      <c r="T58" s="539" t="s">
        <v>101</v>
      </c>
      <c r="U58" s="539" t="s">
        <v>99</v>
      </c>
      <c r="V58" s="539" t="s">
        <v>101</v>
      </c>
      <c r="W58" s="539" t="s">
        <v>99</v>
      </c>
      <c r="X58" s="539" t="s">
        <v>101</v>
      </c>
      <c r="Y58" s="539" t="s">
        <v>99</v>
      </c>
      <c r="Z58" s="539" t="s">
        <v>101</v>
      </c>
    </row>
    <row r="59" spans="1:26" ht="18.75" customHeight="1" x14ac:dyDescent="0.25">
      <c r="A59" s="880" t="s">
        <v>371</v>
      </c>
      <c r="B59" s="881"/>
      <c r="C59" s="114">
        <f>'Proy. ventas'!E99</f>
        <v>0.9</v>
      </c>
      <c r="D59" s="73">
        <f>C59*$E$25</f>
        <v>774</v>
      </c>
      <c r="E59" s="114">
        <f>'Proy. ventas'!G99</f>
        <v>1.44</v>
      </c>
      <c r="F59" s="73">
        <f>E59*$E$25</f>
        <v>1238.3999999999999</v>
      </c>
      <c r="G59" s="114">
        <f>'Proy. ventas'!I99</f>
        <v>0.63000000000000012</v>
      </c>
      <c r="H59" s="73">
        <f>G59*$E$25</f>
        <v>541.80000000000007</v>
      </c>
      <c r="I59" s="114">
        <f>'Proy. ventas'!K99</f>
        <v>0.45</v>
      </c>
      <c r="J59" s="73">
        <f>I59*$E$25</f>
        <v>387</v>
      </c>
      <c r="K59" s="114">
        <f>'Proy. ventas'!M99</f>
        <v>0.54</v>
      </c>
      <c r="L59" s="73">
        <f>K59*$E$25</f>
        <v>464.40000000000003</v>
      </c>
      <c r="M59" s="114">
        <f>'Proy. ventas'!O99</f>
        <v>0.80999999999999994</v>
      </c>
      <c r="N59" s="73">
        <f>M59*$E$25</f>
        <v>696.59999999999991</v>
      </c>
      <c r="O59" s="114">
        <f>'Proy. ventas'!Q99</f>
        <v>0.9</v>
      </c>
      <c r="P59" s="73">
        <f>O59*$E$25</f>
        <v>774</v>
      </c>
      <c r="Q59" s="114">
        <f>'Proy. ventas'!S99</f>
        <v>0.9</v>
      </c>
      <c r="R59" s="73">
        <f>Q59*$E$25</f>
        <v>774</v>
      </c>
      <c r="S59" s="114">
        <f>'Proy. ventas'!U99</f>
        <v>0.63000000000000012</v>
      </c>
      <c r="T59" s="73">
        <f>S59*$E$25</f>
        <v>541.80000000000007</v>
      </c>
      <c r="U59" s="114">
        <f>'Proy. ventas'!W99</f>
        <v>0.72</v>
      </c>
      <c r="V59" s="73">
        <f>U59*$E$25</f>
        <v>619.19999999999993</v>
      </c>
      <c r="W59" s="114">
        <f>'Proy. ventas'!Y99</f>
        <v>0.63000000000000012</v>
      </c>
      <c r="X59" s="73">
        <f>W59*$E$25</f>
        <v>541.80000000000007</v>
      </c>
      <c r="Y59" s="114">
        <f>'Proy. ventas'!AA99</f>
        <v>0.45</v>
      </c>
      <c r="Z59" s="73">
        <f>Y59*$E$25</f>
        <v>387</v>
      </c>
    </row>
    <row r="60" spans="1:26" ht="18.75" customHeight="1" x14ac:dyDescent="0.25">
      <c r="A60" s="880" t="s">
        <v>316</v>
      </c>
      <c r="B60" s="881"/>
      <c r="C60" s="114">
        <f>'Proy. ventas'!E100</f>
        <v>0.60000000000000009</v>
      </c>
      <c r="D60" s="73">
        <f>C60*$E$37</f>
        <v>492.00000000000006</v>
      </c>
      <c r="E60" s="114">
        <f>'Proy. ventas'!G100</f>
        <v>0.96</v>
      </c>
      <c r="F60" s="73">
        <f>E60*$E$37</f>
        <v>787.19999999999993</v>
      </c>
      <c r="G60" s="114">
        <f>'Proy. ventas'!I100</f>
        <v>0.42000000000000004</v>
      </c>
      <c r="H60" s="73">
        <f>G60*$E$37</f>
        <v>344.40000000000003</v>
      </c>
      <c r="I60" s="114">
        <f>'Proy. ventas'!K100</f>
        <v>0.30000000000000004</v>
      </c>
      <c r="J60" s="73">
        <f>I60*$E$37</f>
        <v>246.00000000000003</v>
      </c>
      <c r="K60" s="114">
        <f>'Proy. ventas'!M100</f>
        <v>0.36</v>
      </c>
      <c r="L60" s="73">
        <f>K60*$E$37</f>
        <v>295.2</v>
      </c>
      <c r="M60" s="114">
        <f>'Proy. ventas'!O100</f>
        <v>0.54</v>
      </c>
      <c r="N60" s="73">
        <f>M60*$E$37</f>
        <v>442.8</v>
      </c>
      <c r="O60" s="114">
        <f>'Proy. ventas'!Q100</f>
        <v>0.60000000000000009</v>
      </c>
      <c r="P60" s="73">
        <f>O60*$E$37</f>
        <v>492.00000000000006</v>
      </c>
      <c r="Q60" s="114">
        <f>'Proy. ventas'!S100</f>
        <v>0.60000000000000009</v>
      </c>
      <c r="R60" s="73">
        <f>Q60*$E$37</f>
        <v>492.00000000000006</v>
      </c>
      <c r="S60" s="114">
        <f>'Proy. ventas'!U100</f>
        <v>0.42000000000000004</v>
      </c>
      <c r="T60" s="73">
        <f>S60*$E$37</f>
        <v>344.40000000000003</v>
      </c>
      <c r="U60" s="114">
        <f>'Proy. ventas'!W100</f>
        <v>0.48</v>
      </c>
      <c r="V60" s="73">
        <f>U60*$E$37</f>
        <v>393.59999999999997</v>
      </c>
      <c r="W60" s="114">
        <f>'Proy. ventas'!Y100</f>
        <v>0.42000000000000004</v>
      </c>
      <c r="X60" s="73">
        <f>W60*$E$37</f>
        <v>344.40000000000003</v>
      </c>
      <c r="Y60" s="114">
        <f>'Proy. ventas'!AA100</f>
        <v>0.30000000000000004</v>
      </c>
      <c r="Z60" s="73">
        <f>Y60*$E$37</f>
        <v>246.00000000000003</v>
      </c>
    </row>
    <row r="61" spans="1:26" ht="18.75" customHeight="1" x14ac:dyDescent="0.25">
      <c r="A61" s="870" t="s">
        <v>55</v>
      </c>
      <c r="B61" s="870"/>
      <c r="C61" s="114">
        <f t="shared" ref="C61:Z61" si="3">SUM(C59:C60)</f>
        <v>1.5</v>
      </c>
      <c r="D61" s="115">
        <f t="shared" si="3"/>
        <v>1266</v>
      </c>
      <c r="E61" s="114">
        <f t="shared" si="3"/>
        <v>2.4</v>
      </c>
      <c r="F61" s="115">
        <f t="shared" si="3"/>
        <v>2025.6</v>
      </c>
      <c r="G61" s="114">
        <f t="shared" si="3"/>
        <v>1.0500000000000003</v>
      </c>
      <c r="H61" s="115">
        <f t="shared" si="3"/>
        <v>886.2</v>
      </c>
      <c r="I61" s="114">
        <f t="shared" si="3"/>
        <v>0.75</v>
      </c>
      <c r="J61" s="115">
        <f t="shared" si="3"/>
        <v>633</v>
      </c>
      <c r="K61" s="114">
        <f t="shared" si="3"/>
        <v>0.9</v>
      </c>
      <c r="L61" s="115">
        <f t="shared" si="3"/>
        <v>759.6</v>
      </c>
      <c r="M61" s="114">
        <f t="shared" si="3"/>
        <v>1.35</v>
      </c>
      <c r="N61" s="115">
        <f t="shared" si="3"/>
        <v>1139.3999999999999</v>
      </c>
      <c r="O61" s="114">
        <f t="shared" si="3"/>
        <v>1.5</v>
      </c>
      <c r="P61" s="115">
        <f t="shared" si="3"/>
        <v>1266</v>
      </c>
      <c r="Q61" s="114">
        <f t="shared" si="3"/>
        <v>1.5</v>
      </c>
      <c r="R61" s="115">
        <f t="shared" si="3"/>
        <v>1266</v>
      </c>
      <c r="S61" s="114">
        <f t="shared" si="3"/>
        <v>1.0500000000000003</v>
      </c>
      <c r="T61" s="115">
        <f t="shared" si="3"/>
        <v>886.2</v>
      </c>
      <c r="U61" s="114">
        <f t="shared" si="3"/>
        <v>1.2</v>
      </c>
      <c r="V61" s="115">
        <f t="shared" si="3"/>
        <v>1012.8</v>
      </c>
      <c r="W61" s="114">
        <f t="shared" si="3"/>
        <v>1.0500000000000003</v>
      </c>
      <c r="X61" s="115">
        <f t="shared" si="3"/>
        <v>886.2</v>
      </c>
      <c r="Y61" s="114">
        <f t="shared" si="3"/>
        <v>0.75</v>
      </c>
      <c r="Z61" s="115">
        <f t="shared" si="3"/>
        <v>633</v>
      </c>
    </row>
    <row r="62" spans="1:26" ht="30.75" customHeight="1" thickBot="1" x14ac:dyDescent="0.3"/>
    <row r="63" spans="1:26" ht="22.5" customHeight="1" thickBot="1" x14ac:dyDescent="0.45">
      <c r="A63" s="760" t="s">
        <v>106</v>
      </c>
      <c r="B63" s="761"/>
      <c r="C63" s="761"/>
      <c r="D63" s="761"/>
      <c r="E63" s="762"/>
    </row>
    <row r="64" spans="1:26" ht="52.5" customHeight="1" x14ac:dyDescent="0.25">
      <c r="A64" s="874" t="s">
        <v>107</v>
      </c>
      <c r="B64" s="874"/>
      <c r="C64" s="874"/>
      <c r="D64" s="874"/>
      <c r="E64" s="874"/>
      <c r="F64" s="113"/>
      <c r="G64" s="113"/>
      <c r="H64" s="113"/>
      <c r="I64" s="113"/>
      <c r="J64" s="113"/>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77"/>
    </row>
    <row r="82" spans="1:10" x14ac:dyDescent="0.25">
      <c r="B82" s="1"/>
      <c r="C82" s="77"/>
      <c r="D82" s="79"/>
      <c r="E82" s="79"/>
      <c r="F82" s="79"/>
      <c r="G82" s="79"/>
      <c r="H82" s="79"/>
      <c r="I82" s="79"/>
      <c r="J82" s="79"/>
    </row>
    <row r="85" spans="1:10" ht="14.25" customHeight="1" x14ac:dyDescent="0.25"/>
  </sheetData>
  <mergeCells count="59">
    <mergeCell ref="A52:B52"/>
    <mergeCell ref="A53:B53"/>
    <mergeCell ref="A59:B59"/>
    <mergeCell ref="A60:B60"/>
    <mergeCell ref="A13:A14"/>
    <mergeCell ref="A25:C26"/>
    <mergeCell ref="A37:C38"/>
    <mergeCell ref="A50:B51"/>
    <mergeCell ref="A45:B45"/>
    <mergeCell ref="A46:B46"/>
    <mergeCell ref="A3:E3"/>
    <mergeCell ref="A4:E4"/>
    <mergeCell ref="A6:C6"/>
    <mergeCell ref="A18:E18"/>
    <mergeCell ref="U43:V43"/>
    <mergeCell ref="W43:X43"/>
    <mergeCell ref="Y43:Z43"/>
    <mergeCell ref="A30:E30"/>
    <mergeCell ref="K43:L43"/>
    <mergeCell ref="M43:N43"/>
    <mergeCell ref="O43:P43"/>
    <mergeCell ref="Q43:R43"/>
    <mergeCell ref="S43:T43"/>
    <mergeCell ref="C43:D43"/>
    <mergeCell ref="E43:F43"/>
    <mergeCell ref="G43:H43"/>
    <mergeCell ref="I43:J43"/>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s>
  <phoneticPr fontId="24"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85" zoomScaleNormal="85" workbookViewId="0">
      <pane ySplit="1" topLeftCell="A2" activePane="bottomLeft" state="frozen"/>
      <selection pane="bottomLeft" activeCell="E3" sqref="E3"/>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647" customFormat="1" ht="58.5" customHeight="1" thickTop="1" thickBot="1" x14ac:dyDescent="0.3">
      <c r="A1" s="645"/>
      <c r="E1" s="646" t="s">
        <v>3</v>
      </c>
      <c r="G1" s="648"/>
      <c r="H1" s="648"/>
    </row>
    <row r="2" spans="1:8" ht="15.75" thickTop="1" x14ac:dyDescent="0.25"/>
    <row r="6" spans="1:8" ht="15.75" thickBot="1" x14ac:dyDescent="0.3"/>
    <row r="7" spans="1:8" ht="30.75" customHeight="1" thickBot="1" x14ac:dyDescent="0.3">
      <c r="B7" s="896" t="s">
        <v>36</v>
      </c>
      <c r="C7" s="897"/>
      <c r="D7" s="898"/>
    </row>
    <row r="8" spans="1:8" ht="18.75" customHeight="1" x14ac:dyDescent="0.25">
      <c r="B8" s="639">
        <v>2022</v>
      </c>
      <c r="C8" s="640">
        <v>2023</v>
      </c>
      <c r="D8" s="641">
        <v>2024</v>
      </c>
    </row>
    <row r="9" spans="1:8" ht="18.75" customHeight="1" x14ac:dyDescent="0.25">
      <c r="B9" s="642">
        <f>Hipótesis!C24</f>
        <v>0.03</v>
      </c>
      <c r="C9" s="643">
        <f>Hipótesis!C25</f>
        <v>7.0000000000000007E-2</v>
      </c>
      <c r="D9" s="644">
        <f>Hipótesis!C26</f>
        <v>0.12</v>
      </c>
    </row>
    <row r="10" spans="1:8" ht="18.75" customHeight="1" thickBot="1" x14ac:dyDescent="0.3">
      <c r="B10" s="533">
        <f>Hipótesis!D24</f>
        <v>18750000</v>
      </c>
      <c r="C10" s="534">
        <f>Hipótesis!D25</f>
        <v>43750000.000000007</v>
      </c>
      <c r="D10" s="535">
        <f>Hipótesis!D26</f>
        <v>75000000</v>
      </c>
    </row>
    <row r="14" spans="1:8" ht="15.75" thickBot="1" x14ac:dyDescent="0.3"/>
    <row r="15" spans="1:8" ht="31.5" customHeight="1" thickBot="1" x14ac:dyDescent="0.3">
      <c r="B15" s="899" t="s">
        <v>56</v>
      </c>
      <c r="C15" s="900"/>
      <c r="D15" s="900"/>
      <c r="E15" s="901"/>
    </row>
    <row r="16" spans="1:8" ht="18.75" customHeight="1" thickBot="1" x14ac:dyDescent="0.3">
      <c r="B16" s="617" t="s">
        <v>32</v>
      </c>
      <c r="C16" s="615" t="s">
        <v>375</v>
      </c>
      <c r="D16" s="615" t="s">
        <v>376</v>
      </c>
      <c r="E16" s="616" t="s">
        <v>377</v>
      </c>
    </row>
    <row r="17" spans="2:5" ht="18.75" customHeight="1" x14ac:dyDescent="0.25">
      <c r="B17" s="618" t="s">
        <v>324</v>
      </c>
      <c r="C17" s="619">
        <f>'Proy. ventas'!D19</f>
        <v>4000000</v>
      </c>
      <c r="D17" s="619">
        <f>'Proy. ventas'!D59</f>
        <v>10000000</v>
      </c>
      <c r="E17" s="620">
        <f>'Proy. ventas'!D99</f>
        <v>18000000</v>
      </c>
    </row>
    <row r="18" spans="2:5" ht="18.75" customHeight="1" x14ac:dyDescent="0.25">
      <c r="B18" s="621" t="s">
        <v>321</v>
      </c>
      <c r="C18" s="622">
        <f>'Proy. ventas'!D20</f>
        <v>4600000</v>
      </c>
      <c r="D18" s="622">
        <f>'Proy. ventas'!D60</f>
        <v>6900000</v>
      </c>
      <c r="E18" s="623">
        <f>'Proy. ventas'!D100</f>
        <v>13800000</v>
      </c>
    </row>
    <row r="19" spans="2:5" ht="18.75" customHeight="1" x14ac:dyDescent="0.25">
      <c r="B19" s="621" t="s">
        <v>322</v>
      </c>
      <c r="C19" s="622">
        <f>'Proy. ventas'!D21</f>
        <v>2300000</v>
      </c>
      <c r="D19" s="622">
        <f>'Proy. ventas'!D61</f>
        <v>6900000</v>
      </c>
      <c r="E19" s="623">
        <f>'Proy. ventas'!D101</f>
        <v>18400000</v>
      </c>
    </row>
    <row r="20" spans="2:5" ht="18.75" customHeight="1" thickBot="1" x14ac:dyDescent="0.3">
      <c r="B20" s="624" t="s">
        <v>323</v>
      </c>
      <c r="C20" s="625">
        <f>'Proy. ventas'!D22</f>
        <v>5000000</v>
      </c>
      <c r="D20" s="625">
        <f>'Proy. ventas'!D62</f>
        <v>10000000</v>
      </c>
      <c r="E20" s="626">
        <f>'Proy. ventas'!D102</f>
        <v>17500000</v>
      </c>
    </row>
    <row r="21" spans="2:5" ht="18.75" customHeight="1" x14ac:dyDescent="0.25">
      <c r="B21" s="627" t="s">
        <v>325</v>
      </c>
      <c r="C21" s="628">
        <f>'Proy. ventas'!D23</f>
        <v>300000</v>
      </c>
      <c r="D21" s="628">
        <f>'Proy. ventas'!D63</f>
        <v>1800000</v>
      </c>
      <c r="E21" s="629">
        <f>'Proy. ventas'!D103</f>
        <v>1500000</v>
      </c>
    </row>
    <row r="22" spans="2:5" ht="18.75" customHeight="1" x14ac:dyDescent="0.25">
      <c r="B22" s="630" t="s">
        <v>326</v>
      </c>
      <c r="C22" s="631">
        <f>'Proy. ventas'!D24</f>
        <v>500000</v>
      </c>
      <c r="D22" s="631">
        <f>'Proy. ventas'!D64</f>
        <v>2000000</v>
      </c>
      <c r="E22" s="632">
        <f>'Proy. ventas'!D104</f>
        <v>1000000</v>
      </c>
    </row>
    <row r="23" spans="2:5" ht="18.75" customHeight="1" x14ac:dyDescent="0.25">
      <c r="B23" s="630" t="s">
        <v>327</v>
      </c>
      <c r="C23" s="631">
        <f>'Proy. ventas'!D25</f>
        <v>600000</v>
      </c>
      <c r="D23" s="631">
        <f>'Proy. ventas'!D65</f>
        <v>1800000</v>
      </c>
      <c r="E23" s="632">
        <f>'Proy. ventas'!D105</f>
        <v>1800000</v>
      </c>
    </row>
    <row r="24" spans="2:5" ht="18.75" customHeight="1" thickBot="1" x14ac:dyDescent="0.3">
      <c r="B24" s="633" t="s">
        <v>328</v>
      </c>
      <c r="C24" s="634">
        <f>'Proy. ventas'!D26</f>
        <v>800000</v>
      </c>
      <c r="D24" s="634">
        <f>'Proy. ventas'!D66</f>
        <v>4000000</v>
      </c>
      <c r="E24" s="635">
        <f>'Proy. ventas'!D106</f>
        <v>3200000</v>
      </c>
    </row>
    <row r="25" spans="2:5" ht="18.75" customHeight="1" thickBot="1" x14ac:dyDescent="0.3">
      <c r="B25" s="636" t="s">
        <v>55</v>
      </c>
      <c r="C25" s="637">
        <f>SUM(C17:C24)</f>
        <v>18100000</v>
      </c>
      <c r="D25" s="637">
        <f>SUM(D17:D24)</f>
        <v>43400000</v>
      </c>
      <c r="E25" s="638">
        <f>SUM(E17:E24)</f>
        <v>75200000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zoomScale="85" zoomScaleNormal="70" workbookViewId="0">
      <pane ySplit="1" topLeftCell="A2" activePane="bottomLeft" state="frozen"/>
      <selection pane="bottomLeft" activeCell="K5" sqref="K5"/>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647" customFormat="1" ht="58.5" customHeight="1" thickTop="1" thickBot="1" x14ac:dyDescent="0.3">
      <c r="A1" s="645"/>
      <c r="F1" s="646" t="s">
        <v>4</v>
      </c>
      <c r="G1" s="648"/>
      <c r="H1" s="648"/>
    </row>
    <row r="2" spans="1:17" ht="16.5" thickTop="1" thickBot="1" x14ac:dyDescent="0.3"/>
    <row r="3" spans="1:17" ht="27" thickBot="1" x14ac:dyDescent="0.45">
      <c r="C3" s="760" t="s">
        <v>36</v>
      </c>
      <c r="D3" s="761"/>
      <c r="E3" s="762"/>
      <c r="G3" s="760" t="s">
        <v>123</v>
      </c>
      <c r="H3" s="761"/>
      <c r="I3" s="762"/>
    </row>
    <row r="4" spans="1:17" x14ac:dyDescent="0.25">
      <c r="C4" s="650">
        <v>2022</v>
      </c>
      <c r="D4" s="651">
        <v>2023</v>
      </c>
      <c r="E4" s="652">
        <v>2024</v>
      </c>
      <c r="G4" s="650">
        <v>2022</v>
      </c>
      <c r="H4" s="651">
        <v>2023</v>
      </c>
      <c r="I4" s="652">
        <v>2024</v>
      </c>
    </row>
    <row r="5" spans="1:17" ht="15.75" thickBot="1" x14ac:dyDescent="0.3">
      <c r="C5" s="44">
        <f>Hipótesis!C24</f>
        <v>0.03</v>
      </c>
      <c r="D5" s="38">
        <f>Hipótesis!C25</f>
        <v>7.0000000000000007E-2</v>
      </c>
      <c r="E5" s="45">
        <f>Hipótesis!C26</f>
        <v>0.12</v>
      </c>
      <c r="G5" s="46">
        <f>P23</f>
        <v>2222400</v>
      </c>
      <c r="H5" s="47">
        <f>P40</f>
        <v>2388690</v>
      </c>
      <c r="I5" s="48">
        <f>P58</f>
        <v>2608767.2375000003</v>
      </c>
    </row>
    <row r="6" spans="1:17" ht="15.75" thickBot="1" x14ac:dyDescent="0.3">
      <c r="C6" s="46">
        <f>Hipótesis!D24</f>
        <v>18750000</v>
      </c>
      <c r="D6" s="47">
        <f>Hipótesis!D25</f>
        <v>43750000.000000007</v>
      </c>
      <c r="E6" s="48">
        <f>Hipótesis!D26</f>
        <v>75000000</v>
      </c>
      <c r="G6" s="152"/>
      <c r="H6" s="152"/>
      <c r="I6" s="152"/>
    </row>
    <row r="8" spans="1:17" ht="15.75" thickBot="1" x14ac:dyDescent="0.3"/>
    <row r="9" spans="1:17" ht="27" thickBot="1" x14ac:dyDescent="0.45">
      <c r="B9" s="798" t="s">
        <v>378</v>
      </c>
      <c r="C9" s="799"/>
      <c r="D9" s="799"/>
      <c r="E9" s="799"/>
      <c r="F9" s="799"/>
      <c r="G9" s="799"/>
      <c r="H9" s="799"/>
      <c r="I9" s="799"/>
      <c r="J9" s="799"/>
      <c r="K9" s="799"/>
      <c r="L9" s="799"/>
      <c r="M9" s="799"/>
      <c r="N9" s="799"/>
      <c r="O9" s="799"/>
      <c r="P9" s="799"/>
      <c r="Q9" s="800"/>
    </row>
    <row r="10" spans="1:17" s="663" customFormat="1" ht="19.5" thickBot="1" x14ac:dyDescent="0.3">
      <c r="B10" s="907" t="s">
        <v>115</v>
      </c>
      <c r="C10" s="908"/>
      <c r="D10" s="664" t="s">
        <v>42</v>
      </c>
      <c r="E10" s="665" t="s">
        <v>43</v>
      </c>
      <c r="F10" s="665" t="s">
        <v>44</v>
      </c>
      <c r="G10" s="665" t="s">
        <v>45</v>
      </c>
      <c r="H10" s="665" t="s">
        <v>46</v>
      </c>
      <c r="I10" s="665" t="s">
        <v>47</v>
      </c>
      <c r="J10" s="665" t="s">
        <v>48</v>
      </c>
      <c r="K10" s="665" t="s">
        <v>49</v>
      </c>
      <c r="L10" s="665" t="s">
        <v>50</v>
      </c>
      <c r="M10" s="665" t="s">
        <v>51</v>
      </c>
      <c r="N10" s="665" t="s">
        <v>52</v>
      </c>
      <c r="O10" s="666" t="s">
        <v>53</v>
      </c>
      <c r="P10" s="667" t="s">
        <v>117</v>
      </c>
      <c r="Q10" s="612" t="s">
        <v>116</v>
      </c>
    </row>
    <row r="11" spans="1:17" x14ac:dyDescent="0.25">
      <c r="B11" s="902" t="s">
        <v>108</v>
      </c>
      <c r="C11" s="147" t="s">
        <v>109</v>
      </c>
      <c r="D11" s="141">
        <v>2000</v>
      </c>
      <c r="E11" s="129">
        <v>0</v>
      </c>
      <c r="F11" s="141">
        <v>2000</v>
      </c>
      <c r="G11" s="129">
        <v>0</v>
      </c>
      <c r="H11" s="141">
        <v>2000</v>
      </c>
      <c r="I11" s="129">
        <v>0</v>
      </c>
      <c r="J11" s="141">
        <v>2000</v>
      </c>
      <c r="K11" s="129">
        <v>0</v>
      </c>
      <c r="L11" s="141">
        <v>2000</v>
      </c>
      <c r="M11" s="129">
        <v>0</v>
      </c>
      <c r="N11" s="141">
        <v>2000</v>
      </c>
      <c r="O11" s="130">
        <v>0</v>
      </c>
      <c r="P11" s="654">
        <f t="shared" ref="P11:P17" si="0">SUM(D11:O11)</f>
        <v>12000</v>
      </c>
      <c r="Q11" s="131"/>
    </row>
    <row r="12" spans="1:17" x14ac:dyDescent="0.25">
      <c r="B12" s="903"/>
      <c r="C12" s="148" t="s">
        <v>111</v>
      </c>
      <c r="D12" s="142">
        <v>13000</v>
      </c>
      <c r="E12" s="142">
        <v>13000</v>
      </c>
      <c r="F12" s="142">
        <v>13000</v>
      </c>
      <c r="G12" s="142">
        <v>13000</v>
      </c>
      <c r="H12" s="142">
        <v>13000</v>
      </c>
      <c r="I12" s="142">
        <v>13000</v>
      </c>
      <c r="J12" s="142">
        <v>13000</v>
      </c>
      <c r="K12" s="142">
        <v>13000</v>
      </c>
      <c r="L12" s="142">
        <v>13000</v>
      </c>
      <c r="M12" s="142">
        <v>13000</v>
      </c>
      <c r="N12" s="142">
        <v>13000</v>
      </c>
      <c r="O12" s="142">
        <v>13000</v>
      </c>
      <c r="P12" s="655">
        <f t="shared" si="0"/>
        <v>156000</v>
      </c>
      <c r="Q12" s="123"/>
    </row>
    <row r="13" spans="1:17" x14ac:dyDescent="0.25">
      <c r="B13" s="903"/>
      <c r="C13" s="148" t="s">
        <v>110</v>
      </c>
      <c r="D13" s="142">
        <v>1500</v>
      </c>
      <c r="E13" s="142">
        <v>1500</v>
      </c>
      <c r="F13" s="142">
        <v>1500</v>
      </c>
      <c r="G13" s="142">
        <v>1500</v>
      </c>
      <c r="H13" s="142">
        <v>1500</v>
      </c>
      <c r="I13" s="142">
        <v>1500</v>
      </c>
      <c r="J13" s="142">
        <v>1500</v>
      </c>
      <c r="K13" s="142">
        <v>1500</v>
      </c>
      <c r="L13" s="142">
        <v>1500</v>
      </c>
      <c r="M13" s="142">
        <v>1500</v>
      </c>
      <c r="N13" s="142">
        <v>1500</v>
      </c>
      <c r="O13" s="142">
        <v>1500</v>
      </c>
      <c r="P13" s="655">
        <f t="shared" si="0"/>
        <v>18000</v>
      </c>
      <c r="Q13" s="123"/>
    </row>
    <row r="14" spans="1:17" x14ac:dyDescent="0.25">
      <c r="B14" s="903"/>
      <c r="C14" s="148" t="s">
        <v>118</v>
      </c>
      <c r="D14" s="142">
        <v>400</v>
      </c>
      <c r="E14" s="142">
        <v>400</v>
      </c>
      <c r="F14" s="142">
        <v>400</v>
      </c>
      <c r="G14" s="142">
        <v>400</v>
      </c>
      <c r="H14" s="142">
        <v>400</v>
      </c>
      <c r="I14" s="142">
        <v>400</v>
      </c>
      <c r="J14" s="142">
        <v>400</v>
      </c>
      <c r="K14" s="142">
        <v>400</v>
      </c>
      <c r="L14" s="142">
        <v>400</v>
      </c>
      <c r="M14" s="142">
        <v>400</v>
      </c>
      <c r="N14" s="142">
        <v>400</v>
      </c>
      <c r="O14" s="142">
        <v>400</v>
      </c>
      <c r="P14" s="655">
        <f t="shared" si="0"/>
        <v>4800</v>
      </c>
      <c r="Q14" s="124"/>
    </row>
    <row r="15" spans="1:17" x14ac:dyDescent="0.25">
      <c r="B15" s="903"/>
      <c r="C15" s="149" t="s">
        <v>119</v>
      </c>
      <c r="D15" s="142">
        <v>1800</v>
      </c>
      <c r="E15" s="142">
        <v>1800</v>
      </c>
      <c r="F15" s="142">
        <v>1800</v>
      </c>
      <c r="G15" s="142">
        <v>1800</v>
      </c>
      <c r="H15" s="142">
        <v>1800</v>
      </c>
      <c r="I15" s="142">
        <v>1800</v>
      </c>
      <c r="J15" s="142">
        <v>1800</v>
      </c>
      <c r="K15" s="142">
        <v>1800</v>
      </c>
      <c r="L15" s="142">
        <v>1800</v>
      </c>
      <c r="M15" s="142">
        <v>1800</v>
      </c>
      <c r="N15" s="142">
        <v>1800</v>
      </c>
      <c r="O15" s="142">
        <v>1800</v>
      </c>
      <c r="P15" s="655">
        <f t="shared" si="0"/>
        <v>21600</v>
      </c>
      <c r="Q15" s="125"/>
    </row>
    <row r="16" spans="1:17" x14ac:dyDescent="0.25">
      <c r="B16" s="903"/>
      <c r="C16" s="125" t="s">
        <v>381</v>
      </c>
      <c r="D16" s="142">
        <f>36000/12</f>
        <v>3000</v>
      </c>
      <c r="E16" s="142">
        <f>36000/12</f>
        <v>3000</v>
      </c>
      <c r="F16" s="142">
        <f t="shared" ref="F16:N16" si="1">36000/12</f>
        <v>3000</v>
      </c>
      <c r="G16" s="142">
        <f t="shared" si="1"/>
        <v>3000</v>
      </c>
      <c r="H16" s="142">
        <f t="shared" si="1"/>
        <v>3000</v>
      </c>
      <c r="I16" s="142">
        <f t="shared" si="1"/>
        <v>3000</v>
      </c>
      <c r="J16" s="142">
        <f t="shared" si="1"/>
        <v>3000</v>
      </c>
      <c r="K16" s="142">
        <f t="shared" si="1"/>
        <v>3000</v>
      </c>
      <c r="L16" s="142">
        <f t="shared" si="1"/>
        <v>3000</v>
      </c>
      <c r="M16" s="142">
        <f t="shared" si="1"/>
        <v>3000</v>
      </c>
      <c r="N16" s="142">
        <f t="shared" si="1"/>
        <v>3000</v>
      </c>
      <c r="O16" s="142">
        <f>36000/12</f>
        <v>3000</v>
      </c>
      <c r="P16" s="655">
        <f t="shared" si="0"/>
        <v>36000</v>
      </c>
      <c r="Q16" s="125"/>
    </row>
    <row r="17" spans="2:17" ht="16.5" customHeight="1" thickBot="1" x14ac:dyDescent="0.3">
      <c r="B17" s="904"/>
      <c r="C17" s="150" t="s">
        <v>120</v>
      </c>
      <c r="D17" s="143">
        <v>3000</v>
      </c>
      <c r="E17" s="143">
        <v>3000</v>
      </c>
      <c r="F17" s="143">
        <v>3000</v>
      </c>
      <c r="G17" s="143">
        <v>3000</v>
      </c>
      <c r="H17" s="143">
        <v>3000</v>
      </c>
      <c r="I17" s="143">
        <v>3000</v>
      </c>
      <c r="J17" s="143">
        <v>3000</v>
      </c>
      <c r="K17" s="143">
        <v>3000</v>
      </c>
      <c r="L17" s="143">
        <v>3000</v>
      </c>
      <c r="M17" s="143">
        <v>3000</v>
      </c>
      <c r="N17" s="143">
        <v>3000</v>
      </c>
      <c r="O17" s="143">
        <v>3000</v>
      </c>
      <c r="P17" s="656">
        <f t="shared" si="0"/>
        <v>36000</v>
      </c>
      <c r="Q17" s="134"/>
    </row>
    <row r="18" spans="2:17" s="663" customFormat="1" ht="27.75" customHeight="1" x14ac:dyDescent="0.25">
      <c r="B18" s="909" t="s">
        <v>112</v>
      </c>
      <c r="C18" s="668" t="s">
        <v>382</v>
      </c>
      <c r="D18" s="144">
        <v>40000</v>
      </c>
      <c r="E18" s="144">
        <v>40000</v>
      </c>
      <c r="F18" s="144">
        <v>40000</v>
      </c>
      <c r="G18" s="144">
        <v>40000</v>
      </c>
      <c r="H18" s="144">
        <v>40000</v>
      </c>
      <c r="I18" s="144">
        <v>40000</v>
      </c>
      <c r="J18" s="135">
        <f>I18*1.15</f>
        <v>46000</v>
      </c>
      <c r="K18" s="135">
        <v>46000</v>
      </c>
      <c r="L18" s="135">
        <v>46000</v>
      </c>
      <c r="M18" s="135">
        <v>46000</v>
      </c>
      <c r="N18" s="135">
        <v>46000</v>
      </c>
      <c r="O18" s="135">
        <v>46000</v>
      </c>
      <c r="P18" s="657">
        <f>SUM(D18:O18)</f>
        <v>516000</v>
      </c>
      <c r="Q18" s="136"/>
    </row>
    <row r="19" spans="2:17" s="663" customFormat="1" ht="27.75" customHeight="1" thickBot="1" x14ac:dyDescent="0.3">
      <c r="B19" s="910"/>
      <c r="C19" s="669" t="s">
        <v>121</v>
      </c>
      <c r="D19" s="670">
        <v>0</v>
      </c>
      <c r="E19" s="671">
        <v>0</v>
      </c>
      <c r="F19" s="671">
        <v>0</v>
      </c>
      <c r="G19" s="671">
        <v>0</v>
      </c>
      <c r="H19" s="671">
        <v>0</v>
      </c>
      <c r="I19" s="671">
        <v>0</v>
      </c>
      <c r="J19" s="671">
        <v>0</v>
      </c>
      <c r="K19" s="671">
        <v>0</v>
      </c>
      <c r="L19" s="671">
        <v>0</v>
      </c>
      <c r="M19" s="671">
        <v>0</v>
      </c>
      <c r="N19" s="671">
        <v>0</v>
      </c>
      <c r="O19" s="672">
        <v>0</v>
      </c>
      <c r="P19" s="673">
        <f>SUM(D19:O19)</f>
        <v>0</v>
      </c>
      <c r="Q19" s="674"/>
    </row>
    <row r="20" spans="2:17" ht="19.5" thickBot="1" x14ac:dyDescent="0.35">
      <c r="B20" s="653" t="s">
        <v>113</v>
      </c>
      <c r="C20" s="151" t="s">
        <v>114</v>
      </c>
      <c r="D20" s="145">
        <v>8500</v>
      </c>
      <c r="E20" s="137">
        <v>8500</v>
      </c>
      <c r="F20" s="137">
        <v>8500</v>
      </c>
      <c r="G20" s="137">
        <v>8500</v>
      </c>
      <c r="H20" s="137">
        <v>8500</v>
      </c>
      <c r="I20" s="137">
        <v>8500</v>
      </c>
      <c r="J20" s="137">
        <v>8500</v>
      </c>
      <c r="K20" s="137">
        <v>8500</v>
      </c>
      <c r="L20" s="137">
        <v>8500</v>
      </c>
      <c r="M20" s="137">
        <v>8500</v>
      </c>
      <c r="N20" s="137">
        <v>8500</v>
      </c>
      <c r="O20" s="138">
        <v>8500</v>
      </c>
      <c r="P20" s="658">
        <f>SUM(D20:O20)</f>
        <v>102000</v>
      </c>
      <c r="Q20" s="139"/>
    </row>
    <row r="21" spans="2:17" ht="18.75" customHeight="1" x14ac:dyDescent="0.25">
      <c r="B21" s="905" t="s">
        <v>383</v>
      </c>
      <c r="C21" s="148" t="s">
        <v>122</v>
      </c>
      <c r="D21" s="142">
        <v>60000</v>
      </c>
      <c r="E21" s="142">
        <v>60000</v>
      </c>
      <c r="F21" s="142">
        <v>60000</v>
      </c>
      <c r="G21" s="142">
        <v>60000</v>
      </c>
      <c r="H21" s="142">
        <v>60000</v>
      </c>
      <c r="I21" s="142">
        <v>60000</v>
      </c>
      <c r="J21" s="142">
        <v>60000</v>
      </c>
      <c r="K21" s="142">
        <v>60000</v>
      </c>
      <c r="L21" s="142">
        <v>60000</v>
      </c>
      <c r="M21" s="142">
        <v>60000</v>
      </c>
      <c r="N21" s="142">
        <v>60000</v>
      </c>
      <c r="O21" s="142">
        <v>60000</v>
      </c>
      <c r="P21" s="655">
        <f>SUM(D21:O21)</f>
        <v>720000</v>
      </c>
      <c r="Q21" s="124"/>
    </row>
    <row r="22" spans="2:17" ht="18.75" customHeight="1" thickBot="1" x14ac:dyDescent="0.3">
      <c r="B22" s="906"/>
      <c r="C22" s="150" t="s">
        <v>311</v>
      </c>
      <c r="D22" s="146">
        <v>50000</v>
      </c>
      <c r="E22" s="146">
        <v>50000</v>
      </c>
      <c r="F22" s="146">
        <v>50000</v>
      </c>
      <c r="G22" s="146">
        <v>50000</v>
      </c>
      <c r="H22" s="146">
        <v>50000</v>
      </c>
      <c r="I22" s="146">
        <v>50000</v>
      </c>
      <c r="J22" s="146">
        <v>50000</v>
      </c>
      <c r="K22" s="146">
        <v>50000</v>
      </c>
      <c r="L22" s="146">
        <v>50000</v>
      </c>
      <c r="M22" s="146">
        <v>50000</v>
      </c>
      <c r="N22" s="146">
        <v>50000</v>
      </c>
      <c r="O22" s="146">
        <v>50000</v>
      </c>
      <c r="P22" s="659">
        <f>SUM(D22:O22)</f>
        <v>600000</v>
      </c>
      <c r="Q22" s="124"/>
    </row>
    <row r="23" spans="2:17" ht="15.75" thickBot="1" x14ac:dyDescent="0.3">
      <c r="B23" s="19"/>
      <c r="C23" s="660" t="s">
        <v>19</v>
      </c>
      <c r="D23" s="661">
        <f t="shared" ref="D23:P23" si="2">SUM(D11:D22)</f>
        <v>183200</v>
      </c>
      <c r="E23" s="661">
        <f t="shared" si="2"/>
        <v>181200</v>
      </c>
      <c r="F23" s="661">
        <f t="shared" si="2"/>
        <v>183200</v>
      </c>
      <c r="G23" s="661">
        <f t="shared" si="2"/>
        <v>181200</v>
      </c>
      <c r="H23" s="661">
        <f t="shared" si="2"/>
        <v>183200</v>
      </c>
      <c r="I23" s="661">
        <f t="shared" si="2"/>
        <v>181200</v>
      </c>
      <c r="J23" s="661">
        <f t="shared" si="2"/>
        <v>189200</v>
      </c>
      <c r="K23" s="661">
        <f t="shared" si="2"/>
        <v>187200</v>
      </c>
      <c r="L23" s="661">
        <f t="shared" si="2"/>
        <v>189200</v>
      </c>
      <c r="M23" s="661">
        <f t="shared" si="2"/>
        <v>187200</v>
      </c>
      <c r="N23" s="661">
        <f t="shared" si="2"/>
        <v>189200</v>
      </c>
      <c r="O23" s="662">
        <f t="shared" si="2"/>
        <v>187200</v>
      </c>
      <c r="P23" s="140">
        <f t="shared" si="2"/>
        <v>2222400</v>
      </c>
      <c r="Q23" s="121"/>
    </row>
    <row r="25" spans="2:17" ht="15.75" thickBot="1" x14ac:dyDescent="0.3"/>
    <row r="26" spans="2:17" ht="27" thickBot="1" x14ac:dyDescent="0.45">
      <c r="B26" s="798" t="s">
        <v>379</v>
      </c>
      <c r="C26" s="799"/>
      <c r="D26" s="799"/>
      <c r="E26" s="799"/>
      <c r="F26" s="799"/>
      <c r="G26" s="799"/>
      <c r="H26" s="799"/>
      <c r="I26" s="799"/>
      <c r="J26" s="799"/>
      <c r="K26" s="799"/>
      <c r="L26" s="799"/>
      <c r="M26" s="799"/>
      <c r="N26" s="799"/>
      <c r="O26" s="799"/>
      <c r="P26" s="799"/>
      <c r="Q26" s="800"/>
    </row>
    <row r="27" spans="2:17" s="663" customFormat="1" ht="19.5" thickBot="1" x14ac:dyDescent="0.3">
      <c r="B27" s="907" t="s">
        <v>115</v>
      </c>
      <c r="C27" s="908"/>
      <c r="D27" s="664" t="s">
        <v>42</v>
      </c>
      <c r="E27" s="665" t="s">
        <v>43</v>
      </c>
      <c r="F27" s="665" t="s">
        <v>44</v>
      </c>
      <c r="G27" s="665" t="s">
        <v>45</v>
      </c>
      <c r="H27" s="665" t="s">
        <v>46</v>
      </c>
      <c r="I27" s="665" t="s">
        <v>47</v>
      </c>
      <c r="J27" s="665" t="s">
        <v>48</v>
      </c>
      <c r="K27" s="665" t="s">
        <v>49</v>
      </c>
      <c r="L27" s="665" t="s">
        <v>50</v>
      </c>
      <c r="M27" s="665" t="s">
        <v>51</v>
      </c>
      <c r="N27" s="665" t="s">
        <v>52</v>
      </c>
      <c r="O27" s="666" t="s">
        <v>53</v>
      </c>
      <c r="P27" s="667" t="s">
        <v>117</v>
      </c>
      <c r="Q27" s="612" t="s">
        <v>116</v>
      </c>
    </row>
    <row r="28" spans="2:17" x14ac:dyDescent="0.25">
      <c r="B28" s="902" t="s">
        <v>108</v>
      </c>
      <c r="C28" s="147" t="s">
        <v>109</v>
      </c>
      <c r="D28" s="141">
        <v>2000</v>
      </c>
      <c r="E28" s="129">
        <v>0</v>
      </c>
      <c r="F28" s="141">
        <v>2000</v>
      </c>
      <c r="G28" s="129">
        <v>0</v>
      </c>
      <c r="H28" s="141">
        <v>2000</v>
      </c>
      <c r="I28" s="129">
        <v>0</v>
      </c>
      <c r="J28" s="141">
        <v>2000</v>
      </c>
      <c r="K28" s="129">
        <v>0</v>
      </c>
      <c r="L28" s="141">
        <v>2000</v>
      </c>
      <c r="M28" s="129">
        <v>0</v>
      </c>
      <c r="N28" s="141">
        <v>2000</v>
      </c>
      <c r="O28" s="130">
        <v>0</v>
      </c>
      <c r="P28" s="654">
        <f t="shared" ref="P28:P34" si="3">SUM(D28:O28)</f>
        <v>12000</v>
      </c>
      <c r="Q28" s="131"/>
    </row>
    <row r="29" spans="2:17" x14ac:dyDescent="0.25">
      <c r="B29" s="903"/>
      <c r="C29" s="148" t="s">
        <v>111</v>
      </c>
      <c r="D29" s="142">
        <v>13000</v>
      </c>
      <c r="E29" s="142">
        <v>13000</v>
      </c>
      <c r="F29" s="142">
        <v>13000</v>
      </c>
      <c r="G29" s="142">
        <v>13000</v>
      </c>
      <c r="H29" s="142">
        <v>13000</v>
      </c>
      <c r="I29" s="142">
        <v>13000</v>
      </c>
      <c r="J29" s="142">
        <v>13000</v>
      </c>
      <c r="K29" s="142">
        <v>13000</v>
      </c>
      <c r="L29" s="142">
        <v>13000</v>
      </c>
      <c r="M29" s="142">
        <v>13000</v>
      </c>
      <c r="N29" s="142">
        <v>13000</v>
      </c>
      <c r="O29" s="142">
        <v>13000</v>
      </c>
      <c r="P29" s="655">
        <f t="shared" si="3"/>
        <v>156000</v>
      </c>
      <c r="Q29" s="123"/>
    </row>
    <row r="30" spans="2:17" x14ac:dyDescent="0.25">
      <c r="B30" s="903"/>
      <c r="C30" s="148" t="s">
        <v>110</v>
      </c>
      <c r="D30" s="142">
        <v>1500</v>
      </c>
      <c r="E30" s="142">
        <v>1500</v>
      </c>
      <c r="F30" s="142">
        <v>1500</v>
      </c>
      <c r="G30" s="142">
        <v>1500</v>
      </c>
      <c r="H30" s="142">
        <v>1500</v>
      </c>
      <c r="I30" s="142">
        <v>1500</v>
      </c>
      <c r="J30" s="142">
        <v>1500</v>
      </c>
      <c r="K30" s="142">
        <v>1500</v>
      </c>
      <c r="L30" s="142">
        <v>1500</v>
      </c>
      <c r="M30" s="142">
        <v>1500</v>
      </c>
      <c r="N30" s="142">
        <v>1500</v>
      </c>
      <c r="O30" s="142">
        <v>1500</v>
      </c>
      <c r="P30" s="655">
        <f t="shared" si="3"/>
        <v>18000</v>
      </c>
      <c r="Q30" s="123"/>
    </row>
    <row r="31" spans="2:17" x14ac:dyDescent="0.25">
      <c r="B31" s="903"/>
      <c r="C31" s="148" t="s">
        <v>118</v>
      </c>
      <c r="D31" s="142">
        <v>390</v>
      </c>
      <c r="E31" s="120">
        <v>390</v>
      </c>
      <c r="F31" s="120">
        <v>390</v>
      </c>
      <c r="G31" s="120">
        <v>390</v>
      </c>
      <c r="H31" s="120">
        <v>390</v>
      </c>
      <c r="I31" s="120">
        <v>390</v>
      </c>
      <c r="J31" s="120">
        <v>390</v>
      </c>
      <c r="K31" s="120">
        <v>390</v>
      </c>
      <c r="L31" s="120">
        <v>390</v>
      </c>
      <c r="M31" s="120">
        <v>390</v>
      </c>
      <c r="N31" s="120">
        <v>390</v>
      </c>
      <c r="O31" s="122">
        <v>390</v>
      </c>
      <c r="P31" s="655">
        <f t="shared" si="3"/>
        <v>4680</v>
      </c>
      <c r="Q31" s="124"/>
    </row>
    <row r="32" spans="2:17" x14ac:dyDescent="0.25">
      <c r="B32" s="903"/>
      <c r="C32" s="149" t="s">
        <v>119</v>
      </c>
      <c r="D32" s="142">
        <v>1800</v>
      </c>
      <c r="E32" s="142">
        <v>1800</v>
      </c>
      <c r="F32" s="142">
        <v>1800</v>
      </c>
      <c r="G32" s="142">
        <v>1800</v>
      </c>
      <c r="H32" s="142">
        <v>1800</v>
      </c>
      <c r="I32" s="142">
        <v>1800</v>
      </c>
      <c r="J32" s="142">
        <v>1800</v>
      </c>
      <c r="K32" s="142">
        <v>1800</v>
      </c>
      <c r="L32" s="142">
        <v>1800</v>
      </c>
      <c r="M32" s="142">
        <v>1800</v>
      </c>
      <c r="N32" s="142">
        <v>1800</v>
      </c>
      <c r="O32" s="142">
        <v>1800</v>
      </c>
      <c r="P32" s="655">
        <f t="shared" si="3"/>
        <v>21600</v>
      </c>
      <c r="Q32" s="125"/>
    </row>
    <row r="33" spans="2:17" x14ac:dyDescent="0.25">
      <c r="B33" s="903"/>
      <c r="C33" s="125" t="s">
        <v>381</v>
      </c>
      <c r="D33" s="142">
        <f>36000/12</f>
        <v>3000</v>
      </c>
      <c r="E33" s="142">
        <f>36000/12</f>
        <v>3000</v>
      </c>
      <c r="F33" s="142">
        <f t="shared" ref="F33:N33" si="4">36000/12</f>
        <v>3000</v>
      </c>
      <c r="G33" s="142">
        <f t="shared" si="4"/>
        <v>3000</v>
      </c>
      <c r="H33" s="142">
        <f t="shared" si="4"/>
        <v>3000</v>
      </c>
      <c r="I33" s="142">
        <f t="shared" si="4"/>
        <v>3000</v>
      </c>
      <c r="J33" s="142">
        <f t="shared" si="4"/>
        <v>3000</v>
      </c>
      <c r="K33" s="142">
        <f t="shared" si="4"/>
        <v>3000</v>
      </c>
      <c r="L33" s="142">
        <f t="shared" si="4"/>
        <v>3000</v>
      </c>
      <c r="M33" s="142">
        <f t="shared" si="4"/>
        <v>3000</v>
      </c>
      <c r="N33" s="142">
        <f t="shared" si="4"/>
        <v>3000</v>
      </c>
      <c r="O33" s="142">
        <f>36000/12</f>
        <v>3000</v>
      </c>
      <c r="P33" s="655">
        <f t="shared" si="3"/>
        <v>36000</v>
      </c>
      <c r="Q33" s="125"/>
    </row>
    <row r="34" spans="2:17" ht="15.75" thickBot="1" x14ac:dyDescent="0.3">
      <c r="B34" s="904"/>
      <c r="C34" s="150" t="s">
        <v>120</v>
      </c>
      <c r="D34" s="143">
        <v>3000</v>
      </c>
      <c r="E34" s="143">
        <v>3000</v>
      </c>
      <c r="F34" s="143">
        <v>3000</v>
      </c>
      <c r="G34" s="143">
        <v>3000</v>
      </c>
      <c r="H34" s="143">
        <v>3000</v>
      </c>
      <c r="I34" s="143">
        <v>3000</v>
      </c>
      <c r="J34" s="143">
        <v>3000</v>
      </c>
      <c r="K34" s="143">
        <v>3000</v>
      </c>
      <c r="L34" s="143">
        <v>3000</v>
      </c>
      <c r="M34" s="143">
        <v>3000</v>
      </c>
      <c r="N34" s="143">
        <v>3000</v>
      </c>
      <c r="O34" s="143">
        <v>3000</v>
      </c>
      <c r="P34" s="656">
        <f t="shared" si="3"/>
        <v>36000</v>
      </c>
      <c r="Q34" s="134"/>
    </row>
    <row r="35" spans="2:17" s="663" customFormat="1" ht="27.75" customHeight="1" x14ac:dyDescent="0.25">
      <c r="B35" s="909" t="s">
        <v>112</v>
      </c>
      <c r="C35" s="668" t="s">
        <v>310</v>
      </c>
      <c r="D35" s="144">
        <f>O18*1.15</f>
        <v>52899.999999999993</v>
      </c>
      <c r="E35" s="144">
        <v>52900</v>
      </c>
      <c r="F35" s="144">
        <v>52900</v>
      </c>
      <c r="G35" s="144">
        <v>52900</v>
      </c>
      <c r="H35" s="144">
        <v>52900</v>
      </c>
      <c r="I35" s="144">
        <v>52900</v>
      </c>
      <c r="J35" s="135">
        <f>I35*1.15</f>
        <v>60834.999999999993</v>
      </c>
      <c r="K35" s="135">
        <v>60835</v>
      </c>
      <c r="L35" s="135">
        <v>60835</v>
      </c>
      <c r="M35" s="135">
        <v>60835</v>
      </c>
      <c r="N35" s="135">
        <v>60835</v>
      </c>
      <c r="O35" s="135">
        <v>60835</v>
      </c>
      <c r="P35" s="657">
        <f>SUM(D35:O35)</f>
        <v>682410</v>
      </c>
      <c r="Q35" s="136"/>
    </row>
    <row r="36" spans="2:17" s="663" customFormat="1" ht="27.75" customHeight="1" thickBot="1" x14ac:dyDescent="0.3">
      <c r="B36" s="910"/>
      <c r="C36" s="669" t="s">
        <v>121</v>
      </c>
      <c r="D36" s="670">
        <v>0</v>
      </c>
      <c r="E36" s="671">
        <v>0</v>
      </c>
      <c r="F36" s="671">
        <v>0</v>
      </c>
      <c r="G36" s="671">
        <v>0</v>
      </c>
      <c r="H36" s="671">
        <v>0</v>
      </c>
      <c r="I36" s="671">
        <v>0</v>
      </c>
      <c r="J36" s="671">
        <v>0</v>
      </c>
      <c r="K36" s="671">
        <v>0</v>
      </c>
      <c r="L36" s="671">
        <v>0</v>
      </c>
      <c r="M36" s="671">
        <v>0</v>
      </c>
      <c r="N36" s="671">
        <v>0</v>
      </c>
      <c r="O36" s="672">
        <v>0</v>
      </c>
      <c r="P36" s="673">
        <f>SUM(D36:O36)</f>
        <v>0</v>
      </c>
      <c r="Q36" s="674"/>
    </row>
    <row r="37" spans="2:17" ht="19.5" thickBot="1" x14ac:dyDescent="0.35">
      <c r="B37" s="653" t="s">
        <v>113</v>
      </c>
      <c r="C37" s="151" t="s">
        <v>114</v>
      </c>
      <c r="D37" s="145">
        <v>8500</v>
      </c>
      <c r="E37" s="137">
        <v>8500</v>
      </c>
      <c r="F37" s="137">
        <v>8500</v>
      </c>
      <c r="G37" s="137">
        <v>8500</v>
      </c>
      <c r="H37" s="137">
        <v>8500</v>
      </c>
      <c r="I37" s="137">
        <v>8500</v>
      </c>
      <c r="J37" s="137">
        <v>8500</v>
      </c>
      <c r="K37" s="137">
        <v>8500</v>
      </c>
      <c r="L37" s="137">
        <v>8500</v>
      </c>
      <c r="M37" s="137">
        <v>8500</v>
      </c>
      <c r="N37" s="137">
        <v>8500</v>
      </c>
      <c r="O37" s="138">
        <v>8500</v>
      </c>
      <c r="P37" s="658">
        <f>SUM(D37:O37)</f>
        <v>102000</v>
      </c>
      <c r="Q37" s="139"/>
    </row>
    <row r="38" spans="2:17" ht="17.25" customHeight="1" x14ac:dyDescent="0.25">
      <c r="B38" s="905" t="s">
        <v>383</v>
      </c>
      <c r="C38" s="148" t="s">
        <v>122</v>
      </c>
      <c r="D38" s="142">
        <v>60000</v>
      </c>
      <c r="E38" s="142">
        <v>60000</v>
      </c>
      <c r="F38" s="142">
        <v>60000</v>
      </c>
      <c r="G38" s="142">
        <v>60000</v>
      </c>
      <c r="H38" s="142">
        <v>60000</v>
      </c>
      <c r="I38" s="142">
        <v>60000</v>
      </c>
      <c r="J38" s="142">
        <v>60000</v>
      </c>
      <c r="K38" s="142">
        <v>60000</v>
      </c>
      <c r="L38" s="142">
        <v>60000</v>
      </c>
      <c r="M38" s="142">
        <v>60000</v>
      </c>
      <c r="N38" s="142">
        <v>60000</v>
      </c>
      <c r="O38" s="142">
        <v>60000</v>
      </c>
      <c r="P38" s="655">
        <f>SUM(D38:O38)</f>
        <v>720000</v>
      </c>
      <c r="Q38" s="124"/>
    </row>
    <row r="39" spans="2:17" ht="17.25" customHeight="1" thickBot="1" x14ac:dyDescent="0.3">
      <c r="B39" s="906"/>
      <c r="C39" s="150" t="s">
        <v>311</v>
      </c>
      <c r="D39" s="146">
        <v>50000</v>
      </c>
      <c r="E39" s="146">
        <v>50000</v>
      </c>
      <c r="F39" s="146">
        <v>50000</v>
      </c>
      <c r="G39" s="146">
        <v>50000</v>
      </c>
      <c r="H39" s="146">
        <v>50000</v>
      </c>
      <c r="I39" s="146">
        <v>50000</v>
      </c>
      <c r="J39" s="146">
        <v>50000</v>
      </c>
      <c r="K39" s="146">
        <v>50000</v>
      </c>
      <c r="L39" s="146">
        <v>50000</v>
      </c>
      <c r="M39" s="146">
        <v>50000</v>
      </c>
      <c r="N39" s="146">
        <v>50000</v>
      </c>
      <c r="O39" s="146">
        <v>50000</v>
      </c>
      <c r="P39" s="659">
        <f>SUM(D39:O39)</f>
        <v>600000</v>
      </c>
      <c r="Q39" s="124"/>
    </row>
    <row r="40" spans="2:17" ht="15.75" thickBot="1" x14ac:dyDescent="0.3">
      <c r="B40" s="19"/>
      <c r="C40" s="660" t="s">
        <v>19</v>
      </c>
      <c r="D40" s="661">
        <f t="shared" ref="D40:P40" si="5">SUM(D28:D39)</f>
        <v>196090</v>
      </c>
      <c r="E40" s="661">
        <f t="shared" si="5"/>
        <v>194090</v>
      </c>
      <c r="F40" s="661">
        <f t="shared" si="5"/>
        <v>196090</v>
      </c>
      <c r="G40" s="661">
        <f t="shared" si="5"/>
        <v>194090</v>
      </c>
      <c r="H40" s="661">
        <f t="shared" si="5"/>
        <v>196090</v>
      </c>
      <c r="I40" s="661">
        <f t="shared" si="5"/>
        <v>194090</v>
      </c>
      <c r="J40" s="661">
        <f t="shared" si="5"/>
        <v>204025</v>
      </c>
      <c r="K40" s="661">
        <f t="shared" si="5"/>
        <v>202025</v>
      </c>
      <c r="L40" s="661">
        <f t="shared" si="5"/>
        <v>204025</v>
      </c>
      <c r="M40" s="661">
        <f t="shared" si="5"/>
        <v>202025</v>
      </c>
      <c r="N40" s="661">
        <f t="shared" si="5"/>
        <v>204025</v>
      </c>
      <c r="O40" s="662">
        <f t="shared" si="5"/>
        <v>202025</v>
      </c>
      <c r="P40" s="140">
        <f t="shared" si="5"/>
        <v>2388690</v>
      </c>
      <c r="Q40" s="121"/>
    </row>
    <row r="43" spans="2:17" ht="15.75" thickBot="1" x14ac:dyDescent="0.3"/>
    <row r="44" spans="2:17" ht="27" thickBot="1" x14ac:dyDescent="0.45">
      <c r="B44" s="798" t="s">
        <v>380</v>
      </c>
      <c r="C44" s="799"/>
      <c r="D44" s="799"/>
      <c r="E44" s="799"/>
      <c r="F44" s="799"/>
      <c r="G44" s="799"/>
      <c r="H44" s="799"/>
      <c r="I44" s="799"/>
      <c r="J44" s="799"/>
      <c r="K44" s="799"/>
      <c r="L44" s="799"/>
      <c r="M44" s="799"/>
      <c r="N44" s="799"/>
      <c r="O44" s="799"/>
      <c r="P44" s="799"/>
      <c r="Q44" s="800"/>
    </row>
    <row r="45" spans="2:17" s="663" customFormat="1" ht="19.5" thickBot="1" x14ac:dyDescent="0.3">
      <c r="B45" s="907" t="s">
        <v>115</v>
      </c>
      <c r="C45" s="908"/>
      <c r="D45" s="664" t="s">
        <v>42</v>
      </c>
      <c r="E45" s="665" t="s">
        <v>43</v>
      </c>
      <c r="F45" s="665" t="s">
        <v>44</v>
      </c>
      <c r="G45" s="665" t="s">
        <v>45</v>
      </c>
      <c r="H45" s="665" t="s">
        <v>46</v>
      </c>
      <c r="I45" s="665" t="s">
        <v>47</v>
      </c>
      <c r="J45" s="665" t="s">
        <v>48</v>
      </c>
      <c r="K45" s="665" t="s">
        <v>49</v>
      </c>
      <c r="L45" s="665" t="s">
        <v>50</v>
      </c>
      <c r="M45" s="665" t="s">
        <v>51</v>
      </c>
      <c r="N45" s="665" t="s">
        <v>52</v>
      </c>
      <c r="O45" s="666" t="s">
        <v>53</v>
      </c>
      <c r="P45" s="667" t="s">
        <v>117</v>
      </c>
      <c r="Q45" s="612" t="s">
        <v>116</v>
      </c>
    </row>
    <row r="46" spans="2:17" x14ac:dyDescent="0.25">
      <c r="B46" s="902" t="s">
        <v>108</v>
      </c>
      <c r="C46" s="147" t="s">
        <v>109</v>
      </c>
      <c r="D46" s="141">
        <v>2000</v>
      </c>
      <c r="E46" s="129">
        <v>0</v>
      </c>
      <c r="F46" s="141">
        <v>2000</v>
      </c>
      <c r="G46" s="129">
        <v>0</v>
      </c>
      <c r="H46" s="141">
        <v>2000</v>
      </c>
      <c r="I46" s="129">
        <v>0</v>
      </c>
      <c r="J46" s="141">
        <v>2000</v>
      </c>
      <c r="K46" s="129">
        <v>0</v>
      </c>
      <c r="L46" s="141">
        <v>2000</v>
      </c>
      <c r="M46" s="129">
        <v>0</v>
      </c>
      <c r="N46" s="141">
        <v>2000</v>
      </c>
      <c r="O46" s="130">
        <v>0</v>
      </c>
      <c r="P46" s="654">
        <f t="shared" ref="P46:P52" si="6">SUM(D46:O46)</f>
        <v>12000</v>
      </c>
      <c r="Q46" s="131"/>
    </row>
    <row r="47" spans="2:17" x14ac:dyDescent="0.25">
      <c r="B47" s="903"/>
      <c r="C47" s="148" t="s">
        <v>111</v>
      </c>
      <c r="D47" s="142">
        <v>13000</v>
      </c>
      <c r="E47" s="142">
        <v>13000</v>
      </c>
      <c r="F47" s="142">
        <v>13000</v>
      </c>
      <c r="G47" s="142">
        <v>13000</v>
      </c>
      <c r="H47" s="142">
        <v>13000</v>
      </c>
      <c r="I47" s="142">
        <v>13000</v>
      </c>
      <c r="J47" s="142">
        <v>13000</v>
      </c>
      <c r="K47" s="142">
        <v>13000</v>
      </c>
      <c r="L47" s="142">
        <v>13000</v>
      </c>
      <c r="M47" s="142">
        <v>13000</v>
      </c>
      <c r="N47" s="142">
        <v>13000</v>
      </c>
      <c r="O47" s="142">
        <v>13000</v>
      </c>
      <c r="P47" s="655">
        <f t="shared" si="6"/>
        <v>156000</v>
      </c>
      <c r="Q47" s="123"/>
    </row>
    <row r="48" spans="2:17" x14ac:dyDescent="0.25">
      <c r="B48" s="903"/>
      <c r="C48" s="148" t="s">
        <v>110</v>
      </c>
      <c r="D48" s="142">
        <v>1500</v>
      </c>
      <c r="E48" s="142">
        <v>1500</v>
      </c>
      <c r="F48" s="142">
        <v>1500</v>
      </c>
      <c r="G48" s="142">
        <v>1500</v>
      </c>
      <c r="H48" s="142">
        <v>1500</v>
      </c>
      <c r="I48" s="142">
        <v>1500</v>
      </c>
      <c r="J48" s="142">
        <v>1500</v>
      </c>
      <c r="K48" s="142">
        <v>1500</v>
      </c>
      <c r="L48" s="142">
        <v>1500</v>
      </c>
      <c r="M48" s="142">
        <v>1500</v>
      </c>
      <c r="N48" s="142">
        <v>1500</v>
      </c>
      <c r="O48" s="142">
        <v>1500</v>
      </c>
      <c r="P48" s="655">
        <f t="shared" si="6"/>
        <v>18000</v>
      </c>
      <c r="Q48" s="123"/>
    </row>
    <row r="49" spans="2:17" x14ac:dyDescent="0.25">
      <c r="B49" s="903"/>
      <c r="C49" s="148" t="s">
        <v>118</v>
      </c>
      <c r="D49" s="142">
        <v>390</v>
      </c>
      <c r="E49" s="120">
        <v>390</v>
      </c>
      <c r="F49" s="120">
        <v>390</v>
      </c>
      <c r="G49" s="120">
        <v>390</v>
      </c>
      <c r="H49" s="120">
        <v>390</v>
      </c>
      <c r="I49" s="120">
        <v>390</v>
      </c>
      <c r="J49" s="120">
        <v>390</v>
      </c>
      <c r="K49" s="120">
        <v>390</v>
      </c>
      <c r="L49" s="120">
        <v>390</v>
      </c>
      <c r="M49" s="120">
        <v>390</v>
      </c>
      <c r="N49" s="120">
        <v>390</v>
      </c>
      <c r="O49" s="122">
        <v>390</v>
      </c>
      <c r="P49" s="655">
        <f t="shared" si="6"/>
        <v>4680</v>
      </c>
      <c r="Q49" s="124"/>
    </row>
    <row r="50" spans="2:17" x14ac:dyDescent="0.25">
      <c r="B50" s="903"/>
      <c r="C50" s="149" t="s">
        <v>119</v>
      </c>
      <c r="D50" s="142">
        <v>1800</v>
      </c>
      <c r="E50" s="142">
        <v>1800</v>
      </c>
      <c r="F50" s="142">
        <v>1800</v>
      </c>
      <c r="G50" s="142">
        <v>1800</v>
      </c>
      <c r="H50" s="142">
        <v>1800</v>
      </c>
      <c r="I50" s="142">
        <v>1800</v>
      </c>
      <c r="J50" s="142">
        <v>1800</v>
      </c>
      <c r="K50" s="142">
        <v>1800</v>
      </c>
      <c r="L50" s="142">
        <v>1800</v>
      </c>
      <c r="M50" s="142">
        <v>1800</v>
      </c>
      <c r="N50" s="142">
        <v>1800</v>
      </c>
      <c r="O50" s="142">
        <v>1800</v>
      </c>
      <c r="P50" s="655">
        <f t="shared" si="6"/>
        <v>21600</v>
      </c>
      <c r="Q50" s="125"/>
    </row>
    <row r="51" spans="2:17" x14ac:dyDescent="0.25">
      <c r="B51" s="903"/>
      <c r="C51" s="125" t="s">
        <v>381</v>
      </c>
      <c r="D51" s="142">
        <f>36000/12</f>
        <v>3000</v>
      </c>
      <c r="E51" s="142">
        <f>36000/12</f>
        <v>3000</v>
      </c>
      <c r="F51" s="142">
        <f t="shared" ref="F51:N51" si="7">36000/12</f>
        <v>3000</v>
      </c>
      <c r="G51" s="142">
        <f t="shared" si="7"/>
        <v>3000</v>
      </c>
      <c r="H51" s="142">
        <f t="shared" si="7"/>
        <v>3000</v>
      </c>
      <c r="I51" s="142">
        <f t="shared" si="7"/>
        <v>3000</v>
      </c>
      <c r="J51" s="142">
        <f t="shared" si="7"/>
        <v>3000</v>
      </c>
      <c r="K51" s="142">
        <f t="shared" si="7"/>
        <v>3000</v>
      </c>
      <c r="L51" s="142">
        <f t="shared" si="7"/>
        <v>3000</v>
      </c>
      <c r="M51" s="142">
        <f t="shared" si="7"/>
        <v>3000</v>
      </c>
      <c r="N51" s="142">
        <f t="shared" si="7"/>
        <v>3000</v>
      </c>
      <c r="O51" s="142">
        <f>36000/12</f>
        <v>3000</v>
      </c>
      <c r="P51" s="655">
        <f t="shared" si="6"/>
        <v>36000</v>
      </c>
      <c r="Q51" s="125"/>
    </row>
    <row r="52" spans="2:17" ht="15.75" thickBot="1" x14ac:dyDescent="0.3">
      <c r="B52" s="904"/>
      <c r="C52" s="150" t="s">
        <v>120</v>
      </c>
      <c r="D52" s="143">
        <v>3000</v>
      </c>
      <c r="E52" s="143">
        <v>3000</v>
      </c>
      <c r="F52" s="143">
        <v>3000</v>
      </c>
      <c r="G52" s="143">
        <v>3000</v>
      </c>
      <c r="H52" s="143">
        <v>3000</v>
      </c>
      <c r="I52" s="143">
        <v>3000</v>
      </c>
      <c r="J52" s="143">
        <v>3000</v>
      </c>
      <c r="K52" s="143">
        <v>3000</v>
      </c>
      <c r="L52" s="143">
        <v>3000</v>
      </c>
      <c r="M52" s="143">
        <v>3000</v>
      </c>
      <c r="N52" s="143">
        <v>3000</v>
      </c>
      <c r="O52" s="143">
        <v>3000</v>
      </c>
      <c r="P52" s="656">
        <f t="shared" si="6"/>
        <v>36000</v>
      </c>
      <c r="Q52" s="134"/>
    </row>
    <row r="53" spans="2:17" s="663" customFormat="1" ht="27.75" customHeight="1" x14ac:dyDescent="0.25">
      <c r="B53" s="909" t="s">
        <v>112</v>
      </c>
      <c r="C53" s="668" t="s">
        <v>310</v>
      </c>
      <c r="D53" s="144">
        <f>O35*1.15</f>
        <v>69960.25</v>
      </c>
      <c r="E53" s="135">
        <v>69960.25</v>
      </c>
      <c r="F53" s="135">
        <v>69960.25</v>
      </c>
      <c r="G53" s="135">
        <v>69960.25</v>
      </c>
      <c r="H53" s="135">
        <v>69960.25</v>
      </c>
      <c r="I53" s="135">
        <v>69960.25</v>
      </c>
      <c r="J53" s="135">
        <f>I53*1.15</f>
        <v>80454.287499999991</v>
      </c>
      <c r="K53" s="135">
        <v>80454.289999999994</v>
      </c>
      <c r="L53" s="135">
        <v>80454.289999999994</v>
      </c>
      <c r="M53" s="135">
        <v>80454.289999999994</v>
      </c>
      <c r="N53" s="135">
        <v>80454.289999999994</v>
      </c>
      <c r="O53" s="135">
        <v>80454.289999999994</v>
      </c>
      <c r="P53" s="657">
        <f>SUM(D53:O53)</f>
        <v>902487.23750000016</v>
      </c>
      <c r="Q53" s="136"/>
    </row>
    <row r="54" spans="2:17" s="663" customFormat="1" ht="27.75" customHeight="1" thickBot="1" x14ac:dyDescent="0.3">
      <c r="B54" s="910"/>
      <c r="C54" s="669" t="s">
        <v>121</v>
      </c>
      <c r="D54" s="670">
        <v>0</v>
      </c>
      <c r="E54" s="671">
        <v>0</v>
      </c>
      <c r="F54" s="671">
        <v>0</v>
      </c>
      <c r="G54" s="671">
        <v>0</v>
      </c>
      <c r="H54" s="671">
        <v>0</v>
      </c>
      <c r="I54" s="671">
        <v>0</v>
      </c>
      <c r="J54" s="671">
        <v>0</v>
      </c>
      <c r="K54" s="671">
        <v>0</v>
      </c>
      <c r="L54" s="671">
        <v>0</v>
      </c>
      <c r="M54" s="671">
        <v>0</v>
      </c>
      <c r="N54" s="671">
        <v>0</v>
      </c>
      <c r="O54" s="672">
        <v>0</v>
      </c>
      <c r="P54" s="673">
        <f>SUM(D54:O54)</f>
        <v>0</v>
      </c>
      <c r="Q54" s="674"/>
    </row>
    <row r="55" spans="2:17" ht="19.5" thickBot="1" x14ac:dyDescent="0.35">
      <c r="B55" s="653" t="s">
        <v>113</v>
      </c>
      <c r="C55" s="151" t="s">
        <v>114</v>
      </c>
      <c r="D55" s="145">
        <v>8500</v>
      </c>
      <c r="E55" s="137">
        <v>8500</v>
      </c>
      <c r="F55" s="137">
        <v>8500</v>
      </c>
      <c r="G55" s="137">
        <v>8500</v>
      </c>
      <c r="H55" s="137">
        <v>8500</v>
      </c>
      <c r="I55" s="137">
        <v>8500</v>
      </c>
      <c r="J55" s="137">
        <v>8500</v>
      </c>
      <c r="K55" s="137">
        <v>8500</v>
      </c>
      <c r="L55" s="137">
        <v>8500</v>
      </c>
      <c r="M55" s="137">
        <v>8500</v>
      </c>
      <c r="N55" s="137">
        <v>8500</v>
      </c>
      <c r="O55" s="138">
        <v>8500</v>
      </c>
      <c r="P55" s="658">
        <f>SUM(D55:O55)</f>
        <v>102000</v>
      </c>
      <c r="Q55" s="139"/>
    </row>
    <row r="56" spans="2:17" ht="18" customHeight="1" x14ac:dyDescent="0.25">
      <c r="B56" s="905" t="s">
        <v>383</v>
      </c>
      <c r="C56" s="148" t="s">
        <v>122</v>
      </c>
      <c r="D56" s="142">
        <v>60000</v>
      </c>
      <c r="E56" s="142">
        <v>60000</v>
      </c>
      <c r="F56" s="142">
        <v>60000</v>
      </c>
      <c r="G56" s="142">
        <v>60000</v>
      </c>
      <c r="H56" s="142">
        <v>60000</v>
      </c>
      <c r="I56" s="142">
        <v>60000</v>
      </c>
      <c r="J56" s="142">
        <v>60000</v>
      </c>
      <c r="K56" s="142">
        <v>60000</v>
      </c>
      <c r="L56" s="142">
        <v>60000</v>
      </c>
      <c r="M56" s="142">
        <v>60000</v>
      </c>
      <c r="N56" s="142">
        <v>60000</v>
      </c>
      <c r="O56" s="142">
        <v>60000</v>
      </c>
      <c r="P56" s="655">
        <f>SUM(D56:O56)</f>
        <v>720000</v>
      </c>
      <c r="Q56" s="124"/>
    </row>
    <row r="57" spans="2:17" ht="18" customHeight="1" thickBot="1" x14ac:dyDescent="0.3">
      <c r="B57" s="906"/>
      <c r="C57" s="150" t="s">
        <v>311</v>
      </c>
      <c r="D57" s="146">
        <v>50000</v>
      </c>
      <c r="E57" s="146">
        <v>50000</v>
      </c>
      <c r="F57" s="146">
        <v>50000</v>
      </c>
      <c r="G57" s="146">
        <v>50000</v>
      </c>
      <c r="H57" s="146">
        <v>50000</v>
      </c>
      <c r="I57" s="146">
        <v>50000</v>
      </c>
      <c r="J57" s="146">
        <v>50000</v>
      </c>
      <c r="K57" s="146">
        <v>50000</v>
      </c>
      <c r="L57" s="146">
        <v>50000</v>
      </c>
      <c r="M57" s="146">
        <v>50000</v>
      </c>
      <c r="N57" s="146">
        <v>50000</v>
      </c>
      <c r="O57" s="146">
        <v>50000</v>
      </c>
      <c r="P57" s="659">
        <f>SUM(D57:O57)</f>
        <v>600000</v>
      </c>
      <c r="Q57" s="124"/>
    </row>
    <row r="58" spans="2:17" ht="15.75" thickBot="1" x14ac:dyDescent="0.3">
      <c r="B58" s="19"/>
      <c r="C58" s="660" t="s">
        <v>19</v>
      </c>
      <c r="D58" s="661">
        <f t="shared" ref="D58:P58" si="8">SUM(D46:D57)</f>
        <v>213150.25</v>
      </c>
      <c r="E58" s="661">
        <f t="shared" si="8"/>
        <v>211150.25</v>
      </c>
      <c r="F58" s="661">
        <f t="shared" si="8"/>
        <v>213150.25</v>
      </c>
      <c r="G58" s="661">
        <f t="shared" si="8"/>
        <v>211150.25</v>
      </c>
      <c r="H58" s="661">
        <f t="shared" si="8"/>
        <v>213150.25</v>
      </c>
      <c r="I58" s="661">
        <f t="shared" si="8"/>
        <v>211150.25</v>
      </c>
      <c r="J58" s="661">
        <f t="shared" si="8"/>
        <v>223644.28749999998</v>
      </c>
      <c r="K58" s="661">
        <f t="shared" si="8"/>
        <v>221644.28999999998</v>
      </c>
      <c r="L58" s="661">
        <f t="shared" si="8"/>
        <v>223644.28999999998</v>
      </c>
      <c r="M58" s="661">
        <f t="shared" si="8"/>
        <v>221644.28999999998</v>
      </c>
      <c r="N58" s="661">
        <f t="shared" si="8"/>
        <v>223644.28999999998</v>
      </c>
      <c r="O58" s="662">
        <f t="shared" si="8"/>
        <v>221644.28999999998</v>
      </c>
      <c r="P58" s="140">
        <f t="shared" si="8"/>
        <v>2608767.2375000003</v>
      </c>
      <c r="Q58" s="121"/>
    </row>
  </sheetData>
  <mergeCells count="17">
    <mergeCell ref="B10:C10"/>
    <mergeCell ref="C3:E3"/>
    <mergeCell ref="B11:B17"/>
    <mergeCell ref="B56:B57"/>
    <mergeCell ref="G3:I3"/>
    <mergeCell ref="B38:B39"/>
    <mergeCell ref="B44:Q44"/>
    <mergeCell ref="B45:C45"/>
    <mergeCell ref="B46:B52"/>
    <mergeCell ref="B53:B54"/>
    <mergeCell ref="B21:B22"/>
    <mergeCell ref="B26:Q26"/>
    <mergeCell ref="B27:C27"/>
    <mergeCell ref="B28:B34"/>
    <mergeCell ref="B35:B36"/>
    <mergeCell ref="B18:B19"/>
    <mergeCell ref="B9:Q9"/>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19"/>
  <sheetViews>
    <sheetView zoomScale="60" zoomScaleNormal="60" workbookViewId="0">
      <pane xSplit="3" ySplit="1" topLeftCell="D2" activePane="bottomRight" state="frozen"/>
      <selection pane="topRight" activeCell="D1" sqref="D1"/>
      <selection pane="bottomLeft" activeCell="A2" sqref="A2"/>
      <selection pane="bottomRight" activeCell="M14" sqref="M14"/>
    </sheetView>
  </sheetViews>
  <sheetFormatPr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465" customFormat="1" ht="58.5" customHeight="1" x14ac:dyDescent="0.25">
      <c r="A1" s="467"/>
      <c r="B1" s="467"/>
      <c r="C1" s="467"/>
      <c r="D1" s="467"/>
      <c r="E1" s="467"/>
      <c r="F1" s="470" t="s">
        <v>5</v>
      </c>
      <c r="G1" s="471"/>
      <c r="H1" s="471"/>
      <c r="I1" s="467"/>
      <c r="J1" s="467"/>
      <c r="K1" s="467"/>
      <c r="L1" s="467"/>
    </row>
    <row r="3" spans="1:12" ht="15.75" thickBot="1" x14ac:dyDescent="0.3"/>
    <row r="4" spans="1:12" ht="27" thickBot="1" x14ac:dyDescent="0.45">
      <c r="B4" s="927" t="s">
        <v>36</v>
      </c>
      <c r="C4" s="928"/>
      <c r="D4" s="929"/>
      <c r="E4" s="37"/>
      <c r="H4" s="927" t="s">
        <v>124</v>
      </c>
      <c r="I4" s="928"/>
      <c r="J4" s="929"/>
    </row>
    <row r="5" spans="1:12" x14ac:dyDescent="0.25">
      <c r="B5" s="32">
        <v>2019</v>
      </c>
      <c r="C5" s="32">
        <v>2020</v>
      </c>
      <c r="D5" s="32">
        <v>2021</v>
      </c>
      <c r="E5" s="82"/>
      <c r="H5" s="42">
        <v>2019</v>
      </c>
      <c r="I5" s="32">
        <v>2020</v>
      </c>
      <c r="J5" s="43">
        <v>2021</v>
      </c>
    </row>
    <row r="6" spans="1:12" ht="15.75" thickBot="1" x14ac:dyDescent="0.3">
      <c r="B6" s="38">
        <f>Hipótesis!C24</f>
        <v>0.03</v>
      </c>
      <c r="C6" s="38">
        <f>Hipótesis!C25</f>
        <v>7.0000000000000007E-2</v>
      </c>
      <c r="D6" s="38">
        <f>Hipótesis!C26</f>
        <v>0.12</v>
      </c>
      <c r="E6" s="155"/>
      <c r="H6" s="46" t="e">
        <f>AB71</f>
        <v>#REF!</v>
      </c>
      <c r="I6" s="47" t="e">
        <f>AB95</f>
        <v>#REF!</v>
      </c>
      <c r="J6" s="48" t="e">
        <f>AB119</f>
        <v>#REF!</v>
      </c>
    </row>
    <row r="7" spans="1:12" x14ac:dyDescent="0.25">
      <c r="B7" s="31">
        <f>Hipótesis!D24</f>
        <v>18750000</v>
      </c>
      <c r="C7" s="31">
        <f>Hipótesis!D25</f>
        <v>43750000.000000007</v>
      </c>
      <c r="D7" s="31">
        <f>Hipótesis!D26</f>
        <v>75000000</v>
      </c>
      <c r="E7" s="152"/>
    </row>
    <row r="9" spans="1:12" ht="15.75" thickBot="1" x14ac:dyDescent="0.3"/>
    <row r="10" spans="1:12" ht="27" thickBot="1" x14ac:dyDescent="0.45">
      <c r="B10" s="927" t="s">
        <v>151</v>
      </c>
      <c r="C10" s="928"/>
      <c r="D10" s="928"/>
      <c r="E10" s="929"/>
    </row>
    <row r="11" spans="1:12" ht="27" thickBot="1" x14ac:dyDescent="0.45">
      <c r="B11" s="930" t="s">
        <v>309</v>
      </c>
      <c r="C11" s="931"/>
      <c r="D11" s="931"/>
      <c r="E11" s="932"/>
      <c r="F11" s="93"/>
    </row>
    <row r="12" spans="1:12" ht="16.5" thickBot="1" x14ac:dyDescent="0.3">
      <c r="B12" s="173" t="s">
        <v>61</v>
      </c>
      <c r="C12" s="174" t="s">
        <v>57</v>
      </c>
      <c r="D12" s="174" t="s">
        <v>131</v>
      </c>
      <c r="E12" s="175" t="s">
        <v>126</v>
      </c>
    </row>
    <row r="13" spans="1:12" ht="30" x14ac:dyDescent="0.25">
      <c r="B13" s="159" t="s">
        <v>138</v>
      </c>
      <c r="C13" s="156">
        <v>1</v>
      </c>
      <c r="D13" s="157">
        <v>800</v>
      </c>
      <c r="E13" s="160">
        <f>C13*D13</f>
        <v>800</v>
      </c>
      <c r="I13" s="52"/>
      <c r="J13" s="53">
        <v>2800</v>
      </c>
    </row>
    <row r="14" spans="1:12" ht="30" x14ac:dyDescent="0.25">
      <c r="B14" s="159" t="s">
        <v>137</v>
      </c>
      <c r="C14" s="156">
        <v>2</v>
      </c>
      <c r="D14" s="157">
        <v>65</v>
      </c>
      <c r="E14" s="160">
        <f t="shared" ref="E14:E19" si="0">C14*D14</f>
        <v>130</v>
      </c>
      <c r="I14" s="54"/>
      <c r="J14" s="51">
        <v>15500</v>
      </c>
    </row>
    <row r="15" spans="1:12" ht="16.5" thickBot="1" x14ac:dyDescent="0.3">
      <c r="B15" s="159" t="s">
        <v>132</v>
      </c>
      <c r="C15" s="156">
        <v>2</v>
      </c>
      <c r="D15" s="157">
        <v>50</v>
      </c>
      <c r="E15" s="160">
        <f t="shared" si="0"/>
        <v>100</v>
      </c>
      <c r="I15" s="55"/>
      <c r="J15" s="56">
        <v>23000</v>
      </c>
    </row>
    <row r="16" spans="1:12" x14ac:dyDescent="0.25">
      <c r="B16" s="159" t="s">
        <v>127</v>
      </c>
      <c r="C16" s="156">
        <v>2</v>
      </c>
      <c r="D16" s="157">
        <v>70</v>
      </c>
      <c r="E16" s="160">
        <f t="shared" si="0"/>
        <v>140</v>
      </c>
    </row>
    <row r="17" spans="2:6" x14ac:dyDescent="0.25">
      <c r="B17" s="159" t="s">
        <v>128</v>
      </c>
      <c r="C17" s="156">
        <v>1</v>
      </c>
      <c r="D17" s="157">
        <v>80</v>
      </c>
      <c r="E17" s="160">
        <f t="shared" si="0"/>
        <v>80</v>
      </c>
    </row>
    <row r="18" spans="2:6" x14ac:dyDescent="0.25">
      <c r="B18" s="159" t="s">
        <v>129</v>
      </c>
      <c r="C18" s="156">
        <v>1</v>
      </c>
      <c r="D18" s="157">
        <v>50</v>
      </c>
      <c r="E18" s="160">
        <f t="shared" si="0"/>
        <v>50</v>
      </c>
    </row>
    <row r="19" spans="2:6" ht="15.75" thickBot="1" x14ac:dyDescent="0.3">
      <c r="B19" s="161" t="s">
        <v>130</v>
      </c>
      <c r="C19" s="162">
        <v>1</v>
      </c>
      <c r="D19" s="163">
        <v>60</v>
      </c>
      <c r="E19" s="164">
        <f t="shared" si="0"/>
        <v>60</v>
      </c>
    </row>
    <row r="20" spans="2:6" ht="16.5" thickBot="1" x14ac:dyDescent="0.3">
      <c r="D20" s="165" t="s">
        <v>19</v>
      </c>
      <c r="E20" s="172">
        <f>SUM(E13:E19)</f>
        <v>1360</v>
      </c>
    </row>
    <row r="21" spans="2:6" ht="15.75" thickBot="1" x14ac:dyDescent="0.3"/>
    <row r="22" spans="2:6" ht="27" thickBot="1" x14ac:dyDescent="0.45">
      <c r="B22" s="930" t="s">
        <v>309</v>
      </c>
      <c r="C22" s="931"/>
      <c r="D22" s="931"/>
      <c r="E22" s="932"/>
      <c r="F22" s="168"/>
    </row>
    <row r="23" spans="2:6" ht="15.75" x14ac:dyDescent="0.25">
      <c r="B23" s="173" t="s">
        <v>61</v>
      </c>
      <c r="C23" s="174" t="s">
        <v>57</v>
      </c>
      <c r="D23" s="174" t="s">
        <v>131</v>
      </c>
      <c r="E23" s="175" t="s">
        <v>126</v>
      </c>
      <c r="F23" s="169"/>
    </row>
    <row r="24" spans="2:6" ht="16.5" customHeight="1" x14ac:dyDescent="0.25">
      <c r="B24" s="159" t="s">
        <v>133</v>
      </c>
      <c r="C24" s="156">
        <v>10</v>
      </c>
      <c r="D24" s="157">
        <v>85</v>
      </c>
      <c r="E24" s="160">
        <f>C24*D24</f>
        <v>850</v>
      </c>
      <c r="F24" s="169"/>
    </row>
    <row r="25" spans="2:6" x14ac:dyDescent="0.25">
      <c r="B25" s="159" t="s">
        <v>134</v>
      </c>
      <c r="C25" s="156">
        <v>8</v>
      </c>
      <c r="D25" s="157">
        <v>60</v>
      </c>
      <c r="E25" s="160">
        <f t="shared" ref="E25:E32" si="1">C25*D25</f>
        <v>480</v>
      </c>
      <c r="F25" s="169"/>
    </row>
    <row r="26" spans="2:6" x14ac:dyDescent="0.25">
      <c r="B26" s="159" t="s">
        <v>135</v>
      </c>
      <c r="C26" s="156">
        <v>1</v>
      </c>
      <c r="D26" s="157">
        <v>250</v>
      </c>
      <c r="E26" s="160">
        <f t="shared" si="1"/>
        <v>250</v>
      </c>
      <c r="F26" s="169"/>
    </row>
    <row r="27" spans="2:6" x14ac:dyDescent="0.25">
      <c r="B27" s="159" t="s">
        <v>34</v>
      </c>
      <c r="C27" s="156">
        <v>1</v>
      </c>
      <c r="D27" s="157">
        <v>1800</v>
      </c>
      <c r="E27" s="160">
        <f t="shared" si="1"/>
        <v>1800</v>
      </c>
      <c r="F27" s="169"/>
    </row>
    <row r="28" spans="2:6" x14ac:dyDescent="0.25">
      <c r="B28" s="159" t="s">
        <v>136</v>
      </c>
      <c r="C28" s="156">
        <v>1</v>
      </c>
      <c r="D28" s="157">
        <v>600</v>
      </c>
      <c r="E28" s="160">
        <f t="shared" si="1"/>
        <v>600</v>
      </c>
      <c r="F28" s="169"/>
    </row>
    <row r="29" spans="2:6" x14ac:dyDescent="0.25">
      <c r="B29" s="159" t="s">
        <v>139</v>
      </c>
      <c r="C29" s="156">
        <v>4</v>
      </c>
      <c r="D29" s="157">
        <v>200</v>
      </c>
      <c r="E29" s="160">
        <f t="shared" si="1"/>
        <v>800</v>
      </c>
      <c r="F29" s="169"/>
    </row>
    <row r="30" spans="2:6" x14ac:dyDescent="0.25">
      <c r="B30" s="159" t="s">
        <v>140</v>
      </c>
      <c r="C30" s="156">
        <v>1</v>
      </c>
      <c r="D30" s="157">
        <v>400</v>
      </c>
      <c r="E30" s="160">
        <f t="shared" si="1"/>
        <v>400</v>
      </c>
      <c r="F30" s="169"/>
    </row>
    <row r="31" spans="2:6" x14ac:dyDescent="0.25">
      <c r="B31" s="159" t="s">
        <v>141</v>
      </c>
      <c r="C31" s="156">
        <v>1</v>
      </c>
      <c r="D31" s="157">
        <v>250</v>
      </c>
      <c r="E31" s="160">
        <f t="shared" si="1"/>
        <v>250</v>
      </c>
      <c r="F31" s="169"/>
    </row>
    <row r="32" spans="2:6" ht="15.75" thickBot="1" x14ac:dyDescent="0.3">
      <c r="B32" s="161" t="s">
        <v>142</v>
      </c>
      <c r="C32" s="162">
        <v>1</v>
      </c>
      <c r="D32" s="163">
        <v>275</v>
      </c>
      <c r="E32" s="164">
        <f t="shared" si="1"/>
        <v>275</v>
      </c>
      <c r="F32" s="170"/>
    </row>
    <row r="33" spans="2:6" ht="16.5" thickBot="1" x14ac:dyDescent="0.3">
      <c r="D33" s="165" t="s">
        <v>19</v>
      </c>
      <c r="E33" s="172">
        <f>SUM(E24:E32)</f>
        <v>5705</v>
      </c>
      <c r="F33" s="50"/>
    </row>
    <row r="34" spans="2:6" ht="15.75" thickBot="1" x14ac:dyDescent="0.3">
      <c r="B34" s="50"/>
      <c r="C34" s="50"/>
      <c r="D34" s="50"/>
      <c r="E34" s="50"/>
      <c r="F34" s="50"/>
    </row>
    <row r="35" spans="2:6" ht="27" thickBot="1" x14ac:dyDescent="0.45">
      <c r="B35" s="927" t="s">
        <v>309</v>
      </c>
      <c r="C35" s="928"/>
      <c r="D35" s="928"/>
      <c r="E35" s="929"/>
      <c r="F35" s="50"/>
    </row>
    <row r="36" spans="2:6" ht="15.75" x14ac:dyDescent="0.25">
      <c r="B36" s="166" t="s">
        <v>61</v>
      </c>
      <c r="C36" s="158" t="s">
        <v>57</v>
      </c>
      <c r="D36" s="158" t="s">
        <v>131</v>
      </c>
      <c r="E36" s="167" t="s">
        <v>126</v>
      </c>
      <c r="F36" s="171"/>
    </row>
    <row r="37" spans="2:6" x14ac:dyDescent="0.25">
      <c r="B37" s="159" t="s">
        <v>133</v>
      </c>
      <c r="C37" s="156">
        <v>22</v>
      </c>
      <c r="D37" s="157">
        <v>85</v>
      </c>
      <c r="E37" s="160">
        <f>C37*D37</f>
        <v>1870</v>
      </c>
      <c r="F37" s="50"/>
    </row>
    <row r="38" spans="2:6" x14ac:dyDescent="0.25">
      <c r="B38" s="159" t="s">
        <v>134</v>
      </c>
      <c r="C38" s="156">
        <v>16</v>
      </c>
      <c r="D38" s="157">
        <v>60</v>
      </c>
      <c r="E38" s="160">
        <f t="shared" ref="E38:E45" si="2">C38*D38</f>
        <v>960</v>
      </c>
      <c r="F38" s="50"/>
    </row>
    <row r="39" spans="2:6" x14ac:dyDescent="0.25">
      <c r="B39" s="159" t="s">
        <v>135</v>
      </c>
      <c r="C39" s="156">
        <v>1</v>
      </c>
      <c r="D39" s="157">
        <v>250</v>
      </c>
      <c r="E39" s="160">
        <f t="shared" si="2"/>
        <v>250</v>
      </c>
      <c r="F39" s="50"/>
    </row>
    <row r="40" spans="2:6" x14ac:dyDescent="0.25">
      <c r="B40" s="159" t="s">
        <v>34</v>
      </c>
      <c r="C40" s="156">
        <v>1</v>
      </c>
      <c r="D40" s="157">
        <v>1800</v>
      </c>
      <c r="E40" s="160">
        <f t="shared" si="2"/>
        <v>1800</v>
      </c>
      <c r="F40" s="50"/>
    </row>
    <row r="41" spans="2:6" x14ac:dyDescent="0.25">
      <c r="B41" s="159" t="s">
        <v>136</v>
      </c>
      <c r="C41" s="156">
        <v>1</v>
      </c>
      <c r="D41" s="157">
        <v>600</v>
      </c>
      <c r="E41" s="160">
        <f t="shared" si="2"/>
        <v>600</v>
      </c>
      <c r="F41" s="50"/>
    </row>
    <row r="42" spans="2:6" x14ac:dyDescent="0.25">
      <c r="B42" s="159" t="s">
        <v>139</v>
      </c>
      <c r="C42" s="156">
        <v>8</v>
      </c>
      <c r="D42" s="157">
        <v>200</v>
      </c>
      <c r="E42" s="160">
        <f t="shared" si="2"/>
        <v>1600</v>
      </c>
      <c r="F42" s="50"/>
    </row>
    <row r="43" spans="2:6" x14ac:dyDescent="0.25">
      <c r="B43" s="159" t="s">
        <v>140</v>
      </c>
      <c r="C43" s="156">
        <v>1</v>
      </c>
      <c r="D43" s="157">
        <v>400</v>
      </c>
      <c r="E43" s="160">
        <f t="shared" si="2"/>
        <v>400</v>
      </c>
      <c r="F43" s="50"/>
    </row>
    <row r="44" spans="2:6" x14ac:dyDescent="0.25">
      <c r="B44" s="159" t="s">
        <v>141</v>
      </c>
      <c r="C44" s="156">
        <v>1</v>
      </c>
      <c r="D44" s="157">
        <v>250</v>
      </c>
      <c r="E44" s="160">
        <f t="shared" si="2"/>
        <v>250</v>
      </c>
      <c r="F44" s="50"/>
    </row>
    <row r="45" spans="2:6" ht="15.75" thickBot="1" x14ac:dyDescent="0.3">
      <c r="B45" s="161" t="s">
        <v>142</v>
      </c>
      <c r="C45" s="162">
        <v>1</v>
      </c>
      <c r="D45" s="163">
        <v>375</v>
      </c>
      <c r="E45" s="164">
        <f t="shared" si="2"/>
        <v>375</v>
      </c>
      <c r="F45" s="50"/>
    </row>
    <row r="46" spans="2:6" ht="16.5" thickBot="1" x14ac:dyDescent="0.3">
      <c r="D46" s="165" t="s">
        <v>19</v>
      </c>
      <c r="E46" s="172">
        <f>SUM(E37:E45)</f>
        <v>8105</v>
      </c>
      <c r="F46" s="50"/>
    </row>
    <row r="47" spans="2:6" x14ac:dyDescent="0.25">
      <c r="B47" s="1">
        <v>1E-3</v>
      </c>
    </row>
    <row r="48" spans="2:6" x14ac:dyDescent="0.25">
      <c r="B48" s="1">
        <v>0.5</v>
      </c>
      <c r="C48" s="1">
        <v>100</v>
      </c>
    </row>
    <row r="49" spans="1:28" ht="15.75" thickBot="1" x14ac:dyDescent="0.3"/>
    <row r="50" spans="1:28" ht="27" thickBot="1" x14ac:dyDescent="0.45">
      <c r="B50" s="920" t="s">
        <v>125</v>
      </c>
      <c r="C50" s="921"/>
      <c r="D50" s="921"/>
      <c r="E50" s="921"/>
      <c r="F50" s="921"/>
      <c r="G50" s="921"/>
      <c r="H50" s="921"/>
      <c r="I50" s="921"/>
      <c r="J50" s="921"/>
      <c r="K50" s="921"/>
      <c r="L50" s="921"/>
      <c r="M50" s="921"/>
      <c r="N50" s="921"/>
      <c r="O50" s="921"/>
      <c r="P50" s="921"/>
      <c r="Q50" s="921"/>
      <c r="R50" s="921"/>
      <c r="S50" s="921"/>
      <c r="T50" s="921"/>
      <c r="U50" s="921"/>
      <c r="V50" s="921"/>
      <c r="W50" s="921"/>
      <c r="X50" s="921"/>
      <c r="Y50" s="921"/>
      <c r="Z50" s="921"/>
      <c r="AA50" s="921"/>
      <c r="AB50" s="922"/>
    </row>
    <row r="51" spans="1:28" x14ac:dyDescent="0.25">
      <c r="B51" s="923" t="s">
        <v>61</v>
      </c>
      <c r="C51" s="924"/>
      <c r="D51" s="919" t="s">
        <v>42</v>
      </c>
      <c r="E51" s="915"/>
      <c r="F51" s="914" t="s">
        <v>43</v>
      </c>
      <c r="G51" s="915"/>
      <c r="H51" s="914" t="s">
        <v>44</v>
      </c>
      <c r="I51" s="915"/>
      <c r="J51" s="914" t="s">
        <v>45</v>
      </c>
      <c r="K51" s="915"/>
      <c r="L51" s="914" t="s">
        <v>46</v>
      </c>
      <c r="M51" s="915"/>
      <c r="N51" s="914" t="s">
        <v>47</v>
      </c>
      <c r="O51" s="915"/>
      <c r="P51" s="914" t="s">
        <v>48</v>
      </c>
      <c r="Q51" s="915"/>
      <c r="R51" s="914" t="s">
        <v>49</v>
      </c>
      <c r="S51" s="915"/>
      <c r="T51" s="914" t="s">
        <v>50</v>
      </c>
      <c r="U51" s="915"/>
      <c r="V51" s="914" t="s">
        <v>51</v>
      </c>
      <c r="W51" s="915"/>
      <c r="X51" s="914" t="s">
        <v>52</v>
      </c>
      <c r="Y51" s="915"/>
      <c r="Z51" s="914" t="s">
        <v>53</v>
      </c>
      <c r="AA51" s="919"/>
      <c r="AB51" s="926" t="s">
        <v>19</v>
      </c>
    </row>
    <row r="52" spans="1:28" ht="15.75" thickBot="1" x14ac:dyDescent="0.3">
      <c r="B52" s="184" t="s">
        <v>86</v>
      </c>
      <c r="C52" s="185" t="s">
        <v>131</v>
      </c>
      <c r="D52" s="186" t="s">
        <v>57</v>
      </c>
      <c r="E52" s="187" t="s">
        <v>75</v>
      </c>
      <c r="F52" s="187" t="s">
        <v>57</v>
      </c>
      <c r="G52" s="187" t="s">
        <v>75</v>
      </c>
      <c r="H52" s="187" t="s">
        <v>57</v>
      </c>
      <c r="I52" s="187" t="s">
        <v>75</v>
      </c>
      <c r="J52" s="187" t="s">
        <v>57</v>
      </c>
      <c r="K52" s="187" t="s">
        <v>75</v>
      </c>
      <c r="L52" s="187" t="s">
        <v>57</v>
      </c>
      <c r="M52" s="187" t="s">
        <v>75</v>
      </c>
      <c r="N52" s="187" t="s">
        <v>57</v>
      </c>
      <c r="O52" s="187" t="s">
        <v>75</v>
      </c>
      <c r="P52" s="187" t="s">
        <v>57</v>
      </c>
      <c r="Q52" s="187" t="s">
        <v>75</v>
      </c>
      <c r="R52" s="187" t="s">
        <v>57</v>
      </c>
      <c r="S52" s="187" t="s">
        <v>75</v>
      </c>
      <c r="T52" s="187" t="s">
        <v>57</v>
      </c>
      <c r="U52" s="187" t="s">
        <v>75</v>
      </c>
      <c r="V52" s="187" t="s">
        <v>57</v>
      </c>
      <c r="W52" s="187" t="s">
        <v>75</v>
      </c>
      <c r="X52" s="187" t="s">
        <v>57</v>
      </c>
      <c r="Y52" s="187" t="s">
        <v>75</v>
      </c>
      <c r="Z52" s="187" t="s">
        <v>57</v>
      </c>
      <c r="AA52" s="188" t="s">
        <v>75</v>
      </c>
      <c r="AB52" s="926"/>
    </row>
    <row r="53" spans="1:28" x14ac:dyDescent="0.25">
      <c r="A53" s="916" t="s">
        <v>143</v>
      </c>
      <c r="B53" s="189"/>
      <c r="C53" s="190">
        <f>$E$20</f>
        <v>1360</v>
      </c>
      <c r="D53" s="191">
        <f>'Proy. ventas'!E19</f>
        <v>0.12</v>
      </c>
      <c r="E53" s="129">
        <f t="shared" ref="E53:E64" si="3">D53*C53</f>
        <v>163.19999999999999</v>
      </c>
      <c r="F53" s="218">
        <f>'Proy. ventas'!G19</f>
        <v>0.08</v>
      </c>
      <c r="G53" s="129">
        <f t="shared" ref="G53:G68" si="4">F53*C53</f>
        <v>108.8</v>
      </c>
      <c r="H53" s="218">
        <f>'Proy. ventas'!I19</f>
        <v>0.16</v>
      </c>
      <c r="I53" s="129">
        <f t="shared" ref="I53:I68" si="5">H53*C53</f>
        <v>217.6</v>
      </c>
      <c r="J53" s="218">
        <f>'Proy. ventas'!K19</f>
        <v>0.14000000000000001</v>
      </c>
      <c r="K53" s="129">
        <f t="shared" ref="K53:K68" si="6">J53*C53</f>
        <v>190.4</v>
      </c>
      <c r="L53" s="218">
        <f>'Proy. ventas'!M19</f>
        <v>0.22</v>
      </c>
      <c r="M53" s="129">
        <f t="shared" ref="M53:M68" si="7">L53*C53</f>
        <v>299.2</v>
      </c>
      <c r="N53" s="218">
        <f>'Proy. ventas'!O19</f>
        <v>0.08</v>
      </c>
      <c r="O53" s="129">
        <f t="shared" ref="O53:O68" si="8">N53*C53</f>
        <v>108.8</v>
      </c>
      <c r="P53" s="218">
        <f>'Proy. ventas'!Q19</f>
        <v>0.12</v>
      </c>
      <c r="Q53" s="129">
        <f t="shared" ref="Q53:Q68" si="9">P53*C53</f>
        <v>163.19999999999999</v>
      </c>
      <c r="R53" s="218">
        <f>'Proy. ventas'!S19</f>
        <v>0.24</v>
      </c>
      <c r="S53" s="129">
        <f t="shared" ref="S53:S68" si="10">R53*C53</f>
        <v>326.39999999999998</v>
      </c>
      <c r="T53" s="218">
        <f>'Proy. ventas'!U19</f>
        <v>0.22</v>
      </c>
      <c r="U53" s="129">
        <f t="shared" ref="U53:U68" si="11">T53*C53</f>
        <v>299.2</v>
      </c>
      <c r="V53" s="218">
        <f>'Proy. ventas'!W19</f>
        <v>0.28000000000000003</v>
      </c>
      <c r="W53" s="129">
        <f t="shared" ref="W53:W68" si="12">V53*C53</f>
        <v>380.8</v>
      </c>
      <c r="X53" s="218">
        <f>'Proy. ventas'!Y19</f>
        <v>0.16</v>
      </c>
      <c r="Y53" s="129">
        <f t="shared" ref="Y53:Y68" si="13">X53*C53</f>
        <v>217.6</v>
      </c>
      <c r="Z53" s="218">
        <f>'Proy. ventas'!AA19</f>
        <v>0.18</v>
      </c>
      <c r="AA53" s="130">
        <f t="shared" ref="AA53:AA68" si="14">Z53*C53</f>
        <v>244.79999999999998</v>
      </c>
      <c r="AB53" s="211">
        <f>E53+G53+I53+K53+M53+O53+Q53+S53++U53+W53+Y53+AA53</f>
        <v>2720</v>
      </c>
    </row>
    <row r="54" spans="1:28" x14ac:dyDescent="0.25">
      <c r="A54" s="917"/>
      <c r="B54" s="181"/>
      <c r="C54" s="182">
        <f>$E$33</f>
        <v>5705</v>
      </c>
      <c r="D54" s="179">
        <f>'Proy. ventas'!E20</f>
        <v>0.12</v>
      </c>
      <c r="E54" s="120">
        <f t="shared" si="3"/>
        <v>684.6</v>
      </c>
      <c r="F54" s="176">
        <f>'Proy. ventas'!G20</f>
        <v>0.08</v>
      </c>
      <c r="G54" s="120">
        <f t="shared" si="4"/>
        <v>456.40000000000003</v>
      </c>
      <c r="H54" s="176">
        <f>'Proy. ventas'!I20</f>
        <v>0.16</v>
      </c>
      <c r="I54" s="120">
        <f t="shared" si="5"/>
        <v>912.80000000000007</v>
      </c>
      <c r="J54" s="176">
        <f>'Proy. ventas'!K20</f>
        <v>0.14000000000000001</v>
      </c>
      <c r="K54" s="120">
        <f t="shared" si="6"/>
        <v>798.7</v>
      </c>
      <c r="L54" s="176">
        <f>'Proy. ventas'!M20</f>
        <v>0.22</v>
      </c>
      <c r="M54" s="120">
        <f t="shared" si="7"/>
        <v>1255.0999999999999</v>
      </c>
      <c r="N54" s="176">
        <f>'Proy. ventas'!O20</f>
        <v>0.08</v>
      </c>
      <c r="O54" s="120">
        <f t="shared" si="8"/>
        <v>456.40000000000003</v>
      </c>
      <c r="P54" s="176">
        <f>'Proy. ventas'!Q20</f>
        <v>0.12</v>
      </c>
      <c r="Q54" s="120">
        <f t="shared" si="9"/>
        <v>684.6</v>
      </c>
      <c r="R54" s="176">
        <f>'Proy. ventas'!S20</f>
        <v>0.24</v>
      </c>
      <c r="S54" s="120">
        <f t="shared" si="10"/>
        <v>1369.2</v>
      </c>
      <c r="T54" s="176">
        <f>'Proy. ventas'!U20</f>
        <v>0.22</v>
      </c>
      <c r="U54" s="120">
        <f t="shared" si="11"/>
        <v>1255.0999999999999</v>
      </c>
      <c r="V54" s="176">
        <f>'Proy. ventas'!W20</f>
        <v>0.28000000000000003</v>
      </c>
      <c r="W54" s="120">
        <f t="shared" si="12"/>
        <v>1597.4</v>
      </c>
      <c r="X54" s="176">
        <f>'Proy. ventas'!Y20</f>
        <v>0.16</v>
      </c>
      <c r="Y54" s="120">
        <f t="shared" si="13"/>
        <v>912.80000000000007</v>
      </c>
      <c r="Z54" s="176">
        <f>'Proy. ventas'!AA20</f>
        <v>0.18</v>
      </c>
      <c r="AA54" s="122">
        <f t="shared" si="14"/>
        <v>1026.8999999999999</v>
      </c>
      <c r="AB54" s="212">
        <f t="shared" ref="AB54:AB68" si="15">E54+G54+I54+K54+M54+O54+Q54+S54++U54+W54+Y54+AA54</f>
        <v>11409.999999999998</v>
      </c>
    </row>
    <row r="55" spans="1:28" ht="15.75" thickBot="1" x14ac:dyDescent="0.3">
      <c r="A55" s="918"/>
      <c r="B55" s="192"/>
      <c r="C55" s="193">
        <f>$E$46</f>
        <v>8105</v>
      </c>
      <c r="D55" s="194">
        <f>'Proy. ventas'!E21</f>
        <v>0.06</v>
      </c>
      <c r="E55" s="132">
        <f t="shared" si="3"/>
        <v>486.29999999999995</v>
      </c>
      <c r="F55" s="219">
        <f>'Proy. ventas'!G21</f>
        <v>0.04</v>
      </c>
      <c r="G55" s="132">
        <f t="shared" si="4"/>
        <v>324.2</v>
      </c>
      <c r="H55" s="219">
        <f>'Proy. ventas'!I21</f>
        <v>0.08</v>
      </c>
      <c r="I55" s="132">
        <f t="shared" si="5"/>
        <v>648.4</v>
      </c>
      <c r="J55" s="219">
        <f>'Proy. ventas'!K21</f>
        <v>7.0000000000000007E-2</v>
      </c>
      <c r="K55" s="132">
        <f t="shared" si="6"/>
        <v>567.35</v>
      </c>
      <c r="L55" s="219">
        <f>'Proy. ventas'!M21</f>
        <v>0.11</v>
      </c>
      <c r="M55" s="132">
        <f t="shared" si="7"/>
        <v>891.55</v>
      </c>
      <c r="N55" s="219">
        <f>'Proy. ventas'!O21</f>
        <v>0.04</v>
      </c>
      <c r="O55" s="132">
        <f t="shared" si="8"/>
        <v>324.2</v>
      </c>
      <c r="P55" s="219">
        <f>'Proy. ventas'!Q21</f>
        <v>0.06</v>
      </c>
      <c r="Q55" s="132">
        <f t="shared" si="9"/>
        <v>486.29999999999995</v>
      </c>
      <c r="R55" s="219">
        <f>'Proy. ventas'!S21</f>
        <v>0.12</v>
      </c>
      <c r="S55" s="132">
        <f t="shared" si="10"/>
        <v>972.59999999999991</v>
      </c>
      <c r="T55" s="219">
        <f>'Proy. ventas'!U21</f>
        <v>0.11</v>
      </c>
      <c r="U55" s="132">
        <f t="shared" si="11"/>
        <v>891.55</v>
      </c>
      <c r="V55" s="219">
        <f>'Proy. ventas'!W21</f>
        <v>0.14000000000000001</v>
      </c>
      <c r="W55" s="132">
        <f t="shared" si="12"/>
        <v>1134.7</v>
      </c>
      <c r="X55" s="219">
        <f>'Proy. ventas'!Y21</f>
        <v>0.08</v>
      </c>
      <c r="Y55" s="132">
        <f t="shared" si="13"/>
        <v>648.4</v>
      </c>
      <c r="Z55" s="219">
        <f>'Proy. ventas'!AA21</f>
        <v>0.09</v>
      </c>
      <c r="AA55" s="133">
        <f t="shared" si="14"/>
        <v>729.44999999999993</v>
      </c>
      <c r="AB55" s="213">
        <f t="shared" si="15"/>
        <v>8104.9999999999991</v>
      </c>
    </row>
    <row r="56" spans="1:28" x14ac:dyDescent="0.25">
      <c r="A56" s="916" t="s">
        <v>144</v>
      </c>
      <c r="B56" s="189"/>
      <c r="C56" s="190">
        <v>420</v>
      </c>
      <c r="D56" s="191">
        <f>'Proy. ventas'!E22</f>
        <v>0.12</v>
      </c>
      <c r="E56" s="129">
        <f t="shared" si="3"/>
        <v>50.4</v>
      </c>
      <c r="F56" s="218">
        <f>'Proy. ventas'!G22</f>
        <v>0.08</v>
      </c>
      <c r="G56" s="129">
        <f t="shared" si="4"/>
        <v>33.6</v>
      </c>
      <c r="H56" s="218">
        <f>'Proy. ventas'!I22</f>
        <v>0.16</v>
      </c>
      <c r="I56" s="129">
        <f t="shared" si="5"/>
        <v>67.2</v>
      </c>
      <c r="J56" s="218">
        <f>'Proy. ventas'!K22</f>
        <v>0.14000000000000001</v>
      </c>
      <c r="K56" s="129">
        <f t="shared" si="6"/>
        <v>58.800000000000004</v>
      </c>
      <c r="L56" s="218">
        <f>'Proy. ventas'!M22</f>
        <v>0.22</v>
      </c>
      <c r="M56" s="129">
        <f t="shared" si="7"/>
        <v>92.4</v>
      </c>
      <c r="N56" s="218">
        <f>'Proy. ventas'!O22</f>
        <v>0.08</v>
      </c>
      <c r="O56" s="129">
        <f t="shared" si="8"/>
        <v>33.6</v>
      </c>
      <c r="P56" s="218">
        <f>'Proy. ventas'!Q22</f>
        <v>0.12</v>
      </c>
      <c r="Q56" s="129">
        <f t="shared" si="9"/>
        <v>50.4</v>
      </c>
      <c r="R56" s="218">
        <f>'Proy. ventas'!S22</f>
        <v>0.24</v>
      </c>
      <c r="S56" s="129">
        <f t="shared" si="10"/>
        <v>100.8</v>
      </c>
      <c r="T56" s="218">
        <f>'Proy. ventas'!U22</f>
        <v>0.22</v>
      </c>
      <c r="U56" s="129">
        <f t="shared" si="11"/>
        <v>92.4</v>
      </c>
      <c r="V56" s="218">
        <f>'Proy. ventas'!W22</f>
        <v>0.28000000000000003</v>
      </c>
      <c r="W56" s="129">
        <f t="shared" si="12"/>
        <v>117.60000000000001</v>
      </c>
      <c r="X56" s="218">
        <f>'Proy. ventas'!Y22</f>
        <v>0.16</v>
      </c>
      <c r="Y56" s="129">
        <f t="shared" si="13"/>
        <v>67.2</v>
      </c>
      <c r="Z56" s="218">
        <f>'Proy. ventas'!AA22</f>
        <v>0.18</v>
      </c>
      <c r="AA56" s="130">
        <f t="shared" si="14"/>
        <v>75.599999999999994</v>
      </c>
      <c r="AB56" s="211">
        <f t="shared" si="15"/>
        <v>840.00000000000011</v>
      </c>
    </row>
    <row r="57" spans="1:28" x14ac:dyDescent="0.25">
      <c r="A57" s="917"/>
      <c r="B57" s="181"/>
      <c r="C57" s="182">
        <v>300</v>
      </c>
      <c r="D57" s="179">
        <f>'Proy. ventas'!E23</f>
        <v>0.06</v>
      </c>
      <c r="E57" s="120">
        <f t="shared" si="3"/>
        <v>18</v>
      </c>
      <c r="F57" s="176">
        <f>'Proy. ventas'!G23</f>
        <v>0.04</v>
      </c>
      <c r="G57" s="120">
        <f t="shared" si="4"/>
        <v>12</v>
      </c>
      <c r="H57" s="176">
        <f>'Proy. ventas'!I23</f>
        <v>0.08</v>
      </c>
      <c r="I57" s="120">
        <f t="shared" si="5"/>
        <v>24</v>
      </c>
      <c r="J57" s="176">
        <f>'Proy. ventas'!K23</f>
        <v>7.0000000000000007E-2</v>
      </c>
      <c r="K57" s="120">
        <f t="shared" si="6"/>
        <v>21.000000000000004</v>
      </c>
      <c r="L57" s="176">
        <f>'Proy. ventas'!M23</f>
        <v>0.11</v>
      </c>
      <c r="M57" s="120">
        <f t="shared" si="7"/>
        <v>33</v>
      </c>
      <c r="N57" s="176">
        <f>'Proy. ventas'!O23</f>
        <v>0.04</v>
      </c>
      <c r="O57" s="120">
        <f t="shared" si="8"/>
        <v>12</v>
      </c>
      <c r="P57" s="176">
        <f>'Proy. ventas'!Q23</f>
        <v>0.06</v>
      </c>
      <c r="Q57" s="120">
        <f t="shared" si="9"/>
        <v>18</v>
      </c>
      <c r="R57" s="176">
        <f>'Proy. ventas'!S23</f>
        <v>0.12</v>
      </c>
      <c r="S57" s="120">
        <f t="shared" si="10"/>
        <v>36</v>
      </c>
      <c r="T57" s="176">
        <f>'Proy. ventas'!U23</f>
        <v>0.11</v>
      </c>
      <c r="U57" s="120">
        <f t="shared" si="11"/>
        <v>33</v>
      </c>
      <c r="V57" s="176">
        <f>'Proy. ventas'!W23</f>
        <v>0.14000000000000001</v>
      </c>
      <c r="W57" s="120">
        <f t="shared" si="12"/>
        <v>42.000000000000007</v>
      </c>
      <c r="X57" s="176">
        <f>'Proy. ventas'!Y23</f>
        <v>0.08</v>
      </c>
      <c r="Y57" s="120">
        <f t="shared" si="13"/>
        <v>24</v>
      </c>
      <c r="Z57" s="176">
        <f>'Proy. ventas'!AA23</f>
        <v>0.09</v>
      </c>
      <c r="AA57" s="122">
        <f t="shared" si="14"/>
        <v>27</v>
      </c>
      <c r="AB57" s="212">
        <f t="shared" si="15"/>
        <v>300</v>
      </c>
    </row>
    <row r="58" spans="1:28" x14ac:dyDescent="0.25">
      <c r="A58" s="917"/>
      <c r="B58" s="181"/>
      <c r="C58" s="182">
        <v>1800</v>
      </c>
      <c r="D58" s="179">
        <f>'Proy. ventas'!E24</f>
        <v>0.06</v>
      </c>
      <c r="E58" s="120">
        <f t="shared" si="3"/>
        <v>108</v>
      </c>
      <c r="F58" s="176">
        <f>'Proy. ventas'!G24</f>
        <v>0.04</v>
      </c>
      <c r="G58" s="120">
        <f t="shared" si="4"/>
        <v>72</v>
      </c>
      <c r="H58" s="176">
        <f>'Proy. ventas'!I24</f>
        <v>0.08</v>
      </c>
      <c r="I58" s="120">
        <f t="shared" si="5"/>
        <v>144</v>
      </c>
      <c r="J58" s="176">
        <f>'Proy. ventas'!K24</f>
        <v>7.0000000000000007E-2</v>
      </c>
      <c r="K58" s="120">
        <f t="shared" si="6"/>
        <v>126.00000000000001</v>
      </c>
      <c r="L58" s="176">
        <f>'Proy. ventas'!M24</f>
        <v>0.11</v>
      </c>
      <c r="M58" s="120">
        <f t="shared" si="7"/>
        <v>198</v>
      </c>
      <c r="N58" s="176">
        <f>'Proy. ventas'!O24</f>
        <v>0.04</v>
      </c>
      <c r="O58" s="120">
        <f t="shared" si="8"/>
        <v>72</v>
      </c>
      <c r="P58" s="176">
        <f>'Proy. ventas'!Q24</f>
        <v>0.06</v>
      </c>
      <c r="Q58" s="120">
        <f t="shared" si="9"/>
        <v>108</v>
      </c>
      <c r="R58" s="176">
        <f>'Proy. ventas'!S24</f>
        <v>0.12</v>
      </c>
      <c r="S58" s="120">
        <f t="shared" si="10"/>
        <v>216</v>
      </c>
      <c r="T58" s="176">
        <f>'Proy. ventas'!U24</f>
        <v>0.11</v>
      </c>
      <c r="U58" s="120">
        <f t="shared" si="11"/>
        <v>198</v>
      </c>
      <c r="V58" s="176">
        <f>'Proy. ventas'!W24</f>
        <v>0.14000000000000001</v>
      </c>
      <c r="W58" s="120">
        <f t="shared" si="12"/>
        <v>252.00000000000003</v>
      </c>
      <c r="X58" s="176">
        <f>'Proy. ventas'!Y24</f>
        <v>0.08</v>
      </c>
      <c r="Y58" s="120">
        <f t="shared" si="13"/>
        <v>144</v>
      </c>
      <c r="Z58" s="176">
        <f>'Proy. ventas'!AA24</f>
        <v>0.09</v>
      </c>
      <c r="AA58" s="122">
        <f t="shared" si="14"/>
        <v>162</v>
      </c>
      <c r="AB58" s="212">
        <f t="shared" si="15"/>
        <v>1800</v>
      </c>
    </row>
    <row r="59" spans="1:28" x14ac:dyDescent="0.25">
      <c r="A59" s="917"/>
      <c r="B59" s="181"/>
      <c r="C59" s="182">
        <v>180</v>
      </c>
      <c r="D59" s="179">
        <f>'Proy. ventas'!E25</f>
        <v>0.06</v>
      </c>
      <c r="E59" s="120">
        <f t="shared" si="3"/>
        <v>10.799999999999999</v>
      </c>
      <c r="F59" s="176">
        <f>'Proy. ventas'!G25</f>
        <v>0.04</v>
      </c>
      <c r="G59" s="120">
        <f t="shared" si="4"/>
        <v>7.2</v>
      </c>
      <c r="H59" s="176">
        <f>'Proy. ventas'!I25</f>
        <v>0.08</v>
      </c>
      <c r="I59" s="120">
        <f t="shared" si="5"/>
        <v>14.4</v>
      </c>
      <c r="J59" s="176">
        <f>'Proy. ventas'!K25</f>
        <v>7.0000000000000007E-2</v>
      </c>
      <c r="K59" s="120">
        <f t="shared" si="6"/>
        <v>12.600000000000001</v>
      </c>
      <c r="L59" s="176">
        <f>'Proy. ventas'!M25</f>
        <v>0.11</v>
      </c>
      <c r="M59" s="120">
        <f t="shared" si="7"/>
        <v>19.8</v>
      </c>
      <c r="N59" s="176">
        <f>'Proy. ventas'!O25</f>
        <v>0.04</v>
      </c>
      <c r="O59" s="120">
        <f t="shared" si="8"/>
        <v>7.2</v>
      </c>
      <c r="P59" s="176">
        <f>'Proy. ventas'!Q25</f>
        <v>0.06</v>
      </c>
      <c r="Q59" s="120">
        <f t="shared" si="9"/>
        <v>10.799999999999999</v>
      </c>
      <c r="R59" s="176">
        <f>'Proy. ventas'!S25</f>
        <v>0.12</v>
      </c>
      <c r="S59" s="120">
        <f t="shared" si="10"/>
        <v>21.599999999999998</v>
      </c>
      <c r="T59" s="176">
        <f>'Proy. ventas'!U25</f>
        <v>0.11</v>
      </c>
      <c r="U59" s="120">
        <f t="shared" si="11"/>
        <v>19.8</v>
      </c>
      <c r="V59" s="176">
        <f>'Proy. ventas'!W25</f>
        <v>0.14000000000000001</v>
      </c>
      <c r="W59" s="120">
        <f t="shared" si="12"/>
        <v>25.200000000000003</v>
      </c>
      <c r="X59" s="176">
        <f>'Proy. ventas'!Y25</f>
        <v>0.08</v>
      </c>
      <c r="Y59" s="120">
        <f t="shared" si="13"/>
        <v>14.4</v>
      </c>
      <c r="Z59" s="176">
        <f>'Proy. ventas'!AA25</f>
        <v>0.09</v>
      </c>
      <c r="AA59" s="122">
        <f t="shared" si="14"/>
        <v>16.2</v>
      </c>
      <c r="AB59" s="212">
        <f t="shared" si="15"/>
        <v>179.99999999999997</v>
      </c>
    </row>
    <row r="60" spans="1:28" x14ac:dyDescent="0.25">
      <c r="A60" s="917"/>
      <c r="B60" s="181"/>
      <c r="C60" s="182">
        <v>1250</v>
      </c>
      <c r="D60" s="179">
        <f>'Proy. ventas'!E26</f>
        <v>0.06</v>
      </c>
      <c r="E60" s="120">
        <f t="shared" si="3"/>
        <v>75</v>
      </c>
      <c r="F60" s="176">
        <f>'Proy. ventas'!G26</f>
        <v>0.04</v>
      </c>
      <c r="G60" s="120">
        <f t="shared" si="4"/>
        <v>50</v>
      </c>
      <c r="H60" s="176">
        <f>'Proy. ventas'!I26</f>
        <v>0.08</v>
      </c>
      <c r="I60" s="120">
        <f t="shared" si="5"/>
        <v>100</v>
      </c>
      <c r="J60" s="176">
        <f>'Proy. ventas'!K26</f>
        <v>7.0000000000000007E-2</v>
      </c>
      <c r="K60" s="120">
        <f t="shared" si="6"/>
        <v>87.500000000000014</v>
      </c>
      <c r="L60" s="176">
        <f>'Proy. ventas'!M26</f>
        <v>0.11</v>
      </c>
      <c r="M60" s="120">
        <f t="shared" si="7"/>
        <v>137.5</v>
      </c>
      <c r="N60" s="176">
        <f>'Proy. ventas'!O26</f>
        <v>0.04</v>
      </c>
      <c r="O60" s="120">
        <f t="shared" si="8"/>
        <v>50</v>
      </c>
      <c r="P60" s="176">
        <f>'Proy. ventas'!Q26</f>
        <v>0.06</v>
      </c>
      <c r="Q60" s="120">
        <f t="shared" si="9"/>
        <v>75</v>
      </c>
      <c r="R60" s="176">
        <f>'Proy. ventas'!S26</f>
        <v>0.12</v>
      </c>
      <c r="S60" s="120">
        <f t="shared" si="10"/>
        <v>150</v>
      </c>
      <c r="T60" s="176">
        <f>'Proy. ventas'!U26</f>
        <v>0.11</v>
      </c>
      <c r="U60" s="120">
        <f t="shared" si="11"/>
        <v>137.5</v>
      </c>
      <c r="V60" s="176">
        <f>'Proy. ventas'!W26</f>
        <v>0.14000000000000001</v>
      </c>
      <c r="W60" s="120">
        <f t="shared" si="12"/>
        <v>175.00000000000003</v>
      </c>
      <c r="X60" s="176">
        <f>'Proy. ventas'!Y26</f>
        <v>0.08</v>
      </c>
      <c r="Y60" s="120">
        <f t="shared" si="13"/>
        <v>100</v>
      </c>
      <c r="Z60" s="176">
        <f>'Proy. ventas'!AA26</f>
        <v>0.09</v>
      </c>
      <c r="AA60" s="122">
        <f t="shared" si="14"/>
        <v>112.5</v>
      </c>
      <c r="AB60" s="212">
        <f t="shared" si="15"/>
        <v>1250</v>
      </c>
    </row>
    <row r="61" spans="1:28" x14ac:dyDescent="0.25">
      <c r="A61" s="917"/>
      <c r="B61" s="181"/>
      <c r="C61" s="182">
        <v>350</v>
      </c>
      <c r="D61" s="179" t="e">
        <f>'Proy. ventas'!#REF!</f>
        <v>#REF!</v>
      </c>
      <c r="E61" s="120" t="e">
        <f t="shared" si="3"/>
        <v>#REF!</v>
      </c>
      <c r="F61" s="176" t="e">
        <f>'Proy. ventas'!#REF!</f>
        <v>#REF!</v>
      </c>
      <c r="G61" s="120" t="e">
        <f t="shared" si="4"/>
        <v>#REF!</v>
      </c>
      <c r="H61" s="176" t="e">
        <f>'Proy. ventas'!#REF!</f>
        <v>#REF!</v>
      </c>
      <c r="I61" s="120" t="e">
        <f t="shared" si="5"/>
        <v>#REF!</v>
      </c>
      <c r="J61" s="176" t="e">
        <f>'Proy. ventas'!#REF!</f>
        <v>#REF!</v>
      </c>
      <c r="K61" s="120" t="e">
        <f t="shared" si="6"/>
        <v>#REF!</v>
      </c>
      <c r="L61" s="176" t="e">
        <f>'Proy. ventas'!#REF!</f>
        <v>#REF!</v>
      </c>
      <c r="M61" s="120" t="e">
        <f t="shared" si="7"/>
        <v>#REF!</v>
      </c>
      <c r="N61" s="176" t="e">
        <f>'Proy. ventas'!#REF!</f>
        <v>#REF!</v>
      </c>
      <c r="O61" s="120" t="e">
        <f t="shared" si="8"/>
        <v>#REF!</v>
      </c>
      <c r="P61" s="176" t="e">
        <f>'Proy. ventas'!#REF!</f>
        <v>#REF!</v>
      </c>
      <c r="Q61" s="120" t="e">
        <f t="shared" si="9"/>
        <v>#REF!</v>
      </c>
      <c r="R61" s="176" t="e">
        <f>'Proy. ventas'!#REF!</f>
        <v>#REF!</v>
      </c>
      <c r="S61" s="120" t="e">
        <f t="shared" si="10"/>
        <v>#REF!</v>
      </c>
      <c r="T61" s="176" t="e">
        <f>'Proy. ventas'!#REF!</f>
        <v>#REF!</v>
      </c>
      <c r="U61" s="120" t="e">
        <f t="shared" si="11"/>
        <v>#REF!</v>
      </c>
      <c r="V61" s="176" t="e">
        <f>'Proy. ventas'!#REF!</f>
        <v>#REF!</v>
      </c>
      <c r="W61" s="120" t="e">
        <f t="shared" si="12"/>
        <v>#REF!</v>
      </c>
      <c r="X61" s="176" t="e">
        <f>'Proy. ventas'!#REF!</f>
        <v>#REF!</v>
      </c>
      <c r="Y61" s="120" t="e">
        <f t="shared" si="13"/>
        <v>#REF!</v>
      </c>
      <c r="Z61" s="176" t="e">
        <f>'Proy. ventas'!#REF!</f>
        <v>#REF!</v>
      </c>
      <c r="AA61" s="122" t="e">
        <f t="shared" si="14"/>
        <v>#REF!</v>
      </c>
      <c r="AB61" s="212" t="e">
        <f t="shared" si="15"/>
        <v>#REF!</v>
      </c>
    </row>
    <row r="62" spans="1:28" x14ac:dyDescent="0.25">
      <c r="A62" s="917"/>
      <c r="B62" s="181"/>
      <c r="C62" s="182">
        <v>950</v>
      </c>
      <c r="D62" s="179" t="e">
        <f>'Proy. ventas'!#REF!</f>
        <v>#REF!</v>
      </c>
      <c r="E62" s="120" t="e">
        <f t="shared" si="3"/>
        <v>#REF!</v>
      </c>
      <c r="F62" s="176" t="e">
        <f>'Proy. ventas'!#REF!</f>
        <v>#REF!</v>
      </c>
      <c r="G62" s="120" t="e">
        <f t="shared" si="4"/>
        <v>#REF!</v>
      </c>
      <c r="H62" s="176" t="e">
        <f>'Proy. ventas'!#REF!</f>
        <v>#REF!</v>
      </c>
      <c r="I62" s="120" t="e">
        <f t="shared" si="5"/>
        <v>#REF!</v>
      </c>
      <c r="J62" s="176" t="e">
        <f>'Proy. ventas'!#REF!</f>
        <v>#REF!</v>
      </c>
      <c r="K62" s="120" t="e">
        <f t="shared" si="6"/>
        <v>#REF!</v>
      </c>
      <c r="L62" s="176" t="e">
        <f>'Proy. ventas'!#REF!</f>
        <v>#REF!</v>
      </c>
      <c r="M62" s="120" t="e">
        <f t="shared" si="7"/>
        <v>#REF!</v>
      </c>
      <c r="N62" s="176" t="e">
        <f>'Proy. ventas'!#REF!</f>
        <v>#REF!</v>
      </c>
      <c r="O62" s="120" t="e">
        <f t="shared" si="8"/>
        <v>#REF!</v>
      </c>
      <c r="P62" s="176" t="e">
        <f>'Proy. ventas'!#REF!</f>
        <v>#REF!</v>
      </c>
      <c r="Q62" s="120" t="e">
        <f t="shared" si="9"/>
        <v>#REF!</v>
      </c>
      <c r="R62" s="176" t="e">
        <f>'Proy. ventas'!#REF!</f>
        <v>#REF!</v>
      </c>
      <c r="S62" s="120" t="e">
        <f t="shared" si="10"/>
        <v>#REF!</v>
      </c>
      <c r="T62" s="176" t="e">
        <f>'Proy. ventas'!#REF!</f>
        <v>#REF!</v>
      </c>
      <c r="U62" s="120" t="e">
        <f t="shared" si="11"/>
        <v>#REF!</v>
      </c>
      <c r="V62" s="176" t="e">
        <f>'Proy. ventas'!#REF!</f>
        <v>#REF!</v>
      </c>
      <c r="W62" s="120" t="e">
        <f t="shared" si="12"/>
        <v>#REF!</v>
      </c>
      <c r="X62" s="176" t="e">
        <f>'Proy. ventas'!#REF!</f>
        <v>#REF!</v>
      </c>
      <c r="Y62" s="120" t="e">
        <f t="shared" si="13"/>
        <v>#REF!</v>
      </c>
      <c r="Z62" s="176" t="e">
        <f>'Proy. ventas'!#REF!</f>
        <v>#REF!</v>
      </c>
      <c r="AA62" s="122" t="e">
        <f t="shared" si="14"/>
        <v>#REF!</v>
      </c>
      <c r="AB62" s="212" t="e">
        <f t="shared" si="15"/>
        <v>#REF!</v>
      </c>
    </row>
    <row r="63" spans="1:28" x14ac:dyDescent="0.25">
      <c r="A63" s="917"/>
      <c r="B63" s="181"/>
      <c r="C63" s="182">
        <v>200</v>
      </c>
      <c r="D63" s="179" t="e">
        <f>'Proy. ventas'!#REF!</f>
        <v>#REF!</v>
      </c>
      <c r="E63" s="120" t="e">
        <f t="shared" si="3"/>
        <v>#REF!</v>
      </c>
      <c r="F63" s="176" t="e">
        <f>'Proy. ventas'!#REF!</f>
        <v>#REF!</v>
      </c>
      <c r="G63" s="120" t="e">
        <f t="shared" si="4"/>
        <v>#REF!</v>
      </c>
      <c r="H63" s="176" t="e">
        <f>'Proy. ventas'!#REF!</f>
        <v>#REF!</v>
      </c>
      <c r="I63" s="120" t="e">
        <f t="shared" si="5"/>
        <v>#REF!</v>
      </c>
      <c r="J63" s="176" t="e">
        <f>'Proy. ventas'!#REF!</f>
        <v>#REF!</v>
      </c>
      <c r="K63" s="120" t="e">
        <f t="shared" si="6"/>
        <v>#REF!</v>
      </c>
      <c r="L63" s="176" t="e">
        <f>'Proy. ventas'!#REF!</f>
        <v>#REF!</v>
      </c>
      <c r="M63" s="120" t="e">
        <f t="shared" si="7"/>
        <v>#REF!</v>
      </c>
      <c r="N63" s="176" t="e">
        <f>'Proy. ventas'!#REF!</f>
        <v>#REF!</v>
      </c>
      <c r="O63" s="120" t="e">
        <f t="shared" si="8"/>
        <v>#REF!</v>
      </c>
      <c r="P63" s="176" t="e">
        <f>'Proy. ventas'!#REF!</f>
        <v>#REF!</v>
      </c>
      <c r="Q63" s="120" t="e">
        <f t="shared" si="9"/>
        <v>#REF!</v>
      </c>
      <c r="R63" s="176" t="e">
        <f>'Proy. ventas'!#REF!</f>
        <v>#REF!</v>
      </c>
      <c r="S63" s="120" t="e">
        <f t="shared" si="10"/>
        <v>#REF!</v>
      </c>
      <c r="T63" s="176" t="e">
        <f>'Proy. ventas'!#REF!</f>
        <v>#REF!</v>
      </c>
      <c r="U63" s="120" t="e">
        <f t="shared" si="11"/>
        <v>#REF!</v>
      </c>
      <c r="V63" s="176" t="e">
        <f>'Proy. ventas'!#REF!</f>
        <v>#REF!</v>
      </c>
      <c r="W63" s="120" t="e">
        <f t="shared" si="12"/>
        <v>#REF!</v>
      </c>
      <c r="X63" s="176" t="e">
        <f>'Proy. ventas'!#REF!</f>
        <v>#REF!</v>
      </c>
      <c r="Y63" s="120" t="e">
        <f t="shared" si="13"/>
        <v>#REF!</v>
      </c>
      <c r="Z63" s="176" t="e">
        <f>'Proy. ventas'!#REF!</f>
        <v>#REF!</v>
      </c>
      <c r="AA63" s="122" t="e">
        <f t="shared" si="14"/>
        <v>#REF!</v>
      </c>
      <c r="AB63" s="212" t="e">
        <f t="shared" si="15"/>
        <v>#REF!</v>
      </c>
    </row>
    <row r="64" spans="1:28" ht="15.75" thickBot="1" x14ac:dyDescent="0.3">
      <c r="A64" s="918"/>
      <c r="B64" s="192"/>
      <c r="C64" s="193">
        <v>1150</v>
      </c>
      <c r="D64" s="194" t="e">
        <f>'Proy. ventas'!#REF!</f>
        <v>#REF!</v>
      </c>
      <c r="E64" s="132" t="e">
        <f t="shared" si="3"/>
        <v>#REF!</v>
      </c>
      <c r="F64" s="219" t="e">
        <f>'Proy. ventas'!#REF!</f>
        <v>#REF!</v>
      </c>
      <c r="G64" s="132" t="e">
        <f t="shared" si="4"/>
        <v>#REF!</v>
      </c>
      <c r="H64" s="219" t="e">
        <f>'Proy. ventas'!#REF!</f>
        <v>#REF!</v>
      </c>
      <c r="I64" s="132" t="e">
        <f t="shared" si="5"/>
        <v>#REF!</v>
      </c>
      <c r="J64" s="219" t="e">
        <f>'Proy. ventas'!#REF!</f>
        <v>#REF!</v>
      </c>
      <c r="K64" s="132" t="e">
        <f t="shared" si="6"/>
        <v>#REF!</v>
      </c>
      <c r="L64" s="219" t="e">
        <f>'Proy. ventas'!#REF!</f>
        <v>#REF!</v>
      </c>
      <c r="M64" s="132" t="e">
        <f t="shared" si="7"/>
        <v>#REF!</v>
      </c>
      <c r="N64" s="219" t="e">
        <f>'Proy. ventas'!#REF!</f>
        <v>#REF!</v>
      </c>
      <c r="O64" s="132" t="e">
        <f t="shared" si="8"/>
        <v>#REF!</v>
      </c>
      <c r="P64" s="219" t="e">
        <f>'Proy. ventas'!#REF!</f>
        <v>#REF!</v>
      </c>
      <c r="Q64" s="132" t="e">
        <f t="shared" si="9"/>
        <v>#REF!</v>
      </c>
      <c r="R64" s="219" t="e">
        <f>'Proy. ventas'!#REF!</f>
        <v>#REF!</v>
      </c>
      <c r="S64" s="132" t="e">
        <f t="shared" si="10"/>
        <v>#REF!</v>
      </c>
      <c r="T64" s="219" t="e">
        <f>'Proy. ventas'!#REF!</f>
        <v>#REF!</v>
      </c>
      <c r="U64" s="132" t="e">
        <f t="shared" si="11"/>
        <v>#REF!</v>
      </c>
      <c r="V64" s="219" t="e">
        <f>'Proy. ventas'!#REF!</f>
        <v>#REF!</v>
      </c>
      <c r="W64" s="132" t="e">
        <f t="shared" si="12"/>
        <v>#REF!</v>
      </c>
      <c r="X64" s="219" t="e">
        <f>'Proy. ventas'!#REF!</f>
        <v>#REF!</v>
      </c>
      <c r="Y64" s="132" t="e">
        <f t="shared" si="13"/>
        <v>#REF!</v>
      </c>
      <c r="Z64" s="219" t="e">
        <f>'Proy. ventas'!#REF!</f>
        <v>#REF!</v>
      </c>
      <c r="AA64" s="133" t="e">
        <f t="shared" si="14"/>
        <v>#REF!</v>
      </c>
      <c r="AB64" s="213" t="e">
        <f t="shared" si="15"/>
        <v>#REF!</v>
      </c>
    </row>
    <row r="65" spans="1:28" ht="30.75" thickBot="1" x14ac:dyDescent="0.3">
      <c r="A65" s="195" t="s">
        <v>145</v>
      </c>
      <c r="B65" s="196"/>
      <c r="C65" s="197">
        <v>300</v>
      </c>
      <c r="D65" s="198">
        <v>50</v>
      </c>
      <c r="E65" s="137">
        <f>D65*C65</f>
        <v>15000</v>
      </c>
      <c r="F65" s="220">
        <v>20</v>
      </c>
      <c r="G65" s="137">
        <f t="shared" si="4"/>
        <v>6000</v>
      </c>
      <c r="H65" s="220">
        <v>10</v>
      </c>
      <c r="I65" s="137">
        <f t="shared" si="5"/>
        <v>3000</v>
      </c>
      <c r="J65" s="220">
        <v>5</v>
      </c>
      <c r="K65" s="137">
        <f t="shared" si="6"/>
        <v>1500</v>
      </c>
      <c r="L65" s="220">
        <v>0</v>
      </c>
      <c r="M65" s="137">
        <f t="shared" si="7"/>
        <v>0</v>
      </c>
      <c r="N65" s="220">
        <v>5</v>
      </c>
      <c r="O65" s="137">
        <f t="shared" si="8"/>
        <v>1500</v>
      </c>
      <c r="P65" s="220">
        <v>5</v>
      </c>
      <c r="Q65" s="137">
        <f t="shared" si="9"/>
        <v>1500</v>
      </c>
      <c r="R65" s="220">
        <v>0</v>
      </c>
      <c r="S65" s="137">
        <f t="shared" si="10"/>
        <v>0</v>
      </c>
      <c r="T65" s="220">
        <v>10</v>
      </c>
      <c r="U65" s="137">
        <f t="shared" si="11"/>
        <v>3000</v>
      </c>
      <c r="V65" s="220">
        <v>10</v>
      </c>
      <c r="W65" s="137">
        <f t="shared" si="12"/>
        <v>3000</v>
      </c>
      <c r="X65" s="220">
        <v>15</v>
      </c>
      <c r="Y65" s="137">
        <f t="shared" si="13"/>
        <v>4500</v>
      </c>
      <c r="Z65" s="220">
        <v>10</v>
      </c>
      <c r="AA65" s="138">
        <f t="shared" si="14"/>
        <v>3000</v>
      </c>
      <c r="AB65" s="214">
        <f t="shared" si="15"/>
        <v>42000</v>
      </c>
    </row>
    <row r="66" spans="1:28" x14ac:dyDescent="0.25">
      <c r="A66" s="911" t="s">
        <v>148</v>
      </c>
      <c r="B66" s="207"/>
      <c r="C66" s="180">
        <v>182000</v>
      </c>
      <c r="D66" s="178">
        <v>1</v>
      </c>
      <c r="E66" s="126">
        <f>D66*C66</f>
        <v>182000</v>
      </c>
      <c r="F66" s="177">
        <v>1</v>
      </c>
      <c r="G66" s="126">
        <f t="shared" si="4"/>
        <v>182000</v>
      </c>
      <c r="H66" s="177">
        <v>0</v>
      </c>
      <c r="I66" s="126">
        <f t="shared" si="5"/>
        <v>0</v>
      </c>
      <c r="J66" s="177">
        <v>1</v>
      </c>
      <c r="K66" s="126">
        <f t="shared" si="6"/>
        <v>182000</v>
      </c>
      <c r="L66" s="177">
        <v>1</v>
      </c>
      <c r="M66" s="126">
        <f t="shared" si="7"/>
        <v>182000</v>
      </c>
      <c r="N66" s="177">
        <v>0</v>
      </c>
      <c r="O66" s="126">
        <f t="shared" si="8"/>
        <v>0</v>
      </c>
      <c r="P66" s="177">
        <v>0</v>
      </c>
      <c r="Q66" s="126">
        <f t="shared" si="9"/>
        <v>0</v>
      </c>
      <c r="R66" s="177">
        <v>0</v>
      </c>
      <c r="S66" s="126">
        <f t="shared" si="10"/>
        <v>0</v>
      </c>
      <c r="T66" s="177">
        <v>1</v>
      </c>
      <c r="U66" s="126">
        <f t="shared" si="11"/>
        <v>182000</v>
      </c>
      <c r="V66" s="177">
        <v>0</v>
      </c>
      <c r="W66" s="126">
        <f t="shared" si="12"/>
        <v>0</v>
      </c>
      <c r="X66" s="177">
        <v>0</v>
      </c>
      <c r="Y66" s="126">
        <f t="shared" si="13"/>
        <v>0</v>
      </c>
      <c r="Z66" s="177">
        <v>1</v>
      </c>
      <c r="AA66" s="127">
        <f t="shared" si="14"/>
        <v>182000</v>
      </c>
      <c r="AB66" s="215">
        <f t="shared" si="15"/>
        <v>1092000</v>
      </c>
    </row>
    <row r="67" spans="1:28" x14ac:dyDescent="0.25">
      <c r="A67" s="912"/>
      <c r="B67" s="208"/>
      <c r="C67" s="182">
        <v>130000</v>
      </c>
      <c r="D67" s="179">
        <v>1</v>
      </c>
      <c r="E67" s="120">
        <f>D67*C67</f>
        <v>130000</v>
      </c>
      <c r="F67" s="176">
        <v>0</v>
      </c>
      <c r="G67" s="120">
        <f t="shared" si="4"/>
        <v>0</v>
      </c>
      <c r="H67" s="176">
        <v>0</v>
      </c>
      <c r="I67" s="120">
        <f t="shared" si="5"/>
        <v>0</v>
      </c>
      <c r="J67" s="176">
        <v>0</v>
      </c>
      <c r="K67" s="120">
        <f t="shared" si="6"/>
        <v>0</v>
      </c>
      <c r="L67" s="176">
        <v>1</v>
      </c>
      <c r="M67" s="120">
        <f t="shared" si="7"/>
        <v>130000</v>
      </c>
      <c r="N67" s="176">
        <v>0</v>
      </c>
      <c r="O67" s="120">
        <f t="shared" si="8"/>
        <v>0</v>
      </c>
      <c r="P67" s="176">
        <v>0</v>
      </c>
      <c r="Q67" s="120">
        <f t="shared" si="9"/>
        <v>0</v>
      </c>
      <c r="R67" s="176">
        <v>0</v>
      </c>
      <c r="S67" s="120">
        <f t="shared" si="10"/>
        <v>0</v>
      </c>
      <c r="T67" s="176">
        <v>1</v>
      </c>
      <c r="U67" s="120">
        <f t="shared" si="11"/>
        <v>130000</v>
      </c>
      <c r="V67" s="176">
        <v>0</v>
      </c>
      <c r="W67" s="120">
        <f t="shared" si="12"/>
        <v>0</v>
      </c>
      <c r="X67" s="176">
        <v>0</v>
      </c>
      <c r="Y67" s="120">
        <f t="shared" si="13"/>
        <v>0</v>
      </c>
      <c r="Z67" s="176">
        <v>1</v>
      </c>
      <c r="AA67" s="122">
        <f t="shared" si="14"/>
        <v>130000</v>
      </c>
      <c r="AB67" s="212">
        <f t="shared" si="15"/>
        <v>520000</v>
      </c>
    </row>
    <row r="68" spans="1:28" x14ac:dyDescent="0.25">
      <c r="A68" s="912"/>
      <c r="B68" s="183"/>
      <c r="C68" s="182">
        <v>250000</v>
      </c>
      <c r="D68" s="179">
        <v>0</v>
      </c>
      <c r="E68" s="120">
        <f>D68*C68</f>
        <v>0</v>
      </c>
      <c r="F68" s="176">
        <v>0</v>
      </c>
      <c r="G68" s="120">
        <f t="shared" si="4"/>
        <v>0</v>
      </c>
      <c r="H68" s="176">
        <v>0</v>
      </c>
      <c r="I68" s="120">
        <f t="shared" si="5"/>
        <v>0</v>
      </c>
      <c r="J68" s="176">
        <v>0</v>
      </c>
      <c r="K68" s="120">
        <f t="shared" si="6"/>
        <v>0</v>
      </c>
      <c r="L68" s="176">
        <v>0</v>
      </c>
      <c r="M68" s="120">
        <f t="shared" si="7"/>
        <v>0</v>
      </c>
      <c r="N68" s="176">
        <v>0</v>
      </c>
      <c r="O68" s="120">
        <f t="shared" si="8"/>
        <v>0</v>
      </c>
      <c r="P68" s="176">
        <v>0</v>
      </c>
      <c r="Q68" s="120">
        <f t="shared" si="9"/>
        <v>0</v>
      </c>
      <c r="R68" s="176">
        <v>0</v>
      </c>
      <c r="S68" s="120">
        <f t="shared" si="10"/>
        <v>0</v>
      </c>
      <c r="T68" s="176">
        <v>1</v>
      </c>
      <c r="U68" s="120">
        <f t="shared" si="11"/>
        <v>250000</v>
      </c>
      <c r="V68" s="176">
        <v>0</v>
      </c>
      <c r="W68" s="120">
        <f t="shared" si="12"/>
        <v>0</v>
      </c>
      <c r="X68" s="176">
        <v>0</v>
      </c>
      <c r="Y68" s="120">
        <f t="shared" si="13"/>
        <v>0</v>
      </c>
      <c r="Z68" s="176">
        <v>0</v>
      </c>
      <c r="AA68" s="122">
        <f t="shared" si="14"/>
        <v>0</v>
      </c>
      <c r="AB68" s="212">
        <f t="shared" si="15"/>
        <v>250000</v>
      </c>
    </row>
    <row r="69" spans="1:28" ht="15.75" thickBot="1" x14ac:dyDescent="0.3">
      <c r="A69" s="913"/>
      <c r="B69" s="199"/>
      <c r="C69" s="200">
        <v>0</v>
      </c>
      <c r="D69" s="201">
        <v>0</v>
      </c>
      <c r="E69" s="132">
        <v>0</v>
      </c>
      <c r="F69" s="221">
        <v>0</v>
      </c>
      <c r="G69" s="132">
        <v>0</v>
      </c>
      <c r="H69" s="221">
        <v>0</v>
      </c>
      <c r="I69" s="132">
        <v>0</v>
      </c>
      <c r="J69" s="221">
        <v>0</v>
      </c>
      <c r="K69" s="132">
        <v>0</v>
      </c>
      <c r="L69" s="221">
        <v>0</v>
      </c>
      <c r="M69" s="132">
        <f>($C$53*L53 + $C$54*L54+$C$55*L55)*0.15</f>
        <v>366.8775</v>
      </c>
      <c r="N69" s="221">
        <v>0</v>
      </c>
      <c r="O69" s="132">
        <f>($C$53*N53 + $C$54*N54+$C$55*N55)*0.15</f>
        <v>133.41</v>
      </c>
      <c r="P69" s="221">
        <v>0</v>
      </c>
      <c r="Q69" s="132">
        <f>($C$53*P53 + $C$54*P54+$C$55*P55)*0.15</f>
        <v>200.11499999999998</v>
      </c>
      <c r="R69" s="221">
        <v>0</v>
      </c>
      <c r="S69" s="132">
        <v>0</v>
      </c>
      <c r="T69" s="221">
        <v>0</v>
      </c>
      <c r="U69" s="132">
        <v>0</v>
      </c>
      <c r="V69" s="221">
        <v>0</v>
      </c>
      <c r="W69" s="132">
        <v>0</v>
      </c>
      <c r="X69" s="221">
        <v>0</v>
      </c>
      <c r="Y69" s="132">
        <v>0</v>
      </c>
      <c r="Z69" s="221">
        <v>0</v>
      </c>
      <c r="AA69" s="133">
        <v>0</v>
      </c>
      <c r="AB69" s="213">
        <f>E69+G69+I69+K69+M69+O69+Q69+S69+U69+W69+Y69+AA69</f>
        <v>700.40250000000003</v>
      </c>
    </row>
    <row r="70" spans="1:28" ht="28.9" customHeight="1" thickBot="1" x14ac:dyDescent="0.3">
      <c r="A70" s="195" t="s">
        <v>146</v>
      </c>
      <c r="B70" s="196"/>
      <c r="C70" s="205">
        <v>0</v>
      </c>
      <c r="D70" s="206">
        <v>0</v>
      </c>
      <c r="E70" s="137">
        <f>(D55+D54+D53)*75</f>
        <v>22.5</v>
      </c>
      <c r="F70" s="222">
        <v>0</v>
      </c>
      <c r="G70" s="137">
        <f>(F55+F54+F53)*75</f>
        <v>15</v>
      </c>
      <c r="H70" s="222">
        <v>0</v>
      </c>
      <c r="I70" s="137">
        <f>(H55+H54+H53)*75</f>
        <v>30</v>
      </c>
      <c r="J70" s="222">
        <v>0</v>
      </c>
      <c r="K70" s="137">
        <f>(J55+J54+J53)*75</f>
        <v>26.250000000000004</v>
      </c>
      <c r="L70" s="222">
        <v>0</v>
      </c>
      <c r="M70" s="137">
        <f>(L55+L54+L53)*75</f>
        <v>41.25</v>
      </c>
      <c r="N70" s="222">
        <v>0</v>
      </c>
      <c r="O70" s="137">
        <f>(N55+N54+N53)*75</f>
        <v>15</v>
      </c>
      <c r="P70" s="222">
        <v>0</v>
      </c>
      <c r="Q70" s="137">
        <f>(P55+P54+P53)*75</f>
        <v>22.5</v>
      </c>
      <c r="R70" s="222">
        <v>0</v>
      </c>
      <c r="S70" s="137">
        <f>(R55+R54+R53)*75</f>
        <v>45</v>
      </c>
      <c r="T70" s="222">
        <v>0</v>
      </c>
      <c r="U70" s="137">
        <f>(T55+T54+T53)*75</f>
        <v>41.25</v>
      </c>
      <c r="V70" s="222">
        <v>0</v>
      </c>
      <c r="W70" s="137">
        <f>(V55+V54+V53)*75</f>
        <v>52.500000000000007</v>
      </c>
      <c r="X70" s="222">
        <v>0</v>
      </c>
      <c r="Y70" s="137">
        <f>(X55+X54+X53)*75</f>
        <v>30</v>
      </c>
      <c r="Z70" s="222">
        <v>0</v>
      </c>
      <c r="AA70" s="137">
        <f>(Z55+Z54+Z53)*75</f>
        <v>33.75</v>
      </c>
      <c r="AB70" s="213">
        <f>E70+G70+I70+K70+M70+O70+Q70+S70+U70+W70+Y70+AA70</f>
        <v>375</v>
      </c>
    </row>
    <row r="71" spans="1:28" ht="15.75" thickBot="1" x14ac:dyDescent="0.3">
      <c r="B71" s="210" t="s">
        <v>147</v>
      </c>
      <c r="C71" s="202"/>
      <c r="D71" s="203"/>
      <c r="E71" s="217" t="e">
        <f>SUM(E53:E70)</f>
        <v>#REF!</v>
      </c>
      <c r="F71" s="223"/>
      <c r="G71" s="217" t="e">
        <f>SUM(G53:G70)</f>
        <v>#REF!</v>
      </c>
      <c r="H71" s="223"/>
      <c r="I71" s="217" t="e">
        <f>SUM(I53:I70)</f>
        <v>#REF!</v>
      </c>
      <c r="J71" s="223"/>
      <c r="K71" s="217" t="e">
        <f>SUM(K53:K70)</f>
        <v>#REF!</v>
      </c>
      <c r="L71" s="223"/>
      <c r="M71" s="217" t="e">
        <f>SUM(M53:M70)</f>
        <v>#REF!</v>
      </c>
      <c r="N71" s="203"/>
      <c r="O71" s="217" t="e">
        <f>SUM(O53:O70)</f>
        <v>#REF!</v>
      </c>
      <c r="P71" s="223"/>
      <c r="Q71" s="217" t="e">
        <f>SUM(Q53:Q70)</f>
        <v>#REF!</v>
      </c>
      <c r="R71" s="223"/>
      <c r="S71" s="217" t="e">
        <f>SUM(S53:S70)</f>
        <v>#REF!</v>
      </c>
      <c r="T71" s="223"/>
      <c r="U71" s="217" t="e">
        <f>SUM(U53:U70)</f>
        <v>#REF!</v>
      </c>
      <c r="V71" s="223"/>
      <c r="W71" s="217" t="e">
        <f>SUM(W53:W70)</f>
        <v>#REF!</v>
      </c>
      <c r="X71" s="223"/>
      <c r="Y71" s="217" t="e">
        <f>SUM(Y53:Y70)</f>
        <v>#REF!</v>
      </c>
      <c r="Z71" s="223"/>
      <c r="AA71" s="216" t="e">
        <f>SUM(AA53:AA70)</f>
        <v>#REF!</v>
      </c>
      <c r="AB71" s="209" t="e">
        <f>SUM(E71:AA71)</f>
        <v>#REF!</v>
      </c>
    </row>
    <row r="73" spans="1:28" ht="15.75" thickBot="1" x14ac:dyDescent="0.3"/>
    <row r="74" spans="1:28" ht="27" thickBot="1" x14ac:dyDescent="0.45">
      <c r="B74" s="920" t="s">
        <v>149</v>
      </c>
      <c r="C74" s="921"/>
      <c r="D74" s="921"/>
      <c r="E74" s="921"/>
      <c r="F74" s="921"/>
      <c r="G74" s="921"/>
      <c r="H74" s="921"/>
      <c r="I74" s="921"/>
      <c r="J74" s="921"/>
      <c r="K74" s="921"/>
      <c r="L74" s="921"/>
      <c r="M74" s="921"/>
      <c r="N74" s="921"/>
      <c r="O74" s="921"/>
      <c r="P74" s="921"/>
      <c r="Q74" s="921"/>
      <c r="R74" s="921"/>
      <c r="S74" s="921"/>
      <c r="T74" s="921"/>
      <c r="U74" s="921"/>
      <c r="V74" s="921"/>
      <c r="W74" s="921"/>
      <c r="X74" s="921"/>
      <c r="Y74" s="921"/>
      <c r="Z74" s="921"/>
      <c r="AA74" s="921"/>
      <c r="AB74" s="922"/>
    </row>
    <row r="75" spans="1:28" x14ac:dyDescent="0.25">
      <c r="B75" s="923" t="s">
        <v>61</v>
      </c>
      <c r="C75" s="924"/>
      <c r="D75" s="919" t="s">
        <v>42</v>
      </c>
      <c r="E75" s="915"/>
      <c r="F75" s="914" t="s">
        <v>43</v>
      </c>
      <c r="G75" s="915"/>
      <c r="H75" s="914" t="s">
        <v>44</v>
      </c>
      <c r="I75" s="915"/>
      <c r="J75" s="914" t="s">
        <v>45</v>
      </c>
      <c r="K75" s="915"/>
      <c r="L75" s="914" t="s">
        <v>46</v>
      </c>
      <c r="M75" s="915"/>
      <c r="N75" s="914" t="s">
        <v>47</v>
      </c>
      <c r="O75" s="915"/>
      <c r="P75" s="914" t="s">
        <v>48</v>
      </c>
      <c r="Q75" s="915"/>
      <c r="R75" s="914" t="s">
        <v>49</v>
      </c>
      <c r="S75" s="915"/>
      <c r="T75" s="914" t="s">
        <v>50</v>
      </c>
      <c r="U75" s="915"/>
      <c r="V75" s="914" t="s">
        <v>51</v>
      </c>
      <c r="W75" s="915"/>
      <c r="X75" s="914" t="s">
        <v>52</v>
      </c>
      <c r="Y75" s="915"/>
      <c r="Z75" s="914" t="s">
        <v>53</v>
      </c>
      <c r="AA75" s="919"/>
      <c r="AB75" s="925" t="s">
        <v>19</v>
      </c>
    </row>
    <row r="76" spans="1:28" ht="15.75" thickBot="1" x14ac:dyDescent="0.3">
      <c r="B76" s="184" t="s">
        <v>86</v>
      </c>
      <c r="C76" s="185" t="s">
        <v>131</v>
      </c>
      <c r="D76" s="186" t="s">
        <v>57</v>
      </c>
      <c r="E76" s="187" t="s">
        <v>75</v>
      </c>
      <c r="F76" s="187" t="s">
        <v>57</v>
      </c>
      <c r="G76" s="187" t="s">
        <v>75</v>
      </c>
      <c r="H76" s="187" t="s">
        <v>57</v>
      </c>
      <c r="I76" s="187" t="s">
        <v>75</v>
      </c>
      <c r="J76" s="187" t="s">
        <v>57</v>
      </c>
      <c r="K76" s="187" t="s">
        <v>75</v>
      </c>
      <c r="L76" s="187" t="s">
        <v>57</v>
      </c>
      <c r="M76" s="187" t="s">
        <v>75</v>
      </c>
      <c r="N76" s="187" t="s">
        <v>57</v>
      </c>
      <c r="O76" s="187" t="s">
        <v>75</v>
      </c>
      <c r="P76" s="187" t="s">
        <v>57</v>
      </c>
      <c r="Q76" s="187" t="s">
        <v>75</v>
      </c>
      <c r="R76" s="187" t="s">
        <v>57</v>
      </c>
      <c r="S76" s="187" t="s">
        <v>75</v>
      </c>
      <c r="T76" s="187" t="s">
        <v>57</v>
      </c>
      <c r="U76" s="187" t="s">
        <v>75</v>
      </c>
      <c r="V76" s="187" t="s">
        <v>57</v>
      </c>
      <c r="W76" s="187" t="s">
        <v>75</v>
      </c>
      <c r="X76" s="187" t="s">
        <v>57</v>
      </c>
      <c r="Y76" s="187" t="s">
        <v>75</v>
      </c>
      <c r="Z76" s="187" t="s">
        <v>57</v>
      </c>
      <c r="AA76" s="188" t="s">
        <v>75</v>
      </c>
      <c r="AB76" s="926"/>
    </row>
    <row r="77" spans="1:28" x14ac:dyDescent="0.25">
      <c r="A77" s="916" t="s">
        <v>143</v>
      </c>
      <c r="B77" s="189"/>
      <c r="C77" s="190">
        <f>$E$20</f>
        <v>1360</v>
      </c>
      <c r="D77" s="191">
        <f>'Proy. ventas'!E59</f>
        <v>0.5</v>
      </c>
      <c r="E77" s="129">
        <f t="shared" ref="E77:E92" si="16">D77*C77</f>
        <v>680</v>
      </c>
      <c r="F77" s="218">
        <f>'Proy. ventas'!G59</f>
        <v>0.8</v>
      </c>
      <c r="G77" s="129">
        <f t="shared" ref="G77:G92" si="17">F77*C77</f>
        <v>1088</v>
      </c>
      <c r="H77" s="218">
        <f>'Proy. ventas'!I59</f>
        <v>0.35000000000000003</v>
      </c>
      <c r="I77" s="129">
        <f t="shared" ref="I77:I92" si="18">H77*C77</f>
        <v>476.00000000000006</v>
      </c>
      <c r="J77" s="218">
        <f>'Proy. ventas'!K59</f>
        <v>0.2</v>
      </c>
      <c r="K77" s="129">
        <f t="shared" ref="K77:K92" si="19">J77*C77</f>
        <v>272</v>
      </c>
      <c r="L77" s="218">
        <f>'Proy. ventas'!M59</f>
        <v>0.3</v>
      </c>
      <c r="M77" s="129">
        <f t="shared" ref="M77:M92" si="20">L77*C77</f>
        <v>408</v>
      </c>
      <c r="N77" s="218">
        <f>'Proy. ventas'!O59</f>
        <v>0.44999999999999996</v>
      </c>
      <c r="O77" s="129">
        <f t="shared" ref="O77:O92" si="21">N77*C77</f>
        <v>611.99999999999989</v>
      </c>
      <c r="P77" s="218">
        <f>'Proy. ventas'!Q59</f>
        <v>0.5</v>
      </c>
      <c r="Q77" s="129">
        <f t="shared" ref="Q77:Q92" si="22">P77*C77</f>
        <v>680</v>
      </c>
      <c r="R77" s="218">
        <f>'Proy. ventas'!S59</f>
        <v>0.6</v>
      </c>
      <c r="S77" s="129">
        <f t="shared" ref="S77:S92" si="23">R77*C77</f>
        <v>816</v>
      </c>
      <c r="T77" s="218">
        <f>'Proy. ventas'!U59</f>
        <v>0.35000000000000003</v>
      </c>
      <c r="U77" s="129">
        <f t="shared" ref="U77:U92" si="24">T77*C77</f>
        <v>476.00000000000006</v>
      </c>
      <c r="V77" s="218">
        <f>'Proy. ventas'!W59</f>
        <v>0.4</v>
      </c>
      <c r="W77" s="129">
        <f t="shared" ref="W77:W92" si="25">V77*C77</f>
        <v>544</v>
      </c>
      <c r="X77" s="218">
        <f>'Proy. ventas'!Y59</f>
        <v>0.3</v>
      </c>
      <c r="Y77" s="129">
        <f t="shared" ref="Y77:Y92" si="26">X77*C77</f>
        <v>408</v>
      </c>
      <c r="Z77" s="218">
        <f>'Proy. ventas'!AA59</f>
        <v>0.25</v>
      </c>
      <c r="AA77" s="130">
        <f t="shared" ref="AA77:AA92" si="27">Z77*C77</f>
        <v>340</v>
      </c>
      <c r="AB77" s="211">
        <f>E77+G77+I77+K77+M77+O77+Q77+S77++U77+W77+Y77+AA77</f>
        <v>6800</v>
      </c>
    </row>
    <row r="78" spans="1:28" x14ac:dyDescent="0.25">
      <c r="A78" s="917"/>
      <c r="B78" s="181"/>
      <c r="C78" s="182">
        <f>$E$33</f>
        <v>5705</v>
      </c>
      <c r="D78" s="179">
        <f>'Proy. ventas'!E60</f>
        <v>0.30000000000000004</v>
      </c>
      <c r="E78" s="120">
        <f t="shared" si="16"/>
        <v>1711.5000000000002</v>
      </c>
      <c r="F78" s="176">
        <f>'Proy. ventas'!G60</f>
        <v>0.48</v>
      </c>
      <c r="G78" s="120">
        <f t="shared" si="17"/>
        <v>2738.4</v>
      </c>
      <c r="H78" s="176">
        <f>'Proy. ventas'!I60</f>
        <v>0.21000000000000002</v>
      </c>
      <c r="I78" s="120">
        <f t="shared" si="18"/>
        <v>1198.0500000000002</v>
      </c>
      <c r="J78" s="176">
        <f>'Proy. ventas'!K60</f>
        <v>0.12</v>
      </c>
      <c r="K78" s="120">
        <f t="shared" si="19"/>
        <v>684.6</v>
      </c>
      <c r="L78" s="176">
        <f>'Proy. ventas'!M60</f>
        <v>0.18</v>
      </c>
      <c r="M78" s="120">
        <f t="shared" si="20"/>
        <v>1026.8999999999999</v>
      </c>
      <c r="N78" s="176">
        <f>'Proy. ventas'!O60</f>
        <v>0.27</v>
      </c>
      <c r="O78" s="120">
        <f t="shared" si="21"/>
        <v>1540.3500000000001</v>
      </c>
      <c r="P78" s="176">
        <f>'Proy. ventas'!Q60</f>
        <v>0.30000000000000004</v>
      </c>
      <c r="Q78" s="120">
        <f t="shared" si="22"/>
        <v>1711.5000000000002</v>
      </c>
      <c r="R78" s="176">
        <f>'Proy. ventas'!S60</f>
        <v>0.36</v>
      </c>
      <c r="S78" s="120">
        <f t="shared" si="23"/>
        <v>2053.7999999999997</v>
      </c>
      <c r="T78" s="176">
        <f>'Proy. ventas'!U60</f>
        <v>0.21000000000000002</v>
      </c>
      <c r="U78" s="120">
        <f t="shared" si="24"/>
        <v>1198.0500000000002</v>
      </c>
      <c r="V78" s="176">
        <f>'Proy. ventas'!W60</f>
        <v>0.24</v>
      </c>
      <c r="W78" s="120">
        <f t="shared" si="25"/>
        <v>1369.2</v>
      </c>
      <c r="X78" s="176">
        <f>'Proy. ventas'!Y60</f>
        <v>0.18</v>
      </c>
      <c r="Y78" s="120">
        <f t="shared" si="26"/>
        <v>1026.8999999999999</v>
      </c>
      <c r="Z78" s="176">
        <f>'Proy. ventas'!AA60</f>
        <v>0.15000000000000002</v>
      </c>
      <c r="AA78" s="122">
        <f t="shared" si="27"/>
        <v>855.75000000000011</v>
      </c>
      <c r="AB78" s="212">
        <f t="shared" ref="AB78:AB92" si="28">E78+G78+I78+K78+M78+O78+Q78+S78++U78+W78+Y78+AA78</f>
        <v>17115.000000000004</v>
      </c>
    </row>
    <row r="79" spans="1:28" ht="15.75" thickBot="1" x14ac:dyDescent="0.3">
      <c r="A79" s="918"/>
      <c r="B79" s="192"/>
      <c r="C79" s="193">
        <f>$E$46</f>
        <v>8105</v>
      </c>
      <c r="D79" s="194">
        <f>'Proy. ventas'!E61</f>
        <v>0.30000000000000004</v>
      </c>
      <c r="E79" s="132">
        <f t="shared" si="16"/>
        <v>2431.5000000000005</v>
      </c>
      <c r="F79" s="219">
        <f>'Proy. ventas'!G61</f>
        <v>0.48</v>
      </c>
      <c r="G79" s="132">
        <f t="shared" si="17"/>
        <v>3890.3999999999996</v>
      </c>
      <c r="H79" s="219">
        <f>'Proy. ventas'!I61</f>
        <v>0.21000000000000002</v>
      </c>
      <c r="I79" s="132">
        <f t="shared" si="18"/>
        <v>1702.0500000000002</v>
      </c>
      <c r="J79" s="219">
        <f>'Proy. ventas'!K61</f>
        <v>0.12</v>
      </c>
      <c r="K79" s="132">
        <f t="shared" si="19"/>
        <v>972.59999999999991</v>
      </c>
      <c r="L79" s="219">
        <f>'Proy. ventas'!M61</f>
        <v>0.18</v>
      </c>
      <c r="M79" s="132">
        <f t="shared" si="20"/>
        <v>1458.8999999999999</v>
      </c>
      <c r="N79" s="219">
        <f>'Proy. ventas'!O61</f>
        <v>0.27</v>
      </c>
      <c r="O79" s="132">
        <f t="shared" si="21"/>
        <v>2188.3500000000004</v>
      </c>
      <c r="P79" s="219">
        <f>'Proy. ventas'!Q61</f>
        <v>0.30000000000000004</v>
      </c>
      <c r="Q79" s="132">
        <f t="shared" si="22"/>
        <v>2431.5000000000005</v>
      </c>
      <c r="R79" s="219">
        <f>'Proy. ventas'!S61</f>
        <v>0.36</v>
      </c>
      <c r="S79" s="132">
        <f t="shared" si="23"/>
        <v>2917.7999999999997</v>
      </c>
      <c r="T79" s="219">
        <f>'Proy. ventas'!U61</f>
        <v>0.21000000000000002</v>
      </c>
      <c r="U79" s="132">
        <f t="shared" si="24"/>
        <v>1702.0500000000002</v>
      </c>
      <c r="V79" s="219">
        <f>'Proy. ventas'!W61</f>
        <v>0.24</v>
      </c>
      <c r="W79" s="132">
        <f t="shared" si="25"/>
        <v>1945.1999999999998</v>
      </c>
      <c r="X79" s="219">
        <f>'Proy. ventas'!Y61</f>
        <v>0.18</v>
      </c>
      <c r="Y79" s="132">
        <f t="shared" si="26"/>
        <v>1458.8999999999999</v>
      </c>
      <c r="Z79" s="219">
        <f>'Proy. ventas'!AA61</f>
        <v>0.15000000000000002</v>
      </c>
      <c r="AA79" s="133">
        <f t="shared" si="27"/>
        <v>1215.7500000000002</v>
      </c>
      <c r="AB79" s="213">
        <f t="shared" si="28"/>
        <v>24315</v>
      </c>
    </row>
    <row r="80" spans="1:28" x14ac:dyDescent="0.25">
      <c r="A80" s="916" t="s">
        <v>144</v>
      </c>
      <c r="B80" s="189"/>
      <c r="C80" s="190">
        <v>420</v>
      </c>
      <c r="D80" s="191">
        <f>'Proy. ventas'!E62</f>
        <v>0.4</v>
      </c>
      <c r="E80" s="129">
        <f t="shared" si="16"/>
        <v>168</v>
      </c>
      <c r="F80" s="218">
        <f>'Proy. ventas'!G62</f>
        <v>0.64</v>
      </c>
      <c r="G80" s="129">
        <f t="shared" si="17"/>
        <v>268.8</v>
      </c>
      <c r="H80" s="218">
        <f>'Proy. ventas'!I62</f>
        <v>0.28000000000000003</v>
      </c>
      <c r="I80" s="129">
        <f t="shared" si="18"/>
        <v>117.60000000000001</v>
      </c>
      <c r="J80" s="218">
        <f>'Proy. ventas'!K62</f>
        <v>0.16</v>
      </c>
      <c r="K80" s="129">
        <f t="shared" si="19"/>
        <v>67.2</v>
      </c>
      <c r="L80" s="218">
        <f>'Proy. ventas'!M62</f>
        <v>0.24</v>
      </c>
      <c r="M80" s="129">
        <f t="shared" si="20"/>
        <v>100.8</v>
      </c>
      <c r="N80" s="218">
        <f>'Proy. ventas'!O62</f>
        <v>0.36</v>
      </c>
      <c r="O80" s="129">
        <f t="shared" si="21"/>
        <v>151.19999999999999</v>
      </c>
      <c r="P80" s="218">
        <f>'Proy. ventas'!Q62</f>
        <v>0.4</v>
      </c>
      <c r="Q80" s="129">
        <f t="shared" si="22"/>
        <v>168</v>
      </c>
      <c r="R80" s="218">
        <f>'Proy. ventas'!S62</f>
        <v>0.48</v>
      </c>
      <c r="S80" s="129">
        <f t="shared" si="23"/>
        <v>201.6</v>
      </c>
      <c r="T80" s="218">
        <f>'Proy. ventas'!U62</f>
        <v>0.28000000000000003</v>
      </c>
      <c r="U80" s="129">
        <f t="shared" si="24"/>
        <v>117.60000000000001</v>
      </c>
      <c r="V80" s="218">
        <f>'Proy. ventas'!W62</f>
        <v>0.32</v>
      </c>
      <c r="W80" s="129">
        <f t="shared" si="25"/>
        <v>134.4</v>
      </c>
      <c r="X80" s="218">
        <f>'Proy. ventas'!Y62</f>
        <v>0.24</v>
      </c>
      <c r="Y80" s="129">
        <f t="shared" si="26"/>
        <v>100.8</v>
      </c>
      <c r="Z80" s="218">
        <f>'Proy. ventas'!AA62</f>
        <v>0.2</v>
      </c>
      <c r="AA80" s="130">
        <f t="shared" si="27"/>
        <v>84</v>
      </c>
      <c r="AB80" s="211">
        <f t="shared" si="28"/>
        <v>1679.9999999999998</v>
      </c>
    </row>
    <row r="81" spans="1:28" x14ac:dyDescent="0.25">
      <c r="A81" s="917"/>
      <c r="B81" s="181"/>
      <c r="C81" s="182">
        <v>300</v>
      </c>
      <c r="D81" s="179">
        <f>'Proy. ventas'!E63</f>
        <v>0.60000000000000009</v>
      </c>
      <c r="E81" s="120">
        <f t="shared" si="16"/>
        <v>180.00000000000003</v>
      </c>
      <c r="F81" s="176">
        <f>'Proy. ventas'!G63</f>
        <v>0.96</v>
      </c>
      <c r="G81" s="120">
        <f t="shared" si="17"/>
        <v>288</v>
      </c>
      <c r="H81" s="176">
        <f>'Proy. ventas'!I63</f>
        <v>0.42000000000000004</v>
      </c>
      <c r="I81" s="120">
        <f t="shared" si="18"/>
        <v>126.00000000000001</v>
      </c>
      <c r="J81" s="176">
        <f>'Proy. ventas'!K63</f>
        <v>0.24</v>
      </c>
      <c r="K81" s="120">
        <f t="shared" si="19"/>
        <v>72</v>
      </c>
      <c r="L81" s="176">
        <f>'Proy. ventas'!M63</f>
        <v>0.36</v>
      </c>
      <c r="M81" s="120">
        <f t="shared" si="20"/>
        <v>108</v>
      </c>
      <c r="N81" s="176">
        <f>'Proy. ventas'!O63</f>
        <v>0.54</v>
      </c>
      <c r="O81" s="120">
        <f t="shared" si="21"/>
        <v>162</v>
      </c>
      <c r="P81" s="176">
        <f>'Proy. ventas'!Q63</f>
        <v>0.60000000000000009</v>
      </c>
      <c r="Q81" s="120">
        <f t="shared" si="22"/>
        <v>180.00000000000003</v>
      </c>
      <c r="R81" s="176">
        <f>'Proy. ventas'!S63</f>
        <v>0.72</v>
      </c>
      <c r="S81" s="120">
        <f t="shared" si="23"/>
        <v>216</v>
      </c>
      <c r="T81" s="176">
        <f>'Proy. ventas'!U63</f>
        <v>0.42000000000000004</v>
      </c>
      <c r="U81" s="120">
        <f t="shared" si="24"/>
        <v>126.00000000000001</v>
      </c>
      <c r="V81" s="176">
        <f>'Proy. ventas'!W63</f>
        <v>0.48</v>
      </c>
      <c r="W81" s="120">
        <f t="shared" si="25"/>
        <v>144</v>
      </c>
      <c r="X81" s="176">
        <f>'Proy. ventas'!Y63</f>
        <v>0.36</v>
      </c>
      <c r="Y81" s="120">
        <f t="shared" si="26"/>
        <v>108</v>
      </c>
      <c r="Z81" s="176">
        <f>'Proy. ventas'!AA63</f>
        <v>0.30000000000000004</v>
      </c>
      <c r="AA81" s="122">
        <f t="shared" si="27"/>
        <v>90.000000000000014</v>
      </c>
      <c r="AB81" s="212">
        <f t="shared" si="28"/>
        <v>1800</v>
      </c>
    </row>
    <row r="82" spans="1:28" x14ac:dyDescent="0.25">
      <c r="A82" s="917"/>
      <c r="B82" s="181"/>
      <c r="C82" s="182">
        <v>1800</v>
      </c>
      <c r="D82" s="179">
        <f>'Proy. ventas'!E64</f>
        <v>0.4</v>
      </c>
      <c r="E82" s="120">
        <f t="shared" si="16"/>
        <v>720</v>
      </c>
      <c r="F82" s="176">
        <f>'Proy. ventas'!G64</f>
        <v>0.64</v>
      </c>
      <c r="G82" s="120">
        <f t="shared" si="17"/>
        <v>1152</v>
      </c>
      <c r="H82" s="176">
        <f>'Proy. ventas'!I64</f>
        <v>0.28000000000000003</v>
      </c>
      <c r="I82" s="120">
        <f t="shared" si="18"/>
        <v>504.00000000000006</v>
      </c>
      <c r="J82" s="176">
        <f>'Proy. ventas'!K64</f>
        <v>0.16</v>
      </c>
      <c r="K82" s="120">
        <f t="shared" si="19"/>
        <v>288</v>
      </c>
      <c r="L82" s="176">
        <f>'Proy. ventas'!M64</f>
        <v>0.24</v>
      </c>
      <c r="M82" s="120">
        <f t="shared" si="20"/>
        <v>432</v>
      </c>
      <c r="N82" s="176">
        <f>'Proy. ventas'!O64</f>
        <v>0.36</v>
      </c>
      <c r="O82" s="120">
        <f t="shared" si="21"/>
        <v>648</v>
      </c>
      <c r="P82" s="176">
        <f>'Proy. ventas'!Q64</f>
        <v>0.4</v>
      </c>
      <c r="Q82" s="120">
        <f t="shared" si="22"/>
        <v>720</v>
      </c>
      <c r="R82" s="176">
        <f>'Proy. ventas'!S64</f>
        <v>0.48</v>
      </c>
      <c r="S82" s="120">
        <f t="shared" si="23"/>
        <v>864</v>
      </c>
      <c r="T82" s="176">
        <f>'Proy. ventas'!U64</f>
        <v>0.28000000000000003</v>
      </c>
      <c r="U82" s="120">
        <f t="shared" si="24"/>
        <v>504.00000000000006</v>
      </c>
      <c r="V82" s="176">
        <f>'Proy. ventas'!W64</f>
        <v>0.32</v>
      </c>
      <c r="W82" s="120">
        <f t="shared" si="25"/>
        <v>576</v>
      </c>
      <c r="X82" s="176">
        <f>'Proy. ventas'!Y64</f>
        <v>0.24</v>
      </c>
      <c r="Y82" s="120">
        <f t="shared" si="26"/>
        <v>432</v>
      </c>
      <c r="Z82" s="176">
        <f>'Proy. ventas'!AA64</f>
        <v>0.2</v>
      </c>
      <c r="AA82" s="122">
        <f t="shared" si="27"/>
        <v>360</v>
      </c>
      <c r="AB82" s="212">
        <f t="shared" si="28"/>
        <v>7200</v>
      </c>
    </row>
    <row r="83" spans="1:28" x14ac:dyDescent="0.25">
      <c r="A83" s="917"/>
      <c r="B83" s="181"/>
      <c r="C83" s="182">
        <v>180</v>
      </c>
      <c r="D83" s="179">
        <f>'Proy. ventas'!E65</f>
        <v>0.30000000000000004</v>
      </c>
      <c r="E83" s="120">
        <f t="shared" si="16"/>
        <v>54.000000000000007</v>
      </c>
      <c r="F83" s="176">
        <f>'Proy. ventas'!G65</f>
        <v>0.48</v>
      </c>
      <c r="G83" s="120">
        <f t="shared" si="17"/>
        <v>86.399999999999991</v>
      </c>
      <c r="H83" s="176">
        <f>'Proy. ventas'!I65</f>
        <v>0.21000000000000002</v>
      </c>
      <c r="I83" s="120">
        <f t="shared" si="18"/>
        <v>37.800000000000004</v>
      </c>
      <c r="J83" s="176">
        <f>'Proy. ventas'!K65</f>
        <v>0.12</v>
      </c>
      <c r="K83" s="120">
        <f t="shared" si="19"/>
        <v>21.599999999999998</v>
      </c>
      <c r="L83" s="176">
        <f>'Proy. ventas'!M65</f>
        <v>0.18</v>
      </c>
      <c r="M83" s="120">
        <f t="shared" si="20"/>
        <v>32.4</v>
      </c>
      <c r="N83" s="176">
        <f>'Proy. ventas'!O65</f>
        <v>0.27</v>
      </c>
      <c r="O83" s="120">
        <f t="shared" si="21"/>
        <v>48.6</v>
      </c>
      <c r="P83" s="176">
        <f>'Proy. ventas'!Q65</f>
        <v>0.30000000000000004</v>
      </c>
      <c r="Q83" s="120">
        <f t="shared" si="22"/>
        <v>54.000000000000007</v>
      </c>
      <c r="R83" s="176">
        <f>'Proy. ventas'!S65</f>
        <v>0.36</v>
      </c>
      <c r="S83" s="120">
        <f t="shared" si="23"/>
        <v>64.8</v>
      </c>
      <c r="T83" s="176">
        <f>'Proy. ventas'!U65</f>
        <v>0.21000000000000002</v>
      </c>
      <c r="U83" s="120">
        <f t="shared" si="24"/>
        <v>37.800000000000004</v>
      </c>
      <c r="V83" s="176">
        <f>'Proy. ventas'!W65</f>
        <v>0.24</v>
      </c>
      <c r="W83" s="120">
        <f t="shared" si="25"/>
        <v>43.199999999999996</v>
      </c>
      <c r="X83" s="176">
        <f>'Proy. ventas'!Y65</f>
        <v>0.18</v>
      </c>
      <c r="Y83" s="120">
        <f t="shared" si="26"/>
        <v>32.4</v>
      </c>
      <c r="Z83" s="176">
        <f>'Proy. ventas'!AA65</f>
        <v>0.15000000000000002</v>
      </c>
      <c r="AA83" s="122">
        <f t="shared" si="27"/>
        <v>27.000000000000004</v>
      </c>
      <c r="AB83" s="212">
        <f t="shared" si="28"/>
        <v>540</v>
      </c>
    </row>
    <row r="84" spans="1:28" x14ac:dyDescent="0.25">
      <c r="A84" s="917"/>
      <c r="B84" s="181"/>
      <c r="C84" s="182">
        <v>1250</v>
      </c>
      <c r="D84" s="179">
        <f>'Proy. ventas'!E66</f>
        <v>0.5</v>
      </c>
      <c r="E84" s="120">
        <f t="shared" si="16"/>
        <v>625</v>
      </c>
      <c r="F84" s="176">
        <f>'Proy. ventas'!G66</f>
        <v>0.8</v>
      </c>
      <c r="G84" s="120">
        <f t="shared" si="17"/>
        <v>1000</v>
      </c>
      <c r="H84" s="176">
        <f>'Proy. ventas'!I66</f>
        <v>0.35000000000000003</v>
      </c>
      <c r="I84" s="120">
        <f t="shared" si="18"/>
        <v>437.50000000000006</v>
      </c>
      <c r="J84" s="176">
        <f>'Proy. ventas'!K66</f>
        <v>0.2</v>
      </c>
      <c r="K84" s="120">
        <f t="shared" si="19"/>
        <v>250</v>
      </c>
      <c r="L84" s="176">
        <f>'Proy. ventas'!M66</f>
        <v>0.3</v>
      </c>
      <c r="M84" s="120">
        <f t="shared" si="20"/>
        <v>375</v>
      </c>
      <c r="N84" s="176">
        <f>'Proy. ventas'!O66</f>
        <v>0.44999999999999996</v>
      </c>
      <c r="O84" s="120">
        <f t="shared" si="21"/>
        <v>562.5</v>
      </c>
      <c r="P84" s="176">
        <f>'Proy. ventas'!Q66</f>
        <v>0.5</v>
      </c>
      <c r="Q84" s="120">
        <f t="shared" si="22"/>
        <v>625</v>
      </c>
      <c r="R84" s="176">
        <f>'Proy. ventas'!S66</f>
        <v>0.6</v>
      </c>
      <c r="S84" s="120">
        <f t="shared" si="23"/>
        <v>750</v>
      </c>
      <c r="T84" s="176">
        <f>'Proy. ventas'!U66</f>
        <v>0.35000000000000003</v>
      </c>
      <c r="U84" s="120">
        <f t="shared" si="24"/>
        <v>437.50000000000006</v>
      </c>
      <c r="V84" s="176">
        <f>'Proy. ventas'!W66</f>
        <v>0.4</v>
      </c>
      <c r="W84" s="120">
        <f t="shared" si="25"/>
        <v>500</v>
      </c>
      <c r="X84" s="176">
        <f>'Proy. ventas'!Y66</f>
        <v>0.3</v>
      </c>
      <c r="Y84" s="120">
        <f t="shared" si="26"/>
        <v>375</v>
      </c>
      <c r="Z84" s="176">
        <f>'Proy. ventas'!AA66</f>
        <v>0.25</v>
      </c>
      <c r="AA84" s="122">
        <f t="shared" si="27"/>
        <v>312.5</v>
      </c>
      <c r="AB84" s="212">
        <f t="shared" si="28"/>
        <v>6250</v>
      </c>
    </row>
    <row r="85" spans="1:28" x14ac:dyDescent="0.25">
      <c r="A85" s="917"/>
      <c r="B85" s="181"/>
      <c r="C85" s="182">
        <v>350</v>
      </c>
      <c r="D85" s="179" t="e">
        <f>'Proy. ventas'!#REF!</f>
        <v>#REF!</v>
      </c>
      <c r="E85" s="120" t="e">
        <f t="shared" si="16"/>
        <v>#REF!</v>
      </c>
      <c r="F85" s="176" t="e">
        <f>'Proy. ventas'!#REF!</f>
        <v>#REF!</v>
      </c>
      <c r="G85" s="120" t="e">
        <f t="shared" si="17"/>
        <v>#REF!</v>
      </c>
      <c r="H85" s="176" t="e">
        <f>'Proy. ventas'!#REF!</f>
        <v>#REF!</v>
      </c>
      <c r="I85" s="120" t="e">
        <f t="shared" si="18"/>
        <v>#REF!</v>
      </c>
      <c r="J85" s="176" t="e">
        <f>'Proy. ventas'!#REF!</f>
        <v>#REF!</v>
      </c>
      <c r="K85" s="120" t="e">
        <f t="shared" si="19"/>
        <v>#REF!</v>
      </c>
      <c r="L85" s="176" t="e">
        <f>'Proy. ventas'!#REF!</f>
        <v>#REF!</v>
      </c>
      <c r="M85" s="120" t="e">
        <f t="shared" si="20"/>
        <v>#REF!</v>
      </c>
      <c r="N85" s="176" t="e">
        <f>'Proy. ventas'!#REF!</f>
        <v>#REF!</v>
      </c>
      <c r="O85" s="120" t="e">
        <f t="shared" si="21"/>
        <v>#REF!</v>
      </c>
      <c r="P85" s="176" t="e">
        <f>'Proy. ventas'!#REF!</f>
        <v>#REF!</v>
      </c>
      <c r="Q85" s="120" t="e">
        <f t="shared" si="22"/>
        <v>#REF!</v>
      </c>
      <c r="R85" s="176" t="e">
        <f>'Proy. ventas'!#REF!</f>
        <v>#REF!</v>
      </c>
      <c r="S85" s="120" t="e">
        <f t="shared" si="23"/>
        <v>#REF!</v>
      </c>
      <c r="T85" s="176" t="e">
        <f>'Proy. ventas'!#REF!</f>
        <v>#REF!</v>
      </c>
      <c r="U85" s="120" t="e">
        <f t="shared" si="24"/>
        <v>#REF!</v>
      </c>
      <c r="V85" s="176" t="e">
        <f>'Proy. ventas'!#REF!</f>
        <v>#REF!</v>
      </c>
      <c r="W85" s="120" t="e">
        <f t="shared" si="25"/>
        <v>#REF!</v>
      </c>
      <c r="X85" s="176" t="e">
        <f>'Proy. ventas'!#REF!</f>
        <v>#REF!</v>
      </c>
      <c r="Y85" s="120" t="e">
        <f t="shared" si="26"/>
        <v>#REF!</v>
      </c>
      <c r="Z85" s="176" t="e">
        <f>'Proy. ventas'!#REF!</f>
        <v>#REF!</v>
      </c>
      <c r="AA85" s="122" t="e">
        <f t="shared" si="27"/>
        <v>#REF!</v>
      </c>
      <c r="AB85" s="212" t="e">
        <f t="shared" si="28"/>
        <v>#REF!</v>
      </c>
    </row>
    <row r="86" spans="1:28" x14ac:dyDescent="0.25">
      <c r="A86" s="917"/>
      <c r="B86" s="181"/>
      <c r="C86" s="182">
        <v>950</v>
      </c>
      <c r="D86" s="179" t="e">
        <f>'Proy. ventas'!#REF!</f>
        <v>#REF!</v>
      </c>
      <c r="E86" s="120" t="e">
        <f t="shared" si="16"/>
        <v>#REF!</v>
      </c>
      <c r="F86" s="176" t="e">
        <f>'Proy. ventas'!#REF!</f>
        <v>#REF!</v>
      </c>
      <c r="G86" s="120" t="e">
        <f t="shared" si="17"/>
        <v>#REF!</v>
      </c>
      <c r="H86" s="176" t="e">
        <f>'Proy. ventas'!#REF!</f>
        <v>#REF!</v>
      </c>
      <c r="I86" s="120" t="e">
        <f t="shared" si="18"/>
        <v>#REF!</v>
      </c>
      <c r="J86" s="176" t="e">
        <f>'Proy. ventas'!#REF!</f>
        <v>#REF!</v>
      </c>
      <c r="K86" s="120" t="e">
        <f t="shared" si="19"/>
        <v>#REF!</v>
      </c>
      <c r="L86" s="176" t="e">
        <f>'Proy. ventas'!#REF!</f>
        <v>#REF!</v>
      </c>
      <c r="M86" s="120" t="e">
        <f t="shared" si="20"/>
        <v>#REF!</v>
      </c>
      <c r="N86" s="176" t="e">
        <f>'Proy. ventas'!#REF!</f>
        <v>#REF!</v>
      </c>
      <c r="O86" s="120" t="e">
        <f t="shared" si="21"/>
        <v>#REF!</v>
      </c>
      <c r="P86" s="176" t="e">
        <f>'Proy. ventas'!#REF!</f>
        <v>#REF!</v>
      </c>
      <c r="Q86" s="120" t="e">
        <f t="shared" si="22"/>
        <v>#REF!</v>
      </c>
      <c r="R86" s="176" t="e">
        <f>'Proy. ventas'!#REF!</f>
        <v>#REF!</v>
      </c>
      <c r="S86" s="120" t="e">
        <f t="shared" si="23"/>
        <v>#REF!</v>
      </c>
      <c r="T86" s="176" t="e">
        <f>'Proy. ventas'!#REF!</f>
        <v>#REF!</v>
      </c>
      <c r="U86" s="120" t="e">
        <f t="shared" si="24"/>
        <v>#REF!</v>
      </c>
      <c r="V86" s="176" t="e">
        <f>'Proy. ventas'!#REF!</f>
        <v>#REF!</v>
      </c>
      <c r="W86" s="120" t="e">
        <f t="shared" si="25"/>
        <v>#REF!</v>
      </c>
      <c r="X86" s="176" t="e">
        <f>'Proy. ventas'!#REF!</f>
        <v>#REF!</v>
      </c>
      <c r="Y86" s="120" t="e">
        <f t="shared" si="26"/>
        <v>#REF!</v>
      </c>
      <c r="Z86" s="176" t="e">
        <f>'Proy. ventas'!#REF!</f>
        <v>#REF!</v>
      </c>
      <c r="AA86" s="122" t="e">
        <f t="shared" si="27"/>
        <v>#REF!</v>
      </c>
      <c r="AB86" s="212" t="e">
        <f t="shared" si="28"/>
        <v>#REF!</v>
      </c>
    </row>
    <row r="87" spans="1:28" x14ac:dyDescent="0.25">
      <c r="A87" s="917"/>
      <c r="B87" s="181"/>
      <c r="C87" s="182">
        <v>200</v>
      </c>
      <c r="D87" s="179" t="e">
        <f>'Proy. ventas'!#REF!</f>
        <v>#REF!</v>
      </c>
      <c r="E87" s="120" t="e">
        <f t="shared" si="16"/>
        <v>#REF!</v>
      </c>
      <c r="F87" s="176" t="e">
        <f>'Proy. ventas'!#REF!</f>
        <v>#REF!</v>
      </c>
      <c r="G87" s="120" t="e">
        <f t="shared" si="17"/>
        <v>#REF!</v>
      </c>
      <c r="H87" s="176" t="e">
        <f>'Proy. ventas'!#REF!</f>
        <v>#REF!</v>
      </c>
      <c r="I87" s="120" t="e">
        <f t="shared" si="18"/>
        <v>#REF!</v>
      </c>
      <c r="J87" s="176" t="e">
        <f>'Proy. ventas'!#REF!</f>
        <v>#REF!</v>
      </c>
      <c r="K87" s="120" t="e">
        <f t="shared" si="19"/>
        <v>#REF!</v>
      </c>
      <c r="L87" s="176" t="e">
        <f>'Proy. ventas'!#REF!</f>
        <v>#REF!</v>
      </c>
      <c r="M87" s="120" t="e">
        <f t="shared" si="20"/>
        <v>#REF!</v>
      </c>
      <c r="N87" s="176" t="e">
        <f>'Proy. ventas'!#REF!</f>
        <v>#REF!</v>
      </c>
      <c r="O87" s="120" t="e">
        <f t="shared" si="21"/>
        <v>#REF!</v>
      </c>
      <c r="P87" s="176" t="e">
        <f>'Proy. ventas'!#REF!</f>
        <v>#REF!</v>
      </c>
      <c r="Q87" s="120" t="e">
        <f t="shared" si="22"/>
        <v>#REF!</v>
      </c>
      <c r="R87" s="176" t="e">
        <f>'Proy. ventas'!#REF!</f>
        <v>#REF!</v>
      </c>
      <c r="S87" s="120" t="e">
        <f t="shared" si="23"/>
        <v>#REF!</v>
      </c>
      <c r="T87" s="176" t="e">
        <f>'Proy. ventas'!#REF!</f>
        <v>#REF!</v>
      </c>
      <c r="U87" s="120" t="e">
        <f t="shared" si="24"/>
        <v>#REF!</v>
      </c>
      <c r="V87" s="176" t="e">
        <f>'Proy. ventas'!#REF!</f>
        <v>#REF!</v>
      </c>
      <c r="W87" s="120" t="e">
        <f t="shared" si="25"/>
        <v>#REF!</v>
      </c>
      <c r="X87" s="176" t="e">
        <f>'Proy. ventas'!#REF!</f>
        <v>#REF!</v>
      </c>
      <c r="Y87" s="120" t="e">
        <f t="shared" si="26"/>
        <v>#REF!</v>
      </c>
      <c r="Z87" s="176" t="e">
        <f>'Proy. ventas'!#REF!</f>
        <v>#REF!</v>
      </c>
      <c r="AA87" s="122" t="e">
        <f t="shared" si="27"/>
        <v>#REF!</v>
      </c>
      <c r="AB87" s="212" t="e">
        <f t="shared" si="28"/>
        <v>#REF!</v>
      </c>
    </row>
    <row r="88" spans="1:28" ht="15.75" thickBot="1" x14ac:dyDescent="0.3">
      <c r="A88" s="918"/>
      <c r="B88" s="192"/>
      <c r="C88" s="193">
        <v>1150</v>
      </c>
      <c r="D88" s="194" t="e">
        <f>'Proy. ventas'!#REF!</f>
        <v>#REF!</v>
      </c>
      <c r="E88" s="132" t="e">
        <f t="shared" si="16"/>
        <v>#REF!</v>
      </c>
      <c r="F88" s="219" t="e">
        <f>'Proy. ventas'!#REF!</f>
        <v>#REF!</v>
      </c>
      <c r="G88" s="132" t="e">
        <f t="shared" si="17"/>
        <v>#REF!</v>
      </c>
      <c r="H88" s="219" t="e">
        <f>'Proy. ventas'!#REF!</f>
        <v>#REF!</v>
      </c>
      <c r="I88" s="132" t="e">
        <f t="shared" si="18"/>
        <v>#REF!</v>
      </c>
      <c r="J88" s="219" t="e">
        <f>'Proy. ventas'!#REF!</f>
        <v>#REF!</v>
      </c>
      <c r="K88" s="132" t="e">
        <f t="shared" si="19"/>
        <v>#REF!</v>
      </c>
      <c r="L88" s="219" t="e">
        <f>'Proy. ventas'!#REF!</f>
        <v>#REF!</v>
      </c>
      <c r="M88" s="132" t="e">
        <f t="shared" si="20"/>
        <v>#REF!</v>
      </c>
      <c r="N88" s="219" t="e">
        <f>'Proy. ventas'!#REF!</f>
        <v>#REF!</v>
      </c>
      <c r="O88" s="132" t="e">
        <f t="shared" si="21"/>
        <v>#REF!</v>
      </c>
      <c r="P88" s="219" t="e">
        <f>'Proy. ventas'!#REF!</f>
        <v>#REF!</v>
      </c>
      <c r="Q88" s="132" t="e">
        <f t="shared" si="22"/>
        <v>#REF!</v>
      </c>
      <c r="R88" s="219" t="e">
        <f>'Proy. ventas'!#REF!</f>
        <v>#REF!</v>
      </c>
      <c r="S88" s="132" t="e">
        <f t="shared" si="23"/>
        <v>#REF!</v>
      </c>
      <c r="T88" s="219" t="e">
        <f>'Proy. ventas'!#REF!</f>
        <v>#REF!</v>
      </c>
      <c r="U88" s="132" t="e">
        <f t="shared" si="24"/>
        <v>#REF!</v>
      </c>
      <c r="V88" s="219" t="e">
        <f>'Proy. ventas'!#REF!</f>
        <v>#REF!</v>
      </c>
      <c r="W88" s="132" t="e">
        <f t="shared" si="25"/>
        <v>#REF!</v>
      </c>
      <c r="X88" s="219" t="e">
        <f>'Proy. ventas'!#REF!</f>
        <v>#REF!</v>
      </c>
      <c r="Y88" s="132" t="e">
        <f t="shared" si="26"/>
        <v>#REF!</v>
      </c>
      <c r="Z88" s="219" t="e">
        <f>'Proy. ventas'!#REF!</f>
        <v>#REF!</v>
      </c>
      <c r="AA88" s="133" t="e">
        <f t="shared" si="27"/>
        <v>#REF!</v>
      </c>
      <c r="AB88" s="213" t="e">
        <f t="shared" si="28"/>
        <v>#REF!</v>
      </c>
    </row>
    <row r="89" spans="1:28" ht="30.75" thickBot="1" x14ac:dyDescent="0.3">
      <c r="A89" s="228" t="s">
        <v>145</v>
      </c>
      <c r="B89" s="229"/>
      <c r="C89" s="230">
        <v>300</v>
      </c>
      <c r="D89" s="224">
        <v>50</v>
      </c>
      <c r="E89" s="204">
        <f t="shared" si="16"/>
        <v>15000</v>
      </c>
      <c r="F89" s="225">
        <v>20</v>
      </c>
      <c r="G89" s="204">
        <f t="shared" si="17"/>
        <v>6000</v>
      </c>
      <c r="H89" s="225">
        <v>10</v>
      </c>
      <c r="I89" s="204">
        <f t="shared" si="18"/>
        <v>3000</v>
      </c>
      <c r="J89" s="225">
        <v>5</v>
      </c>
      <c r="K89" s="204">
        <f t="shared" si="19"/>
        <v>1500</v>
      </c>
      <c r="L89" s="225">
        <v>0</v>
      </c>
      <c r="M89" s="204">
        <f t="shared" si="20"/>
        <v>0</v>
      </c>
      <c r="N89" s="225">
        <v>5</v>
      </c>
      <c r="O89" s="204">
        <f t="shared" si="21"/>
        <v>1500</v>
      </c>
      <c r="P89" s="225">
        <v>5</v>
      </c>
      <c r="Q89" s="204">
        <f t="shared" si="22"/>
        <v>1500</v>
      </c>
      <c r="R89" s="225">
        <v>0</v>
      </c>
      <c r="S89" s="204">
        <f t="shared" si="23"/>
        <v>0</v>
      </c>
      <c r="T89" s="225">
        <v>10</v>
      </c>
      <c r="U89" s="204">
        <f t="shared" si="24"/>
        <v>3000</v>
      </c>
      <c r="V89" s="225">
        <v>10</v>
      </c>
      <c r="W89" s="204">
        <f t="shared" si="25"/>
        <v>3000</v>
      </c>
      <c r="X89" s="225">
        <v>15</v>
      </c>
      <c r="Y89" s="204">
        <f t="shared" si="26"/>
        <v>4500</v>
      </c>
      <c r="Z89" s="225">
        <v>10</v>
      </c>
      <c r="AA89" s="226">
        <f t="shared" si="27"/>
        <v>3000</v>
      </c>
      <c r="AB89" s="227">
        <f t="shared" si="28"/>
        <v>42000</v>
      </c>
    </row>
    <row r="90" spans="1:28" x14ac:dyDescent="0.25">
      <c r="A90" s="911" t="s">
        <v>148</v>
      </c>
      <c r="B90" s="207"/>
      <c r="C90" s="180">
        <v>182000</v>
      </c>
      <c r="D90" s="178">
        <v>1</v>
      </c>
      <c r="E90" s="126">
        <f t="shared" si="16"/>
        <v>182000</v>
      </c>
      <c r="F90" s="177">
        <v>1</v>
      </c>
      <c r="G90" s="126">
        <f t="shared" si="17"/>
        <v>182000</v>
      </c>
      <c r="H90" s="177">
        <v>0</v>
      </c>
      <c r="I90" s="126">
        <f t="shared" si="18"/>
        <v>0</v>
      </c>
      <c r="J90" s="177">
        <v>1</v>
      </c>
      <c r="K90" s="126">
        <f t="shared" si="19"/>
        <v>182000</v>
      </c>
      <c r="L90" s="177">
        <v>1</v>
      </c>
      <c r="M90" s="126">
        <f t="shared" si="20"/>
        <v>182000</v>
      </c>
      <c r="N90" s="177">
        <v>0</v>
      </c>
      <c r="O90" s="126">
        <f t="shared" si="21"/>
        <v>0</v>
      </c>
      <c r="P90" s="177">
        <v>0</v>
      </c>
      <c r="Q90" s="126">
        <f t="shared" si="22"/>
        <v>0</v>
      </c>
      <c r="R90" s="177">
        <v>0</v>
      </c>
      <c r="S90" s="126">
        <f t="shared" si="23"/>
        <v>0</v>
      </c>
      <c r="T90" s="177">
        <v>1</v>
      </c>
      <c r="U90" s="126">
        <f t="shared" si="24"/>
        <v>182000</v>
      </c>
      <c r="V90" s="177">
        <v>0</v>
      </c>
      <c r="W90" s="126">
        <f t="shared" si="25"/>
        <v>0</v>
      </c>
      <c r="X90" s="177">
        <v>0</v>
      </c>
      <c r="Y90" s="126">
        <f t="shared" si="26"/>
        <v>0</v>
      </c>
      <c r="Z90" s="177">
        <v>1</v>
      </c>
      <c r="AA90" s="127">
        <f t="shared" si="27"/>
        <v>182000</v>
      </c>
      <c r="AB90" s="215">
        <f t="shared" si="28"/>
        <v>1092000</v>
      </c>
    </row>
    <row r="91" spans="1:28" x14ac:dyDescent="0.25">
      <c r="A91" s="912"/>
      <c r="B91" s="208"/>
      <c r="C91" s="182">
        <v>130000</v>
      </c>
      <c r="D91" s="179">
        <v>1</v>
      </c>
      <c r="E91" s="120">
        <f t="shared" si="16"/>
        <v>130000</v>
      </c>
      <c r="F91" s="176">
        <v>0</v>
      </c>
      <c r="G91" s="120">
        <f t="shared" si="17"/>
        <v>0</v>
      </c>
      <c r="H91" s="176">
        <v>0</v>
      </c>
      <c r="I91" s="120">
        <f t="shared" si="18"/>
        <v>0</v>
      </c>
      <c r="J91" s="176">
        <v>0</v>
      </c>
      <c r="K91" s="120">
        <f t="shared" si="19"/>
        <v>0</v>
      </c>
      <c r="L91" s="176">
        <v>1</v>
      </c>
      <c r="M91" s="120">
        <f t="shared" si="20"/>
        <v>130000</v>
      </c>
      <c r="N91" s="176">
        <v>0</v>
      </c>
      <c r="O91" s="120">
        <f t="shared" si="21"/>
        <v>0</v>
      </c>
      <c r="P91" s="176">
        <v>0</v>
      </c>
      <c r="Q91" s="120">
        <f t="shared" si="22"/>
        <v>0</v>
      </c>
      <c r="R91" s="176">
        <v>0</v>
      </c>
      <c r="S91" s="120">
        <f t="shared" si="23"/>
        <v>0</v>
      </c>
      <c r="T91" s="176">
        <v>1</v>
      </c>
      <c r="U91" s="120">
        <f t="shared" si="24"/>
        <v>130000</v>
      </c>
      <c r="V91" s="176">
        <v>0</v>
      </c>
      <c r="W91" s="120">
        <f t="shared" si="25"/>
        <v>0</v>
      </c>
      <c r="X91" s="176">
        <v>0</v>
      </c>
      <c r="Y91" s="120">
        <f t="shared" si="26"/>
        <v>0</v>
      </c>
      <c r="Z91" s="176">
        <v>1</v>
      </c>
      <c r="AA91" s="122">
        <f t="shared" si="27"/>
        <v>130000</v>
      </c>
      <c r="AB91" s="212">
        <f t="shared" si="28"/>
        <v>520000</v>
      </c>
    </row>
    <row r="92" spans="1:28" x14ac:dyDescent="0.25">
      <c r="A92" s="912"/>
      <c r="B92" s="183"/>
      <c r="C92" s="182">
        <v>250000</v>
      </c>
      <c r="D92" s="179">
        <v>0</v>
      </c>
      <c r="E92" s="120">
        <f t="shared" si="16"/>
        <v>0</v>
      </c>
      <c r="F92" s="176">
        <v>0</v>
      </c>
      <c r="G92" s="120">
        <f t="shared" si="17"/>
        <v>0</v>
      </c>
      <c r="H92" s="176">
        <v>0</v>
      </c>
      <c r="I92" s="120">
        <f t="shared" si="18"/>
        <v>0</v>
      </c>
      <c r="J92" s="176">
        <v>0</v>
      </c>
      <c r="K92" s="120">
        <f t="shared" si="19"/>
        <v>0</v>
      </c>
      <c r="L92" s="176">
        <v>0</v>
      </c>
      <c r="M92" s="120">
        <f t="shared" si="20"/>
        <v>0</v>
      </c>
      <c r="N92" s="176">
        <v>0</v>
      </c>
      <c r="O92" s="120">
        <f t="shared" si="21"/>
        <v>0</v>
      </c>
      <c r="P92" s="176">
        <v>0</v>
      </c>
      <c r="Q92" s="120">
        <f t="shared" si="22"/>
        <v>0</v>
      </c>
      <c r="R92" s="176">
        <v>0</v>
      </c>
      <c r="S92" s="120">
        <f t="shared" si="23"/>
        <v>0</v>
      </c>
      <c r="T92" s="176">
        <v>1</v>
      </c>
      <c r="U92" s="120">
        <f t="shared" si="24"/>
        <v>250000</v>
      </c>
      <c r="V92" s="176">
        <v>0</v>
      </c>
      <c r="W92" s="120">
        <f t="shared" si="25"/>
        <v>0</v>
      </c>
      <c r="X92" s="176">
        <v>0</v>
      </c>
      <c r="Y92" s="120">
        <f t="shared" si="26"/>
        <v>0</v>
      </c>
      <c r="Z92" s="176">
        <v>0</v>
      </c>
      <c r="AA92" s="122">
        <f t="shared" si="27"/>
        <v>0</v>
      </c>
      <c r="AB92" s="212">
        <f t="shared" si="28"/>
        <v>250000</v>
      </c>
    </row>
    <row r="93" spans="1:28" ht="15.75" thickBot="1" x14ac:dyDescent="0.3">
      <c r="A93" s="913"/>
      <c r="B93" s="199"/>
      <c r="C93" s="200">
        <v>0</v>
      </c>
      <c r="D93" s="201">
        <v>0</v>
      </c>
      <c r="E93" s="132">
        <v>0</v>
      </c>
      <c r="F93" s="221">
        <v>0</v>
      </c>
      <c r="G93" s="132">
        <v>0</v>
      </c>
      <c r="H93" s="221">
        <v>0</v>
      </c>
      <c r="I93" s="132">
        <v>0</v>
      </c>
      <c r="J93" s="221">
        <v>0</v>
      </c>
      <c r="K93" s="132">
        <v>0</v>
      </c>
      <c r="L93" s="221">
        <v>0</v>
      </c>
      <c r="M93" s="132">
        <f>($C$53*L77 + $C$54*L78+$C$55*L79)*0.15</f>
        <v>434.06999999999994</v>
      </c>
      <c r="N93" s="221">
        <v>0</v>
      </c>
      <c r="O93" s="132">
        <f>($C$53*N77 + $C$54*N78+$C$55*N79)*0.15</f>
        <v>651.10500000000013</v>
      </c>
      <c r="P93" s="221">
        <v>0</v>
      </c>
      <c r="Q93" s="132">
        <f>($C$53*P77 + $C$54*P78+$C$55*P79)*0.15</f>
        <v>723.44999999999993</v>
      </c>
      <c r="R93" s="221">
        <v>0</v>
      </c>
      <c r="S93" s="132">
        <v>0</v>
      </c>
      <c r="T93" s="221">
        <v>0</v>
      </c>
      <c r="U93" s="132">
        <v>0</v>
      </c>
      <c r="V93" s="221">
        <v>0</v>
      </c>
      <c r="W93" s="132">
        <v>0</v>
      </c>
      <c r="X93" s="221">
        <v>0</v>
      </c>
      <c r="Y93" s="132">
        <v>0</v>
      </c>
      <c r="Z93" s="221">
        <v>0</v>
      </c>
      <c r="AA93" s="133">
        <v>0</v>
      </c>
      <c r="AB93" s="213">
        <f>E93+G93+I93+K93+M93+O93+Q93+S93+U93+W93+Y93+AA93</f>
        <v>1808.625</v>
      </c>
    </row>
    <row r="94" spans="1:28" ht="15.75" thickBot="1" x14ac:dyDescent="0.3">
      <c r="A94" s="195" t="s">
        <v>146</v>
      </c>
      <c r="B94" s="196"/>
      <c r="C94" s="205">
        <v>0</v>
      </c>
      <c r="D94" s="206">
        <v>0</v>
      </c>
      <c r="E94" s="137">
        <f>(D79+D78+D77)*75</f>
        <v>82.5</v>
      </c>
      <c r="F94" s="222">
        <v>0</v>
      </c>
      <c r="G94" s="137">
        <f>(F79+F78+F77)*75</f>
        <v>132</v>
      </c>
      <c r="H94" s="222">
        <v>0</v>
      </c>
      <c r="I94" s="137">
        <f>(H79+H78+H77)*75</f>
        <v>57.75</v>
      </c>
      <c r="J94" s="222">
        <v>0</v>
      </c>
      <c r="K94" s="137">
        <f>(J79+J78+J77)*75</f>
        <v>33</v>
      </c>
      <c r="L94" s="222">
        <v>0</v>
      </c>
      <c r="M94" s="137">
        <f>(L79+L78+L77)*75</f>
        <v>49.499999999999993</v>
      </c>
      <c r="N94" s="222">
        <v>0</v>
      </c>
      <c r="O94" s="137">
        <f>(N79+N78+N77)*75</f>
        <v>74.25</v>
      </c>
      <c r="P94" s="222">
        <v>0</v>
      </c>
      <c r="Q94" s="137">
        <f>(P79+P78+P77)*75</f>
        <v>82.5</v>
      </c>
      <c r="R94" s="222">
        <v>0</v>
      </c>
      <c r="S94" s="137">
        <f>(R79+R78+R77)*75</f>
        <v>98.999999999999986</v>
      </c>
      <c r="T94" s="222">
        <v>0</v>
      </c>
      <c r="U94" s="137">
        <f>(T79+T78+T77)*75</f>
        <v>57.75</v>
      </c>
      <c r="V94" s="222">
        <v>0</v>
      </c>
      <c r="W94" s="137">
        <f>(V79+V78+V77)*75</f>
        <v>66</v>
      </c>
      <c r="X94" s="222">
        <v>0</v>
      </c>
      <c r="Y94" s="137">
        <f>(X79+X78+X77)*75</f>
        <v>49.499999999999993</v>
      </c>
      <c r="Z94" s="222">
        <v>0</v>
      </c>
      <c r="AA94" s="137">
        <f>(Z79+Z78+Z77)*75</f>
        <v>41.25</v>
      </c>
      <c r="AB94" s="213">
        <f>E94+G94+I94+K94+M94+O94+Q94+S94+U94+W94+Y94+AA94</f>
        <v>825</v>
      </c>
    </row>
    <row r="95" spans="1:28" ht="15.75" thickBot="1" x14ac:dyDescent="0.3">
      <c r="B95" s="210" t="s">
        <v>147</v>
      </c>
      <c r="C95" s="202"/>
      <c r="D95" s="203"/>
      <c r="E95" s="217" t="e">
        <f>SUM(E77:E94)</f>
        <v>#REF!</v>
      </c>
      <c r="F95" s="223"/>
      <c r="G95" s="217" t="e">
        <f>SUM(G77:G94)</f>
        <v>#REF!</v>
      </c>
      <c r="H95" s="223"/>
      <c r="I95" s="217" t="e">
        <f>SUM(I77:I94)</f>
        <v>#REF!</v>
      </c>
      <c r="J95" s="223"/>
      <c r="K95" s="217" t="e">
        <f>SUM(K77:K94)</f>
        <v>#REF!</v>
      </c>
      <c r="L95" s="223"/>
      <c r="M95" s="217" t="e">
        <f>SUM(M77:M94)</f>
        <v>#REF!</v>
      </c>
      <c r="N95" s="203"/>
      <c r="O95" s="217" t="e">
        <f>SUM(O77:O94)</f>
        <v>#REF!</v>
      </c>
      <c r="P95" s="223"/>
      <c r="Q95" s="217" t="e">
        <f>SUM(Q77:Q94)</f>
        <v>#REF!</v>
      </c>
      <c r="R95" s="223"/>
      <c r="S95" s="217" t="e">
        <f>SUM(S77:S94)</f>
        <v>#REF!</v>
      </c>
      <c r="T95" s="223"/>
      <c r="U95" s="217" t="e">
        <f>SUM(U77:U94)</f>
        <v>#REF!</v>
      </c>
      <c r="V95" s="223"/>
      <c r="W95" s="217" t="e">
        <f>SUM(W77:W94)</f>
        <v>#REF!</v>
      </c>
      <c r="X95" s="223"/>
      <c r="Y95" s="217" t="e">
        <f>SUM(Y77:Y94)</f>
        <v>#REF!</v>
      </c>
      <c r="Z95" s="223"/>
      <c r="AA95" s="216" t="e">
        <f>SUM(AA77:AA94)</f>
        <v>#REF!</v>
      </c>
      <c r="AB95" s="209" t="e">
        <f>SUM(E95:AA95)</f>
        <v>#REF!</v>
      </c>
    </row>
    <row r="97" spans="1:28" ht="15.75" thickBot="1" x14ac:dyDescent="0.3"/>
    <row r="98" spans="1:28" ht="27" thickBot="1" x14ac:dyDescent="0.45">
      <c r="B98" s="920" t="s">
        <v>150</v>
      </c>
      <c r="C98" s="921"/>
      <c r="D98" s="921"/>
      <c r="E98" s="921"/>
      <c r="F98" s="921"/>
      <c r="G98" s="921"/>
      <c r="H98" s="921"/>
      <c r="I98" s="921"/>
      <c r="J98" s="921"/>
      <c r="K98" s="921"/>
      <c r="L98" s="921"/>
      <c r="M98" s="921"/>
      <c r="N98" s="921"/>
      <c r="O98" s="921"/>
      <c r="P98" s="921"/>
      <c r="Q98" s="921"/>
      <c r="R98" s="921"/>
      <c r="S98" s="921"/>
      <c r="T98" s="921"/>
      <c r="U98" s="921"/>
      <c r="V98" s="921"/>
      <c r="W98" s="921"/>
      <c r="X98" s="921"/>
      <c r="Y98" s="921"/>
      <c r="Z98" s="921"/>
      <c r="AA98" s="921"/>
      <c r="AB98" s="922"/>
    </row>
    <row r="99" spans="1:28" x14ac:dyDescent="0.25">
      <c r="B99" s="923" t="s">
        <v>61</v>
      </c>
      <c r="C99" s="924"/>
      <c r="D99" s="919" t="s">
        <v>42</v>
      </c>
      <c r="E99" s="915"/>
      <c r="F99" s="914" t="s">
        <v>43</v>
      </c>
      <c r="G99" s="915"/>
      <c r="H99" s="914" t="s">
        <v>44</v>
      </c>
      <c r="I99" s="915"/>
      <c r="J99" s="914" t="s">
        <v>45</v>
      </c>
      <c r="K99" s="915"/>
      <c r="L99" s="914" t="s">
        <v>46</v>
      </c>
      <c r="M99" s="915"/>
      <c r="N99" s="914" t="s">
        <v>47</v>
      </c>
      <c r="O99" s="915"/>
      <c r="P99" s="914" t="s">
        <v>48</v>
      </c>
      <c r="Q99" s="915"/>
      <c r="R99" s="914" t="s">
        <v>49</v>
      </c>
      <c r="S99" s="915"/>
      <c r="T99" s="914" t="s">
        <v>50</v>
      </c>
      <c r="U99" s="915"/>
      <c r="V99" s="914" t="s">
        <v>51</v>
      </c>
      <c r="W99" s="915"/>
      <c r="X99" s="914" t="s">
        <v>52</v>
      </c>
      <c r="Y99" s="915"/>
      <c r="Z99" s="914" t="s">
        <v>53</v>
      </c>
      <c r="AA99" s="919"/>
      <c r="AB99" s="925" t="s">
        <v>19</v>
      </c>
    </row>
    <row r="100" spans="1:28" ht="15.75" thickBot="1" x14ac:dyDescent="0.3">
      <c r="B100" s="184" t="s">
        <v>86</v>
      </c>
      <c r="C100" s="185" t="s">
        <v>131</v>
      </c>
      <c r="D100" s="186" t="s">
        <v>57</v>
      </c>
      <c r="E100" s="187" t="s">
        <v>75</v>
      </c>
      <c r="F100" s="187" t="s">
        <v>57</v>
      </c>
      <c r="G100" s="187" t="s">
        <v>75</v>
      </c>
      <c r="H100" s="187" t="s">
        <v>57</v>
      </c>
      <c r="I100" s="187" t="s">
        <v>75</v>
      </c>
      <c r="J100" s="187" t="s">
        <v>57</v>
      </c>
      <c r="K100" s="187" t="s">
        <v>75</v>
      </c>
      <c r="L100" s="187" t="s">
        <v>57</v>
      </c>
      <c r="M100" s="187" t="s">
        <v>75</v>
      </c>
      <c r="N100" s="187" t="s">
        <v>57</v>
      </c>
      <c r="O100" s="187" t="s">
        <v>75</v>
      </c>
      <c r="P100" s="187" t="s">
        <v>57</v>
      </c>
      <c r="Q100" s="187" t="s">
        <v>75</v>
      </c>
      <c r="R100" s="187" t="s">
        <v>57</v>
      </c>
      <c r="S100" s="187" t="s">
        <v>75</v>
      </c>
      <c r="T100" s="187" t="s">
        <v>57</v>
      </c>
      <c r="U100" s="187" t="s">
        <v>75</v>
      </c>
      <c r="V100" s="187" t="s">
        <v>57</v>
      </c>
      <c r="W100" s="187" t="s">
        <v>75</v>
      </c>
      <c r="X100" s="187" t="s">
        <v>57</v>
      </c>
      <c r="Y100" s="187" t="s">
        <v>75</v>
      </c>
      <c r="Z100" s="187" t="s">
        <v>57</v>
      </c>
      <c r="AA100" s="188" t="s">
        <v>75</v>
      </c>
      <c r="AB100" s="926"/>
    </row>
    <row r="101" spans="1:28" x14ac:dyDescent="0.25">
      <c r="A101" s="916" t="s">
        <v>143</v>
      </c>
      <c r="B101" s="189"/>
      <c r="C101" s="190">
        <f>$E$20</f>
        <v>1360</v>
      </c>
      <c r="D101" s="191">
        <f>'Proy. ventas'!E99</f>
        <v>0.9</v>
      </c>
      <c r="E101" s="129">
        <f t="shared" ref="E101:E116" si="29">D101*C101</f>
        <v>1224</v>
      </c>
      <c r="F101" s="218">
        <f>'Proy. ventas'!G99</f>
        <v>1.44</v>
      </c>
      <c r="G101" s="129">
        <f t="shared" ref="G101:G116" si="30">F101*C101</f>
        <v>1958.3999999999999</v>
      </c>
      <c r="H101" s="218">
        <f>'Proy. ventas'!I99</f>
        <v>0.63000000000000012</v>
      </c>
      <c r="I101" s="129">
        <f t="shared" ref="I101:I116" si="31">H101*C101</f>
        <v>856.80000000000018</v>
      </c>
      <c r="J101" s="218">
        <f>'Proy. ventas'!K99</f>
        <v>0.45</v>
      </c>
      <c r="K101" s="129">
        <f t="shared" ref="K101:K116" si="32">J101*C101</f>
        <v>612</v>
      </c>
      <c r="L101" s="218">
        <f>'Proy. ventas'!M99</f>
        <v>0.54</v>
      </c>
      <c r="M101" s="129">
        <f t="shared" ref="M101:M116" si="33">L101*C101</f>
        <v>734.40000000000009</v>
      </c>
      <c r="N101" s="218">
        <f>'Proy. ventas'!O99</f>
        <v>0.80999999999999994</v>
      </c>
      <c r="O101" s="129">
        <f t="shared" ref="O101:O116" si="34">N101*C101</f>
        <v>1101.5999999999999</v>
      </c>
      <c r="P101" s="218">
        <f>'Proy. ventas'!Q99</f>
        <v>0.9</v>
      </c>
      <c r="Q101" s="129">
        <f t="shared" ref="Q101:Q116" si="35">P101*C101</f>
        <v>1224</v>
      </c>
      <c r="R101" s="218">
        <f>'Proy. ventas'!S99</f>
        <v>0.9</v>
      </c>
      <c r="S101" s="129">
        <f t="shared" ref="S101:S116" si="36">R101*C101</f>
        <v>1224</v>
      </c>
      <c r="T101" s="218">
        <f>'Proy. ventas'!U99</f>
        <v>0.63000000000000012</v>
      </c>
      <c r="U101" s="129">
        <f t="shared" ref="U101:U116" si="37">T101*C101</f>
        <v>856.80000000000018</v>
      </c>
      <c r="V101" s="218">
        <f>'Proy. ventas'!W99</f>
        <v>0.72</v>
      </c>
      <c r="W101" s="129">
        <f t="shared" ref="W101:W116" si="38">V101*C101</f>
        <v>979.19999999999993</v>
      </c>
      <c r="X101" s="218">
        <f>'Proy. ventas'!Y99</f>
        <v>0.63000000000000012</v>
      </c>
      <c r="Y101" s="129">
        <f t="shared" ref="Y101:Y116" si="39">X101*C101</f>
        <v>856.80000000000018</v>
      </c>
      <c r="Z101" s="218">
        <f>'Proy. ventas'!AA99</f>
        <v>0.45</v>
      </c>
      <c r="AA101" s="130">
        <f t="shared" ref="AA101:AA116" si="40">Z101*C101</f>
        <v>612</v>
      </c>
      <c r="AB101" s="211">
        <f>E101+G101+I101+K101+M101+O101+Q101+S101++U101+W101+Y101+AA101</f>
        <v>12240</v>
      </c>
    </row>
    <row r="102" spans="1:28" x14ac:dyDescent="0.25">
      <c r="A102" s="917"/>
      <c r="B102" s="181"/>
      <c r="C102" s="182">
        <f>$E$33</f>
        <v>5705</v>
      </c>
      <c r="D102" s="179">
        <f>'Proy. ventas'!E100</f>
        <v>0.60000000000000009</v>
      </c>
      <c r="E102" s="120">
        <f t="shared" si="29"/>
        <v>3423.0000000000005</v>
      </c>
      <c r="F102" s="176">
        <f>'Proy. ventas'!G100</f>
        <v>0.96</v>
      </c>
      <c r="G102" s="120">
        <f t="shared" si="30"/>
        <v>5476.8</v>
      </c>
      <c r="H102" s="176">
        <f>'Proy. ventas'!I100</f>
        <v>0.42000000000000004</v>
      </c>
      <c r="I102" s="120">
        <f t="shared" si="31"/>
        <v>2396.1000000000004</v>
      </c>
      <c r="J102" s="176">
        <f>'Proy. ventas'!K100</f>
        <v>0.30000000000000004</v>
      </c>
      <c r="K102" s="120">
        <f t="shared" si="32"/>
        <v>1711.5000000000002</v>
      </c>
      <c r="L102" s="176">
        <f>'Proy. ventas'!M100</f>
        <v>0.36</v>
      </c>
      <c r="M102" s="120">
        <f t="shared" si="33"/>
        <v>2053.7999999999997</v>
      </c>
      <c r="N102" s="176">
        <f>'Proy. ventas'!O100</f>
        <v>0.54</v>
      </c>
      <c r="O102" s="120">
        <f t="shared" si="34"/>
        <v>3080.7000000000003</v>
      </c>
      <c r="P102" s="176">
        <f>'Proy. ventas'!Q100</f>
        <v>0.60000000000000009</v>
      </c>
      <c r="Q102" s="120">
        <f t="shared" si="35"/>
        <v>3423.0000000000005</v>
      </c>
      <c r="R102" s="176">
        <f>'Proy. ventas'!S100</f>
        <v>0.60000000000000009</v>
      </c>
      <c r="S102" s="120">
        <f t="shared" si="36"/>
        <v>3423.0000000000005</v>
      </c>
      <c r="T102" s="176">
        <f>'Proy. ventas'!U100</f>
        <v>0.42000000000000004</v>
      </c>
      <c r="U102" s="120">
        <f t="shared" si="37"/>
        <v>2396.1000000000004</v>
      </c>
      <c r="V102" s="176">
        <f>'Proy. ventas'!W100</f>
        <v>0.48</v>
      </c>
      <c r="W102" s="120">
        <f t="shared" si="38"/>
        <v>2738.4</v>
      </c>
      <c r="X102" s="176">
        <f>'Proy. ventas'!Y100</f>
        <v>0.42000000000000004</v>
      </c>
      <c r="Y102" s="120">
        <f t="shared" si="39"/>
        <v>2396.1000000000004</v>
      </c>
      <c r="Z102" s="176">
        <f>'Proy. ventas'!AA100</f>
        <v>0.30000000000000004</v>
      </c>
      <c r="AA102" s="122">
        <f t="shared" si="40"/>
        <v>1711.5000000000002</v>
      </c>
      <c r="AB102" s="212">
        <f t="shared" ref="AB102:AB116" si="41">E102+G102+I102+K102+M102+O102+Q102+S102++U102+W102+Y102+AA102</f>
        <v>34230</v>
      </c>
    </row>
    <row r="103" spans="1:28" ht="15.75" thickBot="1" x14ac:dyDescent="0.3">
      <c r="A103" s="918"/>
      <c r="B103" s="192"/>
      <c r="C103" s="193">
        <f>$E$46</f>
        <v>8105</v>
      </c>
      <c r="D103" s="194">
        <f>'Proy. ventas'!E101</f>
        <v>0.8</v>
      </c>
      <c r="E103" s="132">
        <f t="shared" si="29"/>
        <v>6484</v>
      </c>
      <c r="F103" s="219">
        <f>'Proy. ventas'!G101</f>
        <v>1.28</v>
      </c>
      <c r="G103" s="132">
        <f t="shared" si="30"/>
        <v>10374.4</v>
      </c>
      <c r="H103" s="219">
        <f>'Proy. ventas'!I101</f>
        <v>0.56000000000000005</v>
      </c>
      <c r="I103" s="132">
        <f t="shared" si="31"/>
        <v>4538.8</v>
      </c>
      <c r="J103" s="219">
        <f>'Proy. ventas'!K101</f>
        <v>0.4</v>
      </c>
      <c r="K103" s="132">
        <f t="shared" si="32"/>
        <v>3242</v>
      </c>
      <c r="L103" s="219">
        <f>'Proy. ventas'!M101</f>
        <v>0.48</v>
      </c>
      <c r="M103" s="132">
        <f t="shared" si="33"/>
        <v>3890.3999999999996</v>
      </c>
      <c r="N103" s="219">
        <f>'Proy. ventas'!O101</f>
        <v>0.72</v>
      </c>
      <c r="O103" s="132">
        <f t="shared" si="34"/>
        <v>5835.5999999999995</v>
      </c>
      <c r="P103" s="219">
        <f>'Proy. ventas'!Q101</f>
        <v>0.8</v>
      </c>
      <c r="Q103" s="132">
        <f t="shared" si="35"/>
        <v>6484</v>
      </c>
      <c r="R103" s="219">
        <f>'Proy. ventas'!S101</f>
        <v>0.8</v>
      </c>
      <c r="S103" s="132">
        <f t="shared" si="36"/>
        <v>6484</v>
      </c>
      <c r="T103" s="219">
        <f>'Proy. ventas'!U101</f>
        <v>0.56000000000000005</v>
      </c>
      <c r="U103" s="132">
        <f t="shared" si="37"/>
        <v>4538.8</v>
      </c>
      <c r="V103" s="219">
        <f>'Proy. ventas'!W101</f>
        <v>0.64</v>
      </c>
      <c r="W103" s="132">
        <f t="shared" si="38"/>
        <v>5187.2</v>
      </c>
      <c r="X103" s="219">
        <f>'Proy. ventas'!Y101</f>
        <v>0.56000000000000005</v>
      </c>
      <c r="Y103" s="132">
        <f t="shared" si="39"/>
        <v>4538.8</v>
      </c>
      <c r="Z103" s="219">
        <f>'Proy. ventas'!AA101</f>
        <v>0.4</v>
      </c>
      <c r="AA103" s="133">
        <f t="shared" si="40"/>
        <v>3242</v>
      </c>
      <c r="AB103" s="213">
        <f t="shared" si="41"/>
        <v>64840</v>
      </c>
    </row>
    <row r="104" spans="1:28" x14ac:dyDescent="0.25">
      <c r="A104" s="916" t="s">
        <v>144</v>
      </c>
      <c r="B104" s="189"/>
      <c r="C104" s="190">
        <v>420</v>
      </c>
      <c r="D104" s="191">
        <f>'Proy. ventas'!E102</f>
        <v>0.70000000000000007</v>
      </c>
      <c r="E104" s="129">
        <f t="shared" si="29"/>
        <v>294</v>
      </c>
      <c r="F104" s="218">
        <f>'Proy. ventas'!G102</f>
        <v>1.1200000000000001</v>
      </c>
      <c r="G104" s="129">
        <f t="shared" si="30"/>
        <v>470.40000000000003</v>
      </c>
      <c r="H104" s="218">
        <f>'Proy. ventas'!I102</f>
        <v>0.49000000000000005</v>
      </c>
      <c r="I104" s="129">
        <f t="shared" si="31"/>
        <v>205.8</v>
      </c>
      <c r="J104" s="218">
        <f>'Proy. ventas'!K102</f>
        <v>0.35000000000000003</v>
      </c>
      <c r="K104" s="129">
        <f t="shared" si="32"/>
        <v>147</v>
      </c>
      <c r="L104" s="218">
        <f>'Proy. ventas'!M102</f>
        <v>0.42</v>
      </c>
      <c r="M104" s="129">
        <f t="shared" si="33"/>
        <v>176.4</v>
      </c>
      <c r="N104" s="218">
        <f>'Proy. ventas'!O102</f>
        <v>0.63</v>
      </c>
      <c r="O104" s="129">
        <f t="shared" si="34"/>
        <v>264.60000000000002</v>
      </c>
      <c r="P104" s="218">
        <f>'Proy. ventas'!Q102</f>
        <v>0.70000000000000007</v>
      </c>
      <c r="Q104" s="129">
        <f t="shared" si="35"/>
        <v>294</v>
      </c>
      <c r="R104" s="218">
        <f>'Proy. ventas'!S102</f>
        <v>0.70000000000000007</v>
      </c>
      <c r="S104" s="129">
        <f t="shared" si="36"/>
        <v>294</v>
      </c>
      <c r="T104" s="218">
        <f>'Proy. ventas'!U102</f>
        <v>0.49000000000000005</v>
      </c>
      <c r="U104" s="129">
        <f t="shared" si="37"/>
        <v>205.8</v>
      </c>
      <c r="V104" s="218">
        <f>'Proy. ventas'!W102</f>
        <v>0.56000000000000005</v>
      </c>
      <c r="W104" s="129">
        <f t="shared" si="38"/>
        <v>235.20000000000002</v>
      </c>
      <c r="X104" s="218">
        <f>'Proy. ventas'!Y102</f>
        <v>0.49000000000000005</v>
      </c>
      <c r="Y104" s="129">
        <f t="shared" si="39"/>
        <v>205.8</v>
      </c>
      <c r="Z104" s="218">
        <f>'Proy. ventas'!AA102</f>
        <v>0.35000000000000003</v>
      </c>
      <c r="AA104" s="130">
        <f t="shared" si="40"/>
        <v>147</v>
      </c>
      <c r="AB104" s="211">
        <f t="shared" si="41"/>
        <v>2940.0000000000005</v>
      </c>
    </row>
    <row r="105" spans="1:28" x14ac:dyDescent="0.25">
      <c r="A105" s="917"/>
      <c r="B105" s="181"/>
      <c r="C105" s="182">
        <v>300</v>
      </c>
      <c r="D105" s="179">
        <f>'Proy. ventas'!E103</f>
        <v>0.5</v>
      </c>
      <c r="E105" s="120">
        <f t="shared" si="29"/>
        <v>150</v>
      </c>
      <c r="F105" s="176">
        <f>'Proy. ventas'!G103</f>
        <v>0.8</v>
      </c>
      <c r="G105" s="120">
        <f t="shared" si="30"/>
        <v>240</v>
      </c>
      <c r="H105" s="176">
        <f>'Proy. ventas'!I103</f>
        <v>0.35000000000000003</v>
      </c>
      <c r="I105" s="120">
        <f t="shared" si="31"/>
        <v>105.00000000000001</v>
      </c>
      <c r="J105" s="176">
        <f>'Proy. ventas'!K103</f>
        <v>0.25</v>
      </c>
      <c r="K105" s="120">
        <f t="shared" si="32"/>
        <v>75</v>
      </c>
      <c r="L105" s="176">
        <f>'Proy. ventas'!M103</f>
        <v>0.3</v>
      </c>
      <c r="M105" s="120">
        <f t="shared" si="33"/>
        <v>90</v>
      </c>
      <c r="N105" s="176">
        <f>'Proy. ventas'!O103</f>
        <v>0.44999999999999996</v>
      </c>
      <c r="O105" s="120">
        <f t="shared" si="34"/>
        <v>135</v>
      </c>
      <c r="P105" s="176">
        <f>'Proy. ventas'!Q103</f>
        <v>0.5</v>
      </c>
      <c r="Q105" s="120">
        <f t="shared" si="35"/>
        <v>150</v>
      </c>
      <c r="R105" s="176">
        <f>'Proy. ventas'!S103</f>
        <v>0.5</v>
      </c>
      <c r="S105" s="120">
        <f t="shared" si="36"/>
        <v>150</v>
      </c>
      <c r="T105" s="176">
        <f>'Proy. ventas'!U103</f>
        <v>0.35000000000000003</v>
      </c>
      <c r="U105" s="120">
        <f t="shared" si="37"/>
        <v>105.00000000000001</v>
      </c>
      <c r="V105" s="176">
        <f>'Proy. ventas'!W103</f>
        <v>0.4</v>
      </c>
      <c r="W105" s="120">
        <f t="shared" si="38"/>
        <v>120</v>
      </c>
      <c r="X105" s="176">
        <f>'Proy. ventas'!Y103</f>
        <v>0.35000000000000003</v>
      </c>
      <c r="Y105" s="120">
        <f t="shared" si="39"/>
        <v>105.00000000000001</v>
      </c>
      <c r="Z105" s="176">
        <f>'Proy. ventas'!AA103</f>
        <v>0.25</v>
      </c>
      <c r="AA105" s="122">
        <f t="shared" si="40"/>
        <v>75</v>
      </c>
      <c r="AB105" s="212">
        <f t="shared" si="41"/>
        <v>1500</v>
      </c>
    </row>
    <row r="106" spans="1:28" x14ac:dyDescent="0.25">
      <c r="A106" s="917"/>
      <c r="B106" s="181"/>
      <c r="C106" s="182">
        <v>1800</v>
      </c>
      <c r="D106" s="179">
        <f>'Proy. ventas'!E104</f>
        <v>0.2</v>
      </c>
      <c r="E106" s="120">
        <f t="shared" si="29"/>
        <v>360</v>
      </c>
      <c r="F106" s="176">
        <f>'Proy. ventas'!G104</f>
        <v>0.32</v>
      </c>
      <c r="G106" s="120">
        <f t="shared" si="30"/>
        <v>576</v>
      </c>
      <c r="H106" s="176">
        <f>'Proy. ventas'!I104</f>
        <v>0.14000000000000001</v>
      </c>
      <c r="I106" s="120">
        <f t="shared" si="31"/>
        <v>252.00000000000003</v>
      </c>
      <c r="J106" s="176">
        <f>'Proy. ventas'!K104</f>
        <v>0.1</v>
      </c>
      <c r="K106" s="120">
        <f t="shared" si="32"/>
        <v>180</v>
      </c>
      <c r="L106" s="176">
        <f>'Proy. ventas'!M104</f>
        <v>0.12</v>
      </c>
      <c r="M106" s="120">
        <f t="shared" si="33"/>
        <v>216</v>
      </c>
      <c r="N106" s="176">
        <f>'Proy. ventas'!O104</f>
        <v>0.18</v>
      </c>
      <c r="O106" s="120">
        <f t="shared" si="34"/>
        <v>324</v>
      </c>
      <c r="P106" s="176">
        <f>'Proy. ventas'!Q104</f>
        <v>0.2</v>
      </c>
      <c r="Q106" s="120">
        <f t="shared" si="35"/>
        <v>360</v>
      </c>
      <c r="R106" s="176">
        <f>'Proy. ventas'!S104</f>
        <v>0.2</v>
      </c>
      <c r="S106" s="120">
        <f t="shared" si="36"/>
        <v>360</v>
      </c>
      <c r="T106" s="176">
        <f>'Proy. ventas'!U104</f>
        <v>0.14000000000000001</v>
      </c>
      <c r="U106" s="120">
        <f t="shared" si="37"/>
        <v>252.00000000000003</v>
      </c>
      <c r="V106" s="176">
        <f>'Proy. ventas'!W104</f>
        <v>0.16</v>
      </c>
      <c r="W106" s="120">
        <f t="shared" si="38"/>
        <v>288</v>
      </c>
      <c r="X106" s="176">
        <f>'Proy. ventas'!Y104</f>
        <v>0.14000000000000001</v>
      </c>
      <c r="Y106" s="120">
        <f t="shared" si="39"/>
        <v>252.00000000000003</v>
      </c>
      <c r="Z106" s="176">
        <f>'Proy. ventas'!AA104</f>
        <v>0.1</v>
      </c>
      <c r="AA106" s="122">
        <f t="shared" si="40"/>
        <v>180</v>
      </c>
      <c r="AB106" s="212">
        <f t="shared" si="41"/>
        <v>3600</v>
      </c>
    </row>
    <row r="107" spans="1:28" x14ac:dyDescent="0.25">
      <c r="A107" s="917"/>
      <c r="B107" s="181"/>
      <c r="C107" s="182">
        <v>180</v>
      </c>
      <c r="D107" s="179">
        <f>'Proy. ventas'!E105</f>
        <v>0.30000000000000004</v>
      </c>
      <c r="E107" s="120">
        <f t="shared" si="29"/>
        <v>54.000000000000007</v>
      </c>
      <c r="F107" s="176">
        <f>'Proy. ventas'!G105</f>
        <v>0.48</v>
      </c>
      <c r="G107" s="120">
        <f t="shared" si="30"/>
        <v>86.399999999999991</v>
      </c>
      <c r="H107" s="176">
        <f>'Proy. ventas'!I105</f>
        <v>0.21000000000000002</v>
      </c>
      <c r="I107" s="120">
        <f t="shared" si="31"/>
        <v>37.800000000000004</v>
      </c>
      <c r="J107" s="176">
        <f>'Proy. ventas'!K105</f>
        <v>0.15000000000000002</v>
      </c>
      <c r="K107" s="120">
        <f t="shared" si="32"/>
        <v>27.000000000000004</v>
      </c>
      <c r="L107" s="176">
        <f>'Proy. ventas'!M105</f>
        <v>0.18</v>
      </c>
      <c r="M107" s="120">
        <f t="shared" si="33"/>
        <v>32.4</v>
      </c>
      <c r="N107" s="176">
        <f>'Proy. ventas'!O105</f>
        <v>0.27</v>
      </c>
      <c r="O107" s="120">
        <f t="shared" si="34"/>
        <v>48.6</v>
      </c>
      <c r="P107" s="176">
        <f>'Proy. ventas'!Q105</f>
        <v>0.30000000000000004</v>
      </c>
      <c r="Q107" s="120">
        <f t="shared" si="35"/>
        <v>54.000000000000007</v>
      </c>
      <c r="R107" s="176">
        <f>'Proy. ventas'!S105</f>
        <v>0.30000000000000004</v>
      </c>
      <c r="S107" s="120">
        <f t="shared" si="36"/>
        <v>54.000000000000007</v>
      </c>
      <c r="T107" s="176">
        <f>'Proy. ventas'!U105</f>
        <v>0.21000000000000002</v>
      </c>
      <c r="U107" s="120">
        <f t="shared" si="37"/>
        <v>37.800000000000004</v>
      </c>
      <c r="V107" s="176">
        <f>'Proy. ventas'!W105</f>
        <v>0.24</v>
      </c>
      <c r="W107" s="120">
        <f t="shared" si="38"/>
        <v>43.199999999999996</v>
      </c>
      <c r="X107" s="176">
        <f>'Proy. ventas'!Y105</f>
        <v>0.21000000000000002</v>
      </c>
      <c r="Y107" s="120">
        <f t="shared" si="39"/>
        <v>37.800000000000004</v>
      </c>
      <c r="Z107" s="176">
        <f>'Proy. ventas'!AA105</f>
        <v>0.15000000000000002</v>
      </c>
      <c r="AA107" s="122">
        <f t="shared" si="40"/>
        <v>27.000000000000004</v>
      </c>
      <c r="AB107" s="212">
        <f t="shared" si="41"/>
        <v>540</v>
      </c>
    </row>
    <row r="108" spans="1:28" x14ac:dyDescent="0.25">
      <c r="A108" s="917"/>
      <c r="B108" s="181"/>
      <c r="C108" s="182">
        <v>1250</v>
      </c>
      <c r="D108" s="179">
        <f>'Proy. ventas'!E106</f>
        <v>0.4</v>
      </c>
      <c r="E108" s="120">
        <f t="shared" si="29"/>
        <v>500</v>
      </c>
      <c r="F108" s="176">
        <f>'Proy. ventas'!G106</f>
        <v>0.64</v>
      </c>
      <c r="G108" s="120">
        <f t="shared" si="30"/>
        <v>800</v>
      </c>
      <c r="H108" s="176">
        <f>'Proy. ventas'!I106</f>
        <v>0.28000000000000003</v>
      </c>
      <c r="I108" s="120">
        <f t="shared" si="31"/>
        <v>350.00000000000006</v>
      </c>
      <c r="J108" s="176">
        <f>'Proy. ventas'!K106</f>
        <v>0.2</v>
      </c>
      <c r="K108" s="120">
        <f t="shared" si="32"/>
        <v>250</v>
      </c>
      <c r="L108" s="176">
        <f>'Proy. ventas'!M106</f>
        <v>0.24</v>
      </c>
      <c r="M108" s="120">
        <f t="shared" si="33"/>
        <v>300</v>
      </c>
      <c r="N108" s="176">
        <f>'Proy. ventas'!O106</f>
        <v>0.36</v>
      </c>
      <c r="O108" s="120">
        <f t="shared" si="34"/>
        <v>450</v>
      </c>
      <c r="P108" s="176">
        <f>'Proy. ventas'!Q106</f>
        <v>0.4</v>
      </c>
      <c r="Q108" s="120">
        <f t="shared" si="35"/>
        <v>500</v>
      </c>
      <c r="R108" s="176">
        <f>'Proy. ventas'!S106</f>
        <v>0.4</v>
      </c>
      <c r="S108" s="120">
        <f t="shared" si="36"/>
        <v>500</v>
      </c>
      <c r="T108" s="176">
        <f>'Proy. ventas'!U106</f>
        <v>0.28000000000000003</v>
      </c>
      <c r="U108" s="120">
        <f t="shared" si="37"/>
        <v>350.00000000000006</v>
      </c>
      <c r="V108" s="176">
        <f>'Proy. ventas'!W106</f>
        <v>0.32</v>
      </c>
      <c r="W108" s="120">
        <f t="shared" si="38"/>
        <v>400</v>
      </c>
      <c r="X108" s="176">
        <f>'Proy. ventas'!Y106</f>
        <v>0.28000000000000003</v>
      </c>
      <c r="Y108" s="120">
        <f t="shared" si="39"/>
        <v>350.00000000000006</v>
      </c>
      <c r="Z108" s="176">
        <f>'Proy. ventas'!AA106</f>
        <v>0.2</v>
      </c>
      <c r="AA108" s="122">
        <f t="shared" si="40"/>
        <v>250</v>
      </c>
      <c r="AB108" s="212">
        <f t="shared" si="41"/>
        <v>5000</v>
      </c>
    </row>
    <row r="109" spans="1:28" x14ac:dyDescent="0.25">
      <c r="A109" s="917"/>
      <c r="B109" s="181"/>
      <c r="C109" s="182">
        <v>350</v>
      </c>
      <c r="D109" s="179" t="e">
        <f>'Proy. ventas'!#REF!</f>
        <v>#REF!</v>
      </c>
      <c r="E109" s="120" t="e">
        <f t="shared" si="29"/>
        <v>#REF!</v>
      </c>
      <c r="F109" s="176" t="e">
        <f>'Proy. ventas'!#REF!</f>
        <v>#REF!</v>
      </c>
      <c r="G109" s="120" t="e">
        <f t="shared" si="30"/>
        <v>#REF!</v>
      </c>
      <c r="H109" s="176" t="e">
        <f>'Proy. ventas'!#REF!</f>
        <v>#REF!</v>
      </c>
      <c r="I109" s="120" t="e">
        <f t="shared" si="31"/>
        <v>#REF!</v>
      </c>
      <c r="J109" s="176" t="e">
        <f>'Proy. ventas'!#REF!</f>
        <v>#REF!</v>
      </c>
      <c r="K109" s="120" t="e">
        <f t="shared" si="32"/>
        <v>#REF!</v>
      </c>
      <c r="L109" s="176" t="e">
        <f>'Proy. ventas'!#REF!</f>
        <v>#REF!</v>
      </c>
      <c r="M109" s="120" t="e">
        <f t="shared" si="33"/>
        <v>#REF!</v>
      </c>
      <c r="N109" s="176" t="e">
        <f>'Proy. ventas'!#REF!</f>
        <v>#REF!</v>
      </c>
      <c r="O109" s="120" t="e">
        <f t="shared" si="34"/>
        <v>#REF!</v>
      </c>
      <c r="P109" s="176" t="e">
        <f>'Proy. ventas'!#REF!</f>
        <v>#REF!</v>
      </c>
      <c r="Q109" s="120" t="e">
        <f t="shared" si="35"/>
        <v>#REF!</v>
      </c>
      <c r="R109" s="176" t="e">
        <f>'Proy. ventas'!#REF!</f>
        <v>#REF!</v>
      </c>
      <c r="S109" s="120" t="e">
        <f t="shared" si="36"/>
        <v>#REF!</v>
      </c>
      <c r="T109" s="176" t="e">
        <f>'Proy. ventas'!#REF!</f>
        <v>#REF!</v>
      </c>
      <c r="U109" s="120" t="e">
        <f t="shared" si="37"/>
        <v>#REF!</v>
      </c>
      <c r="V109" s="176" t="e">
        <f>'Proy. ventas'!#REF!</f>
        <v>#REF!</v>
      </c>
      <c r="W109" s="120" t="e">
        <f t="shared" si="38"/>
        <v>#REF!</v>
      </c>
      <c r="X109" s="176" t="e">
        <f>'Proy. ventas'!#REF!</f>
        <v>#REF!</v>
      </c>
      <c r="Y109" s="120" t="e">
        <f t="shared" si="39"/>
        <v>#REF!</v>
      </c>
      <c r="Z109" s="176" t="e">
        <f>'Proy. ventas'!#REF!</f>
        <v>#REF!</v>
      </c>
      <c r="AA109" s="122" t="e">
        <f t="shared" si="40"/>
        <v>#REF!</v>
      </c>
      <c r="AB109" s="212" t="e">
        <f t="shared" si="41"/>
        <v>#REF!</v>
      </c>
    </row>
    <row r="110" spans="1:28" x14ac:dyDescent="0.25">
      <c r="A110" s="917"/>
      <c r="B110" s="181"/>
      <c r="C110" s="182">
        <v>950</v>
      </c>
      <c r="D110" s="179" t="e">
        <f>'Proy. ventas'!#REF!</f>
        <v>#REF!</v>
      </c>
      <c r="E110" s="120" t="e">
        <f t="shared" si="29"/>
        <v>#REF!</v>
      </c>
      <c r="F110" s="176" t="e">
        <f>'Proy. ventas'!#REF!</f>
        <v>#REF!</v>
      </c>
      <c r="G110" s="120" t="e">
        <f t="shared" si="30"/>
        <v>#REF!</v>
      </c>
      <c r="H110" s="176" t="e">
        <f>'Proy. ventas'!#REF!</f>
        <v>#REF!</v>
      </c>
      <c r="I110" s="120" t="e">
        <f t="shared" si="31"/>
        <v>#REF!</v>
      </c>
      <c r="J110" s="176" t="e">
        <f>'Proy. ventas'!#REF!</f>
        <v>#REF!</v>
      </c>
      <c r="K110" s="120" t="e">
        <f t="shared" si="32"/>
        <v>#REF!</v>
      </c>
      <c r="L110" s="176" t="e">
        <f>'Proy. ventas'!#REF!</f>
        <v>#REF!</v>
      </c>
      <c r="M110" s="120" t="e">
        <f t="shared" si="33"/>
        <v>#REF!</v>
      </c>
      <c r="N110" s="176" t="e">
        <f>'Proy. ventas'!#REF!</f>
        <v>#REF!</v>
      </c>
      <c r="O110" s="120" t="e">
        <f t="shared" si="34"/>
        <v>#REF!</v>
      </c>
      <c r="P110" s="176" t="e">
        <f>'Proy. ventas'!#REF!</f>
        <v>#REF!</v>
      </c>
      <c r="Q110" s="120" t="e">
        <f t="shared" si="35"/>
        <v>#REF!</v>
      </c>
      <c r="R110" s="176" t="e">
        <f>'Proy. ventas'!#REF!</f>
        <v>#REF!</v>
      </c>
      <c r="S110" s="120" t="e">
        <f t="shared" si="36"/>
        <v>#REF!</v>
      </c>
      <c r="T110" s="176" t="e">
        <f>'Proy. ventas'!#REF!</f>
        <v>#REF!</v>
      </c>
      <c r="U110" s="120" t="e">
        <f t="shared" si="37"/>
        <v>#REF!</v>
      </c>
      <c r="V110" s="176" t="e">
        <f>'Proy. ventas'!#REF!</f>
        <v>#REF!</v>
      </c>
      <c r="W110" s="120" t="e">
        <f t="shared" si="38"/>
        <v>#REF!</v>
      </c>
      <c r="X110" s="176" t="e">
        <f>'Proy. ventas'!#REF!</f>
        <v>#REF!</v>
      </c>
      <c r="Y110" s="120" t="e">
        <f t="shared" si="39"/>
        <v>#REF!</v>
      </c>
      <c r="Z110" s="176" t="e">
        <f>'Proy. ventas'!#REF!</f>
        <v>#REF!</v>
      </c>
      <c r="AA110" s="122" t="e">
        <f t="shared" si="40"/>
        <v>#REF!</v>
      </c>
      <c r="AB110" s="212" t="e">
        <f t="shared" si="41"/>
        <v>#REF!</v>
      </c>
    </row>
    <row r="111" spans="1:28" x14ac:dyDescent="0.25">
      <c r="A111" s="917"/>
      <c r="B111" s="181"/>
      <c r="C111" s="182">
        <v>200</v>
      </c>
      <c r="D111" s="179" t="e">
        <f>'Proy. ventas'!#REF!</f>
        <v>#REF!</v>
      </c>
      <c r="E111" s="120" t="e">
        <f t="shared" si="29"/>
        <v>#REF!</v>
      </c>
      <c r="F111" s="176" t="e">
        <f>'Proy. ventas'!#REF!</f>
        <v>#REF!</v>
      </c>
      <c r="G111" s="120" t="e">
        <f t="shared" si="30"/>
        <v>#REF!</v>
      </c>
      <c r="H111" s="176" t="e">
        <f>'Proy. ventas'!#REF!</f>
        <v>#REF!</v>
      </c>
      <c r="I111" s="120" t="e">
        <f t="shared" si="31"/>
        <v>#REF!</v>
      </c>
      <c r="J111" s="176" t="e">
        <f>'Proy. ventas'!#REF!</f>
        <v>#REF!</v>
      </c>
      <c r="K111" s="120" t="e">
        <f t="shared" si="32"/>
        <v>#REF!</v>
      </c>
      <c r="L111" s="176" t="e">
        <f>'Proy. ventas'!#REF!</f>
        <v>#REF!</v>
      </c>
      <c r="M111" s="120" t="e">
        <f t="shared" si="33"/>
        <v>#REF!</v>
      </c>
      <c r="N111" s="176" t="e">
        <f>'Proy. ventas'!#REF!</f>
        <v>#REF!</v>
      </c>
      <c r="O111" s="120" t="e">
        <f t="shared" si="34"/>
        <v>#REF!</v>
      </c>
      <c r="P111" s="176" t="e">
        <f>'Proy. ventas'!#REF!</f>
        <v>#REF!</v>
      </c>
      <c r="Q111" s="120" t="e">
        <f t="shared" si="35"/>
        <v>#REF!</v>
      </c>
      <c r="R111" s="176" t="e">
        <f>'Proy. ventas'!#REF!</f>
        <v>#REF!</v>
      </c>
      <c r="S111" s="120" t="e">
        <f t="shared" si="36"/>
        <v>#REF!</v>
      </c>
      <c r="T111" s="176" t="e">
        <f>'Proy. ventas'!#REF!</f>
        <v>#REF!</v>
      </c>
      <c r="U111" s="120" t="e">
        <f t="shared" si="37"/>
        <v>#REF!</v>
      </c>
      <c r="V111" s="176" t="e">
        <f>'Proy. ventas'!#REF!</f>
        <v>#REF!</v>
      </c>
      <c r="W111" s="120" t="e">
        <f t="shared" si="38"/>
        <v>#REF!</v>
      </c>
      <c r="X111" s="176" t="e">
        <f>'Proy. ventas'!#REF!</f>
        <v>#REF!</v>
      </c>
      <c r="Y111" s="120" t="e">
        <f t="shared" si="39"/>
        <v>#REF!</v>
      </c>
      <c r="Z111" s="176" t="e">
        <f>'Proy. ventas'!#REF!</f>
        <v>#REF!</v>
      </c>
      <c r="AA111" s="122" t="e">
        <f t="shared" si="40"/>
        <v>#REF!</v>
      </c>
      <c r="AB111" s="212" t="e">
        <f t="shared" si="41"/>
        <v>#REF!</v>
      </c>
    </row>
    <row r="112" spans="1:28" ht="15.75" thickBot="1" x14ac:dyDescent="0.3">
      <c r="A112" s="918"/>
      <c r="B112" s="192"/>
      <c r="C112" s="193">
        <v>1150</v>
      </c>
      <c r="D112" s="194" t="e">
        <f>'Proy. ventas'!#REF!</f>
        <v>#REF!</v>
      </c>
      <c r="E112" s="132" t="e">
        <f t="shared" si="29"/>
        <v>#REF!</v>
      </c>
      <c r="F112" s="219" t="e">
        <f>'Proy. ventas'!#REF!</f>
        <v>#REF!</v>
      </c>
      <c r="G112" s="132" t="e">
        <f t="shared" si="30"/>
        <v>#REF!</v>
      </c>
      <c r="H112" s="219" t="e">
        <f>'Proy. ventas'!#REF!</f>
        <v>#REF!</v>
      </c>
      <c r="I112" s="132" t="e">
        <f t="shared" si="31"/>
        <v>#REF!</v>
      </c>
      <c r="J112" s="219" t="e">
        <f>'Proy. ventas'!#REF!</f>
        <v>#REF!</v>
      </c>
      <c r="K112" s="132" t="e">
        <f t="shared" si="32"/>
        <v>#REF!</v>
      </c>
      <c r="L112" s="219" t="e">
        <f>'Proy. ventas'!#REF!</f>
        <v>#REF!</v>
      </c>
      <c r="M112" s="132" t="e">
        <f t="shared" si="33"/>
        <v>#REF!</v>
      </c>
      <c r="N112" s="219" t="e">
        <f>'Proy. ventas'!#REF!</f>
        <v>#REF!</v>
      </c>
      <c r="O112" s="132" t="e">
        <f t="shared" si="34"/>
        <v>#REF!</v>
      </c>
      <c r="P112" s="219" t="e">
        <f>'Proy. ventas'!#REF!</f>
        <v>#REF!</v>
      </c>
      <c r="Q112" s="132" t="e">
        <f t="shared" si="35"/>
        <v>#REF!</v>
      </c>
      <c r="R112" s="219" t="e">
        <f>'Proy. ventas'!#REF!</f>
        <v>#REF!</v>
      </c>
      <c r="S112" s="132" t="e">
        <f t="shared" si="36"/>
        <v>#REF!</v>
      </c>
      <c r="T112" s="219" t="e">
        <f>'Proy. ventas'!#REF!</f>
        <v>#REF!</v>
      </c>
      <c r="U112" s="132" t="e">
        <f t="shared" si="37"/>
        <v>#REF!</v>
      </c>
      <c r="V112" s="219" t="e">
        <f>'Proy. ventas'!#REF!</f>
        <v>#REF!</v>
      </c>
      <c r="W112" s="132" t="e">
        <f t="shared" si="38"/>
        <v>#REF!</v>
      </c>
      <c r="X112" s="219" t="e">
        <f>'Proy. ventas'!#REF!</f>
        <v>#REF!</v>
      </c>
      <c r="Y112" s="132" t="e">
        <f t="shared" si="39"/>
        <v>#REF!</v>
      </c>
      <c r="Z112" s="219" t="e">
        <f>'Proy. ventas'!#REF!</f>
        <v>#REF!</v>
      </c>
      <c r="AA112" s="133" t="e">
        <f t="shared" si="40"/>
        <v>#REF!</v>
      </c>
      <c r="AB112" s="213" t="e">
        <f t="shared" si="41"/>
        <v>#REF!</v>
      </c>
    </row>
    <row r="113" spans="1:28" ht="30.75" thickBot="1" x14ac:dyDescent="0.3">
      <c r="A113" s="195" t="s">
        <v>145</v>
      </c>
      <c r="B113" s="229"/>
      <c r="C113" s="230">
        <v>300</v>
      </c>
      <c r="D113" s="224">
        <v>50</v>
      </c>
      <c r="E113" s="204">
        <f t="shared" si="29"/>
        <v>15000</v>
      </c>
      <c r="F113" s="225">
        <v>20</v>
      </c>
      <c r="G113" s="204">
        <f t="shared" si="30"/>
        <v>6000</v>
      </c>
      <c r="H113" s="225">
        <v>10</v>
      </c>
      <c r="I113" s="204">
        <f t="shared" si="31"/>
        <v>3000</v>
      </c>
      <c r="J113" s="225">
        <v>5</v>
      </c>
      <c r="K113" s="204">
        <f t="shared" si="32"/>
        <v>1500</v>
      </c>
      <c r="L113" s="225">
        <v>0</v>
      </c>
      <c r="M113" s="204">
        <f t="shared" si="33"/>
        <v>0</v>
      </c>
      <c r="N113" s="225">
        <v>5</v>
      </c>
      <c r="O113" s="204">
        <f t="shared" si="34"/>
        <v>1500</v>
      </c>
      <c r="P113" s="225">
        <v>5</v>
      </c>
      <c r="Q113" s="204">
        <f t="shared" si="35"/>
        <v>1500</v>
      </c>
      <c r="R113" s="225">
        <v>0</v>
      </c>
      <c r="S113" s="204">
        <f t="shared" si="36"/>
        <v>0</v>
      </c>
      <c r="T113" s="225">
        <v>10</v>
      </c>
      <c r="U113" s="204">
        <f t="shared" si="37"/>
        <v>3000</v>
      </c>
      <c r="V113" s="225">
        <v>10</v>
      </c>
      <c r="W113" s="204">
        <f t="shared" si="38"/>
        <v>3000</v>
      </c>
      <c r="X113" s="225">
        <v>15</v>
      </c>
      <c r="Y113" s="204">
        <f t="shared" si="39"/>
        <v>4500</v>
      </c>
      <c r="Z113" s="225">
        <v>10</v>
      </c>
      <c r="AA113" s="226">
        <f t="shared" si="40"/>
        <v>3000</v>
      </c>
      <c r="AB113" s="227">
        <f t="shared" si="41"/>
        <v>42000</v>
      </c>
    </row>
    <row r="114" spans="1:28" x14ac:dyDescent="0.25">
      <c r="A114" s="911" t="s">
        <v>148</v>
      </c>
      <c r="B114" s="207"/>
      <c r="C114" s="180">
        <v>182000</v>
      </c>
      <c r="D114" s="178">
        <v>1</v>
      </c>
      <c r="E114" s="126">
        <f t="shared" si="29"/>
        <v>182000</v>
      </c>
      <c r="F114" s="177">
        <v>1</v>
      </c>
      <c r="G114" s="126">
        <f t="shared" si="30"/>
        <v>182000</v>
      </c>
      <c r="H114" s="177">
        <v>0</v>
      </c>
      <c r="I114" s="126">
        <f t="shared" si="31"/>
        <v>0</v>
      </c>
      <c r="J114" s="177">
        <v>1</v>
      </c>
      <c r="K114" s="126">
        <f t="shared" si="32"/>
        <v>182000</v>
      </c>
      <c r="L114" s="177">
        <v>1</v>
      </c>
      <c r="M114" s="126">
        <f t="shared" si="33"/>
        <v>182000</v>
      </c>
      <c r="N114" s="177">
        <v>0</v>
      </c>
      <c r="O114" s="126">
        <f t="shared" si="34"/>
        <v>0</v>
      </c>
      <c r="P114" s="177">
        <v>0</v>
      </c>
      <c r="Q114" s="126">
        <f t="shared" si="35"/>
        <v>0</v>
      </c>
      <c r="R114" s="177">
        <v>0</v>
      </c>
      <c r="S114" s="126">
        <f t="shared" si="36"/>
        <v>0</v>
      </c>
      <c r="T114" s="177">
        <v>1</v>
      </c>
      <c r="U114" s="126">
        <f t="shared" si="37"/>
        <v>182000</v>
      </c>
      <c r="V114" s="177">
        <v>0</v>
      </c>
      <c r="W114" s="126">
        <f t="shared" si="38"/>
        <v>0</v>
      </c>
      <c r="X114" s="177">
        <v>0</v>
      </c>
      <c r="Y114" s="126">
        <f t="shared" si="39"/>
        <v>0</v>
      </c>
      <c r="Z114" s="177">
        <v>1</v>
      </c>
      <c r="AA114" s="127">
        <f t="shared" si="40"/>
        <v>182000</v>
      </c>
      <c r="AB114" s="215">
        <f t="shared" si="41"/>
        <v>1092000</v>
      </c>
    </row>
    <row r="115" spans="1:28" x14ac:dyDescent="0.25">
      <c r="A115" s="912"/>
      <c r="B115" s="208"/>
      <c r="C115" s="182">
        <v>130000</v>
      </c>
      <c r="D115" s="179">
        <v>1</v>
      </c>
      <c r="E115" s="120">
        <f t="shared" si="29"/>
        <v>130000</v>
      </c>
      <c r="F115" s="176">
        <v>0</v>
      </c>
      <c r="G115" s="120">
        <f t="shared" si="30"/>
        <v>0</v>
      </c>
      <c r="H115" s="176">
        <v>0</v>
      </c>
      <c r="I115" s="120">
        <f t="shared" si="31"/>
        <v>0</v>
      </c>
      <c r="J115" s="176">
        <v>0</v>
      </c>
      <c r="K115" s="120">
        <f t="shared" si="32"/>
        <v>0</v>
      </c>
      <c r="L115" s="176">
        <v>1</v>
      </c>
      <c r="M115" s="120">
        <f t="shared" si="33"/>
        <v>130000</v>
      </c>
      <c r="N115" s="176">
        <v>0</v>
      </c>
      <c r="O115" s="120">
        <f t="shared" si="34"/>
        <v>0</v>
      </c>
      <c r="P115" s="176">
        <v>0</v>
      </c>
      <c r="Q115" s="120">
        <f t="shared" si="35"/>
        <v>0</v>
      </c>
      <c r="R115" s="176">
        <v>0</v>
      </c>
      <c r="S115" s="120">
        <f t="shared" si="36"/>
        <v>0</v>
      </c>
      <c r="T115" s="176">
        <v>1</v>
      </c>
      <c r="U115" s="120">
        <f t="shared" si="37"/>
        <v>130000</v>
      </c>
      <c r="V115" s="176">
        <v>0</v>
      </c>
      <c r="W115" s="120">
        <f t="shared" si="38"/>
        <v>0</v>
      </c>
      <c r="X115" s="176">
        <v>0</v>
      </c>
      <c r="Y115" s="120">
        <f t="shared" si="39"/>
        <v>0</v>
      </c>
      <c r="Z115" s="176">
        <v>1</v>
      </c>
      <c r="AA115" s="122">
        <f t="shared" si="40"/>
        <v>130000</v>
      </c>
      <c r="AB115" s="212">
        <f t="shared" si="41"/>
        <v>520000</v>
      </c>
    </row>
    <row r="116" spans="1:28" x14ac:dyDescent="0.25">
      <c r="A116" s="912"/>
      <c r="B116" s="183"/>
      <c r="C116" s="182">
        <v>250000</v>
      </c>
      <c r="D116" s="179">
        <v>0</v>
      </c>
      <c r="E116" s="120">
        <f t="shared" si="29"/>
        <v>0</v>
      </c>
      <c r="F116" s="176">
        <v>0</v>
      </c>
      <c r="G116" s="120">
        <f t="shared" si="30"/>
        <v>0</v>
      </c>
      <c r="H116" s="176">
        <v>0</v>
      </c>
      <c r="I116" s="120">
        <f t="shared" si="31"/>
        <v>0</v>
      </c>
      <c r="J116" s="176">
        <v>0</v>
      </c>
      <c r="K116" s="120">
        <f t="shared" si="32"/>
        <v>0</v>
      </c>
      <c r="L116" s="176">
        <v>0</v>
      </c>
      <c r="M116" s="120">
        <f t="shared" si="33"/>
        <v>0</v>
      </c>
      <c r="N116" s="176">
        <v>0</v>
      </c>
      <c r="O116" s="120">
        <f t="shared" si="34"/>
        <v>0</v>
      </c>
      <c r="P116" s="176">
        <v>0</v>
      </c>
      <c r="Q116" s="120">
        <f t="shared" si="35"/>
        <v>0</v>
      </c>
      <c r="R116" s="176">
        <v>0</v>
      </c>
      <c r="S116" s="120">
        <f t="shared" si="36"/>
        <v>0</v>
      </c>
      <c r="T116" s="176">
        <v>1</v>
      </c>
      <c r="U116" s="120">
        <f t="shared" si="37"/>
        <v>250000</v>
      </c>
      <c r="V116" s="176">
        <v>0</v>
      </c>
      <c r="W116" s="120">
        <f t="shared" si="38"/>
        <v>0</v>
      </c>
      <c r="X116" s="176">
        <v>0</v>
      </c>
      <c r="Y116" s="120">
        <f t="shared" si="39"/>
        <v>0</v>
      </c>
      <c r="Z116" s="176">
        <v>0</v>
      </c>
      <c r="AA116" s="122">
        <f t="shared" si="40"/>
        <v>0</v>
      </c>
      <c r="AB116" s="212">
        <f t="shared" si="41"/>
        <v>250000</v>
      </c>
    </row>
    <row r="117" spans="1:28" ht="15.75" thickBot="1" x14ac:dyDescent="0.3">
      <c r="A117" s="913"/>
      <c r="B117" s="199"/>
      <c r="C117" s="200">
        <v>0</v>
      </c>
      <c r="D117" s="201">
        <v>0</v>
      </c>
      <c r="E117" s="132">
        <v>0</v>
      </c>
      <c r="F117" s="221">
        <v>0</v>
      </c>
      <c r="G117" s="132">
        <v>0</v>
      </c>
      <c r="H117" s="221">
        <v>0</v>
      </c>
      <c r="I117" s="132">
        <v>0</v>
      </c>
      <c r="J117" s="221">
        <v>0</v>
      </c>
      <c r="K117" s="132">
        <v>0</v>
      </c>
      <c r="L117" s="221">
        <v>0</v>
      </c>
      <c r="M117" s="132">
        <f>($C$53*L101 + $C$54*L102+$C$55*L103)*0.15</f>
        <v>1001.7899999999998</v>
      </c>
      <c r="N117" s="221">
        <v>0</v>
      </c>
      <c r="O117" s="132">
        <f>($C$53*N101 + $C$54*N102+$C$55*N103)*0.15</f>
        <v>1502.6849999999999</v>
      </c>
      <c r="P117" s="221">
        <v>0</v>
      </c>
      <c r="Q117" s="132">
        <f>($C$53*P101 + $C$54*P102+$C$55*P103)*0.15</f>
        <v>1669.6499999999999</v>
      </c>
      <c r="R117" s="221">
        <v>0</v>
      </c>
      <c r="S117" s="132">
        <v>0</v>
      </c>
      <c r="T117" s="221">
        <v>0</v>
      </c>
      <c r="U117" s="132">
        <v>0</v>
      </c>
      <c r="V117" s="221">
        <v>0</v>
      </c>
      <c r="W117" s="132">
        <v>0</v>
      </c>
      <c r="X117" s="221">
        <v>0</v>
      </c>
      <c r="Y117" s="132">
        <v>0</v>
      </c>
      <c r="Z117" s="221">
        <v>0</v>
      </c>
      <c r="AA117" s="133">
        <v>0</v>
      </c>
      <c r="AB117" s="213">
        <f>E117+G117+I117+K117+M117+O117+Q117+S117+U117+W117+Y117+AA117</f>
        <v>4174.125</v>
      </c>
    </row>
    <row r="118" spans="1:28" ht="15.75" thickBot="1" x14ac:dyDescent="0.3">
      <c r="A118" s="195" t="s">
        <v>146</v>
      </c>
      <c r="B118" s="196"/>
      <c r="C118" s="205">
        <v>0</v>
      </c>
      <c r="D118" s="206">
        <v>0</v>
      </c>
      <c r="E118" s="137">
        <f>(D103+D102+D101)*75</f>
        <v>172.50000000000003</v>
      </c>
      <c r="F118" s="222">
        <v>0</v>
      </c>
      <c r="G118" s="137">
        <f>(F103+F102+F101)*75</f>
        <v>276</v>
      </c>
      <c r="H118" s="222">
        <v>0</v>
      </c>
      <c r="I118" s="137">
        <f>(H103+H102+H101)*75</f>
        <v>120.75000000000003</v>
      </c>
      <c r="J118" s="222">
        <v>0</v>
      </c>
      <c r="K118" s="137">
        <f>(J103+J102+J101)*75</f>
        <v>86.250000000000014</v>
      </c>
      <c r="L118" s="222">
        <v>0</v>
      </c>
      <c r="M118" s="137">
        <f>(L103+L102+L101)*75</f>
        <v>103.49999999999999</v>
      </c>
      <c r="N118" s="222">
        <v>0</v>
      </c>
      <c r="O118" s="137">
        <f>(N103+N102+N101)*75</f>
        <v>155.25</v>
      </c>
      <c r="P118" s="222">
        <v>0</v>
      </c>
      <c r="Q118" s="137">
        <f>(P103+P102+P101)*75</f>
        <v>172.50000000000003</v>
      </c>
      <c r="R118" s="222">
        <v>0</v>
      </c>
      <c r="S118" s="137">
        <f>(R103+R102+R101)*75</f>
        <v>172.50000000000003</v>
      </c>
      <c r="T118" s="222">
        <v>0</v>
      </c>
      <c r="U118" s="137">
        <f>(T103+T102+T101)*75</f>
        <v>120.75000000000003</v>
      </c>
      <c r="V118" s="222">
        <v>0</v>
      </c>
      <c r="W118" s="137">
        <f>(V103+V102+V101)*75</f>
        <v>138</v>
      </c>
      <c r="X118" s="222">
        <v>0</v>
      </c>
      <c r="Y118" s="137">
        <f>(X103+X102+X101)*75</f>
        <v>120.75000000000003</v>
      </c>
      <c r="Z118" s="222">
        <v>0</v>
      </c>
      <c r="AA118" s="137">
        <f>(Z103+Z102+Z101)*75</f>
        <v>86.250000000000014</v>
      </c>
      <c r="AB118" s="213">
        <f>E118+G118+I118+K118+M118+O118+Q118+S118+U118+W118+Y118+AA118</f>
        <v>1725</v>
      </c>
    </row>
    <row r="119" spans="1:28" ht="15.75" thickBot="1" x14ac:dyDescent="0.3">
      <c r="B119" s="210" t="s">
        <v>147</v>
      </c>
      <c r="C119" s="202"/>
      <c r="D119" s="203"/>
      <c r="E119" s="217" t="e">
        <f>SUM(E101:E118)</f>
        <v>#REF!</v>
      </c>
      <c r="F119" s="223"/>
      <c r="G119" s="217" t="e">
        <f>SUM(G101:G118)</f>
        <v>#REF!</v>
      </c>
      <c r="H119" s="223"/>
      <c r="I119" s="217" t="e">
        <f>SUM(I101:I118)</f>
        <v>#REF!</v>
      </c>
      <c r="J119" s="223"/>
      <c r="K119" s="217" t="e">
        <f>SUM(K101:K118)</f>
        <v>#REF!</v>
      </c>
      <c r="L119" s="223"/>
      <c r="M119" s="217" t="e">
        <f>SUM(M101:M118)</f>
        <v>#REF!</v>
      </c>
      <c r="N119" s="203"/>
      <c r="O119" s="217" t="e">
        <f>SUM(O101:O118)</f>
        <v>#REF!</v>
      </c>
      <c r="P119" s="223"/>
      <c r="Q119" s="217" t="e">
        <f>SUM(Q101:Q118)</f>
        <v>#REF!</v>
      </c>
      <c r="R119" s="223"/>
      <c r="S119" s="217" t="e">
        <f>SUM(S101:S118)</f>
        <v>#REF!</v>
      </c>
      <c r="T119" s="223"/>
      <c r="U119" s="217" t="e">
        <f>SUM(U101:U118)</f>
        <v>#REF!</v>
      </c>
      <c r="V119" s="223"/>
      <c r="W119" s="217" t="e">
        <f>SUM(W101:W118)</f>
        <v>#REF!</v>
      </c>
      <c r="X119" s="223"/>
      <c r="Y119" s="217" t="e">
        <f>SUM(Y101:Y118)</f>
        <v>#REF!</v>
      </c>
      <c r="Z119" s="223"/>
      <c r="AA119" s="216" t="e">
        <f>SUM(AA101:AA118)</f>
        <v>#REF!</v>
      </c>
      <c r="AB119" s="209" t="e">
        <f>SUM(E119:AA119)</f>
        <v>#REF!</v>
      </c>
    </row>
  </sheetData>
  <mergeCells count="60">
    <mergeCell ref="H51:I51"/>
    <mergeCell ref="J51:K51"/>
    <mergeCell ref="H4:J4"/>
    <mergeCell ref="B4:D4"/>
    <mergeCell ref="B11:E11"/>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A90:A93"/>
    <mergeCell ref="L75:M75"/>
    <mergeCell ref="N75:O75"/>
    <mergeCell ref="P75:Q75"/>
    <mergeCell ref="R75:S75"/>
    <mergeCell ref="A77:A79"/>
    <mergeCell ref="A80:A88"/>
    <mergeCell ref="X99:Y99"/>
    <mergeCell ref="Z99:AA99"/>
    <mergeCell ref="B98:AB98"/>
    <mergeCell ref="B99:C99"/>
    <mergeCell ref="D99:E99"/>
    <mergeCell ref="F99:G99"/>
    <mergeCell ref="H99:I99"/>
    <mergeCell ref="J99:K99"/>
    <mergeCell ref="L99:M99"/>
    <mergeCell ref="N99:O99"/>
    <mergeCell ref="AB99:AB100"/>
    <mergeCell ref="A114:A117"/>
    <mergeCell ref="P99:Q99"/>
    <mergeCell ref="R99:S99"/>
    <mergeCell ref="T99:U99"/>
    <mergeCell ref="V99:W99"/>
    <mergeCell ref="A101:A103"/>
    <mergeCell ref="A104:A11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1"/>
  <sheetViews>
    <sheetView zoomScale="80" zoomScaleNormal="80" workbookViewId="0">
      <pane xSplit="2" ySplit="1" topLeftCell="C52" activePane="bottomRight" state="frozen"/>
      <selection pane="topRight" activeCell="C1" sqref="C1"/>
      <selection pane="bottomLeft" activeCell="A2" sqref="A2"/>
      <selection pane="bottomRight" sqref="A1:AE1"/>
    </sheetView>
  </sheetViews>
  <sheetFormatPr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465" customFormat="1" ht="58.5" customHeight="1" x14ac:dyDescent="0.25">
      <c r="A1" s="467"/>
      <c r="B1" s="467"/>
      <c r="C1" s="467"/>
      <c r="D1" s="467"/>
      <c r="E1" s="470" t="s">
        <v>6</v>
      </c>
      <c r="F1" s="472"/>
      <c r="G1" s="472"/>
      <c r="H1" s="467"/>
      <c r="I1" s="467"/>
      <c r="J1" s="467"/>
      <c r="K1" s="467"/>
      <c r="L1" s="467"/>
      <c r="M1" s="467"/>
      <c r="N1" s="467"/>
      <c r="O1" s="467"/>
      <c r="P1" s="467"/>
      <c r="Q1" s="467"/>
      <c r="R1" s="467"/>
      <c r="S1" s="467"/>
      <c r="T1" s="467"/>
      <c r="U1" s="467"/>
      <c r="V1" s="467"/>
      <c r="W1" s="467"/>
      <c r="X1" s="467"/>
      <c r="Y1" s="467"/>
      <c r="Z1" s="467"/>
      <c r="AA1" s="467"/>
      <c r="AB1" s="467"/>
      <c r="AC1" s="467"/>
      <c r="AD1" s="467"/>
      <c r="AE1" s="467"/>
    </row>
    <row r="3" spans="1:31" ht="15.75" thickBot="1" x14ac:dyDescent="0.3"/>
    <row r="4" spans="1:31" ht="27" thickBot="1" x14ac:dyDescent="0.45">
      <c r="B4" s="927" t="s">
        <v>36</v>
      </c>
      <c r="C4" s="928"/>
      <c r="D4" s="929"/>
      <c r="E4" s="37"/>
      <c r="H4" s="927" t="s">
        <v>152</v>
      </c>
      <c r="I4" s="928"/>
      <c r="J4" s="929"/>
    </row>
    <row r="5" spans="1:31" x14ac:dyDescent="0.25">
      <c r="B5" s="32">
        <v>2019</v>
      </c>
      <c r="C5" s="32">
        <v>2020</v>
      </c>
      <c r="D5" s="32">
        <v>2021</v>
      </c>
      <c r="E5" s="82"/>
      <c r="H5" s="42">
        <v>2019</v>
      </c>
      <c r="I5" s="32">
        <v>2020</v>
      </c>
      <c r="J5" s="43">
        <v>2021</v>
      </c>
    </row>
    <row r="6" spans="1:31" ht="15.75" thickBot="1" x14ac:dyDescent="0.3">
      <c r="B6" s="38">
        <f>Hipótesis!C24</f>
        <v>0.03</v>
      </c>
      <c r="C6" s="38">
        <f>Hipótesis!C25</f>
        <v>7.0000000000000007E-2</v>
      </c>
      <c r="D6" s="38">
        <f>Hipótesis!C26</f>
        <v>0.12</v>
      </c>
      <c r="E6" s="155"/>
      <c r="H6" s="46">
        <f>$AA$51</f>
        <v>7341662.4450000012</v>
      </c>
      <c r="I6" s="47">
        <f>$AA$69</f>
        <v>8446303.9266666677</v>
      </c>
      <c r="J6" s="48">
        <f>$AA$87</f>
        <v>10262133.115833335</v>
      </c>
    </row>
    <row r="7" spans="1:31" x14ac:dyDescent="0.25">
      <c r="B7" s="31">
        <f>Hipótesis!D24</f>
        <v>18750000</v>
      </c>
      <c r="C7" s="31">
        <f>Hipótesis!D25</f>
        <v>43750000.000000007</v>
      </c>
      <c r="D7" s="31">
        <f>Hipótesis!D26</f>
        <v>75000000</v>
      </c>
      <c r="E7" s="152"/>
    </row>
    <row r="10" spans="1:31" ht="15.75" thickBot="1" x14ac:dyDescent="0.3"/>
    <row r="11" spans="1:31" ht="27" thickBot="1" x14ac:dyDescent="0.45">
      <c r="B11" s="927" t="s">
        <v>168</v>
      </c>
      <c r="C11" s="928"/>
      <c r="D11" s="928"/>
      <c r="E11" s="928"/>
      <c r="F11" s="928"/>
      <c r="G11" s="928"/>
      <c r="H11" s="928"/>
      <c r="I11" s="928"/>
      <c r="J11" s="928"/>
      <c r="K11" s="928"/>
      <c r="L11" s="929"/>
    </row>
    <row r="12" spans="1:31" ht="15.75" x14ac:dyDescent="0.25">
      <c r="B12" s="938" t="s">
        <v>159</v>
      </c>
      <c r="C12" s="948" t="s">
        <v>160</v>
      </c>
      <c r="D12" s="946" t="s">
        <v>161</v>
      </c>
      <c r="E12" s="238" t="s">
        <v>153</v>
      </c>
      <c r="F12" s="174" t="s">
        <v>154</v>
      </c>
      <c r="G12" s="174" t="s">
        <v>155</v>
      </c>
      <c r="H12" s="174" t="s">
        <v>156</v>
      </c>
      <c r="I12" s="231" t="s">
        <v>157</v>
      </c>
      <c r="J12" s="248" t="s">
        <v>158</v>
      </c>
      <c r="K12" s="940" t="s">
        <v>170</v>
      </c>
      <c r="L12" s="940" t="s">
        <v>171</v>
      </c>
    </row>
    <row r="13" spans="1:31" ht="16.5" thickBot="1" x14ac:dyDescent="0.3">
      <c r="B13" s="939"/>
      <c r="C13" s="949"/>
      <c r="D13" s="947"/>
      <c r="E13" s="239">
        <v>0.1047</v>
      </c>
      <c r="F13" s="232">
        <v>1.54E-2</v>
      </c>
      <c r="G13" s="233">
        <v>0.06</v>
      </c>
      <c r="H13" s="232">
        <v>9.1999999999999998E-3</v>
      </c>
      <c r="I13" s="233" t="s">
        <v>169</v>
      </c>
      <c r="J13" s="249">
        <v>0.03</v>
      </c>
      <c r="K13" s="941"/>
      <c r="L13" s="941"/>
    </row>
    <row r="14" spans="1:31" ht="15.75" thickBot="1" x14ac:dyDescent="0.3">
      <c r="B14" s="234" t="s">
        <v>162</v>
      </c>
      <c r="C14" s="235"/>
      <c r="D14" s="240">
        <v>80000</v>
      </c>
      <c r="E14" s="145">
        <f>$D$14*E13</f>
        <v>8376</v>
      </c>
      <c r="F14" s="137">
        <f>$D$14*F13</f>
        <v>1232</v>
      </c>
      <c r="G14" s="137">
        <f>$D$14*G13</f>
        <v>4800</v>
      </c>
      <c r="H14" s="137">
        <f>$D$14*H13</f>
        <v>736</v>
      </c>
      <c r="I14" s="137">
        <v>18.57</v>
      </c>
      <c r="J14" s="138">
        <f>$D$14*J13</f>
        <v>2400</v>
      </c>
      <c r="K14" s="250">
        <f>SUM(E14:J14)</f>
        <v>17562.57</v>
      </c>
      <c r="L14" s="244">
        <f>D14+K14</f>
        <v>97562.57</v>
      </c>
    </row>
    <row r="15" spans="1:31" x14ac:dyDescent="0.25">
      <c r="B15" s="942" t="s">
        <v>165</v>
      </c>
      <c r="C15" s="236"/>
      <c r="D15" s="241">
        <v>60000</v>
      </c>
      <c r="E15" s="141">
        <f>$D$15*E13</f>
        <v>6282</v>
      </c>
      <c r="F15" s="129">
        <f>$D$15*F13</f>
        <v>924</v>
      </c>
      <c r="G15" s="129">
        <f>$D$15*G13</f>
        <v>3600</v>
      </c>
      <c r="H15" s="129">
        <f>$D$15*H13</f>
        <v>552</v>
      </c>
      <c r="I15" s="129">
        <v>18.57</v>
      </c>
      <c r="J15" s="130">
        <f>$D$15*J13</f>
        <v>1800</v>
      </c>
      <c r="K15" s="251">
        <f t="shared" ref="K15:K34" si="0">SUM(E15:J15)</f>
        <v>13176.57</v>
      </c>
      <c r="L15" s="245">
        <f t="shared" ref="L15:L34" si="1">D15+K15</f>
        <v>73176.570000000007</v>
      </c>
    </row>
    <row r="16" spans="1:31" x14ac:dyDescent="0.25">
      <c r="B16" s="943"/>
      <c r="C16" s="73"/>
      <c r="D16" s="242">
        <v>52000</v>
      </c>
      <c r="E16" s="142">
        <f>$D$16*E13</f>
        <v>5444.4</v>
      </c>
      <c r="F16" s="120">
        <f>$D$16*F13</f>
        <v>800.80000000000007</v>
      </c>
      <c r="G16" s="120">
        <f>$D$16*G13</f>
        <v>3120</v>
      </c>
      <c r="H16" s="120">
        <f>$D$16*H13</f>
        <v>478.4</v>
      </c>
      <c r="I16" s="120">
        <v>18.57</v>
      </c>
      <c r="J16" s="122">
        <f>$D$16*J13</f>
        <v>1560</v>
      </c>
      <c r="K16" s="252">
        <f t="shared" si="0"/>
        <v>11422.17</v>
      </c>
      <c r="L16" s="246">
        <f t="shared" si="1"/>
        <v>63422.17</v>
      </c>
    </row>
    <row r="17" spans="2:12" x14ac:dyDescent="0.25">
      <c r="B17" s="943"/>
      <c r="C17" s="73"/>
      <c r="D17" s="242">
        <v>52000</v>
      </c>
      <c r="E17" s="142">
        <f>$D$17*E13</f>
        <v>5444.4</v>
      </c>
      <c r="F17" s="120">
        <f>$D$17*F13</f>
        <v>800.80000000000007</v>
      </c>
      <c r="G17" s="120">
        <f>$D$17*G13</f>
        <v>3120</v>
      </c>
      <c r="H17" s="120">
        <f>$D$17*H13</f>
        <v>478.4</v>
      </c>
      <c r="I17" s="120">
        <v>18.57</v>
      </c>
      <c r="J17" s="122">
        <f>$D$17*J13</f>
        <v>1560</v>
      </c>
      <c r="K17" s="252">
        <f t="shared" si="0"/>
        <v>11422.17</v>
      </c>
      <c r="L17" s="246">
        <f t="shared" si="1"/>
        <v>63422.17</v>
      </c>
    </row>
    <row r="18" spans="2:12" x14ac:dyDescent="0.25">
      <c r="B18" s="943"/>
      <c r="C18" s="73"/>
      <c r="D18" s="242">
        <v>48000</v>
      </c>
      <c r="E18" s="142">
        <f>$D$18*E13</f>
        <v>5025.6000000000004</v>
      </c>
      <c r="F18" s="120">
        <f>$D$18*F13</f>
        <v>739.2</v>
      </c>
      <c r="G18" s="120">
        <f>$D$18*G13</f>
        <v>2880</v>
      </c>
      <c r="H18" s="120">
        <f>$D$18*H13</f>
        <v>441.59999999999997</v>
      </c>
      <c r="I18" s="120">
        <v>18.57</v>
      </c>
      <c r="J18" s="122">
        <f>$D$18*J13</f>
        <v>1440</v>
      </c>
      <c r="K18" s="252">
        <f t="shared" si="0"/>
        <v>10544.97</v>
      </c>
      <c r="L18" s="246">
        <f t="shared" si="1"/>
        <v>58544.97</v>
      </c>
    </row>
    <row r="19" spans="2:12" ht="15.75" thickBot="1" x14ac:dyDescent="0.3">
      <c r="B19" s="944"/>
      <c r="C19" s="237"/>
      <c r="D19" s="243">
        <v>40000</v>
      </c>
      <c r="E19" s="143">
        <f>$D$19*E13</f>
        <v>4188</v>
      </c>
      <c r="F19" s="132">
        <f>$D$19*F13</f>
        <v>616</v>
      </c>
      <c r="G19" s="132">
        <f>$D$19*G13</f>
        <v>2400</v>
      </c>
      <c r="H19" s="132">
        <f>$D$19*H13</f>
        <v>368</v>
      </c>
      <c r="I19" s="132">
        <v>18.57</v>
      </c>
      <c r="J19" s="133">
        <f>$D$19*J13</f>
        <v>1200</v>
      </c>
      <c r="K19" s="253">
        <f t="shared" si="0"/>
        <v>8790.57</v>
      </c>
      <c r="L19" s="247">
        <f t="shared" si="1"/>
        <v>48790.57</v>
      </c>
    </row>
    <row r="20" spans="2:12" x14ac:dyDescent="0.25">
      <c r="B20" s="942" t="s">
        <v>163</v>
      </c>
      <c r="C20" s="236"/>
      <c r="D20" s="241">
        <v>52000</v>
      </c>
      <c r="E20" s="141">
        <f>$D$20*E13</f>
        <v>5444.4</v>
      </c>
      <c r="F20" s="129">
        <f>$D$20*F13</f>
        <v>800.80000000000007</v>
      </c>
      <c r="G20" s="129">
        <f>$D$20*G13</f>
        <v>3120</v>
      </c>
      <c r="H20" s="129">
        <f>$D$20*H13</f>
        <v>478.4</v>
      </c>
      <c r="I20" s="129">
        <v>18.57</v>
      </c>
      <c r="J20" s="130">
        <f>$D$20*J13</f>
        <v>1560</v>
      </c>
      <c r="K20" s="251">
        <f t="shared" si="0"/>
        <v>11422.17</v>
      </c>
      <c r="L20" s="245">
        <f t="shared" si="1"/>
        <v>63422.17</v>
      </c>
    </row>
    <row r="21" spans="2:12" ht="15.75" thickBot="1" x14ac:dyDescent="0.3">
      <c r="B21" s="944"/>
      <c r="C21" s="237"/>
      <c r="D21" s="243">
        <v>35000</v>
      </c>
      <c r="E21" s="143">
        <f>$D$21*E13</f>
        <v>3664.5</v>
      </c>
      <c r="F21" s="132">
        <f>$D$21*F13</f>
        <v>539</v>
      </c>
      <c r="G21" s="132">
        <f>$D$21*G13</f>
        <v>2100</v>
      </c>
      <c r="H21" s="132">
        <f>$D$21*H13</f>
        <v>322</v>
      </c>
      <c r="I21" s="132">
        <v>18.57</v>
      </c>
      <c r="J21" s="133">
        <f>$D$21*J13</f>
        <v>1050</v>
      </c>
      <c r="K21" s="253">
        <f t="shared" si="0"/>
        <v>7694.07</v>
      </c>
      <c r="L21" s="247">
        <f t="shared" si="1"/>
        <v>42694.07</v>
      </c>
    </row>
    <row r="22" spans="2:12" x14ac:dyDescent="0.25">
      <c r="B22" s="942" t="s">
        <v>166</v>
      </c>
      <c r="C22" s="236"/>
      <c r="D22" s="241">
        <v>48000</v>
      </c>
      <c r="E22" s="141">
        <f>$D$22*E13</f>
        <v>5025.6000000000004</v>
      </c>
      <c r="F22" s="129">
        <f>$D$22*F13</f>
        <v>739.2</v>
      </c>
      <c r="G22" s="129">
        <f>$D$22*G13</f>
        <v>2880</v>
      </c>
      <c r="H22" s="129">
        <f>$D$22*H13</f>
        <v>441.59999999999997</v>
      </c>
      <c r="I22" s="129">
        <v>18.57</v>
      </c>
      <c r="J22" s="130">
        <f>$D$22*J13</f>
        <v>1440</v>
      </c>
      <c r="K22" s="251">
        <f t="shared" si="0"/>
        <v>10544.97</v>
      </c>
      <c r="L22" s="245">
        <f t="shared" si="1"/>
        <v>58544.97</v>
      </c>
    </row>
    <row r="23" spans="2:12" x14ac:dyDescent="0.25">
      <c r="B23" s="943"/>
      <c r="C23" s="73"/>
      <c r="D23" s="242">
        <v>32000</v>
      </c>
      <c r="E23" s="142">
        <f>$D$23*E13</f>
        <v>3350.4</v>
      </c>
      <c r="F23" s="120">
        <f>$D$23*F13</f>
        <v>492.8</v>
      </c>
      <c r="G23" s="120">
        <f>$D$23*G13</f>
        <v>1920</v>
      </c>
      <c r="H23" s="120">
        <f>$D$23*H13</f>
        <v>294.39999999999998</v>
      </c>
      <c r="I23" s="120">
        <v>18.57</v>
      </c>
      <c r="J23" s="122">
        <f>$D$23*J13</f>
        <v>960</v>
      </c>
      <c r="K23" s="252">
        <f t="shared" si="0"/>
        <v>7036.17</v>
      </c>
      <c r="L23" s="246">
        <f t="shared" si="1"/>
        <v>39036.17</v>
      </c>
    </row>
    <row r="24" spans="2:12" x14ac:dyDescent="0.25">
      <c r="B24" s="945"/>
      <c r="C24" s="73"/>
      <c r="D24" s="242">
        <v>32000</v>
      </c>
      <c r="E24" s="142">
        <f>$D$24*E13</f>
        <v>3350.4</v>
      </c>
      <c r="F24" s="142">
        <f>$D$24*F13</f>
        <v>492.8</v>
      </c>
      <c r="G24" s="142">
        <f>$D$24*G13</f>
        <v>1920</v>
      </c>
      <c r="H24" s="142">
        <f>$D$24*H13</f>
        <v>294.39999999999998</v>
      </c>
      <c r="I24" s="120">
        <v>18.57</v>
      </c>
      <c r="J24" s="142">
        <f>$D$24*J13</f>
        <v>960</v>
      </c>
      <c r="K24" s="252">
        <f t="shared" si="0"/>
        <v>7036.17</v>
      </c>
      <c r="L24" s="246">
        <f>D24+K24</f>
        <v>39036.17</v>
      </c>
    </row>
    <row r="25" spans="2:12" x14ac:dyDescent="0.25">
      <c r="B25" s="945"/>
      <c r="C25" s="96"/>
      <c r="D25" s="254">
        <v>16000</v>
      </c>
      <c r="E25" s="146">
        <f>$D$25*E13</f>
        <v>1675.2</v>
      </c>
      <c r="F25" s="146">
        <f>$D$25*F13</f>
        <v>246.4</v>
      </c>
      <c r="G25" s="146">
        <f>$D$25*G13</f>
        <v>960</v>
      </c>
      <c r="H25" s="146">
        <f>$D$25*H13</f>
        <v>147.19999999999999</v>
      </c>
      <c r="I25" s="120">
        <v>18.57</v>
      </c>
      <c r="J25" s="146">
        <f>$D$25*J13</f>
        <v>480</v>
      </c>
      <c r="K25" s="252">
        <f t="shared" si="0"/>
        <v>3527.3700000000003</v>
      </c>
      <c r="L25" s="246">
        <f>D25+K25</f>
        <v>19527.37</v>
      </c>
    </row>
    <row r="26" spans="2:12" ht="15.75" thickBot="1" x14ac:dyDescent="0.3">
      <c r="B26" s="944"/>
      <c r="C26" s="237"/>
      <c r="D26" s="243">
        <v>32000</v>
      </c>
      <c r="E26" s="143">
        <f>$D$26*E13</f>
        <v>3350.4</v>
      </c>
      <c r="F26" s="132">
        <f>$D$26*F13</f>
        <v>492.8</v>
      </c>
      <c r="G26" s="132">
        <f>$D$26*G13</f>
        <v>1920</v>
      </c>
      <c r="H26" s="132">
        <f>$D$26*H13</f>
        <v>294.39999999999998</v>
      </c>
      <c r="I26" s="132">
        <v>18.57</v>
      </c>
      <c r="J26" s="133">
        <f>$D$26*J13</f>
        <v>960</v>
      </c>
      <c r="K26" s="253">
        <f>SUM(E26:J26)</f>
        <v>7036.17</v>
      </c>
      <c r="L26" s="247">
        <f>D26+K26</f>
        <v>39036.17</v>
      </c>
    </row>
    <row r="27" spans="2:12" x14ac:dyDescent="0.25">
      <c r="B27" s="942" t="s">
        <v>164</v>
      </c>
      <c r="C27" s="236"/>
      <c r="D27" s="241">
        <v>52000</v>
      </c>
      <c r="E27" s="141">
        <f>$D$27*E13</f>
        <v>5444.4</v>
      </c>
      <c r="F27" s="129">
        <f>$D$27*F13</f>
        <v>800.80000000000007</v>
      </c>
      <c r="G27" s="129">
        <f>$D$27*G13</f>
        <v>3120</v>
      </c>
      <c r="H27" s="129">
        <f>$D$27*H13</f>
        <v>478.4</v>
      </c>
      <c r="I27" s="129">
        <v>18.57</v>
      </c>
      <c r="J27" s="130">
        <f>$D$27*J13</f>
        <v>1560</v>
      </c>
      <c r="K27" s="251">
        <f t="shared" si="0"/>
        <v>11422.17</v>
      </c>
      <c r="L27" s="245">
        <f t="shared" si="1"/>
        <v>63422.17</v>
      </c>
    </row>
    <row r="28" spans="2:12" x14ac:dyDescent="0.25">
      <c r="B28" s="943"/>
      <c r="C28" s="73"/>
      <c r="D28" s="242">
        <v>42000</v>
      </c>
      <c r="E28" s="142">
        <f>$D$28*E13</f>
        <v>4397.3999999999996</v>
      </c>
      <c r="F28" s="120">
        <f>$D$28*F13</f>
        <v>646.80000000000007</v>
      </c>
      <c r="G28" s="120">
        <f>$D$28*G13</f>
        <v>2520</v>
      </c>
      <c r="H28" s="120">
        <f>$D$28*H13</f>
        <v>386.4</v>
      </c>
      <c r="I28" s="120">
        <v>18.57</v>
      </c>
      <c r="J28" s="122">
        <f>$D$28*J13</f>
        <v>1260</v>
      </c>
      <c r="K28" s="252">
        <f t="shared" si="0"/>
        <v>9229.1699999999983</v>
      </c>
      <c r="L28" s="246">
        <f t="shared" si="1"/>
        <v>51229.17</v>
      </c>
    </row>
    <row r="29" spans="2:12" ht="15.75" thickBot="1" x14ac:dyDescent="0.3">
      <c r="B29" s="944"/>
      <c r="C29" s="237"/>
      <c r="D29" s="243">
        <v>40000</v>
      </c>
      <c r="E29" s="143">
        <f>$D$29*E13</f>
        <v>4188</v>
      </c>
      <c r="F29" s="132">
        <f>$D$29*F13</f>
        <v>616</v>
      </c>
      <c r="G29" s="132">
        <f>$D$29*G13</f>
        <v>2400</v>
      </c>
      <c r="H29" s="132">
        <f>$D$29*H13</f>
        <v>368</v>
      </c>
      <c r="I29" s="132">
        <v>18.57</v>
      </c>
      <c r="J29" s="133">
        <f>$D$29*J13</f>
        <v>1200</v>
      </c>
      <c r="K29" s="253">
        <f t="shared" si="0"/>
        <v>8790.57</v>
      </c>
      <c r="L29" s="247">
        <f t="shared" si="1"/>
        <v>48790.57</v>
      </c>
    </row>
    <row r="30" spans="2:12" x14ac:dyDescent="0.25">
      <c r="B30" s="942" t="s">
        <v>167</v>
      </c>
      <c r="C30" s="236"/>
      <c r="D30" s="241">
        <v>48000</v>
      </c>
      <c r="E30" s="141">
        <f>$D$30*E13</f>
        <v>5025.6000000000004</v>
      </c>
      <c r="F30" s="129">
        <f>$D$30*F13</f>
        <v>739.2</v>
      </c>
      <c r="G30" s="129">
        <f>$D$30*G13</f>
        <v>2880</v>
      </c>
      <c r="H30" s="129">
        <f>$D$30*H13</f>
        <v>441.59999999999997</v>
      </c>
      <c r="I30" s="129">
        <v>18.57</v>
      </c>
      <c r="J30" s="130">
        <f>$D$30*J13</f>
        <v>1440</v>
      </c>
      <c r="K30" s="251">
        <f t="shared" si="0"/>
        <v>10544.97</v>
      </c>
      <c r="L30" s="245">
        <f t="shared" si="1"/>
        <v>58544.97</v>
      </c>
    </row>
    <row r="31" spans="2:12" x14ac:dyDescent="0.25">
      <c r="B31" s="943"/>
      <c r="C31" s="73"/>
      <c r="D31" s="242">
        <v>40000</v>
      </c>
      <c r="E31" s="142">
        <f>$D$31*E13</f>
        <v>4188</v>
      </c>
      <c r="F31" s="120">
        <f>$D$31*F13</f>
        <v>616</v>
      </c>
      <c r="G31" s="120">
        <f>$D$31*G13</f>
        <v>2400</v>
      </c>
      <c r="H31" s="120">
        <f>$D$31*H13</f>
        <v>368</v>
      </c>
      <c r="I31" s="120">
        <v>18.57</v>
      </c>
      <c r="J31" s="122">
        <f>$D$31*J13</f>
        <v>1200</v>
      </c>
      <c r="K31" s="252">
        <f t="shared" si="0"/>
        <v>8790.57</v>
      </c>
      <c r="L31" s="246">
        <f t="shared" si="1"/>
        <v>48790.57</v>
      </c>
    </row>
    <row r="32" spans="2:12" x14ac:dyDescent="0.25">
      <c r="B32" s="943"/>
      <c r="C32" s="73"/>
      <c r="D32" s="242">
        <v>35000</v>
      </c>
      <c r="E32" s="142">
        <f>$D$32*E13</f>
        <v>3664.5</v>
      </c>
      <c r="F32" s="120">
        <f>$D$32*F13</f>
        <v>539</v>
      </c>
      <c r="G32" s="120">
        <f>$D$32*G13</f>
        <v>2100</v>
      </c>
      <c r="H32" s="120">
        <f>$D$32*H13</f>
        <v>322</v>
      </c>
      <c r="I32" s="120">
        <v>18.57</v>
      </c>
      <c r="J32" s="122">
        <f>$D$32*J13</f>
        <v>1050</v>
      </c>
      <c r="K32" s="252">
        <f t="shared" si="0"/>
        <v>7694.07</v>
      </c>
      <c r="L32" s="246">
        <f t="shared" si="1"/>
        <v>42694.07</v>
      </c>
    </row>
    <row r="33" spans="2:27" x14ac:dyDescent="0.25">
      <c r="B33" s="943"/>
      <c r="C33" s="73"/>
      <c r="D33" s="242">
        <v>38000</v>
      </c>
      <c r="E33" s="142">
        <f>$D$33*E13</f>
        <v>3978.6</v>
      </c>
      <c r="F33" s="120">
        <f>$D$33*F13</f>
        <v>585.20000000000005</v>
      </c>
      <c r="G33" s="120">
        <f>$D$33*G13</f>
        <v>2280</v>
      </c>
      <c r="H33" s="120">
        <f>$D$33*H13</f>
        <v>349.59999999999997</v>
      </c>
      <c r="I33" s="120">
        <v>18.57</v>
      </c>
      <c r="J33" s="122">
        <f>$D$33*J13</f>
        <v>1140</v>
      </c>
      <c r="K33" s="252">
        <f t="shared" si="0"/>
        <v>8351.9700000000012</v>
      </c>
      <c r="L33" s="246">
        <f t="shared" si="1"/>
        <v>46351.97</v>
      </c>
    </row>
    <row r="34" spans="2:27" ht="15.75" thickBot="1" x14ac:dyDescent="0.3">
      <c r="B34" s="944"/>
      <c r="C34" s="237"/>
      <c r="D34" s="243">
        <v>42000</v>
      </c>
      <c r="E34" s="143">
        <f>$D$34*E13</f>
        <v>4397.3999999999996</v>
      </c>
      <c r="F34" s="132">
        <f>$D$34*F13</f>
        <v>646.80000000000007</v>
      </c>
      <c r="G34" s="132">
        <f>$D$34*G13</f>
        <v>2520</v>
      </c>
      <c r="H34" s="132">
        <f>$D$34*H13</f>
        <v>386.4</v>
      </c>
      <c r="I34" s="132">
        <v>18.57</v>
      </c>
      <c r="J34" s="133">
        <f>$D$34*J13</f>
        <v>1260</v>
      </c>
      <c r="K34" s="253">
        <f t="shared" si="0"/>
        <v>9229.1699999999983</v>
      </c>
      <c r="L34" s="247">
        <f t="shared" si="1"/>
        <v>51229.17</v>
      </c>
    </row>
    <row r="37" spans="2:27" ht="15.75" thickBot="1" x14ac:dyDescent="0.3"/>
    <row r="38" spans="2:27" ht="27" thickBot="1" x14ac:dyDescent="0.45">
      <c r="B38" s="920" t="s">
        <v>174</v>
      </c>
      <c r="C38" s="921"/>
      <c r="D38" s="921"/>
      <c r="E38" s="921"/>
      <c r="F38" s="921"/>
      <c r="G38" s="921"/>
      <c r="H38" s="921"/>
      <c r="I38" s="921"/>
      <c r="J38" s="921"/>
      <c r="K38" s="921"/>
      <c r="L38" s="921"/>
      <c r="M38" s="921"/>
      <c r="N38" s="921"/>
      <c r="O38" s="921"/>
      <c r="P38" s="921"/>
      <c r="Q38" s="921"/>
      <c r="R38" s="921"/>
      <c r="S38" s="921"/>
      <c r="T38" s="921"/>
      <c r="U38" s="921"/>
      <c r="V38" s="921"/>
      <c r="W38" s="921"/>
      <c r="X38" s="921"/>
      <c r="Y38" s="921"/>
      <c r="Z38" s="921"/>
      <c r="AA38" s="922"/>
    </row>
    <row r="39" spans="2:27" ht="15.75" x14ac:dyDescent="0.25">
      <c r="B39" s="933" t="s">
        <v>160</v>
      </c>
      <c r="C39" s="935" t="s">
        <v>42</v>
      </c>
      <c r="D39" s="935"/>
      <c r="E39" s="935" t="s">
        <v>43</v>
      </c>
      <c r="F39" s="935"/>
      <c r="G39" s="935" t="s">
        <v>44</v>
      </c>
      <c r="H39" s="935"/>
      <c r="I39" s="935" t="s">
        <v>45</v>
      </c>
      <c r="J39" s="935"/>
      <c r="K39" s="935" t="s">
        <v>46</v>
      </c>
      <c r="L39" s="935"/>
      <c r="M39" s="935" t="s">
        <v>172</v>
      </c>
      <c r="N39" s="935"/>
      <c r="O39" s="935" t="s">
        <v>48</v>
      </c>
      <c r="P39" s="935"/>
      <c r="Q39" s="935" t="s">
        <v>49</v>
      </c>
      <c r="R39" s="935"/>
      <c r="S39" s="935" t="s">
        <v>50</v>
      </c>
      <c r="T39" s="935"/>
      <c r="U39" s="935" t="s">
        <v>51</v>
      </c>
      <c r="V39" s="935"/>
      <c r="W39" s="935" t="s">
        <v>52</v>
      </c>
      <c r="X39" s="935"/>
      <c r="Y39" s="935" t="s">
        <v>173</v>
      </c>
      <c r="Z39" s="935"/>
      <c r="AA39" s="936" t="s">
        <v>117</v>
      </c>
    </row>
    <row r="40" spans="2:27" ht="15.75" x14ac:dyDescent="0.25">
      <c r="B40" s="934"/>
      <c r="C40" s="255" t="s">
        <v>57</v>
      </c>
      <c r="D40" s="255" t="s">
        <v>75</v>
      </c>
      <c r="E40" s="255" t="s">
        <v>57</v>
      </c>
      <c r="F40" s="255" t="s">
        <v>75</v>
      </c>
      <c r="G40" s="255" t="s">
        <v>57</v>
      </c>
      <c r="H40" s="255" t="s">
        <v>75</v>
      </c>
      <c r="I40" s="255" t="s">
        <v>57</v>
      </c>
      <c r="J40" s="255" t="s">
        <v>75</v>
      </c>
      <c r="K40" s="255" t="s">
        <v>57</v>
      </c>
      <c r="L40" s="255" t="s">
        <v>75</v>
      </c>
      <c r="M40" s="255" t="s">
        <v>57</v>
      </c>
      <c r="N40" s="255" t="s">
        <v>75</v>
      </c>
      <c r="O40" s="255" t="s">
        <v>57</v>
      </c>
      <c r="P40" s="255" t="s">
        <v>75</v>
      </c>
      <c r="Q40" s="255" t="s">
        <v>57</v>
      </c>
      <c r="R40" s="255" t="s">
        <v>75</v>
      </c>
      <c r="S40" s="255" t="s">
        <v>57</v>
      </c>
      <c r="T40" s="255" t="s">
        <v>75</v>
      </c>
      <c r="U40" s="255" t="s">
        <v>57</v>
      </c>
      <c r="V40" s="255" t="s">
        <v>75</v>
      </c>
      <c r="W40" s="255" t="s">
        <v>57</v>
      </c>
      <c r="X40" s="255" t="s">
        <v>75</v>
      </c>
      <c r="Y40" s="255" t="s">
        <v>57</v>
      </c>
      <c r="Z40" s="255" t="s">
        <v>75</v>
      </c>
      <c r="AA40" s="937"/>
    </row>
    <row r="41" spans="2:27" x14ac:dyDescent="0.25">
      <c r="B41" s="269"/>
      <c r="C41" s="153">
        <v>1</v>
      </c>
      <c r="D41" s="154">
        <f>C41*$L$14</f>
        <v>97562.57</v>
      </c>
      <c r="E41" s="153">
        <v>1</v>
      </c>
      <c r="F41" s="154">
        <f>E41*$L$14</f>
        <v>97562.57</v>
      </c>
      <c r="G41" s="153">
        <v>1</v>
      </c>
      <c r="H41" s="154">
        <f>G41*$L$14</f>
        <v>97562.57</v>
      </c>
      <c r="I41" s="153">
        <v>1</v>
      </c>
      <c r="J41" s="154">
        <f>I41*$L$14</f>
        <v>97562.57</v>
      </c>
      <c r="K41" s="153">
        <v>1</v>
      </c>
      <c r="L41" s="154">
        <f>K41*$L$14</f>
        <v>97562.57</v>
      </c>
      <c r="M41" s="153">
        <v>1</v>
      </c>
      <c r="N41" s="154">
        <f>M41*$L$14*1.5</f>
        <v>146343.85500000001</v>
      </c>
      <c r="O41" s="153">
        <v>1</v>
      </c>
      <c r="P41" s="154">
        <f>O41*$L$14</f>
        <v>97562.57</v>
      </c>
      <c r="Q41" s="153">
        <v>1</v>
      </c>
      <c r="R41" s="154">
        <f>Q41*$L$14</f>
        <v>97562.57</v>
      </c>
      <c r="S41" s="153">
        <v>1</v>
      </c>
      <c r="T41" s="154">
        <f>S41*$L$14</f>
        <v>97562.57</v>
      </c>
      <c r="U41" s="153">
        <v>1</v>
      </c>
      <c r="V41" s="154">
        <f>U41*$L$14</f>
        <v>97562.57</v>
      </c>
      <c r="W41" s="153">
        <v>1</v>
      </c>
      <c r="X41" s="154">
        <f>W41*$L$14</f>
        <v>97562.57</v>
      </c>
      <c r="Y41" s="153">
        <v>1</v>
      </c>
      <c r="Z41" s="154">
        <f>Y41*$L$14*1.5</f>
        <v>146343.85500000001</v>
      </c>
      <c r="AA41" s="270">
        <f>D41+F41+H41+J41+L41+N41+P41+R41+T41+V41+X41+Z41</f>
        <v>1268313.4100000004</v>
      </c>
    </row>
    <row r="42" spans="2:27" x14ac:dyDescent="0.25">
      <c r="B42" s="271"/>
      <c r="C42" s="153">
        <v>1</v>
      </c>
      <c r="D42" s="154">
        <f>C42*$L$15</f>
        <v>73176.570000000007</v>
      </c>
      <c r="E42" s="153">
        <v>1</v>
      </c>
      <c r="F42" s="154">
        <f>E42*$L$15</f>
        <v>73176.570000000007</v>
      </c>
      <c r="G42" s="153">
        <v>1</v>
      </c>
      <c r="H42" s="154">
        <f>G42*$L$15</f>
        <v>73176.570000000007</v>
      </c>
      <c r="I42" s="153">
        <v>1</v>
      </c>
      <c r="J42" s="154">
        <f>I42*$L$15</f>
        <v>73176.570000000007</v>
      </c>
      <c r="K42" s="153">
        <v>1</v>
      </c>
      <c r="L42" s="154">
        <f>K42*$L$15</f>
        <v>73176.570000000007</v>
      </c>
      <c r="M42" s="153">
        <v>1</v>
      </c>
      <c r="N42" s="154">
        <f>M42*$L$15*1.5</f>
        <v>109764.85500000001</v>
      </c>
      <c r="O42" s="153">
        <v>1</v>
      </c>
      <c r="P42" s="154">
        <f>O42*$L$15</f>
        <v>73176.570000000007</v>
      </c>
      <c r="Q42" s="153">
        <v>1</v>
      </c>
      <c r="R42" s="154">
        <f>Q42*$L$15</f>
        <v>73176.570000000007</v>
      </c>
      <c r="S42" s="153">
        <v>1</v>
      </c>
      <c r="T42" s="154">
        <f>S42*$L$15</f>
        <v>73176.570000000007</v>
      </c>
      <c r="U42" s="153">
        <v>1</v>
      </c>
      <c r="V42" s="154">
        <f>U42*$L$15</f>
        <v>73176.570000000007</v>
      </c>
      <c r="W42" s="153">
        <v>1</v>
      </c>
      <c r="X42" s="154">
        <f>W42*$L$15</f>
        <v>73176.570000000007</v>
      </c>
      <c r="Y42" s="153">
        <v>1</v>
      </c>
      <c r="Z42" s="154">
        <f>Y42*$L$15*1.5</f>
        <v>109764.85500000001</v>
      </c>
      <c r="AA42" s="270">
        <f t="shared" ref="AA42:AA50" si="2">D42+F42+H42+J42+L42+N42+P42+R42+T42+V42+X42+Z42</f>
        <v>951295.41000000038</v>
      </c>
    </row>
    <row r="43" spans="2:27" x14ac:dyDescent="0.25">
      <c r="B43" s="271"/>
      <c r="C43" s="153">
        <v>1</v>
      </c>
      <c r="D43" s="154">
        <f>C43*$L$27</f>
        <v>63422.17</v>
      </c>
      <c r="E43" s="153">
        <v>1</v>
      </c>
      <c r="F43" s="154">
        <f>E43*$L$27</f>
        <v>63422.17</v>
      </c>
      <c r="G43" s="153">
        <v>1</v>
      </c>
      <c r="H43" s="154">
        <f>G43*$L$27</f>
        <v>63422.17</v>
      </c>
      <c r="I43" s="153">
        <v>1</v>
      </c>
      <c r="J43" s="154">
        <f>I43*$L$27</f>
        <v>63422.17</v>
      </c>
      <c r="K43" s="153">
        <v>1</v>
      </c>
      <c r="L43" s="154">
        <f>K43*$L$27</f>
        <v>63422.17</v>
      </c>
      <c r="M43" s="153">
        <v>1</v>
      </c>
      <c r="N43" s="154">
        <f>M43*$L$27*1.5</f>
        <v>95133.255000000005</v>
      </c>
      <c r="O43" s="153">
        <v>1</v>
      </c>
      <c r="P43" s="154">
        <f>O43*$L$27</f>
        <v>63422.17</v>
      </c>
      <c r="Q43" s="153">
        <v>1</v>
      </c>
      <c r="R43" s="154">
        <f>Q43*$L$27</f>
        <v>63422.17</v>
      </c>
      <c r="S43" s="153">
        <v>1</v>
      </c>
      <c r="T43" s="154">
        <f>S43*$L$27</f>
        <v>63422.17</v>
      </c>
      <c r="U43" s="153">
        <v>1</v>
      </c>
      <c r="V43" s="154">
        <f>U43*$L$27</f>
        <v>63422.17</v>
      </c>
      <c r="W43" s="153">
        <v>1</v>
      </c>
      <c r="X43" s="154">
        <f>W43*$L$27</f>
        <v>63422.17</v>
      </c>
      <c r="Y43" s="153">
        <v>1</v>
      </c>
      <c r="Z43" s="154">
        <f>Y43*$L$27*1.5</f>
        <v>95133.255000000005</v>
      </c>
      <c r="AA43" s="270">
        <f t="shared" si="2"/>
        <v>824488.21000000008</v>
      </c>
    </row>
    <row r="44" spans="2:27" x14ac:dyDescent="0.25">
      <c r="B44" s="271"/>
      <c r="C44" s="153">
        <v>0</v>
      </c>
      <c r="D44" s="154">
        <v>0</v>
      </c>
      <c r="E44" s="153">
        <v>0</v>
      </c>
      <c r="F44" s="154">
        <v>0</v>
      </c>
      <c r="G44" s="153">
        <v>0</v>
      </c>
      <c r="H44" s="154">
        <v>0</v>
      </c>
      <c r="I44" s="153">
        <v>0</v>
      </c>
      <c r="J44" s="154">
        <v>0</v>
      </c>
      <c r="K44" s="153">
        <v>0</v>
      </c>
      <c r="L44" s="154">
        <v>0</v>
      </c>
      <c r="M44" s="153">
        <v>0</v>
      </c>
      <c r="N44" s="154">
        <v>0</v>
      </c>
      <c r="O44" s="153">
        <v>0</v>
      </c>
      <c r="P44" s="154">
        <v>0</v>
      </c>
      <c r="Q44" s="153">
        <v>0</v>
      </c>
      <c r="R44" s="154">
        <v>0</v>
      </c>
      <c r="S44" s="153">
        <v>0</v>
      </c>
      <c r="T44" s="154">
        <v>0</v>
      </c>
      <c r="U44" s="153">
        <v>0</v>
      </c>
      <c r="V44" s="154">
        <v>0</v>
      </c>
      <c r="W44" s="257">
        <v>1</v>
      </c>
      <c r="X44" s="154">
        <f>$L$28*W44</f>
        <v>51229.17</v>
      </c>
      <c r="Y44" s="153">
        <v>1</v>
      </c>
      <c r="Z44" s="154">
        <f>$L$28*Y44*(1+2/12)</f>
        <v>59767.365000000005</v>
      </c>
      <c r="AA44" s="270">
        <f t="shared" si="2"/>
        <v>110996.535</v>
      </c>
    </row>
    <row r="45" spans="2:27" x14ac:dyDescent="0.25">
      <c r="B45" s="271"/>
      <c r="C45" s="153">
        <v>1</v>
      </c>
      <c r="D45" s="154">
        <f>C45*$L$30</f>
        <v>58544.97</v>
      </c>
      <c r="E45" s="153">
        <v>1</v>
      </c>
      <c r="F45" s="154">
        <f>E45*$L$30</f>
        <v>58544.97</v>
      </c>
      <c r="G45" s="153">
        <v>1</v>
      </c>
      <c r="H45" s="154">
        <f>G45*$L$30</f>
        <v>58544.97</v>
      </c>
      <c r="I45" s="153">
        <v>1</v>
      </c>
      <c r="J45" s="154">
        <f>I45*$L$30</f>
        <v>58544.97</v>
      </c>
      <c r="K45" s="153">
        <v>1</v>
      </c>
      <c r="L45" s="154">
        <f>K45*$L$30</f>
        <v>58544.97</v>
      </c>
      <c r="M45" s="153">
        <v>1</v>
      </c>
      <c r="N45" s="154">
        <f>M45*$L$30*1.5</f>
        <v>87817.455000000002</v>
      </c>
      <c r="O45" s="153">
        <v>1</v>
      </c>
      <c r="P45" s="154">
        <f>O45*$L$30</f>
        <v>58544.97</v>
      </c>
      <c r="Q45" s="153">
        <v>1</v>
      </c>
      <c r="R45" s="154">
        <f>Q45*$L$30</f>
        <v>58544.97</v>
      </c>
      <c r="S45" s="153">
        <v>1</v>
      </c>
      <c r="T45" s="154">
        <f>S45*$L$30</f>
        <v>58544.97</v>
      </c>
      <c r="U45" s="153">
        <v>1</v>
      </c>
      <c r="V45" s="154">
        <f>U45*$L$30</f>
        <v>58544.97</v>
      </c>
      <c r="W45" s="153">
        <v>1</v>
      </c>
      <c r="X45" s="154">
        <f>W45*$L$30</f>
        <v>58544.97</v>
      </c>
      <c r="Y45" s="153">
        <v>1</v>
      </c>
      <c r="Z45" s="154">
        <f>Y45*$L$30*1.5</f>
        <v>87817.455000000002</v>
      </c>
      <c r="AA45" s="270">
        <f t="shared" si="2"/>
        <v>761084.60999999987</v>
      </c>
    </row>
    <row r="46" spans="2:27" x14ac:dyDescent="0.25">
      <c r="B46" s="271"/>
      <c r="C46" s="153">
        <v>1</v>
      </c>
      <c r="D46" s="154">
        <f>C46*$L$31</f>
        <v>48790.57</v>
      </c>
      <c r="E46" s="153">
        <v>1</v>
      </c>
      <c r="F46" s="154">
        <f>E46*$L$31</f>
        <v>48790.57</v>
      </c>
      <c r="G46" s="153">
        <v>1</v>
      </c>
      <c r="H46" s="154">
        <f>G46*$L$31</f>
        <v>48790.57</v>
      </c>
      <c r="I46" s="153">
        <v>1</v>
      </c>
      <c r="J46" s="154">
        <f>I46*$L$31</f>
        <v>48790.57</v>
      </c>
      <c r="K46" s="153">
        <v>1</v>
      </c>
      <c r="L46" s="154">
        <f>K46*$L$31</f>
        <v>48790.57</v>
      </c>
      <c r="M46" s="153">
        <v>1</v>
      </c>
      <c r="N46" s="154">
        <f>M46*$L$31*1.5</f>
        <v>73185.854999999996</v>
      </c>
      <c r="O46" s="153">
        <v>1</v>
      </c>
      <c r="P46" s="154">
        <f>O46*$L$31</f>
        <v>48790.57</v>
      </c>
      <c r="Q46" s="153">
        <v>1</v>
      </c>
      <c r="R46" s="154">
        <f>Q46*$L$31</f>
        <v>48790.57</v>
      </c>
      <c r="S46" s="153">
        <v>1</v>
      </c>
      <c r="T46" s="154">
        <f>S46*$L$31</f>
        <v>48790.57</v>
      </c>
      <c r="U46" s="153">
        <v>1</v>
      </c>
      <c r="V46" s="154">
        <f>U46*$L$31</f>
        <v>48790.57</v>
      </c>
      <c r="W46" s="153">
        <v>1</v>
      </c>
      <c r="X46" s="154">
        <f>W46*$L$31</f>
        <v>48790.57</v>
      </c>
      <c r="Y46" s="153">
        <v>1</v>
      </c>
      <c r="Z46" s="154">
        <f>Y46*$L$31*1.5</f>
        <v>73185.854999999996</v>
      </c>
      <c r="AA46" s="270">
        <f t="shared" si="2"/>
        <v>634277.41</v>
      </c>
    </row>
    <row r="47" spans="2:27" x14ac:dyDescent="0.25">
      <c r="B47" s="271"/>
      <c r="C47" s="153">
        <v>1</v>
      </c>
      <c r="D47" s="154">
        <f>C47*$L$23</f>
        <v>39036.17</v>
      </c>
      <c r="E47" s="153">
        <v>1</v>
      </c>
      <c r="F47" s="154">
        <f>E47*$L$23</f>
        <v>39036.17</v>
      </c>
      <c r="G47" s="153">
        <v>1</v>
      </c>
      <c r="H47" s="154">
        <f>G47*$L$23</f>
        <v>39036.17</v>
      </c>
      <c r="I47" s="153">
        <v>1</v>
      </c>
      <c r="J47" s="154">
        <f>I47*$L$23</f>
        <v>39036.17</v>
      </c>
      <c r="K47" s="153">
        <v>1</v>
      </c>
      <c r="L47" s="154">
        <f>K47*$L$23</f>
        <v>39036.17</v>
      </c>
      <c r="M47" s="153">
        <v>1</v>
      </c>
      <c r="N47" s="154">
        <f>M47*$L$23*1.5</f>
        <v>58554.254999999997</v>
      </c>
      <c r="O47" s="153">
        <v>1</v>
      </c>
      <c r="P47" s="154">
        <f>O47*$L$23</f>
        <v>39036.17</v>
      </c>
      <c r="Q47" s="153">
        <v>1</v>
      </c>
      <c r="R47" s="154">
        <f>Q47*$L$23</f>
        <v>39036.17</v>
      </c>
      <c r="S47" s="153">
        <v>1</v>
      </c>
      <c r="T47" s="154">
        <f>S47*$L$23</f>
        <v>39036.17</v>
      </c>
      <c r="U47" s="153">
        <v>1</v>
      </c>
      <c r="V47" s="154">
        <f>U47*$L$23</f>
        <v>39036.17</v>
      </c>
      <c r="W47" s="153">
        <v>1</v>
      </c>
      <c r="X47" s="154">
        <f>W47*$L$23</f>
        <v>39036.17</v>
      </c>
      <c r="Y47" s="153">
        <v>1</v>
      </c>
      <c r="Z47" s="154">
        <f>Y47*$L$23*1.5</f>
        <v>58554.254999999997</v>
      </c>
      <c r="AA47" s="270">
        <f t="shared" si="2"/>
        <v>507470.2099999999</v>
      </c>
    </row>
    <row r="48" spans="2:27" x14ac:dyDescent="0.25">
      <c r="B48" s="271"/>
      <c r="C48" s="153">
        <v>2</v>
      </c>
      <c r="D48" s="154">
        <f>C48*$L$26</f>
        <v>78072.34</v>
      </c>
      <c r="E48" s="153">
        <v>2</v>
      </c>
      <c r="F48" s="154">
        <f>E48*$L$26</f>
        <v>78072.34</v>
      </c>
      <c r="G48" s="153">
        <v>2</v>
      </c>
      <c r="H48" s="154">
        <f>G48*$L$26</f>
        <v>78072.34</v>
      </c>
      <c r="I48" s="153">
        <v>2</v>
      </c>
      <c r="J48" s="154">
        <f>I48*$L$26</f>
        <v>78072.34</v>
      </c>
      <c r="K48" s="153">
        <v>2</v>
      </c>
      <c r="L48" s="154">
        <f>K48*$L$26</f>
        <v>78072.34</v>
      </c>
      <c r="M48" s="153">
        <v>2</v>
      </c>
      <c r="N48" s="154">
        <f>M48*$L$26*1.5</f>
        <v>117108.51</v>
      </c>
      <c r="O48" s="153">
        <v>2</v>
      </c>
      <c r="P48" s="154">
        <f>O48*$L$26</f>
        <v>78072.34</v>
      </c>
      <c r="Q48" s="153">
        <v>2</v>
      </c>
      <c r="R48" s="154">
        <f>Q48*$L$26</f>
        <v>78072.34</v>
      </c>
      <c r="S48" s="153">
        <v>2</v>
      </c>
      <c r="T48" s="154">
        <f>S48*$L$26</f>
        <v>78072.34</v>
      </c>
      <c r="U48" s="153">
        <v>2</v>
      </c>
      <c r="V48" s="154">
        <f>U48*$L$26</f>
        <v>78072.34</v>
      </c>
      <c r="W48" s="153">
        <v>2</v>
      </c>
      <c r="X48" s="154">
        <f>W48*$L$26</f>
        <v>78072.34</v>
      </c>
      <c r="Y48" s="153">
        <v>2</v>
      </c>
      <c r="Z48" s="154">
        <f>Y48*$L$26*1.5</f>
        <v>117108.51</v>
      </c>
      <c r="AA48" s="270">
        <f t="shared" si="2"/>
        <v>1014940.4199999998</v>
      </c>
    </row>
    <row r="49" spans="2:27" x14ac:dyDescent="0.25">
      <c r="B49" s="271"/>
      <c r="C49" s="153">
        <v>2</v>
      </c>
      <c r="D49" s="154">
        <f>C49*$L$24</f>
        <v>78072.34</v>
      </c>
      <c r="E49" s="153">
        <v>2</v>
      </c>
      <c r="F49" s="154">
        <f>E49*$L$24</f>
        <v>78072.34</v>
      </c>
      <c r="G49" s="153">
        <v>2</v>
      </c>
      <c r="H49" s="154">
        <f>G49*$L$24</f>
        <v>78072.34</v>
      </c>
      <c r="I49" s="153">
        <v>2</v>
      </c>
      <c r="J49" s="154">
        <f>I49*$L$24</f>
        <v>78072.34</v>
      </c>
      <c r="K49" s="153">
        <v>2</v>
      </c>
      <c r="L49" s="154">
        <f>K49*$L$24</f>
        <v>78072.34</v>
      </c>
      <c r="M49" s="153">
        <v>2</v>
      </c>
      <c r="N49" s="154">
        <f>M49*$L$24*1.5</f>
        <v>117108.51</v>
      </c>
      <c r="O49" s="153">
        <v>2</v>
      </c>
      <c r="P49" s="154">
        <f>O49*$L$24</f>
        <v>78072.34</v>
      </c>
      <c r="Q49" s="153">
        <v>2</v>
      </c>
      <c r="R49" s="154">
        <f>Q49*$L$24</f>
        <v>78072.34</v>
      </c>
      <c r="S49" s="153">
        <v>2</v>
      </c>
      <c r="T49" s="154">
        <f>S49*$L$24</f>
        <v>78072.34</v>
      </c>
      <c r="U49" s="153">
        <v>2</v>
      </c>
      <c r="V49" s="154">
        <f>U49*$L$24</f>
        <v>78072.34</v>
      </c>
      <c r="W49" s="153">
        <v>2</v>
      </c>
      <c r="X49" s="154">
        <f>W49*$L$24</f>
        <v>78072.34</v>
      </c>
      <c r="Y49" s="153">
        <v>2</v>
      </c>
      <c r="Z49" s="154">
        <f>Y49*$L$24*1.5</f>
        <v>117108.51</v>
      </c>
      <c r="AA49" s="270">
        <f t="shared" si="2"/>
        <v>1014940.4199999998</v>
      </c>
    </row>
    <row r="50" spans="2:27" x14ac:dyDescent="0.25">
      <c r="B50" s="269"/>
      <c r="C50" s="153">
        <v>1</v>
      </c>
      <c r="D50" s="154">
        <f>C50*$L$25</f>
        <v>19527.37</v>
      </c>
      <c r="E50" s="153">
        <v>1</v>
      </c>
      <c r="F50" s="154">
        <f>E50*$L$25</f>
        <v>19527.37</v>
      </c>
      <c r="G50" s="153">
        <v>1</v>
      </c>
      <c r="H50" s="154">
        <f>G50*$L$25</f>
        <v>19527.37</v>
      </c>
      <c r="I50" s="153">
        <v>1</v>
      </c>
      <c r="J50" s="154">
        <f>I50*$L$25</f>
        <v>19527.37</v>
      </c>
      <c r="K50" s="153">
        <v>1</v>
      </c>
      <c r="L50" s="154">
        <f>K50*$L$25</f>
        <v>19527.37</v>
      </c>
      <c r="M50" s="153">
        <v>1</v>
      </c>
      <c r="N50" s="154">
        <f>M50*$L$25*1.5</f>
        <v>29291.055</v>
      </c>
      <c r="O50" s="153">
        <v>1</v>
      </c>
      <c r="P50" s="154">
        <f>O50*$L$25</f>
        <v>19527.37</v>
      </c>
      <c r="Q50" s="153">
        <v>1</v>
      </c>
      <c r="R50" s="154">
        <f>Q50*$L$25</f>
        <v>19527.37</v>
      </c>
      <c r="S50" s="153">
        <v>1</v>
      </c>
      <c r="T50" s="154">
        <f>S50*$L$25</f>
        <v>19527.37</v>
      </c>
      <c r="U50" s="153">
        <v>1</v>
      </c>
      <c r="V50" s="154">
        <f>U50*$L$25</f>
        <v>19527.37</v>
      </c>
      <c r="W50" s="153">
        <v>1</v>
      </c>
      <c r="X50" s="154">
        <f>W50*$L$25</f>
        <v>19527.37</v>
      </c>
      <c r="Y50" s="153">
        <v>1</v>
      </c>
      <c r="Z50" s="154">
        <f>Y50*$L$25*1.5</f>
        <v>29291.055</v>
      </c>
      <c r="AA50" s="270">
        <f t="shared" si="2"/>
        <v>253855.80999999997</v>
      </c>
    </row>
    <row r="51" spans="2:27" ht="16.5" thickBot="1" x14ac:dyDescent="0.3">
      <c r="B51" s="272" t="s">
        <v>175</v>
      </c>
      <c r="C51" s="273">
        <f t="shared" ref="C51:Z51" si="3">SUM(C41:C50)</f>
        <v>11</v>
      </c>
      <c r="D51" s="274">
        <f t="shared" si="3"/>
        <v>556205.06999999995</v>
      </c>
      <c r="E51" s="273">
        <f t="shared" si="3"/>
        <v>11</v>
      </c>
      <c r="F51" s="274">
        <f t="shared" si="3"/>
        <v>556205.06999999995</v>
      </c>
      <c r="G51" s="273">
        <f t="shared" si="3"/>
        <v>11</v>
      </c>
      <c r="H51" s="274">
        <f t="shared" si="3"/>
        <v>556205.06999999995</v>
      </c>
      <c r="I51" s="273">
        <f t="shared" si="3"/>
        <v>11</v>
      </c>
      <c r="J51" s="274">
        <f t="shared" si="3"/>
        <v>556205.06999999995</v>
      </c>
      <c r="K51" s="273">
        <f t="shared" si="3"/>
        <v>11</v>
      </c>
      <c r="L51" s="274">
        <f t="shared" si="3"/>
        <v>556205.06999999995</v>
      </c>
      <c r="M51" s="273">
        <f t="shared" si="3"/>
        <v>11</v>
      </c>
      <c r="N51" s="274">
        <f t="shared" si="3"/>
        <v>834307.6050000001</v>
      </c>
      <c r="O51" s="273">
        <f t="shared" si="3"/>
        <v>11</v>
      </c>
      <c r="P51" s="274">
        <f t="shared" si="3"/>
        <v>556205.06999999995</v>
      </c>
      <c r="Q51" s="273">
        <f t="shared" si="3"/>
        <v>11</v>
      </c>
      <c r="R51" s="274">
        <f t="shared" si="3"/>
        <v>556205.06999999995</v>
      </c>
      <c r="S51" s="273">
        <f t="shared" si="3"/>
        <v>11</v>
      </c>
      <c r="T51" s="274">
        <f t="shared" si="3"/>
        <v>556205.06999999995</v>
      </c>
      <c r="U51" s="273">
        <f t="shared" si="3"/>
        <v>11</v>
      </c>
      <c r="V51" s="274">
        <f t="shared" si="3"/>
        <v>556205.06999999995</v>
      </c>
      <c r="W51" s="273">
        <f t="shared" si="3"/>
        <v>12</v>
      </c>
      <c r="X51" s="274">
        <f t="shared" si="3"/>
        <v>607434.23999999987</v>
      </c>
      <c r="Y51" s="273">
        <f t="shared" si="3"/>
        <v>12</v>
      </c>
      <c r="Z51" s="274">
        <f t="shared" si="3"/>
        <v>894074.97000000009</v>
      </c>
      <c r="AA51" s="275">
        <f>Z51+X51+V51+T51+R51+P51+N51+L51+J51+H51+F51+D51</f>
        <v>7341662.4450000012</v>
      </c>
    </row>
    <row r="54" spans="2:27" ht="15.75" thickBot="1" x14ac:dyDescent="0.3"/>
    <row r="55" spans="2:27" ht="27" thickBot="1" x14ac:dyDescent="0.45">
      <c r="B55" s="920" t="s">
        <v>176</v>
      </c>
      <c r="C55" s="921"/>
      <c r="D55" s="921"/>
      <c r="E55" s="921"/>
      <c r="F55" s="921"/>
      <c r="G55" s="921"/>
      <c r="H55" s="921"/>
      <c r="I55" s="921"/>
      <c r="J55" s="921"/>
      <c r="K55" s="921"/>
      <c r="L55" s="921"/>
      <c r="M55" s="921"/>
      <c r="N55" s="921"/>
      <c r="O55" s="921"/>
      <c r="P55" s="921"/>
      <c r="Q55" s="921"/>
      <c r="R55" s="921"/>
      <c r="S55" s="921"/>
      <c r="T55" s="921"/>
      <c r="U55" s="921"/>
      <c r="V55" s="921"/>
      <c r="W55" s="921"/>
      <c r="X55" s="921"/>
      <c r="Y55" s="921"/>
      <c r="Z55" s="921"/>
      <c r="AA55" s="922"/>
    </row>
    <row r="56" spans="2:27" ht="15.75" x14ac:dyDescent="0.25">
      <c r="B56" s="933" t="s">
        <v>160</v>
      </c>
      <c r="C56" s="935" t="s">
        <v>42</v>
      </c>
      <c r="D56" s="935"/>
      <c r="E56" s="935" t="s">
        <v>43</v>
      </c>
      <c r="F56" s="935"/>
      <c r="G56" s="935" t="s">
        <v>44</v>
      </c>
      <c r="H56" s="935"/>
      <c r="I56" s="935" t="s">
        <v>45</v>
      </c>
      <c r="J56" s="935"/>
      <c r="K56" s="935" t="s">
        <v>46</v>
      </c>
      <c r="L56" s="935"/>
      <c r="M56" s="935" t="s">
        <v>172</v>
      </c>
      <c r="N56" s="935"/>
      <c r="O56" s="935" t="s">
        <v>48</v>
      </c>
      <c r="P56" s="935"/>
      <c r="Q56" s="935" t="s">
        <v>49</v>
      </c>
      <c r="R56" s="935"/>
      <c r="S56" s="935" t="s">
        <v>50</v>
      </c>
      <c r="T56" s="935"/>
      <c r="U56" s="935" t="s">
        <v>51</v>
      </c>
      <c r="V56" s="935"/>
      <c r="W56" s="935" t="s">
        <v>52</v>
      </c>
      <c r="X56" s="935"/>
      <c r="Y56" s="935" t="s">
        <v>173</v>
      </c>
      <c r="Z56" s="935"/>
      <c r="AA56" s="936" t="s">
        <v>117</v>
      </c>
    </row>
    <row r="57" spans="2:27" ht="15.75" x14ac:dyDescent="0.25">
      <c r="B57" s="934"/>
      <c r="C57" s="255" t="s">
        <v>57</v>
      </c>
      <c r="D57" s="255" t="s">
        <v>75</v>
      </c>
      <c r="E57" s="255" t="s">
        <v>57</v>
      </c>
      <c r="F57" s="255" t="s">
        <v>75</v>
      </c>
      <c r="G57" s="255" t="s">
        <v>57</v>
      </c>
      <c r="H57" s="255" t="s">
        <v>75</v>
      </c>
      <c r="I57" s="255" t="s">
        <v>57</v>
      </c>
      <c r="J57" s="255" t="s">
        <v>75</v>
      </c>
      <c r="K57" s="255" t="s">
        <v>57</v>
      </c>
      <c r="L57" s="255" t="s">
        <v>75</v>
      </c>
      <c r="M57" s="255" t="s">
        <v>57</v>
      </c>
      <c r="N57" s="255" t="s">
        <v>75</v>
      </c>
      <c r="O57" s="255" t="s">
        <v>57</v>
      </c>
      <c r="P57" s="255" t="s">
        <v>75</v>
      </c>
      <c r="Q57" s="255" t="s">
        <v>57</v>
      </c>
      <c r="R57" s="255" t="s">
        <v>75</v>
      </c>
      <c r="S57" s="255" t="s">
        <v>57</v>
      </c>
      <c r="T57" s="255" t="s">
        <v>75</v>
      </c>
      <c r="U57" s="255" t="s">
        <v>57</v>
      </c>
      <c r="V57" s="255" t="s">
        <v>75</v>
      </c>
      <c r="W57" s="255" t="s">
        <v>57</v>
      </c>
      <c r="X57" s="255" t="s">
        <v>75</v>
      </c>
      <c r="Y57" s="255" t="s">
        <v>57</v>
      </c>
      <c r="Z57" s="255" t="s">
        <v>75</v>
      </c>
      <c r="AA57" s="937"/>
    </row>
    <row r="58" spans="2:27" x14ac:dyDescent="0.25">
      <c r="B58" s="269"/>
      <c r="C58" s="153">
        <v>1</v>
      </c>
      <c r="D58" s="154">
        <f>C58*$L$14</f>
        <v>97562.57</v>
      </c>
      <c r="E58" s="153">
        <v>1</v>
      </c>
      <c r="F58" s="154">
        <f>E58*$L$14</f>
        <v>97562.57</v>
      </c>
      <c r="G58" s="153">
        <v>1</v>
      </c>
      <c r="H58" s="154">
        <f>G58*$L$14</f>
        <v>97562.57</v>
      </c>
      <c r="I58" s="153">
        <v>1</v>
      </c>
      <c r="J58" s="154">
        <f>I58*$L$14</f>
        <v>97562.57</v>
      </c>
      <c r="K58" s="153">
        <v>1</v>
      </c>
      <c r="L58" s="154">
        <f>K58*$L$14</f>
        <v>97562.57</v>
      </c>
      <c r="M58" s="153">
        <v>1</v>
      </c>
      <c r="N58" s="154">
        <f>M58*$L$14*1.5</f>
        <v>146343.85500000001</v>
      </c>
      <c r="O58" s="153">
        <v>1</v>
      </c>
      <c r="P58" s="154">
        <f>O58*$L$14</f>
        <v>97562.57</v>
      </c>
      <c r="Q58" s="153">
        <v>1</v>
      </c>
      <c r="R58" s="154">
        <f>Q58*$L$14</f>
        <v>97562.57</v>
      </c>
      <c r="S58" s="153">
        <v>1</v>
      </c>
      <c r="T58" s="154">
        <f>S58*$L$14</f>
        <v>97562.57</v>
      </c>
      <c r="U58" s="153">
        <v>1</v>
      </c>
      <c r="V58" s="154">
        <f>U58*$L$14</f>
        <v>97562.57</v>
      </c>
      <c r="W58" s="153">
        <v>1</v>
      </c>
      <c r="X58" s="154">
        <f>W58*$L$14</f>
        <v>97562.57</v>
      </c>
      <c r="Y58" s="153">
        <v>1</v>
      </c>
      <c r="Z58" s="154">
        <f>Y58*$L$14*1.5</f>
        <v>146343.85500000001</v>
      </c>
      <c r="AA58" s="270">
        <f>D58+F58+H58+J58+L58+N58+P58+R58+T58+V58+X58+Z58</f>
        <v>1268313.4100000004</v>
      </c>
    </row>
    <row r="59" spans="2:27" x14ac:dyDescent="0.25">
      <c r="B59" s="271"/>
      <c r="C59" s="153">
        <v>1</v>
      </c>
      <c r="D59" s="154">
        <f>C59*$L$15</f>
        <v>73176.570000000007</v>
      </c>
      <c r="E59" s="153">
        <v>1</v>
      </c>
      <c r="F59" s="154">
        <f>E59*$L$15</f>
        <v>73176.570000000007</v>
      </c>
      <c r="G59" s="153">
        <v>1</v>
      </c>
      <c r="H59" s="154">
        <f>G59*$L$15</f>
        <v>73176.570000000007</v>
      </c>
      <c r="I59" s="153">
        <v>1</v>
      </c>
      <c r="J59" s="154">
        <f>I59*$L$15</f>
        <v>73176.570000000007</v>
      </c>
      <c r="K59" s="153">
        <v>1</v>
      </c>
      <c r="L59" s="154">
        <f>K59*$L$15</f>
        <v>73176.570000000007</v>
      </c>
      <c r="M59" s="153">
        <v>1</v>
      </c>
      <c r="N59" s="154">
        <f>M59*$L$15*1.5</f>
        <v>109764.85500000001</v>
      </c>
      <c r="O59" s="153">
        <v>1</v>
      </c>
      <c r="P59" s="154">
        <f>O59*$L$15</f>
        <v>73176.570000000007</v>
      </c>
      <c r="Q59" s="153">
        <v>1</v>
      </c>
      <c r="R59" s="154">
        <f>Q59*$L$15</f>
        <v>73176.570000000007</v>
      </c>
      <c r="S59" s="153">
        <v>1</v>
      </c>
      <c r="T59" s="154">
        <f>S59*$L$15</f>
        <v>73176.570000000007</v>
      </c>
      <c r="U59" s="153">
        <v>1</v>
      </c>
      <c r="V59" s="154">
        <f>U59*$L$15</f>
        <v>73176.570000000007</v>
      </c>
      <c r="W59" s="153">
        <v>1</v>
      </c>
      <c r="X59" s="154">
        <f>W59*$L$15</f>
        <v>73176.570000000007</v>
      </c>
      <c r="Y59" s="153">
        <v>1</v>
      </c>
      <c r="Z59" s="154">
        <f>Y59*$L$15*1.5</f>
        <v>109764.85500000001</v>
      </c>
      <c r="AA59" s="270">
        <f t="shared" ref="AA59:AA68" si="4">D59+F59+H59+J59+L59+N59+P59+R59+T59+V59+X59+Z59</f>
        <v>951295.41000000038</v>
      </c>
    </row>
    <row r="60" spans="2:27" x14ac:dyDescent="0.25">
      <c r="B60" s="271"/>
      <c r="C60" s="153">
        <v>1</v>
      </c>
      <c r="D60" s="154">
        <f>C60*$L$27</f>
        <v>63422.17</v>
      </c>
      <c r="E60" s="153">
        <v>1</v>
      </c>
      <c r="F60" s="154">
        <f>E60*$L$27</f>
        <v>63422.17</v>
      </c>
      <c r="G60" s="153">
        <v>1</v>
      </c>
      <c r="H60" s="154">
        <f>G60*$L$27</f>
        <v>63422.17</v>
      </c>
      <c r="I60" s="153">
        <v>1</v>
      </c>
      <c r="J60" s="154">
        <f>I60*$L$27</f>
        <v>63422.17</v>
      </c>
      <c r="K60" s="153">
        <v>1</v>
      </c>
      <c r="L60" s="154">
        <f>K60*$L$27</f>
        <v>63422.17</v>
      </c>
      <c r="M60" s="153">
        <v>1</v>
      </c>
      <c r="N60" s="154">
        <f>M60*$L$27*1.5</f>
        <v>95133.255000000005</v>
      </c>
      <c r="O60" s="153">
        <v>1</v>
      </c>
      <c r="P60" s="154">
        <f>O60*$L$27</f>
        <v>63422.17</v>
      </c>
      <c r="Q60" s="153">
        <v>1</v>
      </c>
      <c r="R60" s="154">
        <f>Q60*$L$27</f>
        <v>63422.17</v>
      </c>
      <c r="S60" s="153">
        <v>1</v>
      </c>
      <c r="T60" s="154">
        <f>S60*$L$27</f>
        <v>63422.17</v>
      </c>
      <c r="U60" s="153">
        <v>1</v>
      </c>
      <c r="V60" s="154">
        <f>U60*$L$27</f>
        <v>63422.17</v>
      </c>
      <c r="W60" s="153">
        <v>1</v>
      </c>
      <c r="X60" s="154">
        <f>W60*$L$27</f>
        <v>63422.17</v>
      </c>
      <c r="Y60" s="153">
        <v>1</v>
      </c>
      <c r="Z60" s="154">
        <f>Y60*$L$27*1.5</f>
        <v>95133.255000000005</v>
      </c>
      <c r="AA60" s="270">
        <f t="shared" si="4"/>
        <v>824488.21000000008</v>
      </c>
    </row>
    <row r="61" spans="2:27" x14ac:dyDescent="0.25">
      <c r="B61" s="271"/>
      <c r="C61" s="153">
        <v>1</v>
      </c>
      <c r="D61" s="154">
        <f>C61*$L$28</f>
        <v>51229.17</v>
      </c>
      <c r="E61" s="153">
        <v>1</v>
      </c>
      <c r="F61" s="154">
        <f>E61*$L$28</f>
        <v>51229.17</v>
      </c>
      <c r="G61" s="153">
        <v>1</v>
      </c>
      <c r="H61" s="154">
        <f>G61*$L$28</f>
        <v>51229.17</v>
      </c>
      <c r="I61" s="153">
        <v>1</v>
      </c>
      <c r="J61" s="154">
        <f>I61*$L$28</f>
        <v>51229.17</v>
      </c>
      <c r="K61" s="153">
        <v>1</v>
      </c>
      <c r="L61" s="154">
        <f>K61*$L$28</f>
        <v>51229.17</v>
      </c>
      <c r="M61" s="153">
        <v>1</v>
      </c>
      <c r="N61" s="154">
        <f>$L$28*M61*(1+6/12)</f>
        <v>76843.755000000005</v>
      </c>
      <c r="O61" s="153">
        <v>1</v>
      </c>
      <c r="P61" s="154">
        <f>O61*$L$28</f>
        <v>51229.17</v>
      </c>
      <c r="Q61" s="153">
        <v>1</v>
      </c>
      <c r="R61" s="154">
        <f>Q61*$L$28</f>
        <v>51229.17</v>
      </c>
      <c r="S61" s="153">
        <v>1</v>
      </c>
      <c r="T61" s="154">
        <f>S61*$L$28</f>
        <v>51229.17</v>
      </c>
      <c r="U61" s="153">
        <v>1</v>
      </c>
      <c r="V61" s="154">
        <f>U61*$L$28</f>
        <v>51229.17</v>
      </c>
      <c r="W61" s="153">
        <v>1</v>
      </c>
      <c r="X61" s="154">
        <f>$L$28*W61</f>
        <v>51229.17</v>
      </c>
      <c r="Y61" s="153">
        <v>1</v>
      </c>
      <c r="Z61" s="154">
        <f>$L$28*Y61*(1+6/12)</f>
        <v>76843.755000000005</v>
      </c>
      <c r="AA61" s="270">
        <f t="shared" si="4"/>
        <v>665979.21</v>
      </c>
    </row>
    <row r="62" spans="2:27" x14ac:dyDescent="0.25">
      <c r="B62" s="271"/>
      <c r="C62" s="153">
        <v>1</v>
      </c>
      <c r="D62" s="154">
        <f>C62*$L$30</f>
        <v>58544.97</v>
      </c>
      <c r="E62" s="153">
        <v>1</v>
      </c>
      <c r="F62" s="154">
        <f>E62*$L$30</f>
        <v>58544.97</v>
      </c>
      <c r="G62" s="153">
        <v>1</v>
      </c>
      <c r="H62" s="154">
        <f>G62*$L$30</f>
        <v>58544.97</v>
      </c>
      <c r="I62" s="153">
        <v>1</v>
      </c>
      <c r="J62" s="154">
        <f>I62*$L$30</f>
        <v>58544.97</v>
      </c>
      <c r="K62" s="153">
        <v>1</v>
      </c>
      <c r="L62" s="154">
        <f>K62*$L$30</f>
        <v>58544.97</v>
      </c>
      <c r="M62" s="153">
        <v>1</v>
      </c>
      <c r="N62" s="154">
        <f>M62*$L$30*1.5</f>
        <v>87817.455000000002</v>
      </c>
      <c r="O62" s="153">
        <v>1</v>
      </c>
      <c r="P62" s="154">
        <f>O62*$L$30</f>
        <v>58544.97</v>
      </c>
      <c r="Q62" s="153">
        <v>1</v>
      </c>
      <c r="R62" s="154">
        <f>Q62*$L$30</f>
        <v>58544.97</v>
      </c>
      <c r="S62" s="153">
        <v>1</v>
      </c>
      <c r="T62" s="154">
        <f>S62*$L$30</f>
        <v>58544.97</v>
      </c>
      <c r="U62" s="153">
        <v>1</v>
      </c>
      <c r="V62" s="154">
        <f>U62*$L$30</f>
        <v>58544.97</v>
      </c>
      <c r="W62" s="153">
        <v>1</v>
      </c>
      <c r="X62" s="154">
        <f>W62*$L$30</f>
        <v>58544.97</v>
      </c>
      <c r="Y62" s="153">
        <v>1</v>
      </c>
      <c r="Z62" s="154">
        <f>Y62*$L$30*1.5</f>
        <v>87817.455000000002</v>
      </c>
      <c r="AA62" s="270">
        <f t="shared" si="4"/>
        <v>761084.60999999987</v>
      </c>
    </row>
    <row r="63" spans="2:27" x14ac:dyDescent="0.25">
      <c r="B63" s="271"/>
      <c r="C63" s="153">
        <v>1</v>
      </c>
      <c r="D63" s="154">
        <f>C63*$L$31</f>
        <v>48790.57</v>
      </c>
      <c r="E63" s="153">
        <v>1</v>
      </c>
      <c r="F63" s="154">
        <f>E63*$L$31</f>
        <v>48790.57</v>
      </c>
      <c r="G63" s="153">
        <v>1</v>
      </c>
      <c r="H63" s="154">
        <f>G63*$L$31</f>
        <v>48790.57</v>
      </c>
      <c r="I63" s="153">
        <v>1</v>
      </c>
      <c r="J63" s="154">
        <f>I63*$L$31</f>
        <v>48790.57</v>
      </c>
      <c r="K63" s="153">
        <v>1</v>
      </c>
      <c r="L63" s="154">
        <f>K63*$L$31</f>
        <v>48790.57</v>
      </c>
      <c r="M63" s="153">
        <v>1</v>
      </c>
      <c r="N63" s="154">
        <f>M63*$L$31*1.5</f>
        <v>73185.854999999996</v>
      </c>
      <c r="O63" s="153">
        <v>1</v>
      </c>
      <c r="P63" s="154">
        <f>O63*$L$31</f>
        <v>48790.57</v>
      </c>
      <c r="Q63" s="153">
        <v>1</v>
      </c>
      <c r="R63" s="154">
        <f>Q63*$L$31</f>
        <v>48790.57</v>
      </c>
      <c r="S63" s="153">
        <v>1</v>
      </c>
      <c r="T63" s="154">
        <f>S63*$L$31</f>
        <v>48790.57</v>
      </c>
      <c r="U63" s="153">
        <v>1</v>
      </c>
      <c r="V63" s="154">
        <f>U63*$L$31</f>
        <v>48790.57</v>
      </c>
      <c r="W63" s="153">
        <v>1</v>
      </c>
      <c r="X63" s="154">
        <f>W63*$L$31</f>
        <v>48790.57</v>
      </c>
      <c r="Y63" s="153">
        <v>1</v>
      </c>
      <c r="Z63" s="154">
        <f>Y63*$L$31*1.5</f>
        <v>73185.854999999996</v>
      </c>
      <c r="AA63" s="270">
        <f t="shared" si="4"/>
        <v>634277.41</v>
      </c>
    </row>
    <row r="64" spans="2:27" x14ac:dyDescent="0.25">
      <c r="B64" s="271"/>
      <c r="C64" s="153">
        <v>1</v>
      </c>
      <c r="D64" s="154">
        <f>C64*$L$23</f>
        <v>39036.17</v>
      </c>
      <c r="E64" s="153">
        <v>1</v>
      </c>
      <c r="F64" s="154">
        <f>E64*$L$23</f>
        <v>39036.17</v>
      </c>
      <c r="G64" s="153">
        <v>1</v>
      </c>
      <c r="H64" s="154">
        <f>G64*$L$23</f>
        <v>39036.17</v>
      </c>
      <c r="I64" s="153">
        <v>1</v>
      </c>
      <c r="J64" s="154">
        <f>I64*$L$23</f>
        <v>39036.17</v>
      </c>
      <c r="K64" s="153">
        <v>1</v>
      </c>
      <c r="L64" s="154">
        <f>K64*$L$23</f>
        <v>39036.17</v>
      </c>
      <c r="M64" s="153">
        <v>1</v>
      </c>
      <c r="N64" s="154">
        <f>M64*$L$23*1.5</f>
        <v>58554.254999999997</v>
      </c>
      <c r="O64" s="153">
        <v>1</v>
      </c>
      <c r="P64" s="154">
        <f>O64*$L$23</f>
        <v>39036.17</v>
      </c>
      <c r="Q64" s="153">
        <v>1</v>
      </c>
      <c r="R64" s="154">
        <f>Q64*$L$23</f>
        <v>39036.17</v>
      </c>
      <c r="S64" s="153">
        <v>1</v>
      </c>
      <c r="T64" s="154">
        <f>S64*$L$23</f>
        <v>39036.17</v>
      </c>
      <c r="U64" s="153">
        <v>1</v>
      </c>
      <c r="V64" s="154">
        <f>U64*$L$23</f>
        <v>39036.17</v>
      </c>
      <c r="W64" s="153">
        <v>1</v>
      </c>
      <c r="X64" s="154">
        <f>W64*$L$23</f>
        <v>39036.17</v>
      </c>
      <c r="Y64" s="153">
        <v>1</v>
      </c>
      <c r="Z64" s="154">
        <f>Y64*$L$23*1.5</f>
        <v>58554.254999999997</v>
      </c>
      <c r="AA64" s="270">
        <f t="shared" si="4"/>
        <v>507470.2099999999</v>
      </c>
    </row>
    <row r="65" spans="2:29" x14ac:dyDescent="0.25">
      <c r="B65" s="271"/>
      <c r="C65" s="153">
        <v>2</v>
      </c>
      <c r="D65" s="154">
        <f>C65*$L$26</f>
        <v>78072.34</v>
      </c>
      <c r="E65" s="153">
        <v>2</v>
      </c>
      <c r="F65" s="154">
        <f>E65*$L$26</f>
        <v>78072.34</v>
      </c>
      <c r="G65" s="153">
        <v>2</v>
      </c>
      <c r="H65" s="154">
        <f>G65*$L$26</f>
        <v>78072.34</v>
      </c>
      <c r="I65" s="153">
        <v>2</v>
      </c>
      <c r="J65" s="154">
        <f>I65*$L$26</f>
        <v>78072.34</v>
      </c>
      <c r="K65" s="153">
        <v>2</v>
      </c>
      <c r="L65" s="154">
        <f>K65*$L$26</f>
        <v>78072.34</v>
      </c>
      <c r="M65" s="153">
        <v>2</v>
      </c>
      <c r="N65" s="154">
        <f>M65*$L$26*1.5</f>
        <v>117108.51</v>
      </c>
      <c r="O65" s="153">
        <v>2</v>
      </c>
      <c r="P65" s="154">
        <f>O65*$L$26</f>
        <v>78072.34</v>
      </c>
      <c r="Q65" s="153">
        <v>2</v>
      </c>
      <c r="R65" s="154">
        <f>Q65*$L$26</f>
        <v>78072.34</v>
      </c>
      <c r="S65" s="153">
        <v>2</v>
      </c>
      <c r="T65" s="154">
        <f>S65*$L$26</f>
        <v>78072.34</v>
      </c>
      <c r="U65" s="153">
        <v>2</v>
      </c>
      <c r="V65" s="154">
        <f>U65*$L$26</f>
        <v>78072.34</v>
      </c>
      <c r="W65" s="153">
        <v>2</v>
      </c>
      <c r="X65" s="154">
        <f>W65*$L$26</f>
        <v>78072.34</v>
      </c>
      <c r="Y65" s="153">
        <v>2</v>
      </c>
      <c r="Z65" s="154">
        <f>Y65*$L$26*1.5</f>
        <v>117108.51</v>
      </c>
      <c r="AA65" s="270">
        <f t="shared" si="4"/>
        <v>1014940.4199999998</v>
      </c>
    </row>
    <row r="66" spans="2:29" x14ac:dyDescent="0.25">
      <c r="B66" s="271"/>
      <c r="C66" s="153">
        <v>2</v>
      </c>
      <c r="D66" s="154">
        <f>C66*$L$24</f>
        <v>78072.34</v>
      </c>
      <c r="E66" s="153">
        <v>2</v>
      </c>
      <c r="F66" s="154">
        <f>E66*$L$24</f>
        <v>78072.34</v>
      </c>
      <c r="G66" s="153">
        <v>2</v>
      </c>
      <c r="H66" s="154">
        <f>G66*$L$24</f>
        <v>78072.34</v>
      </c>
      <c r="I66" s="153">
        <v>2</v>
      </c>
      <c r="J66" s="154">
        <f>I66*$L$24</f>
        <v>78072.34</v>
      </c>
      <c r="K66" s="153">
        <v>2</v>
      </c>
      <c r="L66" s="154">
        <f>K66*$L$24</f>
        <v>78072.34</v>
      </c>
      <c r="M66" s="153">
        <v>2</v>
      </c>
      <c r="N66" s="154">
        <f>M66*$L$24*1.5</f>
        <v>117108.51</v>
      </c>
      <c r="O66" s="153">
        <v>2</v>
      </c>
      <c r="P66" s="154">
        <f>O66*$L$24</f>
        <v>78072.34</v>
      </c>
      <c r="Q66" s="153">
        <v>2</v>
      </c>
      <c r="R66" s="154">
        <f>Q66*$L$24</f>
        <v>78072.34</v>
      </c>
      <c r="S66" s="153">
        <v>2</v>
      </c>
      <c r="T66" s="154">
        <f>S66*$L$24</f>
        <v>78072.34</v>
      </c>
      <c r="U66" s="153">
        <v>2</v>
      </c>
      <c r="V66" s="154">
        <f>U66*$L$24</f>
        <v>78072.34</v>
      </c>
      <c r="W66" s="153">
        <v>2</v>
      </c>
      <c r="X66" s="154">
        <f>W66*$L$24</f>
        <v>78072.34</v>
      </c>
      <c r="Y66" s="153">
        <v>2</v>
      </c>
      <c r="Z66" s="154">
        <f>Y66*$L$24*1.5</f>
        <v>117108.51</v>
      </c>
      <c r="AA66" s="270">
        <f t="shared" si="4"/>
        <v>1014940.4199999998</v>
      </c>
    </row>
    <row r="67" spans="2:29" x14ac:dyDescent="0.25">
      <c r="B67" s="269"/>
      <c r="C67" s="153">
        <v>1</v>
      </c>
      <c r="D67" s="154">
        <f>C67*$L$25</f>
        <v>19527.37</v>
      </c>
      <c r="E67" s="153">
        <v>1</v>
      </c>
      <c r="F67" s="154">
        <f>E67*$L$25</f>
        <v>19527.37</v>
      </c>
      <c r="G67" s="153">
        <v>1</v>
      </c>
      <c r="H67" s="154">
        <f>G67*$L$25</f>
        <v>19527.37</v>
      </c>
      <c r="I67" s="153">
        <v>1</v>
      </c>
      <c r="J67" s="154">
        <f>I67*$L$25</f>
        <v>19527.37</v>
      </c>
      <c r="K67" s="153">
        <v>1</v>
      </c>
      <c r="L67" s="154">
        <f>K67*$L$25</f>
        <v>19527.37</v>
      </c>
      <c r="M67" s="153">
        <v>1</v>
      </c>
      <c r="N67" s="154">
        <f>M67*$L$25*1.5</f>
        <v>29291.055</v>
      </c>
      <c r="O67" s="153">
        <v>1</v>
      </c>
      <c r="P67" s="154">
        <f>O67*$L$25</f>
        <v>19527.37</v>
      </c>
      <c r="Q67" s="153">
        <v>1</v>
      </c>
      <c r="R67" s="154">
        <f>Q67*$L$25</f>
        <v>19527.37</v>
      </c>
      <c r="S67" s="153">
        <v>1</v>
      </c>
      <c r="T67" s="154">
        <f>S67*$L$25</f>
        <v>19527.37</v>
      </c>
      <c r="U67" s="153">
        <v>1</v>
      </c>
      <c r="V67" s="154">
        <f>U67*$L$25</f>
        <v>19527.37</v>
      </c>
      <c r="W67" s="153">
        <v>1</v>
      </c>
      <c r="X67" s="154">
        <f>W67*$L$25</f>
        <v>19527.37</v>
      </c>
      <c r="Y67" s="153">
        <v>1</v>
      </c>
      <c r="Z67" s="154">
        <f>Y67*$L$25*1.5</f>
        <v>29291.055</v>
      </c>
      <c r="AA67" s="270">
        <f t="shared" si="4"/>
        <v>253855.80999999997</v>
      </c>
    </row>
    <row r="68" spans="2:29" x14ac:dyDescent="0.25">
      <c r="B68" s="269"/>
      <c r="C68" s="153">
        <v>0</v>
      </c>
      <c r="D68" s="154">
        <f>C68*D20</f>
        <v>0</v>
      </c>
      <c r="E68" s="153">
        <v>0</v>
      </c>
      <c r="F68" s="154">
        <f>E68*F20</f>
        <v>0</v>
      </c>
      <c r="G68" s="153">
        <v>0</v>
      </c>
      <c r="H68" s="154">
        <f>G68*H20</f>
        <v>0</v>
      </c>
      <c r="I68" s="153">
        <v>0</v>
      </c>
      <c r="J68" s="154">
        <f>I68*J20</f>
        <v>0</v>
      </c>
      <c r="K68" s="257">
        <v>1</v>
      </c>
      <c r="L68" s="154">
        <f>K68*$L$20</f>
        <v>63422.17</v>
      </c>
      <c r="M68" s="153">
        <v>1</v>
      </c>
      <c r="N68" s="154">
        <f>M68*$L$20*(1+2/12)</f>
        <v>73992.531666666662</v>
      </c>
      <c r="O68" s="153">
        <v>1</v>
      </c>
      <c r="P68" s="154">
        <f>O68*$L$20</f>
        <v>63422.17</v>
      </c>
      <c r="Q68" s="153">
        <v>1</v>
      </c>
      <c r="R68" s="154">
        <f>Q68*$L$20</f>
        <v>63422.17</v>
      </c>
      <c r="S68" s="153">
        <v>1</v>
      </c>
      <c r="T68" s="154">
        <f>S68*$L$20</f>
        <v>63422.17</v>
      </c>
      <c r="U68" s="153">
        <v>1</v>
      </c>
      <c r="V68" s="154">
        <f>U68*$L$20</f>
        <v>63422.17</v>
      </c>
      <c r="W68" s="153">
        <v>1</v>
      </c>
      <c r="X68" s="154">
        <f>W68*$L$20</f>
        <v>63422.17</v>
      </c>
      <c r="Y68" s="153">
        <v>1</v>
      </c>
      <c r="Z68" s="154">
        <f>Y68*$L$20*(1+6/12)</f>
        <v>95133.255000000005</v>
      </c>
      <c r="AA68" s="270">
        <f t="shared" si="4"/>
        <v>549658.80666666664</v>
      </c>
    </row>
    <row r="69" spans="2:29" ht="15.75" x14ac:dyDescent="0.25">
      <c r="B69" s="276" t="s">
        <v>175</v>
      </c>
      <c r="C69" s="32">
        <f t="shared" ref="C69:Z69" si="5">SUM(C58:C68)</f>
        <v>12</v>
      </c>
      <c r="D69" s="256">
        <f t="shared" si="5"/>
        <v>607434.23999999987</v>
      </c>
      <c r="E69" s="32">
        <f t="shared" si="5"/>
        <v>12</v>
      </c>
      <c r="F69" s="256">
        <f t="shared" si="5"/>
        <v>607434.23999999987</v>
      </c>
      <c r="G69" s="32">
        <f t="shared" si="5"/>
        <v>12</v>
      </c>
      <c r="H69" s="256">
        <f t="shared" si="5"/>
        <v>607434.23999999987</v>
      </c>
      <c r="I69" s="32">
        <f t="shared" si="5"/>
        <v>12</v>
      </c>
      <c r="J69" s="256">
        <f t="shared" si="5"/>
        <v>607434.23999999987</v>
      </c>
      <c r="K69" s="32">
        <f t="shared" si="5"/>
        <v>13</v>
      </c>
      <c r="L69" s="256">
        <f t="shared" si="5"/>
        <v>670856.40999999992</v>
      </c>
      <c r="M69" s="32">
        <f t="shared" si="5"/>
        <v>13</v>
      </c>
      <c r="N69" s="256">
        <f t="shared" si="5"/>
        <v>985143.89166666672</v>
      </c>
      <c r="O69" s="32">
        <f t="shared" si="5"/>
        <v>13</v>
      </c>
      <c r="P69" s="256">
        <f t="shared" si="5"/>
        <v>670856.40999999992</v>
      </c>
      <c r="Q69" s="32">
        <f t="shared" si="5"/>
        <v>13</v>
      </c>
      <c r="R69" s="256">
        <f t="shared" si="5"/>
        <v>670856.40999999992</v>
      </c>
      <c r="S69" s="32">
        <f t="shared" si="5"/>
        <v>13</v>
      </c>
      <c r="T69" s="256">
        <f t="shared" si="5"/>
        <v>670856.40999999992</v>
      </c>
      <c r="U69" s="32">
        <f t="shared" si="5"/>
        <v>13</v>
      </c>
      <c r="V69" s="256">
        <f t="shared" si="5"/>
        <v>670856.40999999992</v>
      </c>
      <c r="W69" s="32">
        <f t="shared" si="5"/>
        <v>13</v>
      </c>
      <c r="X69" s="256">
        <f t="shared" si="5"/>
        <v>670856.40999999992</v>
      </c>
      <c r="Y69" s="32">
        <f t="shared" si="5"/>
        <v>13</v>
      </c>
      <c r="Z69" s="256">
        <f t="shared" si="5"/>
        <v>1006284.6150000001</v>
      </c>
      <c r="AA69" s="277">
        <f>Z69+X69+V69+T69+R69+P69+N69+L69+J69+H69+F69+D69</f>
        <v>8446303.9266666677</v>
      </c>
    </row>
    <row r="70" spans="2:29" ht="15.75" thickBot="1" x14ac:dyDescent="0.3">
      <c r="B70" s="278"/>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80"/>
    </row>
    <row r="71" spans="2:29" ht="15.75" thickBot="1" x14ac:dyDescent="0.3"/>
    <row r="72" spans="2:29" ht="27" thickBot="1" x14ac:dyDescent="0.45">
      <c r="B72" s="920" t="s">
        <v>177</v>
      </c>
      <c r="C72" s="921"/>
      <c r="D72" s="921"/>
      <c r="E72" s="921"/>
      <c r="F72" s="921"/>
      <c r="G72" s="921"/>
      <c r="H72" s="921"/>
      <c r="I72" s="921"/>
      <c r="J72" s="921"/>
      <c r="K72" s="921"/>
      <c r="L72" s="921"/>
      <c r="M72" s="921"/>
      <c r="N72" s="921"/>
      <c r="O72" s="921"/>
      <c r="P72" s="921"/>
      <c r="Q72" s="921"/>
      <c r="R72" s="921"/>
      <c r="S72" s="921"/>
      <c r="T72" s="921"/>
      <c r="U72" s="921"/>
      <c r="V72" s="921"/>
      <c r="W72" s="921"/>
      <c r="X72" s="921"/>
      <c r="Y72" s="921"/>
      <c r="Z72" s="921"/>
      <c r="AA72" s="922"/>
    </row>
    <row r="73" spans="2:29" ht="15.75" x14ac:dyDescent="0.25">
      <c r="B73" s="933" t="s">
        <v>160</v>
      </c>
      <c r="C73" s="935" t="s">
        <v>42</v>
      </c>
      <c r="D73" s="935"/>
      <c r="E73" s="935" t="s">
        <v>43</v>
      </c>
      <c r="F73" s="935"/>
      <c r="G73" s="935" t="s">
        <v>44</v>
      </c>
      <c r="H73" s="935"/>
      <c r="I73" s="935" t="s">
        <v>45</v>
      </c>
      <c r="J73" s="935"/>
      <c r="K73" s="935" t="s">
        <v>46</v>
      </c>
      <c r="L73" s="935"/>
      <c r="M73" s="935" t="s">
        <v>172</v>
      </c>
      <c r="N73" s="935"/>
      <c r="O73" s="935" t="s">
        <v>48</v>
      </c>
      <c r="P73" s="935"/>
      <c r="Q73" s="935" t="s">
        <v>49</v>
      </c>
      <c r="R73" s="935"/>
      <c r="S73" s="935" t="s">
        <v>50</v>
      </c>
      <c r="T73" s="935"/>
      <c r="U73" s="935" t="s">
        <v>51</v>
      </c>
      <c r="V73" s="935"/>
      <c r="W73" s="935" t="s">
        <v>52</v>
      </c>
      <c r="X73" s="935"/>
      <c r="Y73" s="935" t="s">
        <v>173</v>
      </c>
      <c r="Z73" s="935"/>
      <c r="AA73" s="936" t="s">
        <v>117</v>
      </c>
    </row>
    <row r="74" spans="2:29" ht="15.75" x14ac:dyDescent="0.25">
      <c r="B74" s="934"/>
      <c r="C74" s="255" t="s">
        <v>57</v>
      </c>
      <c r="D74" s="255" t="s">
        <v>75</v>
      </c>
      <c r="E74" s="255" t="s">
        <v>57</v>
      </c>
      <c r="F74" s="255" t="s">
        <v>75</v>
      </c>
      <c r="G74" s="255" t="s">
        <v>57</v>
      </c>
      <c r="H74" s="255" t="s">
        <v>75</v>
      </c>
      <c r="I74" s="255" t="s">
        <v>57</v>
      </c>
      <c r="J74" s="255" t="s">
        <v>75</v>
      </c>
      <c r="K74" s="255" t="s">
        <v>57</v>
      </c>
      <c r="L74" s="255" t="s">
        <v>75</v>
      </c>
      <c r="M74" s="255" t="s">
        <v>57</v>
      </c>
      <c r="N74" s="255" t="s">
        <v>75</v>
      </c>
      <c r="O74" s="255" t="s">
        <v>57</v>
      </c>
      <c r="P74" s="255" t="s">
        <v>75</v>
      </c>
      <c r="Q74" s="255" t="s">
        <v>57</v>
      </c>
      <c r="R74" s="255" t="s">
        <v>75</v>
      </c>
      <c r="S74" s="255" t="s">
        <v>57</v>
      </c>
      <c r="T74" s="255" t="s">
        <v>75</v>
      </c>
      <c r="U74" s="255" t="s">
        <v>57</v>
      </c>
      <c r="V74" s="255" t="s">
        <v>75</v>
      </c>
      <c r="W74" s="255" t="s">
        <v>57</v>
      </c>
      <c r="X74" s="255" t="s">
        <v>75</v>
      </c>
      <c r="Y74" s="255" t="s">
        <v>57</v>
      </c>
      <c r="Z74" s="255" t="s">
        <v>75</v>
      </c>
      <c r="AA74" s="937"/>
    </row>
    <row r="75" spans="2:29" x14ac:dyDescent="0.25">
      <c r="B75" s="269"/>
      <c r="C75" s="153">
        <v>1</v>
      </c>
      <c r="D75" s="154">
        <f>C75*$L$14</f>
        <v>97562.57</v>
      </c>
      <c r="E75" s="153">
        <v>1</v>
      </c>
      <c r="F75" s="154">
        <f>E75*$L$14</f>
        <v>97562.57</v>
      </c>
      <c r="G75" s="153">
        <v>1</v>
      </c>
      <c r="H75" s="154">
        <f>G75*$L$14</f>
        <v>97562.57</v>
      </c>
      <c r="I75" s="153">
        <v>1</v>
      </c>
      <c r="J75" s="154">
        <f>I75*$L$14</f>
        <v>97562.57</v>
      </c>
      <c r="K75" s="153">
        <v>1</v>
      </c>
      <c r="L75" s="154">
        <f>K75*$L$14</f>
        <v>97562.57</v>
      </c>
      <c r="M75" s="153">
        <v>1</v>
      </c>
      <c r="N75" s="154">
        <f>M75*$L$14*1.5</f>
        <v>146343.85500000001</v>
      </c>
      <c r="O75" s="153">
        <v>1</v>
      </c>
      <c r="P75" s="154">
        <f>O75*$L$14</f>
        <v>97562.57</v>
      </c>
      <c r="Q75" s="153">
        <v>1</v>
      </c>
      <c r="R75" s="154">
        <f>Q75*$L$14</f>
        <v>97562.57</v>
      </c>
      <c r="S75" s="153">
        <v>1</v>
      </c>
      <c r="T75" s="154">
        <f>S75*$L$14</f>
        <v>97562.57</v>
      </c>
      <c r="U75" s="153">
        <v>1</v>
      </c>
      <c r="V75" s="154">
        <f>U75*$L$14</f>
        <v>97562.57</v>
      </c>
      <c r="W75" s="153">
        <v>1</v>
      </c>
      <c r="X75" s="154">
        <f>W75*$L$14</f>
        <v>97562.57</v>
      </c>
      <c r="Y75" s="153">
        <v>1</v>
      </c>
      <c r="Z75" s="154">
        <f>Y75*$L$14*1.5</f>
        <v>146343.85500000001</v>
      </c>
      <c r="AA75" s="270">
        <f>D75+F75+H75+J75+L75+N75+P75+R75+T75+V75+X75+Z75</f>
        <v>1268313.4100000004</v>
      </c>
    </row>
    <row r="76" spans="2:29" x14ac:dyDescent="0.25">
      <c r="B76" s="271"/>
      <c r="C76" s="153">
        <v>1</v>
      </c>
      <c r="D76" s="154">
        <f>C76*$L$15</f>
        <v>73176.570000000007</v>
      </c>
      <c r="E76" s="153">
        <v>1</v>
      </c>
      <c r="F76" s="154">
        <f>E76*$L$15</f>
        <v>73176.570000000007</v>
      </c>
      <c r="G76" s="153">
        <v>1</v>
      </c>
      <c r="H76" s="154">
        <f>G76*$L$15</f>
        <v>73176.570000000007</v>
      </c>
      <c r="I76" s="153">
        <v>1</v>
      </c>
      <c r="J76" s="154">
        <f>I76*$L$15</f>
        <v>73176.570000000007</v>
      </c>
      <c r="K76" s="153">
        <v>1</v>
      </c>
      <c r="L76" s="154">
        <f>K76*$L$15</f>
        <v>73176.570000000007</v>
      </c>
      <c r="M76" s="153">
        <v>1</v>
      </c>
      <c r="N76" s="154">
        <f>M76*$L$15*1.5</f>
        <v>109764.85500000001</v>
      </c>
      <c r="O76" s="153">
        <v>1</v>
      </c>
      <c r="P76" s="154">
        <f>O76*$L$15</f>
        <v>73176.570000000007</v>
      </c>
      <c r="Q76" s="153">
        <v>1</v>
      </c>
      <c r="R76" s="154">
        <f>Q76*$L$15</f>
        <v>73176.570000000007</v>
      </c>
      <c r="S76" s="153">
        <v>1</v>
      </c>
      <c r="T76" s="154">
        <f>S76*$L$15</f>
        <v>73176.570000000007</v>
      </c>
      <c r="U76" s="153">
        <v>1</v>
      </c>
      <c r="V76" s="154">
        <f>U76*$L$15</f>
        <v>73176.570000000007</v>
      </c>
      <c r="W76" s="153">
        <v>1</v>
      </c>
      <c r="X76" s="154">
        <f>W76*$L$15</f>
        <v>73176.570000000007</v>
      </c>
      <c r="Y76" s="153">
        <v>1</v>
      </c>
      <c r="Z76" s="154">
        <f>Y76*$L$15*1.5</f>
        <v>109764.85500000001</v>
      </c>
      <c r="AA76" s="270">
        <f t="shared" ref="AA76:AA85" si="6">D76+F76+H76+J76+L76+N76+P76+R76+T76+V76+X76+Z76</f>
        <v>951295.41000000038</v>
      </c>
    </row>
    <row r="77" spans="2:29" x14ac:dyDescent="0.25">
      <c r="B77" s="271"/>
      <c r="C77" s="153">
        <v>1</v>
      </c>
      <c r="D77" s="154">
        <f>C77*$L$27</f>
        <v>63422.17</v>
      </c>
      <c r="E77" s="153">
        <v>1</v>
      </c>
      <c r="F77" s="154">
        <f>E77*$L$27</f>
        <v>63422.17</v>
      </c>
      <c r="G77" s="153">
        <v>1</v>
      </c>
      <c r="H77" s="154">
        <f>G77*$L$27</f>
        <v>63422.17</v>
      </c>
      <c r="I77" s="153">
        <v>1</v>
      </c>
      <c r="J77" s="154">
        <f>I77*$L$27</f>
        <v>63422.17</v>
      </c>
      <c r="K77" s="153">
        <v>1</v>
      </c>
      <c r="L77" s="154">
        <f>K77*$L$27</f>
        <v>63422.17</v>
      </c>
      <c r="M77" s="153">
        <v>1</v>
      </c>
      <c r="N77" s="154">
        <f>M77*$L$27*1.5</f>
        <v>95133.255000000005</v>
      </c>
      <c r="O77" s="153">
        <v>1</v>
      </c>
      <c r="P77" s="154">
        <f>O77*$L$27</f>
        <v>63422.17</v>
      </c>
      <c r="Q77" s="153">
        <v>1</v>
      </c>
      <c r="R77" s="154">
        <f>Q77*$L$27</f>
        <v>63422.17</v>
      </c>
      <c r="S77" s="153">
        <v>1</v>
      </c>
      <c r="T77" s="154">
        <f>S77*$L$27</f>
        <v>63422.17</v>
      </c>
      <c r="U77" s="153">
        <v>1</v>
      </c>
      <c r="V77" s="154">
        <f>U77*$L$27</f>
        <v>63422.17</v>
      </c>
      <c r="W77" s="153">
        <v>1</v>
      </c>
      <c r="X77" s="154">
        <f>W77*$L$27</f>
        <v>63422.17</v>
      </c>
      <c r="Y77" s="153">
        <v>1</v>
      </c>
      <c r="Z77" s="154">
        <f>Y77*$L$27*1.5</f>
        <v>95133.255000000005</v>
      </c>
      <c r="AA77" s="270">
        <f t="shared" si="6"/>
        <v>824488.21000000008</v>
      </c>
    </row>
    <row r="78" spans="2:29" x14ac:dyDescent="0.25">
      <c r="B78" s="271"/>
      <c r="C78" s="153">
        <v>1</v>
      </c>
      <c r="D78" s="154">
        <f>C78*$L$28</f>
        <v>51229.17</v>
      </c>
      <c r="E78" s="153">
        <v>1</v>
      </c>
      <c r="F78" s="154">
        <f>E78*$L$28</f>
        <v>51229.17</v>
      </c>
      <c r="G78" s="153">
        <v>1</v>
      </c>
      <c r="H78" s="154">
        <f>G78*$L$28</f>
        <v>51229.17</v>
      </c>
      <c r="I78" s="153">
        <v>1</v>
      </c>
      <c r="J78" s="154">
        <f>I78*$L$28</f>
        <v>51229.17</v>
      </c>
      <c r="K78" s="153">
        <v>1</v>
      </c>
      <c r="L78" s="154">
        <f>K78*$L$28</f>
        <v>51229.17</v>
      </c>
      <c r="M78" s="153">
        <v>1</v>
      </c>
      <c r="N78" s="154">
        <f>$L$28*M78*(1+6/12)</f>
        <v>76843.755000000005</v>
      </c>
      <c r="O78" s="153">
        <v>1</v>
      </c>
      <c r="P78" s="154">
        <f>O78*$L$28</f>
        <v>51229.17</v>
      </c>
      <c r="Q78" s="153">
        <v>1</v>
      </c>
      <c r="R78" s="154">
        <f>Q78*$L$28</f>
        <v>51229.17</v>
      </c>
      <c r="S78" s="153">
        <v>1</v>
      </c>
      <c r="T78" s="154">
        <f>S78*$L$28</f>
        <v>51229.17</v>
      </c>
      <c r="U78" s="153">
        <v>1</v>
      </c>
      <c r="V78" s="154">
        <f>U78*$L$28</f>
        <v>51229.17</v>
      </c>
      <c r="W78" s="153">
        <v>1</v>
      </c>
      <c r="X78" s="154">
        <f>$L$28*W78</f>
        <v>51229.17</v>
      </c>
      <c r="Y78" s="153">
        <v>1</v>
      </c>
      <c r="Z78" s="154">
        <f>$L$28*Y78*(1+6/12)</f>
        <v>76843.755000000005</v>
      </c>
      <c r="AA78" s="270">
        <f t="shared" si="6"/>
        <v>665979.21</v>
      </c>
    </row>
    <row r="79" spans="2:29" x14ac:dyDescent="0.25">
      <c r="B79" s="271"/>
      <c r="C79" s="153">
        <v>1</v>
      </c>
      <c r="D79" s="154">
        <f>C79*$L$30</f>
        <v>58544.97</v>
      </c>
      <c r="E79" s="153">
        <v>1</v>
      </c>
      <c r="F79" s="154">
        <f>E79*$L$30</f>
        <v>58544.97</v>
      </c>
      <c r="G79" s="153">
        <v>1</v>
      </c>
      <c r="H79" s="154">
        <f>G79*$L$30</f>
        <v>58544.97</v>
      </c>
      <c r="I79" s="153">
        <v>1</v>
      </c>
      <c r="J79" s="154">
        <f>I79*$L$30</f>
        <v>58544.97</v>
      </c>
      <c r="K79" s="153">
        <v>1</v>
      </c>
      <c r="L79" s="154">
        <f>K79*$L$30</f>
        <v>58544.97</v>
      </c>
      <c r="M79" s="153">
        <v>1</v>
      </c>
      <c r="N79" s="154">
        <f>M79*$L$30*1.5</f>
        <v>87817.455000000002</v>
      </c>
      <c r="O79" s="153">
        <v>1</v>
      </c>
      <c r="P79" s="154">
        <f>O79*$L$30</f>
        <v>58544.97</v>
      </c>
      <c r="Q79" s="153">
        <v>1</v>
      </c>
      <c r="R79" s="154">
        <f>Q79*$L$30</f>
        <v>58544.97</v>
      </c>
      <c r="S79" s="153">
        <v>1</v>
      </c>
      <c r="T79" s="154">
        <f>S79*$L$30</f>
        <v>58544.97</v>
      </c>
      <c r="U79" s="153">
        <v>1</v>
      </c>
      <c r="V79" s="154">
        <f>U79*$L$30</f>
        <v>58544.97</v>
      </c>
      <c r="W79" s="153">
        <v>1</v>
      </c>
      <c r="X79" s="154">
        <f>W79*$L$30</f>
        <v>58544.97</v>
      </c>
      <c r="Y79" s="153">
        <v>1</v>
      </c>
      <c r="Z79" s="154">
        <f>Y79*$L$30*1.5</f>
        <v>87817.455000000002</v>
      </c>
      <c r="AA79" s="270">
        <f t="shared" si="6"/>
        <v>761084.60999999987</v>
      </c>
    </row>
    <row r="80" spans="2:29" x14ac:dyDescent="0.25">
      <c r="B80" s="271"/>
      <c r="C80" s="257">
        <v>2</v>
      </c>
      <c r="D80" s="154">
        <f>C80*$L$31</f>
        <v>97581.14</v>
      </c>
      <c r="E80" s="153">
        <v>2</v>
      </c>
      <c r="F80" s="154">
        <f>E80*$L$31</f>
        <v>97581.14</v>
      </c>
      <c r="G80" s="153">
        <v>2</v>
      </c>
      <c r="H80" s="154">
        <f>G80*$L$31</f>
        <v>97581.14</v>
      </c>
      <c r="I80" s="153">
        <v>2</v>
      </c>
      <c r="J80" s="154">
        <f>I80*$L$31</f>
        <v>97581.14</v>
      </c>
      <c r="K80" s="153">
        <v>2</v>
      </c>
      <c r="L80" s="154">
        <f>K80*$L$31</f>
        <v>97581.14</v>
      </c>
      <c r="M80" s="153">
        <v>2</v>
      </c>
      <c r="N80" s="154">
        <f>M80*$L$31*1.5</f>
        <v>146371.71</v>
      </c>
      <c r="O80" s="153">
        <v>2</v>
      </c>
      <c r="P80" s="154">
        <f>O80*$L$31</f>
        <v>97581.14</v>
      </c>
      <c r="Q80" s="153">
        <v>2</v>
      </c>
      <c r="R80" s="154">
        <f>Q80*$L$31</f>
        <v>97581.14</v>
      </c>
      <c r="S80" s="153">
        <v>2</v>
      </c>
      <c r="T80" s="154">
        <f>S80*$L$31</f>
        <v>97581.14</v>
      </c>
      <c r="U80" s="153">
        <v>2</v>
      </c>
      <c r="V80" s="154">
        <f>U80*$L$31</f>
        <v>97581.14</v>
      </c>
      <c r="W80" s="153">
        <v>2</v>
      </c>
      <c r="X80" s="154">
        <f>W80*$L$31</f>
        <v>97581.14</v>
      </c>
      <c r="Y80" s="153">
        <v>2</v>
      </c>
      <c r="Z80" s="154">
        <f>Y80*$L$31*1.5</f>
        <v>146371.71</v>
      </c>
      <c r="AA80" s="270">
        <f t="shared" si="6"/>
        <v>1268554.82</v>
      </c>
      <c r="AC80" s="33"/>
    </row>
    <row r="81" spans="2:27" x14ac:dyDescent="0.25">
      <c r="B81" s="271"/>
      <c r="C81" s="153">
        <v>1</v>
      </c>
      <c r="D81" s="154">
        <f>C81*$L$23</f>
        <v>39036.17</v>
      </c>
      <c r="E81" s="153">
        <v>1</v>
      </c>
      <c r="F81" s="154">
        <f>E81*$L$23</f>
        <v>39036.17</v>
      </c>
      <c r="G81" s="153">
        <v>1</v>
      </c>
      <c r="H81" s="154">
        <f>G81*$L$23</f>
        <v>39036.17</v>
      </c>
      <c r="I81" s="153">
        <v>1</v>
      </c>
      <c r="J81" s="154">
        <f>I81*$L$23</f>
        <v>39036.17</v>
      </c>
      <c r="K81" s="153">
        <v>1</v>
      </c>
      <c r="L81" s="154">
        <f>K81*$L$23</f>
        <v>39036.17</v>
      </c>
      <c r="M81" s="153">
        <v>1</v>
      </c>
      <c r="N81" s="154">
        <f>M81*$L$23*1.5</f>
        <v>58554.254999999997</v>
      </c>
      <c r="O81" s="153">
        <v>1</v>
      </c>
      <c r="P81" s="154">
        <f>O81*$L$23</f>
        <v>39036.17</v>
      </c>
      <c r="Q81" s="153">
        <v>1</v>
      </c>
      <c r="R81" s="154">
        <f>Q81*$L$23</f>
        <v>39036.17</v>
      </c>
      <c r="S81" s="153">
        <v>1</v>
      </c>
      <c r="T81" s="154">
        <f>S81*$L$23</f>
        <v>39036.17</v>
      </c>
      <c r="U81" s="153">
        <v>1</v>
      </c>
      <c r="V81" s="154">
        <f>U81*$L$23</f>
        <v>39036.17</v>
      </c>
      <c r="W81" s="153">
        <v>1</v>
      </c>
      <c r="X81" s="154">
        <f>W81*$L$23</f>
        <v>39036.17</v>
      </c>
      <c r="Y81" s="153">
        <v>1</v>
      </c>
      <c r="Z81" s="154">
        <f>Y81*$L$23*1.5</f>
        <v>58554.254999999997</v>
      </c>
      <c r="AA81" s="270">
        <f t="shared" si="6"/>
        <v>507470.2099999999</v>
      </c>
    </row>
    <row r="82" spans="2:27" x14ac:dyDescent="0.25">
      <c r="B82" s="271"/>
      <c r="C82" s="153">
        <v>2</v>
      </c>
      <c r="D82" s="154">
        <f>C82*$L$26</f>
        <v>78072.34</v>
      </c>
      <c r="E82" s="153">
        <v>2</v>
      </c>
      <c r="F82" s="154">
        <f>E82*$L$26</f>
        <v>78072.34</v>
      </c>
      <c r="G82" s="153">
        <v>2</v>
      </c>
      <c r="H82" s="154">
        <f>G82*$L$26</f>
        <v>78072.34</v>
      </c>
      <c r="I82" s="153">
        <v>2</v>
      </c>
      <c r="J82" s="154">
        <f>I82*$L$26</f>
        <v>78072.34</v>
      </c>
      <c r="K82" s="153">
        <v>2</v>
      </c>
      <c r="L82" s="154">
        <f>K82*$L$26</f>
        <v>78072.34</v>
      </c>
      <c r="M82" s="153">
        <v>2</v>
      </c>
      <c r="N82" s="154">
        <f>M82*$L$26*1.5</f>
        <v>117108.51</v>
      </c>
      <c r="O82" s="153">
        <v>2</v>
      </c>
      <c r="P82" s="154">
        <f>O82*$L$26</f>
        <v>78072.34</v>
      </c>
      <c r="Q82" s="153">
        <v>2</v>
      </c>
      <c r="R82" s="154">
        <f>Q82*$L$26</f>
        <v>78072.34</v>
      </c>
      <c r="S82" s="257">
        <v>3</v>
      </c>
      <c r="T82" s="154">
        <f>S82*$L$26</f>
        <v>117108.51</v>
      </c>
      <c r="U82" s="153">
        <v>3</v>
      </c>
      <c r="V82" s="154">
        <f>U82*$L$26</f>
        <v>117108.51</v>
      </c>
      <c r="W82" s="153">
        <v>3</v>
      </c>
      <c r="X82" s="154">
        <f>W82*$L$26</f>
        <v>117108.51</v>
      </c>
      <c r="Y82" s="153">
        <v>3</v>
      </c>
      <c r="Z82" s="154">
        <f>Y82*$L$26*1.5- (2/6)*$L$26</f>
        <v>162650.70833333331</v>
      </c>
      <c r="AA82" s="270">
        <f t="shared" si="6"/>
        <v>1177591.1283333332</v>
      </c>
    </row>
    <row r="83" spans="2:27" x14ac:dyDescent="0.25">
      <c r="B83" s="271"/>
      <c r="C83" s="153">
        <v>2</v>
      </c>
      <c r="D83" s="154">
        <f>C83*$L$24</f>
        <v>78072.34</v>
      </c>
      <c r="E83" s="153">
        <v>2</v>
      </c>
      <c r="F83" s="154">
        <f>E83*$L$24</f>
        <v>78072.34</v>
      </c>
      <c r="G83" s="153">
        <v>2</v>
      </c>
      <c r="H83" s="154">
        <f>G83*$L$24</f>
        <v>78072.34</v>
      </c>
      <c r="I83" s="153">
        <v>2</v>
      </c>
      <c r="J83" s="154">
        <f>I83*$L$24</f>
        <v>78072.34</v>
      </c>
      <c r="K83" s="153">
        <v>2</v>
      </c>
      <c r="L83" s="154">
        <f>K83*$L$24</f>
        <v>78072.34</v>
      </c>
      <c r="M83" s="153">
        <v>2</v>
      </c>
      <c r="N83" s="154">
        <f>M83*$L$24*1.5</f>
        <v>117108.51</v>
      </c>
      <c r="O83" s="153">
        <v>2</v>
      </c>
      <c r="P83" s="154">
        <f>O83*$L$24</f>
        <v>78072.34</v>
      </c>
      <c r="Q83" s="153">
        <v>2</v>
      </c>
      <c r="R83" s="154">
        <f>Q83*$L$24</f>
        <v>78072.34</v>
      </c>
      <c r="S83" s="257">
        <v>3</v>
      </c>
      <c r="T83" s="154">
        <f>S83*$L$24</f>
        <v>117108.51</v>
      </c>
      <c r="U83" s="153">
        <v>3</v>
      </c>
      <c r="V83" s="154">
        <f>U83*$L$24</f>
        <v>117108.51</v>
      </c>
      <c r="W83" s="153">
        <v>3</v>
      </c>
      <c r="X83" s="154">
        <f>W83*$L$24</f>
        <v>117108.51</v>
      </c>
      <c r="Y83" s="153">
        <v>3</v>
      </c>
      <c r="Z83" s="154">
        <f>Y83*$L$24*1.5 - (2/6)*$L$24</f>
        <v>162650.70833333331</v>
      </c>
      <c r="AA83" s="270">
        <f t="shared" si="6"/>
        <v>1177591.1283333332</v>
      </c>
    </row>
    <row r="84" spans="2:27" x14ac:dyDescent="0.25">
      <c r="B84" s="269"/>
      <c r="C84" s="153">
        <v>1</v>
      </c>
      <c r="D84" s="154">
        <f>C84*$L$25</f>
        <v>19527.37</v>
      </c>
      <c r="E84" s="153">
        <v>1</v>
      </c>
      <c r="F84" s="154">
        <f>E84*$L$25</f>
        <v>19527.37</v>
      </c>
      <c r="G84" s="153">
        <v>1</v>
      </c>
      <c r="H84" s="154">
        <f>G84*$L$25</f>
        <v>19527.37</v>
      </c>
      <c r="I84" s="153">
        <v>1</v>
      </c>
      <c r="J84" s="154">
        <f>I84*$L$25</f>
        <v>19527.37</v>
      </c>
      <c r="K84" s="153">
        <v>1</v>
      </c>
      <c r="L84" s="154">
        <f>K84*$L$25</f>
        <v>19527.37</v>
      </c>
      <c r="M84" s="153">
        <v>1</v>
      </c>
      <c r="N84" s="154">
        <f>M84*$L$25*1.5</f>
        <v>29291.055</v>
      </c>
      <c r="O84" s="153">
        <v>1</v>
      </c>
      <c r="P84" s="154">
        <f>O84*$L$25</f>
        <v>19527.37</v>
      </c>
      <c r="Q84" s="153">
        <v>1</v>
      </c>
      <c r="R84" s="154">
        <f>Q84*$L$25</f>
        <v>19527.37</v>
      </c>
      <c r="S84" s="153">
        <v>1</v>
      </c>
      <c r="T84" s="154">
        <f>S84*$L$25</f>
        <v>19527.37</v>
      </c>
      <c r="U84" s="153">
        <v>1</v>
      </c>
      <c r="V84" s="154">
        <f>U84*$L$25</f>
        <v>19527.37</v>
      </c>
      <c r="W84" s="153">
        <v>1</v>
      </c>
      <c r="X84" s="154">
        <f>W84*$L$25</f>
        <v>19527.37</v>
      </c>
      <c r="Y84" s="153">
        <v>1</v>
      </c>
      <c r="Z84" s="154">
        <f>Y84*$L$25*1.5</f>
        <v>29291.055</v>
      </c>
      <c r="AA84" s="270">
        <f t="shared" si="6"/>
        <v>253855.80999999997</v>
      </c>
    </row>
    <row r="85" spans="2:27" x14ac:dyDescent="0.25">
      <c r="B85" s="269"/>
      <c r="C85" s="153">
        <v>1</v>
      </c>
      <c r="D85" s="154">
        <f>C85*$L$20</f>
        <v>63422.17</v>
      </c>
      <c r="E85" s="153">
        <v>1</v>
      </c>
      <c r="F85" s="154">
        <f>E85*$L$20</f>
        <v>63422.17</v>
      </c>
      <c r="G85" s="153">
        <v>1</v>
      </c>
      <c r="H85" s="154">
        <f>G85*$L$20</f>
        <v>63422.17</v>
      </c>
      <c r="I85" s="153">
        <v>1</v>
      </c>
      <c r="J85" s="154">
        <f>I85*$L$20</f>
        <v>63422.17</v>
      </c>
      <c r="K85" s="153">
        <v>1</v>
      </c>
      <c r="L85" s="154">
        <f>K85*$L$20</f>
        <v>63422.17</v>
      </c>
      <c r="M85" s="153">
        <v>1</v>
      </c>
      <c r="N85" s="154">
        <f>M85*$L$20*(1+6/12)</f>
        <v>95133.255000000005</v>
      </c>
      <c r="O85" s="153">
        <v>1</v>
      </c>
      <c r="P85" s="154">
        <f>O85*$L$20</f>
        <v>63422.17</v>
      </c>
      <c r="Q85" s="153">
        <v>1</v>
      </c>
      <c r="R85" s="154">
        <f>Q85*$L$20</f>
        <v>63422.17</v>
      </c>
      <c r="S85" s="153">
        <v>1</v>
      </c>
      <c r="T85" s="154">
        <f>S85*$L$20</f>
        <v>63422.17</v>
      </c>
      <c r="U85" s="153">
        <v>1</v>
      </c>
      <c r="V85" s="154">
        <f>U85*$L$20</f>
        <v>63422.17</v>
      </c>
      <c r="W85" s="153">
        <v>1</v>
      </c>
      <c r="X85" s="154">
        <f>W85*$L$20</f>
        <v>63422.17</v>
      </c>
      <c r="Y85" s="153">
        <v>1</v>
      </c>
      <c r="Z85" s="154">
        <f>Y85*$L$20*(1+6/12)</f>
        <v>95133.255000000005</v>
      </c>
      <c r="AA85" s="270">
        <f t="shared" si="6"/>
        <v>824488.21000000008</v>
      </c>
    </row>
    <row r="86" spans="2:27" x14ac:dyDescent="0.25">
      <c r="B86" s="269"/>
      <c r="C86" s="153">
        <v>0</v>
      </c>
      <c r="D86" s="154">
        <f>C86*$L$29</f>
        <v>0</v>
      </c>
      <c r="E86" s="257">
        <v>1</v>
      </c>
      <c r="F86" s="154">
        <f>E86*$L$29</f>
        <v>48790.57</v>
      </c>
      <c r="G86" s="153">
        <v>1</v>
      </c>
      <c r="H86" s="154">
        <f>G86*$L$29</f>
        <v>48790.57</v>
      </c>
      <c r="I86" s="153">
        <v>1</v>
      </c>
      <c r="J86" s="154">
        <f>I86*$L$29</f>
        <v>48790.57</v>
      </c>
      <c r="K86" s="153">
        <v>1</v>
      </c>
      <c r="L86" s="154">
        <f>K86*$L$29</f>
        <v>48790.57</v>
      </c>
      <c r="M86" s="153">
        <v>1</v>
      </c>
      <c r="N86" s="154">
        <f>M86*$L$29*(1+5/12)</f>
        <v>69119.974166666667</v>
      </c>
      <c r="O86" s="153">
        <v>1</v>
      </c>
      <c r="P86" s="154">
        <f>O86*$L$29</f>
        <v>48790.57</v>
      </c>
      <c r="Q86" s="153">
        <v>1</v>
      </c>
      <c r="R86" s="154">
        <f>Q86*$L$29</f>
        <v>48790.57</v>
      </c>
      <c r="S86" s="153">
        <v>1</v>
      </c>
      <c r="T86" s="154">
        <f>S86*$L$29</f>
        <v>48790.57</v>
      </c>
      <c r="U86" s="153">
        <v>1</v>
      </c>
      <c r="V86" s="154">
        <f>U86*$L$29</f>
        <v>48790.57</v>
      </c>
      <c r="W86" s="153">
        <v>1</v>
      </c>
      <c r="X86" s="154">
        <f>W86*$L$29</f>
        <v>48790.57</v>
      </c>
      <c r="Y86" s="153">
        <v>1</v>
      </c>
      <c r="Z86" s="154">
        <f>Y86*$L$29*(1+6/12)</f>
        <v>73185.854999999996</v>
      </c>
      <c r="AA86" s="270">
        <f>D86+F86+H86+J86+L86+N86+P86+R86+T86+V86+X86+Z86</f>
        <v>581420.95916666673</v>
      </c>
    </row>
    <row r="87" spans="2:27" ht="16.5" thickBot="1" x14ac:dyDescent="0.3">
      <c r="B87" s="272" t="s">
        <v>175</v>
      </c>
      <c r="C87" s="273">
        <f>SUM(C75:C86)</f>
        <v>14</v>
      </c>
      <c r="D87" s="274">
        <f t="shared" ref="D87:Z87" si="7">SUM(D75:D86)</f>
        <v>719646.98</v>
      </c>
      <c r="E87" s="273">
        <f t="shared" si="7"/>
        <v>15</v>
      </c>
      <c r="F87" s="274">
        <f t="shared" si="7"/>
        <v>768437.54999999993</v>
      </c>
      <c r="G87" s="273">
        <f t="shared" si="7"/>
        <v>15</v>
      </c>
      <c r="H87" s="274">
        <f t="shared" si="7"/>
        <v>768437.54999999993</v>
      </c>
      <c r="I87" s="273">
        <f t="shared" si="7"/>
        <v>15</v>
      </c>
      <c r="J87" s="274">
        <f t="shared" si="7"/>
        <v>768437.54999999993</v>
      </c>
      <c r="K87" s="273">
        <f t="shared" si="7"/>
        <v>15</v>
      </c>
      <c r="L87" s="274">
        <f t="shared" si="7"/>
        <v>768437.54999999993</v>
      </c>
      <c r="M87" s="273">
        <f t="shared" si="7"/>
        <v>15</v>
      </c>
      <c r="N87" s="274">
        <f t="shared" si="7"/>
        <v>1148590.4441666668</v>
      </c>
      <c r="O87" s="273">
        <f t="shared" si="7"/>
        <v>15</v>
      </c>
      <c r="P87" s="274">
        <f t="shared" si="7"/>
        <v>768437.54999999993</v>
      </c>
      <c r="Q87" s="273">
        <f t="shared" si="7"/>
        <v>15</v>
      </c>
      <c r="R87" s="274">
        <f t="shared" si="7"/>
        <v>768437.54999999993</v>
      </c>
      <c r="S87" s="273">
        <f t="shared" si="7"/>
        <v>17</v>
      </c>
      <c r="T87" s="274">
        <f t="shared" si="7"/>
        <v>846509.8899999999</v>
      </c>
      <c r="U87" s="273">
        <f t="shared" si="7"/>
        <v>17</v>
      </c>
      <c r="V87" s="274">
        <f t="shared" si="7"/>
        <v>846509.8899999999</v>
      </c>
      <c r="W87" s="273">
        <f t="shared" si="7"/>
        <v>17</v>
      </c>
      <c r="X87" s="274">
        <f t="shared" si="7"/>
        <v>846509.8899999999</v>
      </c>
      <c r="Y87" s="273">
        <f t="shared" si="7"/>
        <v>17</v>
      </c>
      <c r="Z87" s="274">
        <f t="shared" si="7"/>
        <v>1243740.7216666667</v>
      </c>
      <c r="AA87" s="275">
        <f>Z87+X87+V87+T87+R87+P87+N87+L87+J87+H87+F87+D87</f>
        <v>10262133.115833335</v>
      </c>
    </row>
    <row r="91" spans="2:27" x14ac:dyDescent="0.25">
      <c r="U91" s="33"/>
      <c r="W91" s="33"/>
      <c r="X91" s="33"/>
      <c r="Y91" s="33"/>
      <c r="Z91" s="33"/>
    </row>
  </sheetData>
  <mergeCells count="58">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B12:B13"/>
    <mergeCell ref="Y39:Z39"/>
    <mergeCell ref="B39:B40"/>
    <mergeCell ref="B38:AA38"/>
    <mergeCell ref="AA39:AA40"/>
    <mergeCell ref="M39:N39"/>
    <mergeCell ref="O39:P39"/>
    <mergeCell ref="Q39:R39"/>
    <mergeCell ref="S39:T39"/>
    <mergeCell ref="U39:V39"/>
    <mergeCell ref="W39:X39"/>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2021-09-07T21:40:55Z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