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Projects\my-news\"/>
    </mc:Choice>
  </mc:AlternateContent>
  <xr:revisionPtr revIDLastSave="0" documentId="13_ncr:1_{A110E9D6-9025-4B92-8FCA-2D0A83526CB0}" xr6:coauthVersionLast="47" xr6:coauthVersionMax="47" xr10:uidLastSave="{00000000-0000-0000-0000-000000000000}"/>
  <bookViews>
    <workbookView xWindow="-120" yWindow="-120" windowWidth="29040" windowHeight="15990" tabRatio="986" activeTab="2"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83" i="20" l="1"/>
  <c r="AA84" i="20"/>
  <c r="AA85" i="20"/>
  <c r="AA86" i="20"/>
  <c r="AA87" i="20"/>
  <c r="AA88" i="20"/>
  <c r="AA89" i="20"/>
  <c r="AA90" i="20"/>
  <c r="AA91" i="20"/>
  <c r="AA92" i="20"/>
  <c r="AA93" i="20"/>
  <c r="AA94" i="20"/>
  <c r="AA82" i="20"/>
  <c r="Y83" i="20"/>
  <c r="Y84" i="20"/>
  <c r="Y85" i="20"/>
  <c r="Y86" i="20"/>
  <c r="Y87" i="20"/>
  <c r="Y88" i="20"/>
  <c r="Y89" i="20"/>
  <c r="Y90" i="20"/>
  <c r="Y91" i="20"/>
  <c r="Y92" i="20"/>
  <c r="Y93" i="20"/>
  <c r="Y94" i="20"/>
  <c r="Y82" i="20"/>
  <c r="W83" i="20"/>
  <c r="W84" i="20"/>
  <c r="W85" i="20"/>
  <c r="W86" i="20"/>
  <c r="W87" i="20"/>
  <c r="W88" i="20"/>
  <c r="W89" i="20"/>
  <c r="W90" i="20"/>
  <c r="W91" i="20"/>
  <c r="W92" i="20"/>
  <c r="W93" i="20"/>
  <c r="W94" i="20"/>
  <c r="W82" i="20"/>
  <c r="U83" i="20"/>
  <c r="U84" i="20"/>
  <c r="U85" i="20"/>
  <c r="U86" i="20"/>
  <c r="U87" i="20"/>
  <c r="U88" i="20"/>
  <c r="U89" i="20"/>
  <c r="U90" i="20"/>
  <c r="U91" i="20"/>
  <c r="U92" i="20"/>
  <c r="U93" i="20"/>
  <c r="U94" i="20"/>
  <c r="U82" i="20"/>
  <c r="S83" i="20"/>
  <c r="S84" i="20"/>
  <c r="S85" i="20"/>
  <c r="S86" i="20"/>
  <c r="S87" i="20"/>
  <c r="S88" i="20"/>
  <c r="S89" i="20"/>
  <c r="S90" i="20"/>
  <c r="S91" i="20"/>
  <c r="S92" i="20"/>
  <c r="S93" i="20"/>
  <c r="S94" i="20"/>
  <c r="S82" i="20"/>
  <c r="Q83" i="20"/>
  <c r="Q84" i="20"/>
  <c r="Q85" i="20"/>
  <c r="Q86" i="20"/>
  <c r="Q87" i="20"/>
  <c r="Q88" i="20"/>
  <c r="Q89" i="20"/>
  <c r="Q90" i="20"/>
  <c r="Q91" i="20"/>
  <c r="Q92" i="20"/>
  <c r="Q93" i="20"/>
  <c r="Q94" i="20"/>
  <c r="Q82" i="20"/>
  <c r="O83" i="20"/>
  <c r="O84" i="20"/>
  <c r="O85" i="20"/>
  <c r="O86" i="20"/>
  <c r="O87" i="20"/>
  <c r="O88" i="20"/>
  <c r="O89" i="20"/>
  <c r="O90" i="20"/>
  <c r="O91" i="20"/>
  <c r="O92" i="20"/>
  <c r="O93" i="20"/>
  <c r="O94" i="20"/>
  <c r="O82" i="20"/>
  <c r="M83" i="20"/>
  <c r="M84" i="20"/>
  <c r="M85" i="20"/>
  <c r="M86" i="20"/>
  <c r="M87" i="20"/>
  <c r="M88" i="20"/>
  <c r="M89" i="20"/>
  <c r="M90" i="20"/>
  <c r="M91" i="20"/>
  <c r="M92" i="20"/>
  <c r="M93" i="20"/>
  <c r="M94" i="20"/>
  <c r="M82" i="20"/>
  <c r="K83" i="20"/>
  <c r="K84" i="20"/>
  <c r="K85" i="20"/>
  <c r="K86" i="20"/>
  <c r="K87" i="20"/>
  <c r="K88" i="20"/>
  <c r="K89" i="20"/>
  <c r="K90" i="20"/>
  <c r="K91" i="20"/>
  <c r="K92" i="20"/>
  <c r="K93" i="20"/>
  <c r="K94" i="20"/>
  <c r="K82" i="20"/>
  <c r="I83" i="20"/>
  <c r="I84" i="20"/>
  <c r="I85" i="20"/>
  <c r="I86" i="20"/>
  <c r="I87" i="20"/>
  <c r="I88" i="20"/>
  <c r="I89" i="20"/>
  <c r="I90" i="20"/>
  <c r="I91" i="20"/>
  <c r="I92" i="20"/>
  <c r="I93" i="20"/>
  <c r="I94" i="20"/>
  <c r="I82" i="20"/>
  <c r="G83" i="20"/>
  <c r="G84" i="20"/>
  <c r="G85" i="20"/>
  <c r="G86" i="20"/>
  <c r="G87" i="20"/>
  <c r="G88" i="20"/>
  <c r="G89" i="20"/>
  <c r="G90" i="20"/>
  <c r="G91" i="20"/>
  <c r="G92" i="20"/>
  <c r="G93" i="20"/>
  <c r="G94" i="20"/>
  <c r="G82" i="20"/>
  <c r="E83" i="20"/>
  <c r="E84" i="20"/>
  <c r="E85" i="20"/>
  <c r="E86" i="20"/>
  <c r="E87" i="20"/>
  <c r="E88" i="20"/>
  <c r="E89" i="20"/>
  <c r="E90" i="20"/>
  <c r="E91" i="20"/>
  <c r="E92" i="20"/>
  <c r="E93" i="20"/>
  <c r="E82" i="20"/>
  <c r="AA145" i="20"/>
  <c r="AA146" i="20"/>
  <c r="AA147" i="20"/>
  <c r="AA148" i="20"/>
  <c r="AA149" i="20"/>
  <c r="AA150" i="20"/>
  <c r="AA151" i="20"/>
  <c r="AA152" i="20"/>
  <c r="AA153" i="20"/>
  <c r="AA154" i="20"/>
  <c r="AA155" i="20"/>
  <c r="AA156" i="20"/>
  <c r="AA144" i="20"/>
  <c r="Y145" i="20"/>
  <c r="Y146" i="20"/>
  <c r="Y147" i="20"/>
  <c r="Y148" i="20"/>
  <c r="Y149" i="20"/>
  <c r="Y150" i="20"/>
  <c r="Y151" i="20"/>
  <c r="Y152" i="20"/>
  <c r="Y153" i="20"/>
  <c r="Y154" i="20"/>
  <c r="Y155" i="20"/>
  <c r="Y156" i="20"/>
  <c r="Y144" i="20"/>
  <c r="W145" i="20"/>
  <c r="W146" i="20"/>
  <c r="W147" i="20"/>
  <c r="W148" i="20"/>
  <c r="W149" i="20"/>
  <c r="W150" i="20"/>
  <c r="W151" i="20"/>
  <c r="W152" i="20"/>
  <c r="W153" i="20"/>
  <c r="W154" i="20"/>
  <c r="W155" i="20"/>
  <c r="W156" i="20"/>
  <c r="W144" i="20"/>
  <c r="U145" i="20"/>
  <c r="U146" i="20"/>
  <c r="U147" i="20"/>
  <c r="U148" i="20"/>
  <c r="U149" i="20"/>
  <c r="U150" i="20"/>
  <c r="U151" i="20"/>
  <c r="U152" i="20"/>
  <c r="U153" i="20"/>
  <c r="U154" i="20"/>
  <c r="U155" i="20"/>
  <c r="U156" i="20"/>
  <c r="U144" i="20"/>
  <c r="S145" i="20"/>
  <c r="S146" i="20"/>
  <c r="S147" i="20"/>
  <c r="S148" i="20"/>
  <c r="S149" i="20"/>
  <c r="S150" i="20"/>
  <c r="S151" i="20"/>
  <c r="S152" i="20"/>
  <c r="S153" i="20"/>
  <c r="S154" i="20"/>
  <c r="S155" i="20"/>
  <c r="S156" i="20"/>
  <c r="S144" i="20"/>
  <c r="Q145" i="20"/>
  <c r="Q146" i="20"/>
  <c r="Q147" i="20"/>
  <c r="Q148" i="20"/>
  <c r="Q149" i="20"/>
  <c r="Q150" i="20"/>
  <c r="Q151" i="20"/>
  <c r="Q152" i="20"/>
  <c r="Q153" i="20"/>
  <c r="Q154" i="20"/>
  <c r="Q155" i="20"/>
  <c r="Q156" i="20"/>
  <c r="Q144" i="20"/>
  <c r="O145" i="20"/>
  <c r="O146" i="20"/>
  <c r="O147" i="20"/>
  <c r="O148" i="20"/>
  <c r="O149" i="20"/>
  <c r="O150" i="20"/>
  <c r="O151" i="20"/>
  <c r="O152" i="20"/>
  <c r="O153" i="20"/>
  <c r="O154" i="20"/>
  <c r="O155" i="20"/>
  <c r="O156" i="20"/>
  <c r="O144" i="20"/>
  <c r="M145" i="20"/>
  <c r="M146" i="20"/>
  <c r="M147" i="20"/>
  <c r="M148" i="20"/>
  <c r="M149" i="20"/>
  <c r="M150" i="20"/>
  <c r="M151" i="20"/>
  <c r="M152" i="20"/>
  <c r="M153" i="20"/>
  <c r="M154" i="20"/>
  <c r="M155" i="20"/>
  <c r="M156" i="20"/>
  <c r="M144" i="20"/>
  <c r="K145" i="20"/>
  <c r="K146" i="20"/>
  <c r="K147" i="20"/>
  <c r="K148" i="20"/>
  <c r="K149" i="20"/>
  <c r="K150" i="20"/>
  <c r="K151" i="20"/>
  <c r="K152" i="20"/>
  <c r="K153" i="20"/>
  <c r="K154" i="20"/>
  <c r="K155" i="20"/>
  <c r="K156" i="20"/>
  <c r="K144" i="20"/>
  <c r="I145" i="20"/>
  <c r="I146" i="20"/>
  <c r="I147" i="20"/>
  <c r="I148" i="20"/>
  <c r="I149" i="20"/>
  <c r="I150" i="20"/>
  <c r="I151" i="20"/>
  <c r="I152" i="20"/>
  <c r="I153" i="20"/>
  <c r="I154" i="20"/>
  <c r="I155" i="20"/>
  <c r="I156" i="20"/>
  <c r="I144" i="20"/>
  <c r="G145" i="20"/>
  <c r="G146" i="20"/>
  <c r="G147" i="20"/>
  <c r="G148" i="20"/>
  <c r="G149" i="20"/>
  <c r="G150" i="20"/>
  <c r="G151" i="20"/>
  <c r="G152" i="20"/>
  <c r="G153" i="20"/>
  <c r="G154" i="20"/>
  <c r="G155" i="20"/>
  <c r="G156" i="20"/>
  <c r="G144" i="20"/>
  <c r="E145" i="20"/>
  <c r="E146" i="20"/>
  <c r="E147" i="20"/>
  <c r="E148" i="20"/>
  <c r="E149" i="20"/>
  <c r="E150" i="20"/>
  <c r="E151" i="20"/>
  <c r="E152" i="20"/>
  <c r="E153" i="20"/>
  <c r="E154" i="20"/>
  <c r="E155" i="20"/>
  <c r="E156" i="20"/>
  <c r="E144" i="20"/>
  <c r="M5" i="21" l="1"/>
  <c r="L5" i="21"/>
  <c r="K5" i="21"/>
  <c r="L36" i="19"/>
  <c r="L35" i="19"/>
  <c r="L28" i="19"/>
  <c r="M28" i="19"/>
  <c r="L23" i="19"/>
  <c r="K22" i="19"/>
  <c r="M14" i="19"/>
  <c r="M12" i="19"/>
  <c r="J38" i="19"/>
  <c r="J34" i="19"/>
  <c r="I37" i="19"/>
  <c r="M37" i="19" s="1"/>
  <c r="I33" i="19"/>
  <c r="M33" i="19" s="1"/>
  <c r="H32" i="19"/>
  <c r="M32" i="19" s="1"/>
  <c r="H36" i="19"/>
  <c r="M36" i="19" s="1"/>
  <c r="I30" i="19"/>
  <c r="M30" i="19" s="1"/>
  <c r="J27" i="19"/>
  <c r="J25" i="19"/>
  <c r="I24" i="19"/>
  <c r="M24" i="19" s="1"/>
  <c r="H23" i="19"/>
  <c r="M23" i="19" s="1"/>
  <c r="I15" i="19"/>
  <c r="M15" i="19" s="1"/>
  <c r="G35" i="19"/>
  <c r="M35" i="19" s="1"/>
  <c r="G12" i="19"/>
  <c r="K12" i="19" s="1"/>
  <c r="G14" i="19"/>
  <c r="L14" i="19" s="1"/>
  <c r="G16" i="19"/>
  <c r="L16" i="19" s="1"/>
  <c r="G18" i="19"/>
  <c r="K18" i="19" s="1"/>
  <c r="G20" i="19"/>
  <c r="K20" i="19" s="1"/>
  <c r="G22" i="19"/>
  <c r="L22" i="19" s="1"/>
  <c r="G26" i="19"/>
  <c r="L26" i="19" s="1"/>
  <c r="G28" i="19"/>
  <c r="K28" i="19" s="1"/>
  <c r="G29" i="19"/>
  <c r="L29" i="19" s="1"/>
  <c r="G31" i="19"/>
  <c r="K31" i="19" s="1"/>
  <c r="E19" i="19"/>
  <c r="I19" i="19" s="1"/>
  <c r="M19" i="19" s="1"/>
  <c r="E21" i="19"/>
  <c r="J21" i="19" s="1"/>
  <c r="E17" i="19"/>
  <c r="I17" i="19" s="1"/>
  <c r="M17" i="19" s="1"/>
  <c r="E15" i="19"/>
  <c r="E13" i="19"/>
  <c r="I13" i="19" s="1"/>
  <c r="M13" i="19" s="1"/>
  <c r="G11" i="19"/>
  <c r="L11" i="19" s="1"/>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M18" i="19" l="1"/>
  <c r="M31" i="19"/>
  <c r="L12" i="19"/>
  <c r="K16" i="19"/>
  <c r="L18" i="19"/>
  <c r="L31" i="19"/>
  <c r="K11" i="19"/>
  <c r="K14" i="19"/>
  <c r="M16" i="19"/>
  <c r="K26" i="19"/>
  <c r="K29" i="19"/>
  <c r="L32" i="19"/>
  <c r="M11" i="19"/>
  <c r="M26" i="19"/>
  <c r="M29" i="19"/>
  <c r="M22" i="19"/>
  <c r="K35" i="19"/>
  <c r="K39" i="19"/>
  <c r="I5" i="19" s="1"/>
  <c r="K16" i="21" s="1"/>
  <c r="G8" i="29"/>
  <c r="G8" i="38"/>
  <c r="J7" i="30" s="1"/>
  <c r="G9" i="37"/>
  <c r="H8" i="38"/>
  <c r="K7" i="30" s="1"/>
  <c r="H9" i="37"/>
  <c r="H8" i="29"/>
  <c r="F8" i="29"/>
  <c r="F9" i="37"/>
  <c r="F8" i="38"/>
  <c r="I7" i="30" s="1"/>
  <c r="M20" i="19"/>
  <c r="M39" i="19" s="1"/>
  <c r="K5" i="19" s="1"/>
  <c r="M16" i="21" s="1"/>
  <c r="L20" i="19"/>
  <c r="L39" i="19" s="1"/>
  <c r="J5" i="19" s="1"/>
  <c r="L16" i="21" s="1"/>
  <c r="E81" i="23"/>
  <c r="J5" i="23" s="1"/>
  <c r="M20" i="21" s="1"/>
  <c r="E63" i="23"/>
  <c r="I5" i="23" s="1"/>
  <c r="L20" i="21" s="1"/>
  <c r="E45" i="23"/>
  <c r="H5" i="23" s="1"/>
  <c r="K20" i="21" s="1"/>
  <c r="G16" i="38" l="1"/>
  <c r="J15" i="30" s="1"/>
  <c r="G17" i="37"/>
  <c r="G16" i="29"/>
  <c r="F16" i="29"/>
  <c r="F16" i="38"/>
  <c r="I15" i="30" s="1"/>
  <c r="F17" i="37"/>
  <c r="H20" i="29"/>
  <c r="H32" i="29" s="1"/>
  <c r="H21" i="37"/>
  <c r="H33" i="37" s="1"/>
  <c r="H20" i="38"/>
  <c r="F21" i="37"/>
  <c r="F33" i="37" s="1"/>
  <c r="F20" i="29"/>
  <c r="F32" i="29" s="1"/>
  <c r="F20" i="38"/>
  <c r="H16" i="38"/>
  <c r="K15" i="30" s="1"/>
  <c r="H17" i="37"/>
  <c r="H16" i="29"/>
  <c r="G20" i="38"/>
  <c r="G20" i="29"/>
  <c r="G32" i="29" s="1"/>
  <c r="G21" i="37"/>
  <c r="G33" i="37" s="1"/>
  <c r="F21" i="21"/>
  <c r="E21" i="21"/>
  <c r="G21" i="21"/>
  <c r="E15" i="23"/>
  <c r="D5" i="23"/>
  <c r="C5" i="23"/>
  <c r="B5" i="23"/>
  <c r="D5" i="24"/>
  <c r="C5" i="24"/>
  <c r="B5" i="24"/>
  <c r="F32" i="38" l="1"/>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AA94" i="27" s="1"/>
  <c r="Z80" i="27"/>
  <c r="AA80" i="27" s="1"/>
  <c r="Z81" i="27"/>
  <c r="AA81" i="27" s="1"/>
  <c r="Z82" i="27"/>
  <c r="Z83" i="27"/>
  <c r="Z84" i="27"/>
  <c r="AA84" i="27" s="1"/>
  <c r="Z85" i="27"/>
  <c r="AA85" i="27" s="1"/>
  <c r="Z86" i="27"/>
  <c r="Z87" i="27"/>
  <c r="AA87" i="27" s="1"/>
  <c r="Z88" i="27"/>
  <c r="AA88" i="27" s="1"/>
  <c r="Z77" i="27"/>
  <c r="X78" i="27"/>
  <c r="X79" i="27"/>
  <c r="Y94" i="27" s="1"/>
  <c r="X80" i="27"/>
  <c r="Y80" i="27" s="1"/>
  <c r="X81" i="27"/>
  <c r="Y81" i="27" s="1"/>
  <c r="X82" i="27"/>
  <c r="X83" i="27"/>
  <c r="X84" i="27"/>
  <c r="Y84" i="27" s="1"/>
  <c r="X85" i="27"/>
  <c r="Y85" i="27" s="1"/>
  <c r="X86" i="27"/>
  <c r="X87" i="27"/>
  <c r="X88" i="27"/>
  <c r="Y88" i="27" s="1"/>
  <c r="X77" i="27"/>
  <c r="V78" i="27"/>
  <c r="V79" i="27"/>
  <c r="W94" i="27" s="1"/>
  <c r="V80" i="27"/>
  <c r="W80" i="27" s="1"/>
  <c r="V81" i="27"/>
  <c r="W81" i="27" s="1"/>
  <c r="V82" i="27"/>
  <c r="V83" i="27"/>
  <c r="W83" i="27" s="1"/>
  <c r="V84" i="27"/>
  <c r="W84" i="27" s="1"/>
  <c r="V85" i="27"/>
  <c r="W85" i="27" s="1"/>
  <c r="V86" i="27"/>
  <c r="V87" i="27"/>
  <c r="W87" i="27" s="1"/>
  <c r="V88" i="27"/>
  <c r="V77" i="27"/>
  <c r="T78" i="27"/>
  <c r="T79" i="27"/>
  <c r="U94" i="27" s="1"/>
  <c r="T80" i="27"/>
  <c r="U80" i="27" s="1"/>
  <c r="T81" i="27"/>
  <c r="U81" i="27" s="1"/>
  <c r="T82" i="27"/>
  <c r="T83" i="27"/>
  <c r="U83" i="27" s="1"/>
  <c r="T84" i="27"/>
  <c r="U84" i="27" s="1"/>
  <c r="T85" i="27"/>
  <c r="U85" i="27" s="1"/>
  <c r="T86" i="27"/>
  <c r="T87" i="27"/>
  <c r="T88" i="27"/>
  <c r="U88" i="27" s="1"/>
  <c r="T77" i="27"/>
  <c r="R78" i="27"/>
  <c r="R79" i="27"/>
  <c r="R80" i="27"/>
  <c r="R81" i="27"/>
  <c r="S81" i="27" s="1"/>
  <c r="R82" i="27"/>
  <c r="R83" i="27"/>
  <c r="S83" i="27" s="1"/>
  <c r="R84" i="27"/>
  <c r="R85" i="27"/>
  <c r="S85" i="27" s="1"/>
  <c r="R86" i="27"/>
  <c r="R87" i="27"/>
  <c r="R88" i="27"/>
  <c r="R77" i="27"/>
  <c r="P78" i="27"/>
  <c r="P79" i="27"/>
  <c r="P80" i="27"/>
  <c r="Q80" i="27" s="1"/>
  <c r="P81" i="27"/>
  <c r="Q81" i="27" s="1"/>
  <c r="P82" i="27"/>
  <c r="P83" i="27"/>
  <c r="Q83" i="27" s="1"/>
  <c r="P84" i="27"/>
  <c r="Q84" i="27" s="1"/>
  <c r="P85" i="27"/>
  <c r="Q85" i="27" s="1"/>
  <c r="P86" i="27"/>
  <c r="P87" i="27"/>
  <c r="Q87" i="27" s="1"/>
  <c r="P88" i="27"/>
  <c r="Q88" i="27" s="1"/>
  <c r="P77" i="27"/>
  <c r="Q82" i="27"/>
  <c r="Q86" i="27"/>
  <c r="N78" i="27"/>
  <c r="N79" i="27"/>
  <c r="O94" i="27" s="1"/>
  <c r="N80" i="27"/>
  <c r="O80" i="27" s="1"/>
  <c r="N81" i="27"/>
  <c r="O81" i="27" s="1"/>
  <c r="N82" i="27"/>
  <c r="N83" i="27"/>
  <c r="N84" i="27"/>
  <c r="N85" i="27"/>
  <c r="O85" i="27" s="1"/>
  <c r="N86" i="27"/>
  <c r="N87" i="27"/>
  <c r="O87" i="27" s="1"/>
  <c r="N88" i="27"/>
  <c r="N77" i="27"/>
  <c r="L78" i="27"/>
  <c r="L79" i="27"/>
  <c r="M94" i="27" s="1"/>
  <c r="L80" i="27"/>
  <c r="M80" i="27" s="1"/>
  <c r="L81" i="27"/>
  <c r="M81" i="27" s="1"/>
  <c r="L82" i="27"/>
  <c r="L83" i="27"/>
  <c r="L84" i="27"/>
  <c r="L85" i="27"/>
  <c r="M85" i="27" s="1"/>
  <c r="L86" i="27"/>
  <c r="L87" i="27"/>
  <c r="M87" i="27" s="1"/>
  <c r="L88" i="27"/>
  <c r="L77" i="27"/>
  <c r="J78" i="27"/>
  <c r="J79" i="27"/>
  <c r="K94" i="27" s="1"/>
  <c r="J80" i="27"/>
  <c r="K80" i="27" s="1"/>
  <c r="J81" i="27"/>
  <c r="K81" i="27" s="1"/>
  <c r="J82" i="27"/>
  <c r="J83" i="27"/>
  <c r="J84" i="27"/>
  <c r="K84" i="27" s="1"/>
  <c r="J85" i="27"/>
  <c r="K85" i="27" s="1"/>
  <c r="J86" i="27"/>
  <c r="K86" i="27" s="1"/>
  <c r="J87" i="27"/>
  <c r="K87" i="27" s="1"/>
  <c r="J88" i="27"/>
  <c r="J77" i="27"/>
  <c r="H78" i="27"/>
  <c r="H79" i="27"/>
  <c r="I94" i="27" s="1"/>
  <c r="H80" i="27"/>
  <c r="I80" i="27" s="1"/>
  <c r="H81" i="27"/>
  <c r="I81" i="27" s="1"/>
  <c r="H82" i="27"/>
  <c r="H83" i="27"/>
  <c r="H84" i="27"/>
  <c r="H85" i="27"/>
  <c r="I85" i="27" s="1"/>
  <c r="H86" i="27"/>
  <c r="I86" i="27" s="1"/>
  <c r="H87" i="27"/>
  <c r="I87" i="27" s="1"/>
  <c r="H88" i="27"/>
  <c r="H77" i="27"/>
  <c r="F88" i="27"/>
  <c r="F78" i="27"/>
  <c r="F79" i="27"/>
  <c r="G94" i="27" s="1"/>
  <c r="F80" i="27"/>
  <c r="G80" i="27" s="1"/>
  <c r="F81" i="27"/>
  <c r="G81" i="27" s="1"/>
  <c r="F82" i="27"/>
  <c r="F83" i="27"/>
  <c r="F84" i="27"/>
  <c r="G84" i="27" s="1"/>
  <c r="F85" i="27"/>
  <c r="G85" i="27" s="1"/>
  <c r="F86" i="27"/>
  <c r="G86" i="27" s="1"/>
  <c r="F87" i="27"/>
  <c r="G89" i="27"/>
  <c r="F77" i="27"/>
  <c r="D78" i="27"/>
  <c r="D79" i="27"/>
  <c r="E94" i="27" s="1"/>
  <c r="D80" i="27"/>
  <c r="E80" i="27" s="1"/>
  <c r="D81" i="27"/>
  <c r="E81" i="27" s="1"/>
  <c r="D82" i="27"/>
  <c r="D83" i="27"/>
  <c r="E83" i="27" s="1"/>
  <c r="D84" i="27"/>
  <c r="D85" i="27"/>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S88" i="27"/>
  <c r="O88" i="27"/>
  <c r="M88" i="27"/>
  <c r="K88" i="27"/>
  <c r="I88" i="27"/>
  <c r="G88" i="27"/>
  <c r="Y87" i="27"/>
  <c r="U87" i="27"/>
  <c r="S87" i="27"/>
  <c r="G87" i="27"/>
  <c r="AA86" i="27"/>
  <c r="Y86" i="27"/>
  <c r="W86" i="27"/>
  <c r="U86" i="27"/>
  <c r="S86" i="27"/>
  <c r="O86" i="27"/>
  <c r="M86" i="27"/>
  <c r="E85" i="27"/>
  <c r="S84" i="27"/>
  <c r="O84" i="27"/>
  <c r="M84" i="27"/>
  <c r="I84" i="27"/>
  <c r="E84" i="27"/>
  <c r="AA83" i="27"/>
  <c r="Y83" i="27"/>
  <c r="O83" i="27"/>
  <c r="M83" i="27"/>
  <c r="K83" i="27"/>
  <c r="I83" i="27"/>
  <c r="G83" i="27"/>
  <c r="AA82" i="27"/>
  <c r="Y82" i="27"/>
  <c r="W82" i="27"/>
  <c r="U82" i="27"/>
  <c r="S82" i="27"/>
  <c r="O82" i="27"/>
  <c r="M82" i="27"/>
  <c r="K82" i="27"/>
  <c r="I82" i="27"/>
  <c r="G82" i="27"/>
  <c r="E82" i="27"/>
  <c r="S80"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Q94" i="27" l="1"/>
  <c r="AB94" i="27" s="1"/>
  <c r="S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M24" i="22" s="1"/>
  <c r="N22" i="22"/>
  <c r="O22" i="22"/>
  <c r="D22" i="22"/>
  <c r="P19" i="22"/>
  <c r="P20" i="22"/>
  <c r="P21" i="22"/>
  <c r="E17" i="22"/>
  <c r="F17" i="22"/>
  <c r="G17" i="22"/>
  <c r="H17" i="22"/>
  <c r="I17" i="22"/>
  <c r="J17" i="22"/>
  <c r="K17" i="22"/>
  <c r="L17" i="22"/>
  <c r="M17" i="22"/>
  <c r="N17" i="22"/>
  <c r="O17" i="22"/>
  <c r="D17" i="22"/>
  <c r="P16" i="22"/>
  <c r="E15" i="22"/>
  <c r="F15" i="22"/>
  <c r="G15" i="22"/>
  <c r="H15" i="22"/>
  <c r="I15" i="22"/>
  <c r="J15" i="22"/>
  <c r="K15" i="22"/>
  <c r="L15" i="22"/>
  <c r="M15" i="22"/>
  <c r="N15" i="22"/>
  <c r="O15" i="22"/>
  <c r="D15" i="22"/>
  <c r="P13" i="22"/>
  <c r="P14" i="22"/>
  <c r="P12" i="22"/>
  <c r="P18" i="22"/>
  <c r="P11" i="22"/>
  <c r="E5" i="22"/>
  <c r="D5" i="22"/>
  <c r="C5" i="22"/>
  <c r="E14" i="23" l="1"/>
  <c r="E28" i="23" s="1"/>
  <c r="G5" i="23" s="1"/>
  <c r="J20" i="21" s="1"/>
  <c r="E13" i="23"/>
  <c r="I24" i="22"/>
  <c r="P37" i="22"/>
  <c r="L24" i="22"/>
  <c r="G24" i="22"/>
  <c r="J61" i="22"/>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E20" i="38" l="1"/>
  <c r="E21" i="37"/>
  <c r="E33" i="37" s="1"/>
  <c r="E34" i="37" s="1"/>
  <c r="E20" i="29"/>
  <c r="E32" i="29" s="1"/>
  <c r="E33" i="29" s="1"/>
  <c r="D21" i="21"/>
  <c r="D22" i="21" s="1"/>
  <c r="T51" i="25"/>
  <c r="M93" i="27"/>
  <c r="AB93" i="27" s="1"/>
  <c r="O93" i="27"/>
  <c r="Q93" i="27"/>
  <c r="AA80" i="25"/>
  <c r="N51" i="25"/>
  <c r="F51" i="25"/>
  <c r="AA76" i="25"/>
  <c r="AA81" i="25"/>
  <c r="AA83" i="25"/>
  <c r="J51" i="25"/>
  <c r="V51" i="25"/>
  <c r="AA86" i="25"/>
  <c r="AA79" i="25"/>
  <c r="AA84" i="25"/>
  <c r="X78" i="25"/>
  <c r="X87" i="25" s="1"/>
  <c r="P78" i="25"/>
  <c r="P87" i="25" s="1"/>
  <c r="H78" i="25"/>
  <c r="H87" i="25" s="1"/>
  <c r="T61" i="25"/>
  <c r="T69" i="25" s="1"/>
  <c r="Z78" i="25"/>
  <c r="Z87" i="25" s="1"/>
  <c r="J78" i="25"/>
  <c r="V61" i="25"/>
  <c r="V78" i="25"/>
  <c r="V87" i="25" s="1"/>
  <c r="N78" i="25"/>
  <c r="N87" i="25" s="1"/>
  <c r="F78" i="25"/>
  <c r="Z61" i="25"/>
  <c r="R61" i="25"/>
  <c r="R69" i="25" s="1"/>
  <c r="D78" i="25"/>
  <c r="D87" i="25" s="1"/>
  <c r="N61" i="25"/>
  <c r="N69" i="25" s="1"/>
  <c r="R78" i="25"/>
  <c r="T78" i="25"/>
  <c r="T87" i="25" s="1"/>
  <c r="L78" i="25"/>
  <c r="L87" i="25" s="1"/>
  <c r="P61" i="25"/>
  <c r="L61" i="25"/>
  <c r="L69" i="25" s="1"/>
  <c r="Z69" i="25"/>
  <c r="AA75" i="25"/>
  <c r="AA82" i="25"/>
  <c r="H51" i="25"/>
  <c r="AA41" i="25"/>
  <c r="D51" i="25"/>
  <c r="P51" i="25"/>
  <c r="R51" i="25"/>
  <c r="AA48" i="25"/>
  <c r="AA58" i="25"/>
  <c r="AA67" i="25"/>
  <c r="AA68" i="25"/>
  <c r="L51" i="25"/>
  <c r="P69" i="25"/>
  <c r="V69" i="25"/>
  <c r="AA85" i="25"/>
  <c r="AA77" i="25"/>
  <c r="F87" i="25"/>
  <c r="R87" i="25"/>
  <c r="J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I95" i="27" s="1"/>
  <c r="AA77" i="27"/>
  <c r="O77" i="27"/>
  <c r="M77" i="27"/>
  <c r="G77" i="27"/>
  <c r="G95" i="27" s="1"/>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F11" i="37" l="1"/>
  <c r="F25" i="37" s="1"/>
  <c r="F10" i="38"/>
  <c r="F10" i="29"/>
  <c r="F24" i="29" s="1"/>
  <c r="Y95" i="27"/>
  <c r="H10" i="29"/>
  <c r="H24" i="29" s="1"/>
  <c r="H11" i="37"/>
  <c r="H25" i="37" s="1"/>
  <c r="H10" i="38"/>
  <c r="G10" i="38"/>
  <c r="G11" i="37"/>
  <c r="G25" i="37" s="1"/>
  <c r="G10" i="29"/>
  <c r="G24" i="29" s="1"/>
  <c r="M95" i="27"/>
  <c r="O95" i="27"/>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F24" i="38"/>
  <c r="I9" i="30"/>
  <c r="I23" i="30" s="1"/>
  <c r="H24" i="38"/>
  <c r="K9" i="30"/>
  <c r="K23" i="30" s="1"/>
  <c r="G9" i="29"/>
  <c r="G23" i="29" s="1"/>
  <c r="G28" i="29" s="1"/>
  <c r="L6" i="21"/>
  <c r="C6" i="19"/>
  <c r="C6" i="23"/>
  <c r="C6" i="24"/>
  <c r="C14" i="24" s="1"/>
  <c r="C7" i="25"/>
  <c r="C7" i="27"/>
  <c r="D6" i="22"/>
  <c r="M12" i="21"/>
  <c r="D12" i="24"/>
  <c r="L12" i="21"/>
  <c r="C12" i="24"/>
  <c r="AB95" i="27"/>
  <c r="I6" i="27" s="1"/>
  <c r="L11" i="21" s="1"/>
  <c r="D24" i="3"/>
  <c r="D26" i="3"/>
  <c r="H9" i="29" s="1"/>
  <c r="H23" i="29" s="1"/>
  <c r="H28" i="29" s="1"/>
  <c r="Y66" i="34"/>
  <c r="Y65" i="34"/>
  <c r="Y64" i="34"/>
  <c r="W66" i="34"/>
  <c r="W65" i="34"/>
  <c r="W64" i="34"/>
  <c r="U66" i="34"/>
  <c r="U65" i="34"/>
  <c r="U64" i="34"/>
  <c r="S66" i="34"/>
  <c r="S65" i="34"/>
  <c r="S64" i="34"/>
  <c r="Q66" i="34"/>
  <c r="Q65" i="34"/>
  <c r="Q64" i="34"/>
  <c r="O66" i="34"/>
  <c r="O65" i="34"/>
  <c r="O64" i="34"/>
  <c r="M66" i="34"/>
  <c r="M65" i="34"/>
  <c r="M64" i="34"/>
  <c r="K66" i="34"/>
  <c r="K65" i="34"/>
  <c r="K64" i="34"/>
  <c r="I66" i="34"/>
  <c r="I65" i="34"/>
  <c r="I64" i="34"/>
  <c r="G66" i="34"/>
  <c r="G65" i="34"/>
  <c r="G64" i="34"/>
  <c r="E66" i="34"/>
  <c r="E65" i="34"/>
  <c r="E64" i="34"/>
  <c r="C66" i="34"/>
  <c r="C65" i="34"/>
  <c r="G11" i="29" l="1"/>
  <c r="G25" i="29" s="1"/>
  <c r="F14" i="21"/>
  <c r="G11" i="38"/>
  <c r="G12" i="37"/>
  <c r="G26" i="37" s="1"/>
  <c r="F9" i="29"/>
  <c r="F23" i="29" s="1"/>
  <c r="F28" i="29" s="1"/>
  <c r="K6" i="21"/>
  <c r="B6" i="19"/>
  <c r="B6" i="24"/>
  <c r="B14" i="24" s="1"/>
  <c r="B6" i="23"/>
  <c r="B7" i="25"/>
  <c r="B7" i="27"/>
  <c r="C6" i="22"/>
  <c r="G9" i="38"/>
  <c r="G10" i="37"/>
  <c r="G24" i="37" s="1"/>
  <c r="G29" i="37" s="1"/>
  <c r="H13" i="37"/>
  <c r="H27" i="37" s="1"/>
  <c r="H12" i="29"/>
  <c r="H26" i="29" s="1"/>
  <c r="G15" i="21"/>
  <c r="H12" i="38"/>
  <c r="G12" i="38"/>
  <c r="G13" i="37"/>
  <c r="G27" i="37" s="1"/>
  <c r="G12" i="29"/>
  <c r="G26" i="29" s="1"/>
  <c r="G27" i="29" s="1"/>
  <c r="F15" i="21"/>
  <c r="C11" i="24"/>
  <c r="C13" i="24" s="1"/>
  <c r="M6" i="21"/>
  <c r="D6" i="19"/>
  <c r="D6" i="23"/>
  <c r="D6" i="24"/>
  <c r="D14" i="24" s="1"/>
  <c r="D7" i="25"/>
  <c r="D7" i="27"/>
  <c r="E6" i="22"/>
  <c r="G67" i="34"/>
  <c r="K67" i="34"/>
  <c r="O67" i="34"/>
  <c r="S67" i="34"/>
  <c r="W67" i="34"/>
  <c r="E67" i="34"/>
  <c r="I67" i="34"/>
  <c r="M67" i="34"/>
  <c r="Q67" i="34"/>
  <c r="U67" i="34"/>
  <c r="Y67" i="34"/>
  <c r="E46" i="34"/>
  <c r="E45" i="34"/>
  <c r="E44" i="34"/>
  <c r="E43" i="34"/>
  <c r="E42" i="34"/>
  <c r="E31" i="34"/>
  <c r="E32" i="34"/>
  <c r="E33" i="34"/>
  <c r="E34" i="34"/>
  <c r="E30" i="34"/>
  <c r="E21" i="34"/>
  <c r="E22" i="34"/>
  <c r="E20" i="34"/>
  <c r="B14" i="34"/>
  <c r="B10" i="34"/>
  <c r="B12" i="34" s="1"/>
  <c r="C163" i="20"/>
  <c r="C162" i="20"/>
  <c r="C161" i="20"/>
  <c r="C160" i="20"/>
  <c r="C159" i="20"/>
  <c r="C158" i="20"/>
  <c r="C101" i="20"/>
  <c r="C100" i="20"/>
  <c r="C99" i="20"/>
  <c r="C98" i="20"/>
  <c r="C97" i="20"/>
  <c r="C96" i="20"/>
  <c r="E19" i="20"/>
  <c r="C38" i="20"/>
  <c r="C37" i="20"/>
  <c r="C36" i="20"/>
  <c r="C35" i="20"/>
  <c r="C34" i="20"/>
  <c r="C33" i="20"/>
  <c r="C18" i="33"/>
  <c r="C19" i="33" s="1"/>
  <c r="E33" i="20" l="1"/>
  <c r="C56" i="34" s="1"/>
  <c r="D53" i="27"/>
  <c r="E53" i="27" s="1"/>
  <c r="G25" i="38"/>
  <c r="J10" i="30"/>
  <c r="J24" i="30" s="1"/>
  <c r="G23" i="38"/>
  <c r="G28" i="38" s="1"/>
  <c r="J8" i="30"/>
  <c r="J22" i="30" s="1"/>
  <c r="J27" i="30" s="1"/>
  <c r="F9" i="38"/>
  <c r="F10" i="37"/>
  <c r="F24" i="37" s="1"/>
  <c r="F29" i="37" s="1"/>
  <c r="G28" i="37"/>
  <c r="G30" i="37" s="1"/>
  <c r="H9" i="38"/>
  <c r="H10" i="37"/>
  <c r="H24" i="37" s="1"/>
  <c r="H29" i="37" s="1"/>
  <c r="K11" i="30"/>
  <c r="H26" i="38"/>
  <c r="G29" i="29"/>
  <c r="H30" i="29" s="1"/>
  <c r="G31" i="29"/>
  <c r="G33" i="29" s="1"/>
  <c r="J11" i="30"/>
  <c r="J25" i="30" s="1"/>
  <c r="G26" i="38"/>
  <c r="E47" i="34"/>
  <c r="E35" i="34"/>
  <c r="E23" i="34"/>
  <c r="AA163" i="20"/>
  <c r="Y163" i="20"/>
  <c r="W163" i="20"/>
  <c r="U163" i="20"/>
  <c r="S163" i="20"/>
  <c r="Q163" i="20"/>
  <c r="O163" i="20"/>
  <c r="M163" i="20"/>
  <c r="K163" i="20"/>
  <c r="I163" i="20"/>
  <c r="G163" i="20"/>
  <c r="E163" i="20"/>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101" i="20"/>
  <c r="Y101" i="20"/>
  <c r="W101" i="20"/>
  <c r="U101" i="20"/>
  <c r="S101" i="20"/>
  <c r="Q101" i="20"/>
  <c r="O101" i="20"/>
  <c r="M101" i="20"/>
  <c r="K101" i="20"/>
  <c r="I101" i="20"/>
  <c r="G101" i="20"/>
  <c r="E94" i="20"/>
  <c r="E101" i="20" s="1"/>
  <c r="AA100" i="20"/>
  <c r="Y100" i="20"/>
  <c r="W100" i="20"/>
  <c r="U100" i="20"/>
  <c r="S100" i="20"/>
  <c r="Q100" i="20"/>
  <c r="O100" i="20"/>
  <c r="M100" i="20"/>
  <c r="K100" i="20"/>
  <c r="I100" i="20"/>
  <c r="G100" i="20"/>
  <c r="E100" i="20"/>
  <c r="AA99" i="20"/>
  <c r="Y99" i="20"/>
  <c r="W99" i="20"/>
  <c r="U99" i="20"/>
  <c r="S99" i="20"/>
  <c r="Q99" i="20"/>
  <c r="O99" i="20"/>
  <c r="M99" i="20"/>
  <c r="K99" i="20"/>
  <c r="I99" i="20"/>
  <c r="G99" i="20"/>
  <c r="E99" i="20"/>
  <c r="AA98" i="20"/>
  <c r="Y98" i="20"/>
  <c r="W98" i="20"/>
  <c r="U98" i="20"/>
  <c r="S98" i="20"/>
  <c r="Q98" i="20"/>
  <c r="O98" i="20"/>
  <c r="M98" i="20"/>
  <c r="K98" i="20"/>
  <c r="I98" i="20"/>
  <c r="G98" i="20"/>
  <c r="E98" i="20"/>
  <c r="AA97" i="20"/>
  <c r="Y97" i="20"/>
  <c r="W97" i="20"/>
  <c r="U97" i="20"/>
  <c r="S97" i="20"/>
  <c r="Q97" i="20"/>
  <c r="O97" i="20"/>
  <c r="M97" i="20"/>
  <c r="K97" i="20"/>
  <c r="I97" i="20"/>
  <c r="G97" i="20"/>
  <c r="E97" i="20"/>
  <c r="AA96" i="20"/>
  <c r="Y96" i="20"/>
  <c r="W96" i="20"/>
  <c r="U96" i="20"/>
  <c r="S96" i="20"/>
  <c r="Q96" i="20"/>
  <c r="O96" i="20"/>
  <c r="M96" i="20"/>
  <c r="K96" i="20"/>
  <c r="I96" i="20"/>
  <c r="G96" i="20"/>
  <c r="E96" i="20"/>
  <c r="C64" i="34" s="1"/>
  <c r="AA21" i="20"/>
  <c r="AA22" i="20"/>
  <c r="Z56" i="27" s="1"/>
  <c r="AA56" i="27" s="1"/>
  <c r="AA23" i="20"/>
  <c r="Z57" i="27" s="1"/>
  <c r="AA57" i="27" s="1"/>
  <c r="AA24" i="20"/>
  <c r="Z58" i="27" s="1"/>
  <c r="AA58" i="27" s="1"/>
  <c r="AA25" i="20"/>
  <c r="Z59" i="27" s="1"/>
  <c r="AA59" i="27" s="1"/>
  <c r="AA26" i="20"/>
  <c r="Z60" i="27" s="1"/>
  <c r="AA60" i="27" s="1"/>
  <c r="AA27" i="20"/>
  <c r="Z61" i="27" s="1"/>
  <c r="AA61" i="27" s="1"/>
  <c r="AA28" i="20"/>
  <c r="Z62" i="27" s="1"/>
  <c r="AA62" i="27" s="1"/>
  <c r="AA29" i="20"/>
  <c r="Z63" i="27" s="1"/>
  <c r="AA63" i="27" s="1"/>
  <c r="AA30" i="20"/>
  <c r="Z64" i="27" s="1"/>
  <c r="AA64" i="27" s="1"/>
  <c r="AA31" i="20"/>
  <c r="AA38" i="20" s="1"/>
  <c r="AA20" i="20"/>
  <c r="AA19" i="20"/>
  <c r="Y21" i="20"/>
  <c r="Y22" i="20"/>
  <c r="X56" i="27" s="1"/>
  <c r="Y56" i="27" s="1"/>
  <c r="Y23" i="20"/>
  <c r="X57" i="27" s="1"/>
  <c r="Y57" i="27" s="1"/>
  <c r="Y24" i="20"/>
  <c r="X58" i="27" s="1"/>
  <c r="Y58" i="27" s="1"/>
  <c r="Y25" i="20"/>
  <c r="X59" i="27" s="1"/>
  <c r="Y59" i="27" s="1"/>
  <c r="Y26" i="20"/>
  <c r="X60" i="27" s="1"/>
  <c r="Y60" i="27" s="1"/>
  <c r="Y27" i="20"/>
  <c r="X61" i="27" s="1"/>
  <c r="Y61" i="27" s="1"/>
  <c r="Y28" i="20"/>
  <c r="X62" i="27" s="1"/>
  <c r="Y62" i="27" s="1"/>
  <c r="Y29" i="20"/>
  <c r="X63" i="27" s="1"/>
  <c r="Y63" i="27" s="1"/>
  <c r="Y30" i="20"/>
  <c r="X64" i="27" s="1"/>
  <c r="Y64" i="27" s="1"/>
  <c r="Y31" i="20"/>
  <c r="Y38" i="20" s="1"/>
  <c r="Y20" i="20"/>
  <c r="Y19" i="20"/>
  <c r="W21" i="20"/>
  <c r="W22" i="20"/>
  <c r="W23" i="20"/>
  <c r="V57" i="27" s="1"/>
  <c r="W57" i="27" s="1"/>
  <c r="W24" i="20"/>
  <c r="V58" i="27" s="1"/>
  <c r="W58" i="27" s="1"/>
  <c r="W25" i="20"/>
  <c r="V59" i="27" s="1"/>
  <c r="W59" i="27" s="1"/>
  <c r="W26" i="20"/>
  <c r="V60" i="27" s="1"/>
  <c r="W60" i="27" s="1"/>
  <c r="W27" i="20"/>
  <c r="V61" i="27" s="1"/>
  <c r="W61" i="27" s="1"/>
  <c r="W28" i="20"/>
  <c r="V62" i="27" s="1"/>
  <c r="W62" i="27" s="1"/>
  <c r="W29" i="20"/>
  <c r="V63" i="27" s="1"/>
  <c r="W63" i="27" s="1"/>
  <c r="W30" i="20"/>
  <c r="V64" i="27" s="1"/>
  <c r="W64" i="27" s="1"/>
  <c r="W31" i="20"/>
  <c r="W38" i="20" s="1"/>
  <c r="W20" i="20"/>
  <c r="W19" i="20"/>
  <c r="U21" i="20"/>
  <c r="U22" i="20"/>
  <c r="T56" i="27" s="1"/>
  <c r="U56" i="27" s="1"/>
  <c r="U23" i="20"/>
  <c r="T57" i="27" s="1"/>
  <c r="U57" i="27" s="1"/>
  <c r="U24" i="20"/>
  <c r="T58" i="27" s="1"/>
  <c r="U58" i="27" s="1"/>
  <c r="U25" i="20"/>
  <c r="T59" i="27" s="1"/>
  <c r="U59" i="27" s="1"/>
  <c r="U26" i="20"/>
  <c r="T60" i="27" s="1"/>
  <c r="U60" i="27" s="1"/>
  <c r="U27" i="20"/>
  <c r="T61" i="27" s="1"/>
  <c r="U61" i="27" s="1"/>
  <c r="U28" i="20"/>
  <c r="T62" i="27" s="1"/>
  <c r="U62" i="27" s="1"/>
  <c r="U29" i="20"/>
  <c r="T63" i="27" s="1"/>
  <c r="U63" i="27" s="1"/>
  <c r="U30" i="20"/>
  <c r="T64" i="27" s="1"/>
  <c r="U64" i="27" s="1"/>
  <c r="U31" i="20"/>
  <c r="U38" i="20" s="1"/>
  <c r="U20" i="20"/>
  <c r="U19" i="20"/>
  <c r="S21" i="20"/>
  <c r="S22" i="20"/>
  <c r="R56" i="27" s="1"/>
  <c r="S56" i="27" s="1"/>
  <c r="S23" i="20"/>
  <c r="R57" i="27" s="1"/>
  <c r="S57" i="27" s="1"/>
  <c r="S24" i="20"/>
  <c r="R58" i="27" s="1"/>
  <c r="S58" i="27" s="1"/>
  <c r="S25" i="20"/>
  <c r="R59" i="27" s="1"/>
  <c r="S59" i="27" s="1"/>
  <c r="S26" i="20"/>
  <c r="R60" i="27" s="1"/>
  <c r="S60" i="27" s="1"/>
  <c r="S27" i="20"/>
  <c r="R61" i="27" s="1"/>
  <c r="S61" i="27" s="1"/>
  <c r="S28" i="20"/>
  <c r="R62" i="27" s="1"/>
  <c r="S62" i="27" s="1"/>
  <c r="S29" i="20"/>
  <c r="R63" i="27" s="1"/>
  <c r="S63" i="27" s="1"/>
  <c r="S30" i="20"/>
  <c r="R64" i="27" s="1"/>
  <c r="S64" i="27" s="1"/>
  <c r="S31" i="20"/>
  <c r="S38" i="20" s="1"/>
  <c r="S20" i="20"/>
  <c r="S19" i="20"/>
  <c r="Q21" i="20"/>
  <c r="Q22" i="20"/>
  <c r="P56" i="27" s="1"/>
  <c r="Q56" i="27" s="1"/>
  <c r="Q23" i="20"/>
  <c r="P57" i="27" s="1"/>
  <c r="Q57" i="27" s="1"/>
  <c r="Q24" i="20"/>
  <c r="P58" i="27" s="1"/>
  <c r="Q58" i="27" s="1"/>
  <c r="Q25" i="20"/>
  <c r="P59" i="27" s="1"/>
  <c r="Q59" i="27" s="1"/>
  <c r="Q26" i="20"/>
  <c r="P60" i="27" s="1"/>
  <c r="Q60" i="27" s="1"/>
  <c r="Q27" i="20"/>
  <c r="P61" i="27" s="1"/>
  <c r="Q61" i="27" s="1"/>
  <c r="Q28" i="20"/>
  <c r="P62" i="27" s="1"/>
  <c r="Q62" i="27" s="1"/>
  <c r="Q29" i="20"/>
  <c r="P63" i="27" s="1"/>
  <c r="Q63" i="27" s="1"/>
  <c r="Q30" i="20"/>
  <c r="P64" i="27" s="1"/>
  <c r="Q64" i="27" s="1"/>
  <c r="Q31" i="20"/>
  <c r="Q38" i="20" s="1"/>
  <c r="Q20" i="20"/>
  <c r="Q19" i="20"/>
  <c r="O21" i="20"/>
  <c r="O22" i="20"/>
  <c r="O23" i="20"/>
  <c r="N57" i="27" s="1"/>
  <c r="O57" i="27" s="1"/>
  <c r="O24" i="20"/>
  <c r="N58" i="27" s="1"/>
  <c r="O58" i="27" s="1"/>
  <c r="O25" i="20"/>
  <c r="N59" i="27" s="1"/>
  <c r="O59" i="27" s="1"/>
  <c r="O26" i="20"/>
  <c r="N60" i="27" s="1"/>
  <c r="O60" i="27" s="1"/>
  <c r="O27" i="20"/>
  <c r="N61" i="27" s="1"/>
  <c r="O61" i="27" s="1"/>
  <c r="O28" i="20"/>
  <c r="N62" i="27" s="1"/>
  <c r="O62" i="27" s="1"/>
  <c r="O29" i="20"/>
  <c r="N63" i="27" s="1"/>
  <c r="O63" i="27" s="1"/>
  <c r="O30" i="20"/>
  <c r="N64" i="27" s="1"/>
  <c r="O64" i="27" s="1"/>
  <c r="O31" i="20"/>
  <c r="O38" i="20" s="1"/>
  <c r="O20" i="20"/>
  <c r="O19" i="20"/>
  <c r="M20" i="20"/>
  <c r="M21" i="20"/>
  <c r="M22" i="20"/>
  <c r="L56" i="27" s="1"/>
  <c r="M56" i="27" s="1"/>
  <c r="M23" i="20"/>
  <c r="L57" i="27" s="1"/>
  <c r="M57" i="27" s="1"/>
  <c r="M24" i="20"/>
  <c r="L58" i="27" s="1"/>
  <c r="M58" i="27" s="1"/>
  <c r="M25" i="20"/>
  <c r="L59" i="27" s="1"/>
  <c r="M59" i="27" s="1"/>
  <c r="M26" i="20"/>
  <c r="L60" i="27" s="1"/>
  <c r="M60" i="27" s="1"/>
  <c r="M27" i="20"/>
  <c r="L61" i="27" s="1"/>
  <c r="M61" i="27" s="1"/>
  <c r="M28" i="20"/>
  <c r="L62" i="27" s="1"/>
  <c r="M62" i="27" s="1"/>
  <c r="M29" i="20"/>
  <c r="L63" i="27" s="1"/>
  <c r="M63" i="27" s="1"/>
  <c r="M30" i="20"/>
  <c r="L64" i="27" s="1"/>
  <c r="M64" i="27" s="1"/>
  <c r="M31" i="20"/>
  <c r="M38" i="20" s="1"/>
  <c r="M19" i="20"/>
  <c r="K21" i="20"/>
  <c r="K22" i="20"/>
  <c r="J56" i="27" s="1"/>
  <c r="K56" i="27" s="1"/>
  <c r="K23" i="20"/>
  <c r="J57" i="27" s="1"/>
  <c r="K57" i="27" s="1"/>
  <c r="K24" i="20"/>
  <c r="J58" i="27" s="1"/>
  <c r="K58" i="27" s="1"/>
  <c r="K25" i="20"/>
  <c r="J59" i="27" s="1"/>
  <c r="K59" i="27" s="1"/>
  <c r="K26" i="20"/>
  <c r="J60" i="27" s="1"/>
  <c r="K60" i="27" s="1"/>
  <c r="K27" i="20"/>
  <c r="J61" i="27" s="1"/>
  <c r="K61" i="27" s="1"/>
  <c r="K28" i="20"/>
  <c r="J62" i="27" s="1"/>
  <c r="K62" i="27" s="1"/>
  <c r="K29" i="20"/>
  <c r="J63" i="27" s="1"/>
  <c r="K63" i="27" s="1"/>
  <c r="K30" i="20"/>
  <c r="J64" i="27" s="1"/>
  <c r="K64" i="27" s="1"/>
  <c r="K31" i="20"/>
  <c r="K38" i="20" s="1"/>
  <c r="K20" i="20"/>
  <c r="K19" i="20"/>
  <c r="I21" i="20"/>
  <c r="I22" i="20"/>
  <c r="H56" i="27" s="1"/>
  <c r="I56" i="27" s="1"/>
  <c r="I23" i="20"/>
  <c r="H57" i="27" s="1"/>
  <c r="I57" i="27" s="1"/>
  <c r="I24" i="20"/>
  <c r="H58" i="27" s="1"/>
  <c r="I58" i="27" s="1"/>
  <c r="I25" i="20"/>
  <c r="H59" i="27" s="1"/>
  <c r="I59" i="27" s="1"/>
  <c r="I26" i="20"/>
  <c r="H60" i="27" s="1"/>
  <c r="I60" i="27" s="1"/>
  <c r="I27" i="20"/>
  <c r="H61" i="27" s="1"/>
  <c r="I61" i="27" s="1"/>
  <c r="I28" i="20"/>
  <c r="H62" i="27" s="1"/>
  <c r="I62" i="27" s="1"/>
  <c r="I29" i="20"/>
  <c r="H63" i="27" s="1"/>
  <c r="I63" i="27" s="1"/>
  <c r="I30" i="20"/>
  <c r="H64" i="27" s="1"/>
  <c r="I64" i="27" s="1"/>
  <c r="I31" i="20"/>
  <c r="I38" i="20" s="1"/>
  <c r="I20" i="20"/>
  <c r="I19" i="20"/>
  <c r="G20" i="20"/>
  <c r="G21" i="20"/>
  <c r="G22" i="20"/>
  <c r="F56" i="27" s="1"/>
  <c r="G56" i="27" s="1"/>
  <c r="G23" i="20"/>
  <c r="F57" i="27" s="1"/>
  <c r="G57" i="27" s="1"/>
  <c r="G24" i="20"/>
  <c r="F58" i="27" s="1"/>
  <c r="G58" i="27" s="1"/>
  <c r="G25" i="20"/>
  <c r="F59" i="27" s="1"/>
  <c r="G59" i="27" s="1"/>
  <c r="G26" i="20"/>
  <c r="F60" i="27" s="1"/>
  <c r="G60" i="27" s="1"/>
  <c r="G27" i="20"/>
  <c r="F61" i="27" s="1"/>
  <c r="G61" i="27" s="1"/>
  <c r="G28" i="20"/>
  <c r="F62" i="27" s="1"/>
  <c r="G62" i="27" s="1"/>
  <c r="G29" i="20"/>
  <c r="F63" i="27" s="1"/>
  <c r="G63" i="27" s="1"/>
  <c r="G30" i="20"/>
  <c r="F64" i="27" s="1"/>
  <c r="G64" i="27" s="1"/>
  <c r="G31" i="20"/>
  <c r="G38" i="20" s="1"/>
  <c r="G19" i="20"/>
  <c r="E20" i="20"/>
  <c r="E21" i="20"/>
  <c r="E22" i="20"/>
  <c r="D56" i="27" s="1"/>
  <c r="E56" i="27" s="1"/>
  <c r="E23" i="20"/>
  <c r="D57" i="27" s="1"/>
  <c r="E57" i="27" s="1"/>
  <c r="E24" i="20"/>
  <c r="D58" i="27" s="1"/>
  <c r="E58" i="27" s="1"/>
  <c r="E25" i="20"/>
  <c r="D59" i="27" s="1"/>
  <c r="E59" i="27" s="1"/>
  <c r="AB59" i="27" s="1"/>
  <c r="E26" i="20"/>
  <c r="D60" i="27" s="1"/>
  <c r="E60" i="27" s="1"/>
  <c r="E27" i="20"/>
  <c r="D61" i="27" s="1"/>
  <c r="E61" i="27" s="1"/>
  <c r="E28" i="20"/>
  <c r="D62" i="27" s="1"/>
  <c r="E62" i="27" s="1"/>
  <c r="E29" i="20"/>
  <c r="D63" i="27" s="1"/>
  <c r="E63" i="27" s="1"/>
  <c r="E30" i="20"/>
  <c r="D64" i="27" s="1"/>
  <c r="E64" i="27" s="1"/>
  <c r="E31" i="20"/>
  <c r="E38" i="20" s="1"/>
  <c r="AB58" i="27" l="1"/>
  <c r="U35" i="20"/>
  <c r="S58" i="34" s="1"/>
  <c r="T58" i="34" s="1"/>
  <c r="T55" i="27"/>
  <c r="W36" i="20"/>
  <c r="V56" i="27"/>
  <c r="W56" i="27" s="1"/>
  <c r="AB63" i="27"/>
  <c r="AB57" i="27"/>
  <c r="I34" i="20"/>
  <c r="G57" i="34" s="1"/>
  <c r="H54" i="27"/>
  <c r="I54" i="27" s="1"/>
  <c r="K33" i="20"/>
  <c r="I56" i="34" s="1"/>
  <c r="J53" i="27"/>
  <c r="K53" i="27" s="1"/>
  <c r="K35" i="20"/>
  <c r="I58" i="34" s="1"/>
  <c r="J55" i="27"/>
  <c r="M35" i="20"/>
  <c r="K58" i="34" s="1"/>
  <c r="L55" i="27"/>
  <c r="U34" i="20"/>
  <c r="S57" i="34" s="1"/>
  <c r="T54" i="27"/>
  <c r="U54" i="27" s="1"/>
  <c r="W33" i="20"/>
  <c r="U56" i="34" s="1"/>
  <c r="U59" i="34" s="1"/>
  <c r="V53" i="27"/>
  <c r="W53" i="27" s="1"/>
  <c r="W35" i="20"/>
  <c r="U58" i="34" s="1"/>
  <c r="V55" i="27"/>
  <c r="AB64" i="27"/>
  <c r="I33" i="20"/>
  <c r="G56" i="34" s="1"/>
  <c r="G59" i="34" s="1"/>
  <c r="H53" i="27"/>
  <c r="I53" i="27" s="1"/>
  <c r="I35" i="20"/>
  <c r="G58" i="34" s="1"/>
  <c r="H55" i="27"/>
  <c r="S34" i="20"/>
  <c r="Q57" i="34" s="1"/>
  <c r="R54" i="27"/>
  <c r="S54" i="27" s="1"/>
  <c r="U33" i="20"/>
  <c r="S56" i="34" s="1"/>
  <c r="S59" i="34" s="1"/>
  <c r="T53" i="27"/>
  <c r="U53" i="27" s="1"/>
  <c r="E48" i="34"/>
  <c r="T66" i="34"/>
  <c r="V66" i="34"/>
  <c r="F66" i="34"/>
  <c r="P66" i="34"/>
  <c r="D66" i="34"/>
  <c r="J66" i="34"/>
  <c r="Z66" i="34"/>
  <c r="X66" i="34"/>
  <c r="H66" i="34"/>
  <c r="N66" i="34"/>
  <c r="L66" i="34"/>
  <c r="R66" i="34"/>
  <c r="AB62" i="27"/>
  <c r="K34" i="20"/>
  <c r="I57" i="34" s="1"/>
  <c r="J57" i="34" s="1"/>
  <c r="J54" i="27"/>
  <c r="K54" i="27" s="1"/>
  <c r="M33" i="20"/>
  <c r="K56" i="34" s="1"/>
  <c r="L53" i="27"/>
  <c r="M34" i="20"/>
  <c r="K57" i="34" s="1"/>
  <c r="L54" i="27"/>
  <c r="M54" i="27" s="1"/>
  <c r="O36" i="20"/>
  <c r="N56" i="27"/>
  <c r="O56" i="27" s="1"/>
  <c r="AB56" i="27" s="1"/>
  <c r="W34" i="20"/>
  <c r="U57" i="34" s="1"/>
  <c r="V54" i="27"/>
  <c r="W54" i="27" s="1"/>
  <c r="Y33" i="20"/>
  <c r="W56" i="34" s="1"/>
  <c r="X53" i="27"/>
  <c r="Y53" i="27" s="1"/>
  <c r="Y35" i="20"/>
  <c r="W58" i="34" s="1"/>
  <c r="X55" i="27"/>
  <c r="G27" i="38"/>
  <c r="S35" i="20"/>
  <c r="Q58" i="34" s="1"/>
  <c r="R55" i="27"/>
  <c r="V65" i="34"/>
  <c r="P65" i="34"/>
  <c r="D65" i="34"/>
  <c r="Z65" i="34"/>
  <c r="R65" i="34"/>
  <c r="X65" i="34"/>
  <c r="L65" i="34"/>
  <c r="F65" i="34"/>
  <c r="T65" i="34"/>
  <c r="H65" i="34"/>
  <c r="J65" i="34"/>
  <c r="N65" i="34"/>
  <c r="AB61" i="27"/>
  <c r="E35" i="20"/>
  <c r="C58" i="34" s="1"/>
  <c r="C59" i="34" s="1"/>
  <c r="D55" i="27"/>
  <c r="O33" i="20"/>
  <c r="M56" i="34" s="1"/>
  <c r="N53" i="27"/>
  <c r="O35" i="20"/>
  <c r="M58" i="34" s="1"/>
  <c r="N55" i="27"/>
  <c r="Y34" i="20"/>
  <c r="W57" i="34" s="1"/>
  <c r="X57" i="34" s="1"/>
  <c r="X54" i="27"/>
  <c r="Y54" i="27" s="1"/>
  <c r="AA33" i="20"/>
  <c r="Y56" i="34" s="1"/>
  <c r="Z53" i="27"/>
  <c r="AA53" i="27" s="1"/>
  <c r="AA35" i="20"/>
  <c r="Y58" i="34" s="1"/>
  <c r="Z55" i="27"/>
  <c r="G33" i="20"/>
  <c r="E56" i="34" s="1"/>
  <c r="F53" i="27"/>
  <c r="G53" i="27" s="1"/>
  <c r="G34" i="20"/>
  <c r="E57" i="34" s="1"/>
  <c r="F54" i="27"/>
  <c r="G54" i="27" s="1"/>
  <c r="Q34" i="20"/>
  <c r="O57" i="34" s="1"/>
  <c r="P57" i="34" s="1"/>
  <c r="P54" i="27"/>
  <c r="Q54" i="27" s="1"/>
  <c r="S33" i="20"/>
  <c r="Q56" i="34" s="1"/>
  <c r="Q59" i="34" s="1"/>
  <c r="R53" i="27"/>
  <c r="S53" i="27" s="1"/>
  <c r="AB60" i="27"/>
  <c r="E34" i="20"/>
  <c r="C57" i="34" s="1"/>
  <c r="D54" i="27"/>
  <c r="E54" i="27" s="1"/>
  <c r="G35" i="20"/>
  <c r="E58" i="34" s="1"/>
  <c r="F58" i="34" s="1"/>
  <c r="F59" i="34" s="1"/>
  <c r="F55" i="27"/>
  <c r="O34" i="20"/>
  <c r="M57" i="34" s="1"/>
  <c r="N54" i="27"/>
  <c r="O54" i="27" s="1"/>
  <c r="Q33" i="20"/>
  <c r="O56" i="34" s="1"/>
  <c r="P53" i="27"/>
  <c r="Q35" i="20"/>
  <c r="O58" i="34" s="1"/>
  <c r="P58" i="34" s="1"/>
  <c r="P55" i="27"/>
  <c r="AA34" i="20"/>
  <c r="Y57" i="34" s="1"/>
  <c r="Z54" i="27"/>
  <c r="AA54" i="27" s="1"/>
  <c r="J64" i="34"/>
  <c r="J67" i="34" s="1"/>
  <c r="Z64" i="34"/>
  <c r="Z67" i="34" s="1"/>
  <c r="H64" i="34"/>
  <c r="H67" i="34" s="1"/>
  <c r="T64" i="34"/>
  <c r="P64" i="34"/>
  <c r="F64" i="34"/>
  <c r="L64" i="34"/>
  <c r="L67" i="34" s="1"/>
  <c r="R64" i="34"/>
  <c r="R67" i="34" s="1"/>
  <c r="N64" i="34"/>
  <c r="N67" i="34" s="1"/>
  <c r="X64" i="34"/>
  <c r="X67" i="34" s="1"/>
  <c r="V64" i="34"/>
  <c r="V67" i="34" s="1"/>
  <c r="G32" i="37"/>
  <c r="G34" i="37" s="1"/>
  <c r="F23" i="38"/>
  <c r="F28" i="38" s="1"/>
  <c r="I8" i="30"/>
  <c r="I22" i="30" s="1"/>
  <c r="I27" i="30" s="1"/>
  <c r="K8" i="30"/>
  <c r="K22" i="30" s="1"/>
  <c r="K27" i="30" s="1"/>
  <c r="H23" i="38"/>
  <c r="H28" i="38" s="1"/>
  <c r="K25" i="30"/>
  <c r="J26" i="30"/>
  <c r="G29" i="38"/>
  <c r="H30" i="38" s="1"/>
  <c r="G31" i="38"/>
  <c r="G33" i="38" s="1"/>
  <c r="D64" i="34"/>
  <c r="C67" i="34"/>
  <c r="AB109" i="27"/>
  <c r="AB110" i="27"/>
  <c r="AB111" i="27"/>
  <c r="AB112" i="27"/>
  <c r="AB107" i="27"/>
  <c r="AB105" i="27"/>
  <c r="M162" i="20"/>
  <c r="L108" i="27"/>
  <c r="M108" i="27" s="1"/>
  <c r="G162" i="20"/>
  <c r="F108" i="27"/>
  <c r="G108" i="27" s="1"/>
  <c r="O162" i="20"/>
  <c r="N108" i="27"/>
  <c r="O108" i="27" s="1"/>
  <c r="W162" i="20"/>
  <c r="V108" i="27"/>
  <c r="W108" i="27" s="1"/>
  <c r="U162" i="20"/>
  <c r="T108" i="27"/>
  <c r="U108" i="27" s="1"/>
  <c r="I162" i="20"/>
  <c r="H108" i="27"/>
  <c r="I108" i="27" s="1"/>
  <c r="Q162" i="20"/>
  <c r="P108" i="27"/>
  <c r="Q108" i="27" s="1"/>
  <c r="Y162" i="20"/>
  <c r="X108" i="27"/>
  <c r="Y108" i="27" s="1"/>
  <c r="E162" i="20"/>
  <c r="D108" i="27"/>
  <c r="E108" i="27" s="1"/>
  <c r="K162" i="20"/>
  <c r="J108" i="27"/>
  <c r="K108" i="27" s="1"/>
  <c r="S162" i="20"/>
  <c r="R108" i="27"/>
  <c r="S108" i="27" s="1"/>
  <c r="AA162" i="20"/>
  <c r="Z108" i="27"/>
  <c r="AA108" i="27" s="1"/>
  <c r="AB106" i="27"/>
  <c r="M159" i="20"/>
  <c r="L102" i="27"/>
  <c r="M102" i="27" s="1"/>
  <c r="K73" i="34"/>
  <c r="L73" i="34" s="1"/>
  <c r="G159" i="20"/>
  <c r="F102" i="27"/>
  <c r="G102" i="27" s="1"/>
  <c r="E73" i="34"/>
  <c r="F73" i="34" s="1"/>
  <c r="O159" i="20"/>
  <c r="N102" i="27"/>
  <c r="O102" i="27" s="1"/>
  <c r="M73" i="34"/>
  <c r="N73" i="34" s="1"/>
  <c r="W159" i="20"/>
  <c r="V102" i="27"/>
  <c r="W102" i="27" s="1"/>
  <c r="U73" i="34"/>
  <c r="V73" i="34" s="1"/>
  <c r="E159" i="20"/>
  <c r="D102" i="27"/>
  <c r="E102" i="27" s="1"/>
  <c r="C73" i="34"/>
  <c r="D73" i="34" s="1"/>
  <c r="I159" i="20"/>
  <c r="H102" i="27"/>
  <c r="I102" i="27" s="1"/>
  <c r="G73" i="34"/>
  <c r="H73" i="34" s="1"/>
  <c r="Q159" i="20"/>
  <c r="P102" i="27"/>
  <c r="Q102" i="27" s="1"/>
  <c r="O73" i="34"/>
  <c r="P73" i="34" s="1"/>
  <c r="Y159" i="20"/>
  <c r="X102" i="27"/>
  <c r="Y102" i="27" s="1"/>
  <c r="W73" i="34"/>
  <c r="X73" i="34" s="1"/>
  <c r="U159" i="20"/>
  <c r="T102" i="27"/>
  <c r="U102" i="27" s="1"/>
  <c r="S73" i="34"/>
  <c r="T73" i="34" s="1"/>
  <c r="K159" i="20"/>
  <c r="J102" i="27"/>
  <c r="K102" i="27" s="1"/>
  <c r="I73" i="34"/>
  <c r="J73" i="34" s="1"/>
  <c r="S159" i="20"/>
  <c r="R102" i="27"/>
  <c r="S102" i="27" s="1"/>
  <c r="Q73" i="34"/>
  <c r="R73" i="34" s="1"/>
  <c r="AA159" i="20"/>
  <c r="Z102" i="27"/>
  <c r="AA102" i="27" s="1"/>
  <c r="Y73" i="34"/>
  <c r="Z73" i="34" s="1"/>
  <c r="E161" i="20"/>
  <c r="D104" i="27"/>
  <c r="E104" i="27" s="1"/>
  <c r="G161" i="20"/>
  <c r="F104" i="27"/>
  <c r="G104" i="27" s="1"/>
  <c r="O161" i="20"/>
  <c r="N104" i="27"/>
  <c r="O104" i="27" s="1"/>
  <c r="W161" i="20"/>
  <c r="V104" i="27"/>
  <c r="W104" i="27" s="1"/>
  <c r="M161" i="20"/>
  <c r="L104" i="27"/>
  <c r="M104" i="27" s="1"/>
  <c r="I161" i="20"/>
  <c r="H104" i="27"/>
  <c r="I104" i="27" s="1"/>
  <c r="Q161" i="20"/>
  <c r="P104" i="27"/>
  <c r="Q104" i="27" s="1"/>
  <c r="Y161" i="20"/>
  <c r="X104" i="27"/>
  <c r="Y104" i="27" s="1"/>
  <c r="U161" i="20"/>
  <c r="T104" i="27"/>
  <c r="U104" i="27" s="1"/>
  <c r="K161" i="20"/>
  <c r="J104" i="27"/>
  <c r="K104" i="27" s="1"/>
  <c r="S161" i="20"/>
  <c r="R104" i="27"/>
  <c r="S104" i="27" s="1"/>
  <c r="AA161" i="20"/>
  <c r="Z104" i="27"/>
  <c r="AA104" i="27" s="1"/>
  <c r="E160" i="20"/>
  <c r="D103" i="27"/>
  <c r="C74" i="34"/>
  <c r="D74" i="34" s="1"/>
  <c r="G160" i="20"/>
  <c r="F103" i="27"/>
  <c r="E74" i="34"/>
  <c r="F74" i="34" s="1"/>
  <c r="O160" i="20"/>
  <c r="N103" i="27"/>
  <c r="M74" i="34"/>
  <c r="N74" i="34" s="1"/>
  <c r="W160" i="20"/>
  <c r="V103" i="27"/>
  <c r="U74" i="34"/>
  <c r="V74" i="34" s="1"/>
  <c r="M160" i="20"/>
  <c r="L103" i="27"/>
  <c r="K74" i="34"/>
  <c r="L74" i="34" s="1"/>
  <c r="I160" i="20"/>
  <c r="H103" i="27"/>
  <c r="G74" i="34"/>
  <c r="H74" i="34" s="1"/>
  <c r="Q160" i="20"/>
  <c r="P103" i="27"/>
  <c r="O74" i="34"/>
  <c r="P74" i="34" s="1"/>
  <c r="Y160" i="20"/>
  <c r="X103" i="27"/>
  <c r="W74" i="34"/>
  <c r="X74" i="34" s="1"/>
  <c r="U160" i="20"/>
  <c r="T103" i="27"/>
  <c r="S74" i="34"/>
  <c r="T74" i="34" s="1"/>
  <c r="K160" i="20"/>
  <c r="J103" i="27"/>
  <c r="I74" i="34"/>
  <c r="J74" i="34" s="1"/>
  <c r="S160" i="20"/>
  <c r="R103" i="27"/>
  <c r="Q74" i="34"/>
  <c r="R74" i="34" s="1"/>
  <c r="AA160" i="20"/>
  <c r="Z103" i="27"/>
  <c r="Y74" i="34"/>
  <c r="Z74" i="34" s="1"/>
  <c r="W158" i="20"/>
  <c r="V101" i="27"/>
  <c r="W101" i="27" s="1"/>
  <c r="U72" i="34"/>
  <c r="I158" i="20"/>
  <c r="H101" i="27"/>
  <c r="I101" i="27" s="1"/>
  <c r="G72" i="34"/>
  <c r="Q158" i="20"/>
  <c r="P101" i="27"/>
  <c r="O72" i="34"/>
  <c r="Y158" i="20"/>
  <c r="X101" i="27"/>
  <c r="Y101" i="27" s="1"/>
  <c r="W72" i="34"/>
  <c r="O158" i="20"/>
  <c r="N101" i="27"/>
  <c r="M72" i="34"/>
  <c r="K158" i="20"/>
  <c r="J101" i="27"/>
  <c r="K101" i="27" s="1"/>
  <c r="I72" i="34"/>
  <c r="S158" i="20"/>
  <c r="R101" i="27"/>
  <c r="S101" i="27" s="1"/>
  <c r="Q72" i="34"/>
  <c r="AA158" i="20"/>
  <c r="Z101" i="27"/>
  <c r="AA101" i="27" s="1"/>
  <c r="Y72" i="34"/>
  <c r="G158" i="20"/>
  <c r="F101" i="27"/>
  <c r="G101" i="27" s="1"/>
  <c r="E72" i="34"/>
  <c r="E158" i="20"/>
  <c r="D101" i="27"/>
  <c r="E101" i="27" s="1"/>
  <c r="C72" i="34"/>
  <c r="M158" i="20"/>
  <c r="L101" i="27"/>
  <c r="K72" i="34"/>
  <c r="U158" i="20"/>
  <c r="T101" i="27"/>
  <c r="U101" i="27" s="1"/>
  <c r="S72" i="34"/>
  <c r="E36" i="34"/>
  <c r="T57" i="34"/>
  <c r="L57" i="34"/>
  <c r="D57" i="34"/>
  <c r="R57" i="34"/>
  <c r="Z57" i="34"/>
  <c r="H57" i="34"/>
  <c r="V57" i="34"/>
  <c r="N57" i="34"/>
  <c r="F57" i="34"/>
  <c r="Z58" i="34"/>
  <c r="H58" i="34"/>
  <c r="X58" i="34"/>
  <c r="N58" i="34"/>
  <c r="R58" i="34"/>
  <c r="V58" i="34"/>
  <c r="L58" i="34"/>
  <c r="D58" i="34"/>
  <c r="J58" i="34"/>
  <c r="E24" i="34"/>
  <c r="D56" i="34"/>
  <c r="N56" i="34"/>
  <c r="X56" i="34"/>
  <c r="L56" i="34"/>
  <c r="V56" i="34"/>
  <c r="J56" i="34"/>
  <c r="R56" i="34"/>
  <c r="F56" i="34"/>
  <c r="P56" i="34"/>
  <c r="Z56" i="34"/>
  <c r="W37" i="20"/>
  <c r="O37" i="20"/>
  <c r="I36" i="20"/>
  <c r="Q36" i="20"/>
  <c r="Y37" i="20"/>
  <c r="E37" i="20"/>
  <c r="E36" i="20"/>
  <c r="K37" i="20"/>
  <c r="K36" i="20"/>
  <c r="M37" i="20"/>
  <c r="M36" i="20"/>
  <c r="S37" i="20"/>
  <c r="S36" i="20"/>
  <c r="AA37" i="20"/>
  <c r="AA36" i="20"/>
  <c r="I37" i="20"/>
  <c r="Q37" i="20"/>
  <c r="Y36" i="20"/>
  <c r="G37" i="20"/>
  <c r="G36" i="20"/>
  <c r="U37" i="20"/>
  <c r="U36" i="20"/>
  <c r="D9" i="26"/>
  <c r="C9" i="26"/>
  <c r="B9" i="26"/>
  <c r="E70" i="27" l="1"/>
  <c r="E55" i="27"/>
  <c r="K103" i="27"/>
  <c r="K118" i="27"/>
  <c r="G103" i="27"/>
  <c r="G119" i="27" s="1"/>
  <c r="G118" i="27"/>
  <c r="D67" i="34"/>
  <c r="O59" i="34"/>
  <c r="AA70" i="27"/>
  <c r="AA55" i="27"/>
  <c r="O70" i="27"/>
  <c r="O55" i="27"/>
  <c r="I59" i="34"/>
  <c r="AA103" i="27"/>
  <c r="AA119" i="27" s="1"/>
  <c r="AA118" i="27"/>
  <c r="W103" i="27"/>
  <c r="W119" i="27" s="1"/>
  <c r="W118" i="27"/>
  <c r="Q53" i="27"/>
  <c r="Q69" i="27"/>
  <c r="H56" i="34"/>
  <c r="F67" i="34"/>
  <c r="AA71" i="27"/>
  <c r="S70" i="27"/>
  <c r="S55" i="27"/>
  <c r="W59" i="34"/>
  <c r="I70" i="27"/>
  <c r="I55" i="27"/>
  <c r="I71" i="27" s="1"/>
  <c r="W70" i="27"/>
  <c r="W55" i="27"/>
  <c r="M70" i="27"/>
  <c r="M55" i="27"/>
  <c r="U70" i="27"/>
  <c r="U55" i="27"/>
  <c r="U71" i="27" s="1"/>
  <c r="Y70" i="27"/>
  <c r="Y55" i="27"/>
  <c r="Y71" i="27" s="1"/>
  <c r="I103" i="27"/>
  <c r="I119" i="27" s="1"/>
  <c r="I118" i="27"/>
  <c r="O101" i="27"/>
  <c r="O119" i="27" s="1"/>
  <c r="O117" i="27"/>
  <c r="S103" i="27"/>
  <c r="S118" i="27"/>
  <c r="U103" i="27"/>
  <c r="U118" i="27"/>
  <c r="Q103" i="27"/>
  <c r="Q118" i="27"/>
  <c r="M103" i="27"/>
  <c r="M118" i="27"/>
  <c r="O103" i="27"/>
  <c r="O118" i="27"/>
  <c r="E103" i="27"/>
  <c r="AB103" i="27" s="1"/>
  <c r="E118" i="27"/>
  <c r="P67" i="34"/>
  <c r="S71" i="27"/>
  <c r="O53" i="27"/>
  <c r="O71" i="27" s="1"/>
  <c r="O69" i="27"/>
  <c r="M53" i="27"/>
  <c r="M69" i="27"/>
  <c r="Y103" i="27"/>
  <c r="Y118" i="27"/>
  <c r="Y119" i="27" s="1"/>
  <c r="AB54" i="27"/>
  <c r="T56" i="34"/>
  <c r="T59" i="34" s="1"/>
  <c r="Z59" i="34"/>
  <c r="M101" i="27"/>
  <c r="M119" i="27" s="1"/>
  <c r="M117" i="27"/>
  <c r="Q101" i="27"/>
  <c r="Q119" i="27" s="1"/>
  <c r="Q117" i="27"/>
  <c r="T67" i="34"/>
  <c r="Q70" i="27"/>
  <c r="Q55" i="27"/>
  <c r="G70" i="27"/>
  <c r="G55" i="27"/>
  <c r="G71" i="27" s="1"/>
  <c r="E59" i="34"/>
  <c r="Y59" i="34"/>
  <c r="M59" i="34"/>
  <c r="K59" i="34"/>
  <c r="W71" i="27"/>
  <c r="K70" i="27"/>
  <c r="K71" i="27" s="1"/>
  <c r="K55" i="27"/>
  <c r="J30" i="30"/>
  <c r="J32" i="30" s="1"/>
  <c r="J28" i="30"/>
  <c r="K29" i="30" s="1"/>
  <c r="S119" i="27"/>
  <c r="AB108" i="27"/>
  <c r="U119" i="27"/>
  <c r="AB102" i="27"/>
  <c r="AB104" i="27"/>
  <c r="K119" i="27"/>
  <c r="X72" i="34"/>
  <c r="X75" i="34" s="1"/>
  <c r="W75" i="34"/>
  <c r="F72" i="34"/>
  <c r="F75" i="34" s="1"/>
  <c r="E75" i="34"/>
  <c r="N72" i="34"/>
  <c r="N75" i="34" s="1"/>
  <c r="M75" i="34"/>
  <c r="V72" i="34"/>
  <c r="V75" i="34" s="1"/>
  <c r="U75" i="34"/>
  <c r="D72" i="34"/>
  <c r="D75" i="34" s="1"/>
  <c r="C75" i="34"/>
  <c r="J72" i="34"/>
  <c r="J75" i="34" s="1"/>
  <c r="I75" i="34"/>
  <c r="H72" i="34"/>
  <c r="H75" i="34" s="1"/>
  <c r="G75" i="34"/>
  <c r="T72" i="34"/>
  <c r="T75" i="34" s="1"/>
  <c r="S75" i="34"/>
  <c r="Z72" i="34"/>
  <c r="Z75" i="34" s="1"/>
  <c r="Y75" i="34"/>
  <c r="L72" i="34"/>
  <c r="L75" i="34" s="1"/>
  <c r="K75" i="34"/>
  <c r="E119" i="27"/>
  <c r="R72" i="34"/>
  <c r="R75" i="34" s="1"/>
  <c r="Q75" i="34"/>
  <c r="P72" i="34"/>
  <c r="P75" i="34" s="1"/>
  <c r="O75" i="34"/>
  <c r="P59" i="34"/>
  <c r="J59" i="34"/>
  <c r="R59" i="34"/>
  <c r="H59" i="34"/>
  <c r="L59" i="34"/>
  <c r="V59" i="34"/>
  <c r="D59" i="34"/>
  <c r="N59" i="34"/>
  <c r="X59" i="34"/>
  <c r="B145" i="20"/>
  <c r="D145" i="20" s="1"/>
  <c r="B146" i="20"/>
  <c r="D146" i="20" s="1"/>
  <c r="B147" i="20"/>
  <c r="D147" i="20" s="1"/>
  <c r="B148" i="20"/>
  <c r="D148" i="20" s="1"/>
  <c r="B149" i="20"/>
  <c r="D149" i="20" s="1"/>
  <c r="B150" i="20"/>
  <c r="D150" i="20" s="1"/>
  <c r="B151" i="20"/>
  <c r="D151" i="20" s="1"/>
  <c r="B152" i="20"/>
  <c r="D152" i="20" s="1"/>
  <c r="B153" i="20"/>
  <c r="D153" i="20" s="1"/>
  <c r="B154" i="20"/>
  <c r="D154" i="20" s="1"/>
  <c r="B155" i="20"/>
  <c r="D155" i="20" s="1"/>
  <c r="B156" i="20"/>
  <c r="D156" i="20" s="1"/>
  <c r="B144" i="20"/>
  <c r="D144" i="20" s="1"/>
  <c r="B83" i="20"/>
  <c r="D83" i="20" s="1"/>
  <c r="B84" i="20"/>
  <c r="D84" i="20" s="1"/>
  <c r="B85" i="20"/>
  <c r="D85" i="20" s="1"/>
  <c r="B86" i="20"/>
  <c r="D86" i="20" s="1"/>
  <c r="B87" i="20"/>
  <c r="D87" i="20" s="1"/>
  <c r="B88" i="20"/>
  <c r="D88" i="20" s="1"/>
  <c r="B89" i="20"/>
  <c r="D89" i="20" s="1"/>
  <c r="B90" i="20"/>
  <c r="D90" i="20" s="1"/>
  <c r="B91" i="20"/>
  <c r="D91" i="20" s="1"/>
  <c r="B92" i="20"/>
  <c r="D92" i="20" s="1"/>
  <c r="B93" i="20"/>
  <c r="D93" i="20" s="1"/>
  <c r="B94" i="20"/>
  <c r="D94" i="20" s="1"/>
  <c r="B82" i="20"/>
  <c r="D82" i="20" s="1"/>
  <c r="B20" i="20"/>
  <c r="D20" i="20" s="1"/>
  <c r="B21" i="20"/>
  <c r="D21" i="20" s="1"/>
  <c r="B22" i="20"/>
  <c r="D22" i="20" s="1"/>
  <c r="B23" i="20"/>
  <c r="D23" i="20" s="1"/>
  <c r="B24" i="20"/>
  <c r="D24" i="20" s="1"/>
  <c r="B25" i="20"/>
  <c r="D25" i="20" s="1"/>
  <c r="B26" i="20"/>
  <c r="D26" i="20" s="1"/>
  <c r="B27" i="20"/>
  <c r="D27" i="20" s="1"/>
  <c r="B28" i="20"/>
  <c r="D28" i="20" s="1"/>
  <c r="B29" i="20"/>
  <c r="D29" i="20" s="1"/>
  <c r="B30" i="20"/>
  <c r="D30" i="20" s="1"/>
  <c r="B31" i="20"/>
  <c r="D31" i="20" s="1"/>
  <c r="B19" i="20"/>
  <c r="D19" i="20" s="1"/>
  <c r="D7" i="20"/>
  <c r="C7" i="20"/>
  <c r="B7" i="20"/>
  <c r="AB117" i="27" l="1"/>
  <c r="AB55" i="27"/>
  <c r="AB69" i="27"/>
  <c r="Q71" i="27"/>
  <c r="AB70" i="27"/>
  <c r="AB101" i="27"/>
  <c r="M71" i="27"/>
  <c r="AB53" i="27"/>
  <c r="AB118" i="27"/>
  <c r="E71" i="27"/>
  <c r="AB71" i="27" s="1"/>
  <c r="H6" i="27" s="1"/>
  <c r="AB119" i="27"/>
  <c r="J6" i="27" s="1"/>
  <c r="M11" i="21" s="1"/>
  <c r="AA51" i="25"/>
  <c r="H6" i="25" s="1"/>
  <c r="D157" i="20"/>
  <c r="D95" i="20"/>
  <c r="Z144" i="20"/>
  <c r="V144" i="20"/>
  <c r="R144" i="20"/>
  <c r="N144" i="20"/>
  <c r="J144" i="20"/>
  <c r="F144" i="20"/>
  <c r="X144" i="20"/>
  <c r="H144" i="20"/>
  <c r="T144" i="20"/>
  <c r="AB144" i="20"/>
  <c r="L144" i="20"/>
  <c r="P144" i="20"/>
  <c r="Z153" i="20"/>
  <c r="V153" i="20"/>
  <c r="R153" i="20"/>
  <c r="N153" i="20"/>
  <c r="J153" i="20"/>
  <c r="F153" i="20"/>
  <c r="AB153" i="20"/>
  <c r="X153" i="20"/>
  <c r="T153" i="20"/>
  <c r="P153" i="20"/>
  <c r="L153" i="20"/>
  <c r="H153" i="20"/>
  <c r="Z149" i="20"/>
  <c r="V149" i="20"/>
  <c r="R149" i="20"/>
  <c r="N149" i="20"/>
  <c r="J149" i="20"/>
  <c r="F149" i="20"/>
  <c r="AB149" i="20"/>
  <c r="X149" i="20"/>
  <c r="T149" i="20"/>
  <c r="P149" i="20"/>
  <c r="L149" i="20"/>
  <c r="H149" i="20"/>
  <c r="Z145" i="20"/>
  <c r="V145" i="20"/>
  <c r="R145" i="20"/>
  <c r="N145" i="20"/>
  <c r="J145" i="20"/>
  <c r="F145" i="20"/>
  <c r="P145" i="20"/>
  <c r="T145" i="20"/>
  <c r="X145" i="20"/>
  <c r="H145" i="20"/>
  <c r="AB145" i="20"/>
  <c r="L145" i="20"/>
  <c r="Z156" i="20"/>
  <c r="V156" i="20"/>
  <c r="R156" i="20"/>
  <c r="N156" i="20"/>
  <c r="J156" i="20"/>
  <c r="F156" i="20"/>
  <c r="AB156" i="20"/>
  <c r="X156" i="20"/>
  <c r="T156" i="20"/>
  <c r="P156" i="20"/>
  <c r="L156" i="20"/>
  <c r="H156" i="20"/>
  <c r="Z152" i="20"/>
  <c r="V152" i="20"/>
  <c r="R152" i="20"/>
  <c r="N152" i="20"/>
  <c r="J152" i="20"/>
  <c r="F152" i="20"/>
  <c r="AB152" i="20"/>
  <c r="X152" i="20"/>
  <c r="T152" i="20"/>
  <c r="P152" i="20"/>
  <c r="L152" i="20"/>
  <c r="H152" i="20"/>
  <c r="Z148" i="20"/>
  <c r="V148" i="20"/>
  <c r="R148" i="20"/>
  <c r="N148" i="20"/>
  <c r="J148" i="20"/>
  <c r="F148" i="20"/>
  <c r="X148" i="20"/>
  <c r="P148" i="20"/>
  <c r="H148" i="20"/>
  <c r="AB148" i="20"/>
  <c r="T148" i="20"/>
  <c r="L148" i="20"/>
  <c r="Z155" i="20"/>
  <c r="V155" i="20"/>
  <c r="R155" i="20"/>
  <c r="N155" i="20"/>
  <c r="J155" i="20"/>
  <c r="F155" i="20"/>
  <c r="AB155" i="20"/>
  <c r="X155" i="20"/>
  <c r="T155" i="20"/>
  <c r="P155" i="20"/>
  <c r="L155" i="20"/>
  <c r="H155" i="20"/>
  <c r="Z151" i="20"/>
  <c r="V151" i="20"/>
  <c r="R151" i="20"/>
  <c r="N151" i="20"/>
  <c r="J151" i="20"/>
  <c r="F151" i="20"/>
  <c r="AB151" i="20"/>
  <c r="X151" i="20"/>
  <c r="T151" i="20"/>
  <c r="P151" i="20"/>
  <c r="L151" i="20"/>
  <c r="H151" i="20"/>
  <c r="Z147" i="20"/>
  <c r="V147" i="20"/>
  <c r="R147" i="20"/>
  <c r="N147" i="20"/>
  <c r="J147" i="20"/>
  <c r="F147" i="20"/>
  <c r="X147" i="20"/>
  <c r="P147" i="20"/>
  <c r="H147" i="20"/>
  <c r="AB147" i="20"/>
  <c r="T147" i="20"/>
  <c r="L147" i="20"/>
  <c r="Z154" i="20"/>
  <c r="V154" i="20"/>
  <c r="R154" i="20"/>
  <c r="N154" i="20"/>
  <c r="J154" i="20"/>
  <c r="F154" i="20"/>
  <c r="AB154" i="20"/>
  <c r="X154" i="20"/>
  <c r="T154" i="20"/>
  <c r="P154" i="20"/>
  <c r="L154" i="20"/>
  <c r="H154" i="20"/>
  <c r="Z150" i="20"/>
  <c r="V150" i="20"/>
  <c r="R150" i="20"/>
  <c r="N150" i="20"/>
  <c r="J150" i="20"/>
  <c r="F150" i="20"/>
  <c r="L150" i="20"/>
  <c r="AB150" i="20"/>
  <c r="X150" i="20"/>
  <c r="T150" i="20"/>
  <c r="P150" i="20"/>
  <c r="H150" i="20"/>
  <c r="Z146" i="20"/>
  <c r="V146" i="20"/>
  <c r="R146" i="20"/>
  <c r="N146" i="20"/>
  <c r="J146" i="20"/>
  <c r="F146" i="20"/>
  <c r="AB146" i="20"/>
  <c r="X146" i="20"/>
  <c r="H146" i="20"/>
  <c r="T146" i="20"/>
  <c r="L146" i="20"/>
  <c r="P146" i="20"/>
  <c r="AB92" i="20"/>
  <c r="X92" i="20"/>
  <c r="T92" i="20"/>
  <c r="P92" i="20"/>
  <c r="L92" i="20"/>
  <c r="H92" i="20"/>
  <c r="Z92" i="20"/>
  <c r="V92" i="20"/>
  <c r="R92" i="20"/>
  <c r="N92" i="20"/>
  <c r="J92" i="20"/>
  <c r="F92" i="20"/>
  <c r="AB84" i="20"/>
  <c r="X84" i="20"/>
  <c r="T84" i="20"/>
  <c r="P84" i="20"/>
  <c r="L84" i="20"/>
  <c r="H84" i="20"/>
  <c r="F84" i="20"/>
  <c r="Z84" i="20"/>
  <c r="V84" i="20"/>
  <c r="R84" i="20"/>
  <c r="N84" i="20"/>
  <c r="J84" i="20"/>
  <c r="AB91" i="20"/>
  <c r="X91" i="20"/>
  <c r="T91" i="20"/>
  <c r="P91" i="20"/>
  <c r="L91" i="20"/>
  <c r="H91" i="20"/>
  <c r="Z91" i="20"/>
  <c r="V91" i="20"/>
  <c r="R91" i="20"/>
  <c r="N91" i="20"/>
  <c r="J91" i="20"/>
  <c r="F91" i="20"/>
  <c r="AB83" i="20"/>
  <c r="X83" i="20"/>
  <c r="T83" i="20"/>
  <c r="P83" i="20"/>
  <c r="L83" i="20"/>
  <c r="H83" i="20"/>
  <c r="N83" i="20"/>
  <c r="F83" i="20"/>
  <c r="Z83" i="20"/>
  <c r="V83" i="20"/>
  <c r="R83" i="20"/>
  <c r="J83" i="20"/>
  <c r="AB94" i="20"/>
  <c r="X94" i="20"/>
  <c r="T94" i="20"/>
  <c r="P94" i="20"/>
  <c r="L94" i="20"/>
  <c r="H94" i="20"/>
  <c r="Z94" i="20"/>
  <c r="V94" i="20"/>
  <c r="R94" i="20"/>
  <c r="N94" i="20"/>
  <c r="J94" i="20"/>
  <c r="F94" i="20"/>
  <c r="AB90" i="20"/>
  <c r="X90" i="20"/>
  <c r="T90" i="20"/>
  <c r="P90" i="20"/>
  <c r="L90" i="20"/>
  <c r="H90" i="20"/>
  <c r="Z90" i="20"/>
  <c r="V90" i="20"/>
  <c r="R90" i="20"/>
  <c r="N90" i="20"/>
  <c r="J90" i="20"/>
  <c r="F90" i="20"/>
  <c r="AB86" i="20"/>
  <c r="X86" i="20"/>
  <c r="T86" i="20"/>
  <c r="P86" i="20"/>
  <c r="L86" i="20"/>
  <c r="H86" i="20"/>
  <c r="Z86" i="20"/>
  <c r="V86" i="20"/>
  <c r="R86" i="20"/>
  <c r="N86" i="20"/>
  <c r="J86" i="20"/>
  <c r="F86" i="20"/>
  <c r="AB89" i="20"/>
  <c r="X89" i="20"/>
  <c r="T89" i="20"/>
  <c r="P89" i="20"/>
  <c r="L89" i="20"/>
  <c r="H89" i="20"/>
  <c r="Z89" i="20"/>
  <c r="V89" i="20"/>
  <c r="R89" i="20"/>
  <c r="N89" i="20"/>
  <c r="J89" i="20"/>
  <c r="F89" i="20"/>
  <c r="AB88" i="20"/>
  <c r="X88" i="20"/>
  <c r="T88" i="20"/>
  <c r="P88" i="20"/>
  <c r="L88" i="20"/>
  <c r="H88" i="20"/>
  <c r="Z88" i="20"/>
  <c r="V88" i="20"/>
  <c r="R88" i="20"/>
  <c r="N88" i="20"/>
  <c r="J88" i="20"/>
  <c r="F88" i="20"/>
  <c r="AB82" i="20"/>
  <c r="X82" i="20"/>
  <c r="T82" i="20"/>
  <c r="P82" i="20"/>
  <c r="L82" i="20"/>
  <c r="H82" i="20"/>
  <c r="Z82" i="20"/>
  <c r="V82" i="20"/>
  <c r="R82" i="20"/>
  <c r="J82" i="20"/>
  <c r="N82" i="20"/>
  <c r="F82" i="20"/>
  <c r="AB87" i="20"/>
  <c r="X87" i="20"/>
  <c r="T87" i="20"/>
  <c r="P87" i="20"/>
  <c r="L87" i="20"/>
  <c r="H87" i="20"/>
  <c r="Z87" i="20"/>
  <c r="V87" i="20"/>
  <c r="R87" i="20"/>
  <c r="N87" i="20"/>
  <c r="J87" i="20"/>
  <c r="F87" i="20"/>
  <c r="AB93" i="20"/>
  <c r="X93" i="20"/>
  <c r="T93" i="20"/>
  <c r="P93" i="20"/>
  <c r="L93" i="20"/>
  <c r="H93" i="20"/>
  <c r="Z93" i="20"/>
  <c r="V93" i="20"/>
  <c r="R93" i="20"/>
  <c r="N93" i="20"/>
  <c r="J93" i="20"/>
  <c r="F93" i="20"/>
  <c r="AB85" i="20"/>
  <c r="X85" i="20"/>
  <c r="T85" i="20"/>
  <c r="P85" i="20"/>
  <c r="L85" i="20"/>
  <c r="H85" i="20"/>
  <c r="Z85" i="20"/>
  <c r="V85" i="20"/>
  <c r="R85" i="20"/>
  <c r="N85" i="20"/>
  <c r="J85" i="20"/>
  <c r="F85"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AB31" i="20"/>
  <c r="X31" i="20"/>
  <c r="T31" i="20"/>
  <c r="P31" i="20"/>
  <c r="L31" i="20"/>
  <c r="Z31" i="20"/>
  <c r="V31" i="20"/>
  <c r="R31" i="20"/>
  <c r="N31" i="20"/>
  <c r="J31" i="20"/>
  <c r="F31" i="20"/>
  <c r="H31" i="20"/>
  <c r="C25" i="26"/>
  <c r="F27" i="20"/>
  <c r="P27" i="20"/>
  <c r="L27" i="20"/>
  <c r="Z27" i="20"/>
  <c r="V27" i="20"/>
  <c r="R27" i="20"/>
  <c r="N27" i="20"/>
  <c r="J27" i="20"/>
  <c r="AB27" i="20"/>
  <c r="X27" i="20"/>
  <c r="T27" i="20"/>
  <c r="H27" i="20"/>
  <c r="C21" i="26"/>
  <c r="F23" i="20"/>
  <c r="AB23" i="20"/>
  <c r="X23" i="20"/>
  <c r="T23" i="20"/>
  <c r="P23" i="20"/>
  <c r="L23" i="20"/>
  <c r="H23" i="20"/>
  <c r="Z23" i="20"/>
  <c r="V23" i="20"/>
  <c r="R23" i="20"/>
  <c r="N23" i="20"/>
  <c r="J23" i="20"/>
  <c r="C28" i="26"/>
  <c r="Z30" i="20"/>
  <c r="V30" i="20"/>
  <c r="R30" i="20"/>
  <c r="N30" i="20"/>
  <c r="J30" i="20"/>
  <c r="F30" i="20"/>
  <c r="AB30" i="20"/>
  <c r="T30" i="20"/>
  <c r="H30" i="20"/>
  <c r="X30" i="20"/>
  <c r="P30" i="20"/>
  <c r="L30" i="20"/>
  <c r="C24" i="26"/>
  <c r="Z26" i="20"/>
  <c r="V26" i="20"/>
  <c r="R26" i="20"/>
  <c r="N26" i="20"/>
  <c r="J26" i="20"/>
  <c r="X26" i="20"/>
  <c r="P26" i="20"/>
  <c r="L26" i="20"/>
  <c r="F26" i="20"/>
  <c r="AB26" i="20"/>
  <c r="T26" i="20"/>
  <c r="H26" i="20"/>
  <c r="C20" i="26"/>
  <c r="Z22" i="20"/>
  <c r="V22" i="20"/>
  <c r="R22" i="20"/>
  <c r="N22" i="20"/>
  <c r="J22" i="20"/>
  <c r="AB22" i="20"/>
  <c r="X22" i="20"/>
  <c r="T22" i="20"/>
  <c r="P22" i="20"/>
  <c r="H22" i="20"/>
  <c r="F22" i="20"/>
  <c r="L22" i="20"/>
  <c r="C27" i="26"/>
  <c r="F29" i="20"/>
  <c r="N29" i="20"/>
  <c r="AB29" i="20"/>
  <c r="X29" i="20"/>
  <c r="T29" i="20"/>
  <c r="P29" i="20"/>
  <c r="L29" i="20"/>
  <c r="H29" i="20"/>
  <c r="Z29" i="20"/>
  <c r="V29" i="20"/>
  <c r="R29" i="20"/>
  <c r="J29" i="20"/>
  <c r="C23" i="26"/>
  <c r="F25" i="20"/>
  <c r="Z25" i="20"/>
  <c r="V25" i="20"/>
  <c r="R25" i="20"/>
  <c r="N25" i="20"/>
  <c r="AB25" i="20"/>
  <c r="X25" i="20"/>
  <c r="T25" i="20"/>
  <c r="P25" i="20"/>
  <c r="L25" i="20"/>
  <c r="H25" i="20"/>
  <c r="J25"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6" i="26"/>
  <c r="AB28" i="20"/>
  <c r="X28" i="20"/>
  <c r="T28" i="20"/>
  <c r="P28" i="20"/>
  <c r="L28" i="20"/>
  <c r="H28" i="20"/>
  <c r="Z28" i="20"/>
  <c r="V28" i="20"/>
  <c r="R28" i="20"/>
  <c r="N28" i="20"/>
  <c r="J28" i="20"/>
  <c r="F28" i="20"/>
  <c r="C22" i="26"/>
  <c r="AB24" i="20"/>
  <c r="X24" i="20"/>
  <c r="T24" i="20"/>
  <c r="P24" i="20"/>
  <c r="L24" i="20"/>
  <c r="H24" i="20"/>
  <c r="Z24" i="20"/>
  <c r="R24" i="20"/>
  <c r="N24" i="20"/>
  <c r="J24" i="20"/>
  <c r="V24" i="20"/>
  <c r="F24" i="20"/>
  <c r="C18" i="26"/>
  <c r="AB20" i="20"/>
  <c r="X20" i="20"/>
  <c r="T20" i="20"/>
  <c r="P20" i="20"/>
  <c r="L20" i="20"/>
  <c r="H20" i="20"/>
  <c r="V20" i="20"/>
  <c r="Z20" i="20"/>
  <c r="R20" i="20"/>
  <c r="N20" i="20"/>
  <c r="J20" i="20"/>
  <c r="F20" i="20"/>
  <c r="D32" i="20"/>
  <c r="H11" i="38" l="1"/>
  <c r="H12" i="37"/>
  <c r="H26" i="37" s="1"/>
  <c r="H28" i="37" s="1"/>
  <c r="H11" i="29"/>
  <c r="H25" i="29" s="1"/>
  <c r="H27" i="29" s="1"/>
  <c r="G14" i="21"/>
  <c r="K11" i="21"/>
  <c r="B11" i="24"/>
  <c r="K12" i="21"/>
  <c r="B12" i="24"/>
  <c r="G16" i="21"/>
  <c r="D11" i="24"/>
  <c r="D13" i="24" s="1"/>
  <c r="V157" i="20"/>
  <c r="T157" i="20"/>
  <c r="J157" i="20"/>
  <c r="Z157" i="20"/>
  <c r="AB157" i="20"/>
  <c r="P157" i="20"/>
  <c r="H157" i="20"/>
  <c r="N157" i="20"/>
  <c r="F157" i="20"/>
  <c r="N95" i="20"/>
  <c r="L157" i="20"/>
  <c r="X157" i="20"/>
  <c r="R157" i="20"/>
  <c r="T95" i="20"/>
  <c r="X95" i="20"/>
  <c r="L95" i="20"/>
  <c r="Z95" i="20"/>
  <c r="J95" i="20"/>
  <c r="H95" i="20"/>
  <c r="R95" i="20"/>
  <c r="AB95" i="20"/>
  <c r="F95" i="20"/>
  <c r="V95" i="20"/>
  <c r="P95" i="20"/>
  <c r="E30" i="26"/>
  <c r="G12" i="21" s="1"/>
  <c r="G17" i="21" s="1"/>
  <c r="F32" i="20"/>
  <c r="N32" i="20"/>
  <c r="P32" i="20"/>
  <c r="V32" i="20"/>
  <c r="R32" i="20"/>
  <c r="Z32" i="20"/>
  <c r="H32" i="20"/>
  <c r="X32" i="20"/>
  <c r="T32" i="20"/>
  <c r="J32" i="20"/>
  <c r="L32" i="20"/>
  <c r="AB32" i="20"/>
  <c r="D30" i="26"/>
  <c r="F12" i="21" s="1"/>
  <c r="C30" i="26"/>
  <c r="E12" i="21" s="1"/>
  <c r="E17" i="21" s="1"/>
  <c r="E14" i="21" l="1"/>
  <c r="F12" i="37"/>
  <c r="F26" i="37" s="1"/>
  <c r="F11" i="38"/>
  <c r="F11" i="29"/>
  <c r="F25" i="29" s="1"/>
  <c r="F17" i="21"/>
  <c r="F16" i="21"/>
  <c r="H32" i="37"/>
  <c r="H34" i="37" s="1"/>
  <c r="H30" i="37"/>
  <c r="H29" i="29"/>
  <c r="H31" i="29"/>
  <c r="H33" i="29" s="1"/>
  <c r="B13" i="24"/>
  <c r="K10" i="30"/>
  <c r="K24" i="30" s="1"/>
  <c r="K26" i="30" s="1"/>
  <c r="H25" i="38"/>
  <c r="H27" i="38" s="1"/>
  <c r="F12" i="29"/>
  <c r="F26" i="29" s="1"/>
  <c r="F27" i="29" s="1"/>
  <c r="F12" i="38"/>
  <c r="F13" i="37"/>
  <c r="F27" i="37" s="1"/>
  <c r="F28" i="37" s="1"/>
  <c r="E15" i="21"/>
  <c r="E16" i="21" s="1"/>
  <c r="G18" i="21"/>
  <c r="C4" i="33"/>
  <c r="C5" i="33" s="1"/>
  <c r="J4" i="33"/>
  <c r="K28" i="30" l="1"/>
  <c r="K30" i="30"/>
  <c r="K32" i="30" s="1"/>
  <c r="F18" i="21"/>
  <c r="G19" i="21" s="1"/>
  <c r="G20" i="21" s="1"/>
  <c r="G22" i="21" s="1"/>
  <c r="F20" i="21"/>
  <c r="F22" i="21" s="1"/>
  <c r="F25" i="38"/>
  <c r="I10" i="30"/>
  <c r="I24" i="30" s="1"/>
  <c r="H29" i="38"/>
  <c r="H31" i="38"/>
  <c r="H33" i="38" s="1"/>
  <c r="E18" i="21"/>
  <c r="E20" i="21"/>
  <c r="E22" i="21" s="1"/>
  <c r="F30" i="37"/>
  <c r="F32" i="37"/>
  <c r="F34" i="37" s="1"/>
  <c r="F26" i="38"/>
  <c r="I11" i="30"/>
  <c r="I25" i="30" s="1"/>
  <c r="F31" i="29"/>
  <c r="F33" i="29" s="1"/>
  <c r="F29" i="29"/>
  <c r="B10" i="26"/>
  <c r="C8" i="20"/>
  <c r="C10" i="26"/>
  <c r="G28" i="21" l="1"/>
  <c r="G27" i="21"/>
  <c r="I26" i="30"/>
  <c r="F27" i="38"/>
  <c r="F31" i="38"/>
  <c r="F33" i="38" s="1"/>
  <c r="F29" i="38"/>
  <c r="I28" i="30"/>
  <c r="I30" i="30"/>
  <c r="I32" i="30" s="1"/>
  <c r="B8" i="20"/>
  <c r="D8" i="20"/>
  <c r="D10" i="26"/>
</calcChain>
</file>

<file path=xl/sharedStrings.xml><?xml version="1.0" encoding="utf-8"?>
<sst xmlns="http://schemas.openxmlformats.org/spreadsheetml/2006/main" count="2088" uniqueCount="384">
  <si>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</si>
  <si>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</si>
  <si>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</si>
  <si>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</si>
  <si>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</si>
  <si>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</si>
  <si>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</si>
  <si>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</si>
  <si>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</si>
  <si>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</si>
  <si>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</si>
  <si>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</si>
  <si>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</si>
  <si>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</si>
  <si>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</si>
  <si>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</si>
  <si>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</si>
  <si>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</si>
  <si>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</si>
  <si>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</si>
  <si>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</si>
  <si>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</si>
  <si>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</si>
  <si>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</si>
  <si>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</si>
  <si>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</si>
  <si>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</si>
  <si>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</si>
  <si>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</si>
  <si>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</si>
  <si>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AMPLITUD DE LA MEZCLA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</si>
  <si>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</si>
  <si>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</si>
  <si>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</si>
  <si>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</si>
  <si>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</si>
  <si>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</si>
  <si>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</si>
  <si>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</si>
  <si>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</si>
  <si>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Detalle</t>
  </si>
  <si>
    <t>Ingresos</t>
  </si>
  <si>
    <t>Enero</t>
  </si>
  <si>
    <t>Febrero</t>
  </si>
  <si>
    <t>Marzo</t>
  </si>
  <si>
    <t>Abril</t>
  </si>
  <si>
    <t>Mayo</t>
  </si>
  <si>
    <t>Junio</t>
  </si>
  <si>
    <t>Julio</t>
  </si>
  <si>
    <t>Agosto</t>
  </si>
  <si>
    <t>Septiembre</t>
  </si>
  <si>
    <t>Octubre</t>
  </si>
  <si>
    <t>Noviembre</t>
  </si>
  <si>
    <t>Diciembre</t>
  </si>
  <si>
    <t>Proyección de ventas 2019</t>
  </si>
  <si>
    <t>Proyección de ventas 2020</t>
  </si>
  <si>
    <t>Proyección de ventas 2021</t>
  </si>
  <si>
    <t>.</t>
  </si>
  <si>
    <t>Ingresos 2019</t>
  </si>
  <si>
    <t>Ingresos 2020</t>
  </si>
  <si>
    <t>Ingresos 2021</t>
  </si>
  <si>
    <t>TOTALES</t>
  </si>
  <si>
    <t>Ingresos por productos</t>
  </si>
  <si>
    <t>Cantidad</t>
  </si>
  <si>
    <t>Anual</t>
  </si>
  <si>
    <t>Estacionalidad</t>
  </si>
  <si>
    <t>RRHH</t>
  </si>
  <si>
    <t>Concepto</t>
  </si>
  <si>
    <t>Año cero - Kick off</t>
  </si>
  <si>
    <t>Año 2019</t>
  </si>
  <si>
    <t>Sin cambios</t>
  </si>
  <si>
    <t>Infraestructura</t>
  </si>
  <si>
    <t>Instalaciones</t>
  </si>
  <si>
    <t>Capacidad operativa Kick off - Año 2019</t>
  </si>
  <si>
    <t>Capacidad operativa - Año 2020</t>
  </si>
  <si>
    <t>Capacidad operativa - Año 2021</t>
  </si>
  <si>
    <t>Evolución de la participación en el mercado</t>
  </si>
  <si>
    <t>1  clase presencial de 3hs</t>
  </si>
  <si>
    <t>Comentarios</t>
  </si>
  <si>
    <t>9 oficina +15 (taller)</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</si>
  <si>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u/>
        <sz val="12"/>
        <color theme="1"/>
        <rFont val="Calibri"/>
        <family val="2"/>
        <scheme val="minor"/>
      </rPr>
      <t xml:space="preserve">a) </t>
    </r>
    <r>
      <rPr>
        <b/>
        <u/>
        <sz val="12"/>
        <color theme="1"/>
        <rFont val="Calibri"/>
        <family val="2"/>
        <scheme val="minor"/>
      </rPr>
      <t>Efecto Aguinaldo:</t>
    </r>
    <r>
      <rPr>
        <sz val="12"/>
        <color theme="1"/>
        <rFont val="Calibri"/>
        <family val="2"/>
        <scheme val="minor"/>
      </rPr>
      <t xml:space="preserve"> Preveemos mayores ventas en los meses de </t>
    </r>
    <r>
      <rPr>
        <b/>
        <sz val="12"/>
        <color theme="1"/>
        <rFont val="Calibri"/>
        <family val="2"/>
        <scheme val="minor"/>
      </rPr>
      <t xml:space="preserve">enero y julio </t>
    </r>
    <r>
      <rPr>
        <sz val="12"/>
        <color theme="1"/>
        <rFont val="Calibri"/>
        <family val="2"/>
        <scheme val="minor"/>
      </rPr>
      <t xml:space="preserve">cuando las personas que integran nuestro mercado meta perciban su </t>
    </r>
    <r>
      <rPr>
        <b/>
        <sz val="12"/>
        <color theme="1"/>
        <rFont val="Calibri"/>
        <family val="2"/>
        <scheme val="minor"/>
      </rPr>
      <t>Sueldo Anual Complementario</t>
    </r>
    <r>
      <rPr>
        <sz val="12"/>
        <color theme="1"/>
        <rFont val="Calibri"/>
        <family val="2"/>
        <scheme val="minor"/>
      </rPr>
      <t xml:space="preserve"> para destinarlo a gastos en deseos o gustos personales.
</t>
    </r>
    <r>
      <rPr>
        <u/>
        <sz val="12"/>
        <color theme="1"/>
        <rFont val="Calibri"/>
        <family val="2"/>
        <scheme val="minor"/>
      </rPr>
      <t xml:space="preserve">b) </t>
    </r>
    <r>
      <rPr>
        <b/>
        <u/>
        <sz val="12"/>
        <color theme="1"/>
        <rFont val="Calibri"/>
        <family val="2"/>
        <scheme val="minor"/>
      </rPr>
      <t>Condiciones climatológicas:</t>
    </r>
    <r>
      <rPr>
        <sz val="12"/>
        <color theme="1"/>
        <rFont val="Calibri"/>
        <family val="2"/>
        <scheme val="minor"/>
      </rPr>
      <t xml:space="preserve"> Consideramos que  los meses que tienen un clima más agradable para realizar actividades al aire libre impulsará un mayor número de ventas.  Destacamos en este sentido</t>
    </r>
    <r>
      <rPr>
        <b/>
        <sz val="12"/>
        <color theme="1"/>
        <rFont val="Calibri"/>
        <family val="2"/>
        <scheme val="minor"/>
      </rPr>
      <t xml:space="preserve"> la segunda mitad de septiembre, octubre y noviembre</t>
    </r>
    <r>
      <rPr>
        <sz val="12"/>
        <color theme="1"/>
        <rFont val="Calibri"/>
        <family val="2"/>
        <scheme val="minor"/>
      </rPr>
      <t>. En contraste, esperamos que los meses de abril,mayo y junio se registren se esperen una menor cifra de ventas, por lo que se deberán apllcar medidas difusión publicitaria o promociones para atraer a los consumidores.</t>
    </r>
  </si>
  <si>
    <t>(+) 1 puesto de trabajo de oficina</t>
  </si>
  <si>
    <t>(+) 1 computadora de escritorio</t>
  </si>
  <si>
    <t>(+) 1 analista funcional</t>
  </si>
  <si>
    <t>(+) 1 silla</t>
  </si>
  <si>
    <t>(+) 1 escritorio</t>
  </si>
  <si>
    <t>(+) 1 capacitador</t>
  </si>
  <si>
    <t>(+1 ) puesto de trabajo de oficina</t>
  </si>
  <si>
    <t>(+1 ) computadora</t>
  </si>
  <si>
    <t>(+1 ) servicio de telefonía móvil</t>
  </si>
  <si>
    <t>(+1 )  silla</t>
  </si>
  <si>
    <t>(+1 )  escritorio</t>
  </si>
  <si>
    <t>(+) 1  gerente de marketing</t>
  </si>
  <si>
    <t>(+1 )  empleado de soporte técnico</t>
  </si>
  <si>
    <t>(+1 )  notebook</t>
  </si>
  <si>
    <t>(+1 )  puesto de trabajo</t>
  </si>
  <si>
    <t>(+1 )  operario de línea</t>
  </si>
  <si>
    <t>(+1 )  empleado de atención al público</t>
  </si>
  <si>
    <t>(+1 )  puesto de trabajo de oficina</t>
  </si>
  <si>
    <t>(+1 )  puesto de trabajo de producción</t>
  </si>
  <si>
    <t>(+1 )  computadora</t>
  </si>
  <si>
    <t>1 - Descripción del negocio</t>
  </si>
  <si>
    <t>2 - Mercado meta</t>
  </si>
  <si>
    <t>3 - Participación del mercado</t>
  </si>
  <si>
    <t>4 - Otros datos</t>
  </si>
  <si>
    <t>Cant. Total - Agrohome Classic</t>
  </si>
  <si>
    <t>Cant. Total - Agrohome Professional</t>
  </si>
  <si>
    <t>Cant. Total - Línea de insumos</t>
  </si>
  <si>
    <t>Cant. Total - Línea de accesorios de jardín</t>
  </si>
  <si>
    <t>Ingreso Total</t>
  </si>
  <si>
    <t>Cant. Total - Suscripción a talleres</t>
  </si>
  <si>
    <t>Anexo capacidad operativa</t>
  </si>
  <si>
    <t>Costo</t>
  </si>
  <si>
    <t>Corte de tubos de PVC para canaletas</t>
  </si>
  <si>
    <t>Perforación de tubos de PVC para soporte de estructura vertical</t>
  </si>
  <si>
    <t>Corte de lana de roca a medida</t>
  </si>
  <si>
    <t>N° de tarea</t>
  </si>
  <si>
    <t>Embalaje de producto</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</si>
  <si>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</si>
  <si>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</si>
  <si>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</si>
  <si>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</si>
  <si>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</si>
  <si>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</si>
  <si>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</si>
  <si>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</si>
  <si>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</si>
  <si>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</si>
  <si>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</si>
  <si>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</si>
  <si>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</si>
  <si>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</si>
  <si>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Ensamblado de conexiones para fijación de manguera entre niveles</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</si>
  <si>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</si>
  <si>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</si>
  <si>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</si>
  <si>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</si>
  <si>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</si>
  <si>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</si>
  <si>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</si>
  <si>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</si>
  <si>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</si>
  <si>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</si>
  <si>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</si>
  <si>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</si>
  <si>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2019</t>
  </si>
  <si>
    <t>CAPACIDAD OPERATIVA AÑO 2020</t>
  </si>
  <si>
    <t>CAPACIDAD OPERATIVA AÑO 2021</t>
  </si>
  <si>
    <t>ANALISIS CAPACIDAD OPERATIVA ANUAL POR PRODUCTO EN HORAS HOMBRE</t>
  </si>
  <si>
    <t>(+) 6 sillas</t>
  </si>
  <si>
    <t>CONCLUSIÓN</t>
  </si>
  <si>
    <t>Considerando en promedio que un operario trabaja 150 horas mensuales, podemos observar que nuestra capacidad productiva puede ser llevada a cabo por 2 personas hasta diciembre de 2020. Luego se requerirá la contratación de un nuevo operario ya que se superan las 300hs hombres requeridas para los niveles de producción especulados.</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</si>
  <si>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</si>
  <si>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</si>
  <si>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</si>
  <si>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</si>
  <si>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</si>
  <si>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</si>
  <si>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</si>
  <si>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</si>
  <si>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</si>
  <si>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</si>
  <si>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</si>
  <si>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</si>
  <si>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</si>
  <si>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</si>
  <si>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</si>
  <si>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</si>
  <si>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</si>
  <si>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</si>
  <si>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</si>
  <si>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</si>
  <si>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</si>
  <si>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</si>
  <si>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</si>
  <si>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</si>
  <si>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</si>
  <si>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</si>
  <si>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</si>
  <si>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</si>
  <si>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</si>
  <si>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</si>
  <si>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</si>
  <si>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</si>
  <si>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</si>
  <si>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</si>
  <si>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</si>
  <si>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</si>
  <si>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</si>
  <si>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</si>
  <si>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</si>
  <si>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</si>
  <si>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</si>
  <si>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</si>
  <si>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</si>
  <si>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</si>
  <si>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</si>
  <si>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</si>
  <si>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</si>
  <si>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</si>
  <si>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</si>
  <si>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</si>
  <si>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</si>
  <si>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</si>
  <si>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</si>
  <si>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</si>
  <si>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</si>
  <si>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</si>
  <si>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</si>
  <si>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</si>
  <si>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</si>
  <si>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</si>
  <si>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</si>
  <si>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</si>
  <si>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</si>
  <si>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</si>
  <si>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</si>
  <si>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</si>
  <si>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</si>
  <si>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</si>
  <si>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</si>
  <si>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</si>
  <si>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</si>
  <si>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</si>
  <si>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</si>
  <si>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</si>
  <si>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</si>
  <si>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</si>
  <si>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</si>
  <si>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</si>
  <si>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</si>
  <si>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</si>
  <si>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</si>
  <si>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</si>
  <si>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</si>
  <si>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</si>
  <si>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</si>
  <si>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</si>
  <si>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</si>
  <si>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</si>
  <si>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</si>
  <si>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</si>
  <si>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</si>
  <si>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</si>
  <si>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</si>
  <si>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</si>
  <si>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</si>
  <si>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</si>
  <si>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</si>
  <si>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</si>
  <si>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</si>
  <si>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</si>
  <si>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</si>
  <si>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r>
      <t xml:space="preserve">El emprendimiento saldrá al mercado habiendo invertido previamente en:
* </t>
    </r>
    <r>
      <rPr>
        <b/>
        <u/>
        <sz val="14"/>
        <color theme="1"/>
        <rFont val="Calibri"/>
        <family val="2"/>
        <scheme val="minor"/>
      </rPr>
      <t>La plataforma digital</t>
    </r>
    <r>
      <rPr>
        <b/>
        <sz val="14"/>
        <color theme="1"/>
        <rFont val="Calibri"/>
        <family val="2"/>
        <scheme val="minor"/>
      </rPr>
      <t xml:space="preserve">, cuyo desarrollo fue tercerizado con una consultora, será mantenido y ampliado por un reducido equipo de sistemas en una primera instancia.
* </t>
    </r>
    <r>
      <rPr>
        <b/>
        <u/>
        <sz val="14"/>
        <color theme="1"/>
        <rFont val="Calibri"/>
        <family val="2"/>
        <scheme val="minor"/>
      </rPr>
      <t>Alquiler de inmuebles</t>
    </r>
    <r>
      <rPr>
        <b/>
        <sz val="14"/>
        <color theme="1"/>
        <rFont val="Calibri"/>
        <family val="2"/>
        <scheme val="minor"/>
      </rPr>
      <t xml:space="preserve"> para oficina y atención al público (con una sala adaptada para dar los cursos) y otra de mayor dimensión para el montaje de huertas hidropónicas y depósito de todos los productos ofertados.
* </t>
    </r>
    <r>
      <rPr>
        <b/>
        <u/>
        <sz val="14"/>
        <color theme="1"/>
        <rFont val="Calibri"/>
        <family val="2"/>
        <scheme val="minor"/>
      </rPr>
      <t>Distribución</t>
    </r>
    <r>
      <rPr>
        <b/>
        <sz val="14"/>
        <color theme="1"/>
        <rFont val="Calibri"/>
        <family val="2"/>
        <scheme val="minor"/>
      </rPr>
      <t>: Se contará con 2 camionetas para el envío de los kits de huertas hidropónicas. El resto de los productos de menor tamaño será tercerizado a través de Mercado Envíos.
Además:
* Los talleres prácticos de hidroponía se llevarán a cabo por un capacitador 2 veces por semana, ofreciendo 15 cupos como máximo por clase.
* En noviembre se incorporará a un analista funcional para iniciar proyectos de mejoras del sistema.
* El jefe de producción y un operario técnico especializado podrán afrontar la capacidad operativa de producción según la demanda estimada.</t>
    </r>
  </si>
  <si>
    <t>Silla de escritorio regulable</t>
  </si>
  <si>
    <t>Notebook Asus Amd A6-9225</t>
  </si>
  <si>
    <t>(+5)  estantería</t>
  </si>
  <si>
    <t>(+1)  recambio de herramientas</t>
  </si>
  <si>
    <t>Amortización</t>
  </si>
  <si>
    <t>Rubro</t>
  </si>
  <si>
    <t>Año cero</t>
  </si>
  <si>
    <t>Taladro y amoladora</t>
  </si>
  <si>
    <t>Amortización
( en años )</t>
  </si>
  <si>
    <t>Valor de adquisiciones</t>
  </si>
  <si>
    <t>Estantería Metálica 42x90x2mts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</si>
  <si>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</si>
  <si>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</si>
  <si>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</si>
  <si>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</si>
  <si>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</si>
  <si>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</si>
  <si>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</si>
  <si>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</si>
  <si>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</si>
  <si>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</si>
  <si>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</si>
  <si>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</si>
  <si>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</si>
  <si>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</si>
  <si>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</si>
  <si>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</si>
  <si>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</si>
  <si>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</si>
  <si>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</si>
  <si>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</si>
  <si>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</si>
  <si>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</si>
  <si>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</si>
  <si>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</si>
  <si>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</si>
  <si>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</si>
  <si>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</si>
  <si>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</si>
  <si>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</si>
  <si>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</si>
  <si>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</si>
  <si>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</si>
  <si>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</si>
  <si>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</si>
  <si>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</si>
  <si>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</si>
  <si>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</si>
  <si>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</si>
  <si>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</si>
  <si>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</si>
  <si>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</si>
  <si>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</si>
  <si>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</si>
  <si>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</si>
  <si>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</si>
  <si>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</si>
  <si>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</si>
  <si>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</si>
  <si>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</si>
  <si>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</si>
  <si>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</si>
  <si>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</si>
  <si>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</si>
  <si>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</si>
  <si>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</si>
  <si>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</si>
  <si>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</si>
  <si>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</si>
  <si>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</si>
  <si>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</si>
  <si>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</si>
  <si>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</si>
  <si>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</si>
  <si>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</si>
  <si>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</si>
  <si>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</si>
  <si>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</si>
  <si>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</si>
  <si>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</si>
  <si>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</si>
  <si>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</si>
  <si>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</si>
  <si>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</si>
  <si>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</si>
  <si>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</si>
  <si>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</si>
  <si>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</si>
  <si>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</si>
  <si>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</si>
  <si>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</si>
  <si>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</si>
  <si>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</si>
  <si>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</si>
  <si>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</si>
  <si>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</si>
  <si>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</si>
  <si>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</si>
  <si>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</si>
  <si>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</si>
  <si>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</si>
  <si>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</si>
  <si>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</si>
  <si>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</si>
  <si>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</si>
  <si>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</si>
  <si>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</si>
  <si>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t>* En mayo se contratará a un especilista en marketing para ejecutar planes de acción de promociones y RRPP para posicionar mejor a nuestra empresa y alcanzar el objetivo planificado en el último ejercicio. 
* En julio se invierte ampliando las estanterías del depósito y en compra de nuevas herramientas.
* En diciembre se incoporará un capacitador por la proyección del aumento de la demanda de los cursos y en conjunto se ampliará la sala con 5 vacantes nuevas.
* En diciembre se contratará a un operario de producción ya que la demanda de productos fabricados superará la capacidad operativa de los operarios actuales.</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</si>
  <si>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</si>
  <si>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</si>
  <si>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r>
      <t xml:space="preserve">Docentes: </t>
    </r>
    <r>
      <rPr>
        <sz val="14"/>
        <color theme="1"/>
        <rFont val="Arial"/>
        <family val="2"/>
      </rPr>
      <t>Scali, Jorge</t>
    </r>
  </si>
  <si>
    <t>Clientes</t>
  </si>
  <si>
    <t>Gasto promedio</t>
  </si>
  <si>
    <r>
      <t xml:space="preserve">El objetivo estratégico de nuestro emprendimiento es el de alcanzar el </t>
    </r>
    <r>
      <rPr>
        <b/>
        <sz val="14"/>
        <color theme="1"/>
        <rFont val="Calibri"/>
        <family val="2"/>
        <scheme val="minor"/>
      </rPr>
      <t>9%</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</si>
  <si>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Linea A</t>
  </si>
  <si>
    <t>Linea B</t>
  </si>
  <si>
    <t>Linea C</t>
  </si>
  <si>
    <t>Linea E</t>
  </si>
  <si>
    <t xml:space="preserve">Cant. Total -  </t>
  </si>
  <si>
    <t xml:space="preserve">Producción de </t>
  </si>
  <si>
    <t>MODELO: XXXX</t>
  </si>
  <si>
    <t xml:space="preserve">MODELO: </t>
  </si>
  <si>
    <t xml:space="preserve">Modelo </t>
  </si>
  <si>
    <t>Local comercial d</t>
  </si>
  <si>
    <t xml:space="preserve">Publicidad </t>
  </si>
  <si>
    <r>
      <t xml:space="preserve">Alumno: </t>
    </r>
    <r>
      <rPr>
        <sz val="14"/>
        <color theme="1"/>
        <rFont val="Arial"/>
        <family val="2"/>
      </rPr>
      <t>Sobrero, Martin</t>
    </r>
  </si>
  <si>
    <r>
      <t xml:space="preserve">Legajo: </t>
    </r>
    <r>
      <rPr>
        <sz val="14"/>
        <color theme="1"/>
        <rFont val="Arial"/>
        <family val="2"/>
      </rPr>
      <t>77077</t>
    </r>
  </si>
  <si>
    <r>
      <t xml:space="preserve">Comisión: </t>
    </r>
    <r>
      <rPr>
        <sz val="14"/>
        <color theme="1"/>
        <rFont val="Arial"/>
        <family val="2"/>
      </rPr>
      <t>5A</t>
    </r>
  </si>
  <si>
    <r>
      <t xml:space="preserve">Localización: </t>
    </r>
    <r>
      <rPr>
        <sz val="14"/>
        <color theme="1"/>
        <rFont val="Arial"/>
        <family val="2"/>
      </rPr>
      <t>Centro</t>
    </r>
  </si>
  <si>
    <r>
      <t xml:space="preserve">Email: </t>
    </r>
    <r>
      <rPr>
        <sz val="14"/>
        <color theme="1"/>
        <rFont val="Arial"/>
        <family val="2"/>
      </rPr>
      <t>martin.sobrero.m@gmail.com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</si>
</sst>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quot;$&quot;\ #,##0.00;[Red]\-&quot;$&quot;\ #,##0.00"/>
    <numFmt numFmtId="165" formatCode="_-&quot;$&quot;\ * #,##0.00_-;\-&quot;$&quot;\ * #,##0.00_-;_-&quot;$&quot;\ * &quot;-&quot;??_-;_-@_-"/>
    <numFmt numFmtId="166" formatCode="_-* #,##0.00\ _€_-;\-* #,##0.00\ _€_-;_-* &quot;-&quot;??\ _€_-;_-@_-"/>
    <numFmt numFmtId="167" formatCode="0.0%"/>
    <numFmt numFmtId="168" formatCode="General_)"/>
    <numFmt numFmtId="169" formatCode="_-* #,##0\ _€_-;\-* #,##0\ _€_-;_-* &quot;-&quot;??\ _€_-;_-@_-"/>
    <numFmt numFmtId="170" formatCode="_ [$$-2C0A]\ * #,##0.00_ ;_ [$$-2C0A]\ * \-#,##0.00_ ;_ [$$-2C0A]\ * &quot;-&quot;??_ ;_ @_ "/>
    <numFmt numFmtId="171" formatCode="&quot;$&quot;\ #,##0.00"/>
    <numFmt numFmtId="172" formatCode="#,##0_ ;\-#,##0\ "/>
    <numFmt numFmtId="173" formatCode="&quot;$&quot;#,##0.00"/>
    <numFmt numFmtId="174" formatCode="_ &quot;$&quot;\ * #,##0.00_ ;_ &quot;$&quot;\ * \-#,##0.00_ ;_ &quot;$&quot;\ * &quot;-&quot;??_ ;_ @_ "/>
    <numFmt numFmtId="175" formatCode="&quot;$&quot;#,##0;[Red]\-&quot;$&quot;#,##0"/>
  </numFmts>
  <fonts count="29"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u/>
      <sz val="12"/>
      <color theme="1"/>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rgb="FFC5E0B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medium">
        <color theme="8" tint="0.59996337778862885"/>
      </left>
      <right style="medium">
        <color theme="8" tint="0.59996337778862885"/>
      </right>
      <top style="medium">
        <color theme="8" tint="0.59996337778862885"/>
      </top>
      <bottom/>
      <diagonal/>
    </border>
    <border>
      <left style="medium">
        <color theme="8" tint="0.59996337778862885"/>
      </left>
      <right style="medium">
        <color theme="8" tint="0.59996337778862885"/>
      </right>
      <top/>
      <bottom/>
      <diagonal/>
    </border>
    <border>
      <left style="medium">
        <color theme="8" tint="0.59996337778862885"/>
      </left>
      <right style="medium">
        <color theme="8" tint="0.59996337778862885"/>
      </right>
      <top/>
      <bottom style="medium">
        <color theme="8" tint="0.59996337778862885"/>
      </bottom>
      <diagonal/>
    </border>
    <border>
      <left style="double">
        <color theme="8" tint="0.39994506668294322"/>
      </left>
      <right style="double">
        <color theme="8" tint="0.39994506668294322"/>
      </right>
      <top style="double">
        <color theme="8" tint="0.39994506668294322"/>
      </top>
      <bottom style="double">
        <color theme="8" tint="0.39994506668294322"/>
      </bottom>
      <diagonal/>
    </border>
    <border>
      <left style="double">
        <color theme="8" tint="0.39994506668294322"/>
      </left>
      <right/>
      <top style="double">
        <color theme="8" tint="0.39994506668294322"/>
      </top>
      <bottom style="double">
        <color theme="8" tint="0.39994506668294322"/>
      </bottom>
      <diagonal/>
    </border>
    <border>
      <left/>
      <right/>
      <top style="double">
        <color theme="8" tint="0.39994506668294322"/>
      </top>
      <bottom style="double">
        <color theme="8" tint="0.39994506668294322"/>
      </bottom>
      <diagonal/>
    </border>
    <border>
      <left style="medium">
        <color theme="8" tint="0.59996337778862885"/>
      </left>
      <right/>
      <top style="medium">
        <color theme="8" tint="0.59996337778862885"/>
      </top>
      <bottom style="medium">
        <color theme="8" tint="0.59996337778862885"/>
      </bottom>
      <diagonal/>
    </border>
    <border>
      <left/>
      <right/>
      <top style="medium">
        <color theme="8" tint="0.59996337778862885"/>
      </top>
      <bottom style="medium">
        <color theme="8" tint="0.59996337778862885"/>
      </bottom>
      <diagonal/>
    </border>
    <border>
      <left/>
      <right style="medium">
        <color theme="8" tint="0.59996337778862885"/>
      </right>
      <top style="medium">
        <color theme="8" tint="0.59996337778862885"/>
      </top>
      <bottom style="medium">
        <color theme="8" tint="0.59996337778862885"/>
      </bottom>
      <diagonal/>
    </border>
    <border>
      <left style="thin">
        <color theme="8" tint="0.59996337778862885"/>
      </left>
      <right/>
      <top style="medium">
        <color theme="8" tint="0.59996337778862885"/>
      </top>
      <bottom style="thin">
        <color theme="8" tint="0.59996337778862885"/>
      </bottom>
      <diagonal/>
    </border>
    <border>
      <left/>
      <right/>
      <top style="medium">
        <color theme="8" tint="0.59996337778862885"/>
      </top>
      <bottom style="thin">
        <color theme="8" tint="0.59996337778862885"/>
      </bottom>
      <diagonal/>
    </border>
    <border>
      <left/>
      <right style="thin">
        <color theme="8" tint="0.59996337778862885"/>
      </right>
      <top style="medium">
        <color theme="8" tint="0.59996337778862885"/>
      </top>
      <bottom style="thin">
        <color theme="8" tint="0.59996337778862885"/>
      </bottom>
      <diagonal/>
    </border>
    <border>
      <left style="medium">
        <color theme="8" tint="0.59996337778862885"/>
      </left>
      <right/>
      <top style="medium">
        <color theme="8" tint="0.59996337778862885"/>
      </top>
      <bottom style="medium">
        <color indexed="64"/>
      </bottom>
      <diagonal/>
    </border>
    <border>
      <left/>
      <right style="medium">
        <color theme="8" tint="0.59996337778862885"/>
      </right>
      <top style="medium">
        <color theme="8" tint="0.59996337778862885"/>
      </top>
      <bottom style="medium">
        <color indexed="64"/>
      </bottom>
      <diagonal/>
    </border>
  </borders>
  <cellStyleXfs count="7">
    <xf numFmtId="0" fontId="0" fillId="0" borderId="0"/>
    <xf numFmtId="0" fontId="3" fillId="0" borderId="0" applyNumberFormat="0" applyFill="0" applyBorder="0" applyAlignment="0" applyProtection="0"/>
    <xf numFmtId="166" fontId="10" fillId="0" borderId="0" applyFont="0" applyFill="0" applyBorder="0" applyAlignment="0" applyProtection="0"/>
    <xf numFmtId="9" fontId="10" fillId="0" borderId="0" applyFont="0" applyFill="0" applyBorder="0" applyAlignment="0" applyProtection="0"/>
    <xf numFmtId="168" fontId="17" fillId="0" borderId="0"/>
    <xf numFmtId="168" fontId="17" fillId="0" borderId="0"/>
    <xf numFmtId="165" fontId="10" fillId="0" borderId="0" applyFont="0" applyFill="0" applyBorder="0" applyAlignment="0" applyProtection="0"/>
  </cellStyleXfs>
  <cellXfs count="1053">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166" fontId="0" fillId="0" borderId="0" xfId="0" applyNumberFormat="1"/>
    <xf numFmtId="167"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166" fontId="0" fillId="0" borderId="1" xfId="2" applyFont="1" applyBorder="1"/>
    <xf numFmtId="0" fontId="0" fillId="3" borderId="1" xfId="0" applyFill="1" applyBorder="1" applyAlignment="1">
      <alignment horizontal="center" vertical="center"/>
    </xf>
    <xf numFmtId="0" fontId="0" fillId="3" borderId="1" xfId="0" applyFill="1" applyBorder="1"/>
    <xf numFmtId="166" fontId="0" fillId="3" borderId="1" xfId="0" applyNumberFormat="1" applyFill="1" applyBorder="1"/>
    <xf numFmtId="0" fontId="0" fillId="0" borderId="3" xfId="0" applyBorder="1"/>
    <xf numFmtId="0" fontId="0" fillId="0" borderId="0" xfId="0" applyBorder="1"/>
    <xf numFmtId="166" fontId="0" fillId="0" borderId="2" xfId="2" applyFont="1" applyBorder="1"/>
    <xf numFmtId="0" fontId="19" fillId="5" borderId="12"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9" fillId="2" borderId="0" xfId="0" applyFont="1" applyFill="1" applyBorder="1" applyAlignment="1">
      <alignment horizontal="left" vertical="top" wrapText="1"/>
    </xf>
    <xf numFmtId="0" fontId="11" fillId="6" borderId="1" xfId="0" applyFont="1" applyFill="1" applyBorder="1" applyAlignment="1">
      <alignment horizontal="center" vertical="center"/>
    </xf>
    <xf numFmtId="169" fontId="0" fillId="0" borderId="2" xfId="2" applyNumberFormat="1" applyFont="1" applyBorder="1" applyAlignment="1">
      <alignment horizontal="right"/>
    </xf>
    <xf numFmtId="169" fontId="0" fillId="0" borderId="1" xfId="2" applyNumberFormat="1" applyFont="1" applyBorder="1" applyAlignment="1">
      <alignment horizontal="right"/>
    </xf>
    <xf numFmtId="169" fontId="11" fillId="6" borderId="1" xfId="0" applyNumberFormat="1" applyFont="1" applyFill="1" applyBorder="1" applyAlignment="1">
      <alignment horizontal="right"/>
    </xf>
    <xf numFmtId="0" fontId="19" fillId="2" borderId="0" xfId="0" applyFont="1" applyFill="1" applyBorder="1" applyAlignment="1">
      <alignment vertical="center" textRotation="90" wrapText="1"/>
    </xf>
    <xf numFmtId="0" fontId="9" fillId="2" borderId="1" xfId="0" applyFont="1" applyFill="1" applyBorder="1" applyAlignment="1">
      <alignment horizontal="left" vertical="top" wrapText="1"/>
    </xf>
    <xf numFmtId="9" fontId="9" fillId="2" borderId="1" xfId="3" applyFont="1" applyFill="1" applyBorder="1" applyAlignment="1">
      <alignment horizontal="left" vertical="top" wrapText="1"/>
    </xf>
    <xf numFmtId="165" fontId="9" fillId="2" borderId="1" xfId="0" applyNumberFormat="1" applyFont="1" applyFill="1" applyBorder="1" applyAlignment="1">
      <alignment horizontal="left" vertical="top" wrapText="1"/>
    </xf>
    <xf numFmtId="0" fontId="21" fillId="7" borderId="1" xfId="0"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1" fontId="0" fillId="2" borderId="1" xfId="0" applyNumberFormat="1" applyFont="1" applyFill="1" applyBorder="1" applyAlignment="1">
      <alignment horizontal="center"/>
    </xf>
    <xf numFmtId="0" fontId="11" fillId="7" borderId="1" xfId="0" applyFont="1" applyFill="1" applyBorder="1" applyAlignment="1">
      <alignment horizontal="center"/>
    </xf>
    <xf numFmtId="171"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6"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9" fontId="0" fillId="2" borderId="0" xfId="0" applyNumberFormat="1" applyFill="1"/>
    <xf numFmtId="171" fontId="0" fillId="2" borderId="0" xfId="0" applyNumberFormat="1" applyFill="1" applyBorder="1"/>
    <xf numFmtId="165" fontId="0" fillId="2" borderId="0" xfId="0" applyNumberFormat="1" applyFill="1"/>
    <xf numFmtId="165" fontId="0" fillId="10" borderId="24" xfId="6" applyFont="1" applyFill="1" applyBorder="1"/>
    <xf numFmtId="165" fontId="0" fillId="11" borderId="24" xfId="6" applyFont="1" applyFill="1" applyBorder="1"/>
    <xf numFmtId="165" fontId="0" fillId="12" borderId="24" xfId="6" applyFont="1" applyFill="1" applyBorder="1"/>
    <xf numFmtId="169" fontId="0" fillId="10" borderId="33" xfId="2" applyNumberFormat="1" applyFont="1" applyFill="1" applyBorder="1"/>
    <xf numFmtId="165" fontId="0" fillId="10" borderId="43" xfId="6" applyFont="1" applyFill="1" applyBorder="1"/>
    <xf numFmtId="169" fontId="0" fillId="11" borderId="33" xfId="2" applyNumberFormat="1" applyFont="1" applyFill="1" applyBorder="1"/>
    <xf numFmtId="165" fontId="0" fillId="11" borderId="43" xfId="6" applyFont="1" applyFill="1" applyBorder="1"/>
    <xf numFmtId="169" fontId="0" fillId="12" borderId="33" xfId="2" applyNumberFormat="1" applyFont="1" applyFill="1" applyBorder="1"/>
    <xf numFmtId="165" fontId="0" fillId="12" borderId="43" xfId="6" applyFont="1" applyFill="1" applyBorder="1"/>
    <xf numFmtId="166" fontId="9" fillId="10" borderId="30" xfId="2" applyFont="1" applyFill="1" applyBorder="1" applyAlignment="1"/>
    <xf numFmtId="165" fontId="0" fillId="10" borderId="22" xfId="6" applyFont="1" applyFill="1" applyBorder="1"/>
    <xf numFmtId="169" fontId="0" fillId="10" borderId="30" xfId="2" applyNumberFormat="1" applyFont="1" applyFill="1" applyBorder="1"/>
    <xf numFmtId="165" fontId="0" fillId="10" borderId="47" xfId="6" applyFont="1" applyFill="1" applyBorder="1"/>
    <xf numFmtId="166" fontId="9" fillId="10" borderId="33" xfId="2" applyFont="1" applyFill="1" applyBorder="1" applyAlignment="1"/>
    <xf numFmtId="166" fontId="9" fillId="10" borderId="35" xfId="2" applyFont="1" applyFill="1" applyBorder="1" applyAlignment="1"/>
    <xf numFmtId="165" fontId="0" fillId="10" borderId="39" xfId="6" applyFont="1" applyFill="1" applyBorder="1"/>
    <xf numFmtId="169" fontId="0" fillId="10" borderId="35" xfId="2" applyNumberFormat="1" applyFont="1" applyFill="1" applyBorder="1"/>
    <xf numFmtId="165" fontId="0" fillId="10" borderId="44" xfId="6" applyFont="1" applyFill="1" applyBorder="1"/>
    <xf numFmtId="166" fontId="9" fillId="11" borderId="30" xfId="2" applyFont="1" applyFill="1" applyBorder="1" applyAlignment="1"/>
    <xf numFmtId="165" fontId="0" fillId="11" borderId="22" xfId="6" applyFont="1" applyFill="1" applyBorder="1"/>
    <xf numFmtId="169" fontId="0" fillId="11" borderId="30" xfId="2" applyNumberFormat="1" applyFont="1" applyFill="1" applyBorder="1"/>
    <xf numFmtId="165" fontId="0" fillId="11" borderId="47" xfId="6" applyFont="1" applyFill="1" applyBorder="1"/>
    <xf numFmtId="166" fontId="9" fillId="11" borderId="33" xfId="2" applyFont="1" applyFill="1" applyBorder="1" applyAlignment="1">
      <alignment wrapText="1"/>
    </xf>
    <xf numFmtId="166" fontId="9" fillId="11" borderId="33" xfId="2" applyFont="1" applyFill="1" applyBorder="1" applyAlignment="1"/>
    <xf numFmtId="166" fontId="9" fillId="11" borderId="35" xfId="2" applyFont="1" applyFill="1" applyBorder="1" applyAlignment="1"/>
    <xf numFmtId="165" fontId="0" fillId="11" borderId="39" xfId="6" applyFont="1" applyFill="1" applyBorder="1"/>
    <xf numFmtId="169" fontId="0" fillId="11" borderId="35" xfId="2" applyNumberFormat="1" applyFont="1" applyFill="1" applyBorder="1"/>
    <xf numFmtId="165" fontId="0" fillId="11" borderId="44" xfId="6" applyFont="1" applyFill="1" applyBorder="1"/>
    <xf numFmtId="166" fontId="9" fillId="12" borderId="30" xfId="2" applyFont="1" applyFill="1" applyBorder="1" applyAlignment="1"/>
    <xf numFmtId="165" fontId="0" fillId="12" borderId="22" xfId="6" applyFont="1" applyFill="1" applyBorder="1"/>
    <xf numFmtId="169" fontId="0" fillId="12" borderId="30" xfId="2" applyNumberFormat="1" applyFont="1" applyFill="1" applyBorder="1"/>
    <xf numFmtId="165" fontId="0" fillId="12" borderId="47" xfId="6" applyFont="1" applyFill="1" applyBorder="1"/>
    <xf numFmtId="166" fontId="9" fillId="12" borderId="33" xfId="2" applyFont="1" applyFill="1" applyBorder="1" applyAlignment="1"/>
    <xf numFmtId="166" fontId="9" fillId="12" borderId="35" xfId="2" applyFont="1" applyFill="1" applyBorder="1" applyAlignment="1">
      <alignment vertical="center" wrapText="1"/>
    </xf>
    <xf numFmtId="165" fontId="0" fillId="12" borderId="39" xfId="6" applyFont="1" applyFill="1" applyBorder="1"/>
    <xf numFmtId="169" fontId="0" fillId="12" borderId="35" xfId="2" applyNumberFormat="1" applyFont="1" applyFill="1" applyBorder="1"/>
    <xf numFmtId="165" fontId="0" fillId="12" borderId="44" xfId="6" applyFont="1" applyFill="1" applyBorder="1"/>
    <xf numFmtId="165" fontId="0" fillId="13" borderId="20" xfId="6" applyFont="1" applyFill="1" applyBorder="1"/>
    <xf numFmtId="0" fontId="11" fillId="7" borderId="41" xfId="0" applyFont="1" applyFill="1" applyBorder="1" applyAlignment="1">
      <alignment horizontal="center" vertical="center" wrapText="1"/>
    </xf>
    <xf numFmtId="0" fontId="11" fillId="7" borderId="34" xfId="0" applyFont="1" applyFill="1" applyBorder="1" applyAlignment="1">
      <alignment horizontal="center" vertical="center" wrapText="1"/>
    </xf>
    <xf numFmtId="169" fontId="0" fillId="10" borderId="30" xfId="0" applyNumberFormat="1" applyFill="1" applyBorder="1"/>
    <xf numFmtId="169" fontId="0" fillId="10" borderId="33" xfId="0" applyNumberFormat="1" applyFill="1" applyBorder="1"/>
    <xf numFmtId="169" fontId="0" fillId="10" borderId="35" xfId="0" applyNumberFormat="1" applyFill="1" applyBorder="1"/>
    <xf numFmtId="169" fontId="0" fillId="11" borderId="30" xfId="0" applyNumberFormat="1" applyFill="1" applyBorder="1"/>
    <xf numFmtId="169" fontId="0" fillId="11" borderId="33" xfId="0" applyNumberFormat="1" applyFill="1" applyBorder="1"/>
    <xf numFmtId="169" fontId="0" fillId="11" borderId="35" xfId="0" applyNumberFormat="1" applyFill="1" applyBorder="1"/>
    <xf numFmtId="169" fontId="0" fillId="12" borderId="30" xfId="0" applyNumberFormat="1" applyFill="1" applyBorder="1"/>
    <xf numFmtId="169" fontId="0" fillId="12" borderId="33" xfId="0" applyNumberFormat="1" applyFill="1" applyBorder="1"/>
    <xf numFmtId="169" fontId="0" fillId="12" borderId="35" xfId="0" applyNumberFormat="1" applyFill="1" applyBorder="1"/>
    <xf numFmtId="169" fontId="0" fillId="13" borderId="19" xfId="0" applyNumberFormat="1" applyFill="1" applyBorder="1"/>
    <xf numFmtId="169" fontId="0" fillId="10" borderId="47" xfId="0" applyNumberFormat="1" applyFill="1" applyBorder="1"/>
    <xf numFmtId="169" fontId="0" fillId="10" borderId="43" xfId="0" applyNumberFormat="1" applyFill="1" applyBorder="1"/>
    <xf numFmtId="169" fontId="0" fillId="10" borderId="44" xfId="0" applyNumberFormat="1" applyFill="1" applyBorder="1"/>
    <xf numFmtId="169" fontId="0" fillId="11" borderId="47" xfId="0" applyNumberFormat="1" applyFill="1" applyBorder="1"/>
    <xf numFmtId="169" fontId="0" fillId="11" borderId="43" xfId="0" applyNumberFormat="1" applyFill="1" applyBorder="1"/>
    <xf numFmtId="169" fontId="0" fillId="11" borderId="44" xfId="0" applyNumberFormat="1" applyFill="1" applyBorder="1"/>
    <xf numFmtId="169" fontId="0" fillId="12" borderId="47" xfId="0" applyNumberFormat="1" applyFill="1" applyBorder="1"/>
    <xf numFmtId="169" fontId="0" fillId="12" borderId="43" xfId="0" applyNumberFormat="1" applyFill="1" applyBorder="1"/>
    <xf numFmtId="169" fontId="0" fillId="12" borderId="44" xfId="0" applyNumberFormat="1" applyFill="1" applyBorder="1"/>
    <xf numFmtId="169" fontId="0" fillId="13" borderId="20" xfId="0" applyNumberFormat="1" applyFill="1" applyBorder="1"/>
    <xf numFmtId="0" fontId="11" fillId="7" borderId="35" xfId="0" applyFont="1" applyFill="1" applyBorder="1" applyAlignment="1">
      <alignment horizontal="center" vertical="center" wrapText="1"/>
    </xf>
    <xf numFmtId="0" fontId="11" fillId="7" borderId="44" xfId="0" applyFont="1" applyFill="1" applyBorder="1" applyAlignment="1">
      <alignment horizontal="center" vertical="center" wrapText="1"/>
    </xf>
    <xf numFmtId="169" fontId="0" fillId="10" borderId="33" xfId="2" applyNumberFormat="1" applyFont="1" applyFill="1" applyBorder="1" applyAlignment="1">
      <alignment horizontal="center"/>
    </xf>
    <xf numFmtId="169" fontId="0" fillId="11" borderId="33" xfId="2" applyNumberFormat="1" applyFont="1" applyFill="1" applyBorder="1" applyAlignment="1">
      <alignment horizontal="center"/>
    </xf>
    <xf numFmtId="169" fontId="0" fillId="12" borderId="33" xfId="2" applyNumberFormat="1" applyFont="1" applyFill="1" applyBorder="1" applyAlignment="1">
      <alignment horizontal="center"/>
    </xf>
    <xf numFmtId="169" fontId="0" fillId="11" borderId="35" xfId="2" applyNumberFormat="1" applyFont="1" applyFill="1" applyBorder="1" applyAlignment="1">
      <alignment horizontal="center"/>
    </xf>
    <xf numFmtId="169" fontId="0" fillId="10" borderId="30" xfId="2" applyNumberFormat="1" applyFont="1" applyFill="1" applyBorder="1" applyAlignment="1">
      <alignment horizontal="center"/>
    </xf>
    <xf numFmtId="169" fontId="0" fillId="10" borderId="35" xfId="2" applyNumberFormat="1" applyFont="1" applyFill="1" applyBorder="1" applyAlignment="1">
      <alignment horizontal="center"/>
    </xf>
    <xf numFmtId="169" fontId="0" fillId="11" borderId="30" xfId="2" applyNumberFormat="1" applyFont="1" applyFill="1" applyBorder="1" applyAlignment="1">
      <alignment horizontal="center"/>
    </xf>
    <xf numFmtId="169" fontId="0" fillId="11" borderId="42" xfId="2" applyNumberFormat="1" applyFont="1" applyFill="1" applyBorder="1" applyAlignment="1">
      <alignment horizontal="center"/>
    </xf>
    <xf numFmtId="165" fontId="0" fillId="11" borderId="38" xfId="6" applyFont="1" applyFill="1" applyBorder="1"/>
    <xf numFmtId="169" fontId="0" fillId="11" borderId="42" xfId="0" applyNumberFormat="1" applyFill="1" applyBorder="1"/>
    <xf numFmtId="169" fontId="0" fillId="11" borderId="38" xfId="0" applyNumberFormat="1" applyFill="1" applyBorder="1"/>
    <xf numFmtId="169" fontId="0" fillId="12" borderId="30" xfId="2" applyNumberFormat="1" applyFont="1" applyFill="1" applyBorder="1" applyAlignment="1">
      <alignment horizontal="center"/>
    </xf>
    <xf numFmtId="169" fontId="0" fillId="12" borderId="35" xfId="2" applyNumberFormat="1" applyFont="1" applyFill="1" applyBorder="1" applyAlignment="1">
      <alignment horizontal="center"/>
    </xf>
    <xf numFmtId="0" fontId="11" fillId="7" borderId="33" xfId="0" applyFont="1" applyFill="1" applyBorder="1" applyAlignment="1">
      <alignment horizontal="center"/>
    </xf>
    <xf numFmtId="0" fontId="11" fillId="7" borderId="43" xfId="0" applyFont="1" applyFill="1" applyBorder="1" applyAlignment="1">
      <alignment horizontal="center"/>
    </xf>
    <xf numFmtId="9" fontId="0" fillId="2" borderId="33" xfId="0" applyNumberFormat="1" applyFont="1" applyFill="1" applyBorder="1" applyAlignment="1">
      <alignment horizontal="center"/>
    </xf>
    <xf numFmtId="9" fontId="0" fillId="2" borderId="43" xfId="0" applyNumberFormat="1" applyFont="1" applyFill="1" applyBorder="1" applyAlignment="1">
      <alignment horizontal="center"/>
    </xf>
    <xf numFmtId="171" fontId="0" fillId="2" borderId="35" xfId="0" applyNumberFormat="1" applyFont="1" applyFill="1" applyBorder="1" applyAlignment="1">
      <alignment horizontal="center"/>
    </xf>
    <xf numFmtId="171" fontId="0" fillId="2" borderId="36" xfId="0" applyNumberFormat="1" applyFont="1" applyFill="1" applyBorder="1" applyAlignment="1">
      <alignment horizontal="center"/>
    </xf>
    <xf numFmtId="171" fontId="0" fillId="2" borderId="44"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9" fontId="0" fillId="13" borderId="42" xfId="2" applyNumberFormat="1" applyFont="1" applyFill="1" applyBorder="1"/>
    <xf numFmtId="165" fontId="0" fillId="13" borderId="38" xfId="6" applyFont="1" applyFill="1" applyBorder="1"/>
    <xf numFmtId="169" fontId="0" fillId="13" borderId="42" xfId="0" applyNumberFormat="1" applyFill="1" applyBorder="1"/>
    <xf numFmtId="169" fontId="0" fillId="13" borderId="38" xfId="0" applyNumberFormat="1" applyFill="1" applyBorder="1"/>
    <xf numFmtId="170" fontId="12" fillId="10" borderId="1" xfId="0" applyNumberFormat="1" applyFont="1" applyFill="1" applyBorder="1"/>
    <xf numFmtId="170" fontId="12" fillId="11" borderId="1" xfId="0" applyNumberFormat="1" applyFont="1" applyFill="1" applyBorder="1"/>
    <xf numFmtId="170" fontId="12" fillId="11" borderId="1" xfId="0" applyNumberFormat="1" applyFont="1" applyFill="1" applyBorder="1" applyAlignment="1">
      <alignment vertical="center"/>
    </xf>
    <xf numFmtId="170" fontId="12" fillId="12" borderId="1" xfId="0" applyNumberFormat="1" applyFont="1" applyFill="1" applyBorder="1"/>
    <xf numFmtId="0" fontId="12" fillId="7" borderId="26" xfId="0" applyFont="1" applyFill="1" applyBorder="1" applyAlignment="1">
      <alignment horizontal="center"/>
    </xf>
    <xf numFmtId="0" fontId="12" fillId="10" borderId="30" xfId="0" applyFont="1" applyFill="1" applyBorder="1"/>
    <xf numFmtId="170" fontId="12" fillId="10" borderId="31" xfId="0" applyNumberFormat="1" applyFont="1" applyFill="1" applyBorder="1"/>
    <xf numFmtId="0" fontId="0" fillId="10" borderId="47" xfId="0" applyFill="1" applyBorder="1"/>
    <xf numFmtId="0" fontId="12" fillId="10" borderId="33" xfId="0" applyFont="1" applyFill="1" applyBorder="1"/>
    <xf numFmtId="0" fontId="0" fillId="10" borderId="43" xfId="0" applyFill="1" applyBorder="1"/>
    <xf numFmtId="0" fontId="12" fillId="10" borderId="35" xfId="0" applyFont="1" applyFill="1" applyBorder="1"/>
    <xf numFmtId="170" fontId="12" fillId="10" borderId="36" xfId="0" applyNumberFormat="1" applyFont="1" applyFill="1" applyBorder="1"/>
    <xf numFmtId="0" fontId="0" fillId="10" borderId="44" xfId="0" applyFill="1" applyBorder="1"/>
    <xf numFmtId="0" fontId="12" fillId="11" borderId="30" xfId="0" applyFont="1" applyFill="1" applyBorder="1"/>
    <xf numFmtId="170" fontId="12" fillId="11" borderId="31" xfId="0" applyNumberFormat="1" applyFont="1" applyFill="1" applyBorder="1"/>
    <xf numFmtId="0" fontId="0" fillId="11" borderId="47" xfId="0" applyFill="1" applyBorder="1"/>
    <xf numFmtId="0" fontId="12" fillId="11" borderId="33" xfId="0" applyFont="1" applyFill="1" applyBorder="1" applyAlignment="1">
      <alignment vertical="center" wrapText="1"/>
    </xf>
    <xf numFmtId="0" fontId="0" fillId="11" borderId="43" xfId="0" applyFill="1" applyBorder="1" applyAlignment="1">
      <alignment vertical="center" wrapText="1"/>
    </xf>
    <xf numFmtId="0" fontId="12" fillId="11" borderId="33" xfId="0" applyFont="1" applyFill="1" applyBorder="1"/>
    <xf numFmtId="0" fontId="0" fillId="11" borderId="43" xfId="0" applyFill="1" applyBorder="1"/>
    <xf numFmtId="0" fontId="12" fillId="11" borderId="35" xfId="0" applyFont="1" applyFill="1" applyBorder="1"/>
    <xf numFmtId="170" fontId="12" fillId="11" borderId="36" xfId="0" applyNumberFormat="1" applyFont="1" applyFill="1" applyBorder="1"/>
    <xf numFmtId="0" fontId="0" fillId="11" borderId="44" xfId="0" applyFill="1" applyBorder="1"/>
    <xf numFmtId="0" fontId="12" fillId="12" borderId="30" xfId="0" applyFont="1" applyFill="1" applyBorder="1"/>
    <xf numFmtId="170" fontId="12" fillId="12" borderId="31" xfId="0" applyNumberFormat="1" applyFont="1" applyFill="1" applyBorder="1"/>
    <xf numFmtId="0" fontId="0" fillId="12" borderId="47" xfId="0" applyFill="1" applyBorder="1"/>
    <xf numFmtId="0" fontId="12" fillId="12" borderId="33" xfId="0" applyFont="1" applyFill="1" applyBorder="1"/>
    <xf numFmtId="0" fontId="0" fillId="12" borderId="43" xfId="0" applyFill="1" applyBorder="1"/>
    <xf numFmtId="0" fontId="12" fillId="12" borderId="35" xfId="0" applyFont="1" applyFill="1" applyBorder="1" applyAlignment="1">
      <alignment vertical="center" wrapText="1"/>
    </xf>
    <xf numFmtId="170" fontId="12" fillId="12" borderId="36" xfId="0" applyNumberFormat="1" applyFont="1" applyFill="1" applyBorder="1" applyAlignment="1">
      <alignment vertical="center"/>
    </xf>
    <xf numFmtId="0" fontId="0" fillId="12" borderId="44" xfId="0" applyFill="1" applyBorder="1" applyAlignment="1">
      <alignment wrapText="1"/>
    </xf>
    <xf numFmtId="0" fontId="12" fillId="7" borderId="45" xfId="0" applyFont="1" applyFill="1" applyBorder="1" applyAlignment="1">
      <alignment horizontal="center"/>
    </xf>
    <xf numFmtId="0" fontId="12" fillId="7" borderId="46" xfId="0" applyFont="1" applyFill="1" applyBorder="1" applyAlignment="1">
      <alignment horizontal="center"/>
    </xf>
    <xf numFmtId="0" fontId="12" fillId="13" borderId="42" xfId="0" applyFont="1" applyFill="1" applyBorder="1" applyAlignment="1">
      <alignment vertical="center" wrapText="1"/>
    </xf>
    <xf numFmtId="170" fontId="12" fillId="13" borderId="37" xfId="0" applyNumberFormat="1" applyFont="1" applyFill="1" applyBorder="1"/>
    <xf numFmtId="0" fontId="0" fillId="13" borderId="38" xfId="0"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171" fontId="0" fillId="2" borderId="58" xfId="0" applyNumberFormat="1" applyFill="1" applyBorder="1" applyAlignment="1">
      <alignment horizontal="left" wrapText="1"/>
    </xf>
    <xf numFmtId="0" fontId="20" fillId="2" borderId="0" xfId="0" applyFont="1" applyFill="1" applyBorder="1" applyAlignment="1">
      <alignment horizontal="center" vertical="center"/>
    </xf>
    <xf numFmtId="171" fontId="0" fillId="2" borderId="0" xfId="0" applyNumberFormat="1" applyFill="1" applyBorder="1" applyAlignment="1"/>
    <xf numFmtId="0" fontId="0" fillId="2" borderId="0" xfId="0" applyFont="1" applyFill="1" applyBorder="1" applyAlignment="1">
      <alignment horizontal="center" vertical="center"/>
    </xf>
    <xf numFmtId="0" fontId="11" fillId="2" borderId="25" xfId="0" applyFont="1" applyFill="1" applyBorder="1" applyAlignment="1">
      <alignment horizontal="center" vertical="center"/>
    </xf>
    <xf numFmtId="0" fontId="11" fillId="9" borderId="16" xfId="0" applyFont="1" applyFill="1" applyBorder="1" applyAlignment="1">
      <alignment horizontal="center"/>
    </xf>
    <xf numFmtId="0" fontId="11" fillId="9" borderId="53" xfId="0" applyFont="1" applyFill="1" applyBorder="1" applyAlignment="1">
      <alignment horizontal="center"/>
    </xf>
    <xf numFmtId="0" fontId="11" fillId="9" borderId="18" xfId="0" applyFont="1" applyFill="1" applyBorder="1" applyAlignment="1">
      <alignment horizontal="center" vertical="center"/>
    </xf>
    <xf numFmtId="0" fontId="0" fillId="9" borderId="57" xfId="0" applyFill="1" applyBorder="1" applyAlignment="1">
      <alignment horizontal="left" wrapText="1"/>
    </xf>
    <xf numFmtId="0" fontId="11" fillId="0" borderId="25" xfId="0" applyFont="1" applyFill="1" applyBorder="1" applyAlignment="1">
      <alignment horizontal="center" vertical="center"/>
    </xf>
    <xf numFmtId="171" fontId="0" fillId="0" borderId="58" xfId="0" applyNumberFormat="1" applyFill="1" applyBorder="1" applyAlignment="1">
      <alignment horizontal="left" wrapText="1"/>
    </xf>
    <xf numFmtId="0" fontId="9" fillId="2" borderId="0" xfId="0" applyFont="1" applyFill="1" applyBorder="1" applyAlignment="1">
      <alignment horizontal="left" vertical="top" wrapText="1"/>
    </xf>
    <xf numFmtId="0" fontId="11" fillId="9" borderId="25" xfId="0" applyFont="1" applyFill="1" applyBorder="1" applyAlignment="1">
      <alignment horizontal="center" vertical="center"/>
    </xf>
    <xf numFmtId="171" fontId="0" fillId="9" borderId="58" xfId="0" applyNumberFormat="1" applyFill="1" applyBorder="1" applyAlignment="1">
      <alignment horizontal="left" wrapText="1"/>
    </xf>
    <xf numFmtId="0" fontId="11" fillId="9" borderId="56" xfId="0" applyFont="1" applyFill="1" applyBorder="1" applyAlignment="1">
      <alignment horizontal="center" vertical="center"/>
    </xf>
    <xf numFmtId="171" fontId="0" fillId="9" borderId="59" xfId="0" applyNumberFormat="1" applyFill="1" applyBorder="1" applyAlignment="1">
      <alignment horizontal="left" wrapText="1"/>
    </xf>
    <xf numFmtId="171" fontId="0" fillId="9" borderId="57" xfId="0" applyNumberFormat="1" applyFill="1" applyBorder="1" applyAlignment="1">
      <alignment horizontal="left" wrapText="1"/>
    </xf>
    <xf numFmtId="0" fontId="11" fillId="9" borderId="25" xfId="0" applyFont="1" applyFill="1" applyBorder="1" applyAlignment="1">
      <alignment horizontal="center" vertical="center" wrapText="1"/>
    </xf>
    <xf numFmtId="171" fontId="0" fillId="9" borderId="58" xfId="0" applyNumberFormat="1" applyFill="1" applyBorder="1" applyAlignment="1">
      <alignment horizontal="left" vertical="center" wrapText="1"/>
    </xf>
    <xf numFmtId="171" fontId="0" fillId="9" borderId="57" xfId="0" applyNumberFormat="1" applyFill="1" applyBorder="1"/>
    <xf numFmtId="171" fontId="0" fillId="9" borderId="59" xfId="0" applyNumberFormat="1" applyFill="1" applyBorder="1"/>
    <xf numFmtId="0" fontId="20" fillId="6" borderId="53" xfId="0" applyFont="1" applyFill="1" applyBorder="1" applyAlignment="1">
      <alignment horizontal="center" vertical="center"/>
    </xf>
    <xf numFmtId="166" fontId="22" fillId="7" borderId="26" xfId="2" applyFont="1" applyFill="1" applyBorder="1" applyAlignment="1">
      <alignment horizontal="center" vertical="center" wrapText="1"/>
    </xf>
    <xf numFmtId="166" fontId="12" fillId="7" borderId="45" xfId="2" applyFont="1" applyFill="1" applyBorder="1" applyAlignment="1">
      <alignment horizontal="center" wrapText="1"/>
    </xf>
    <xf numFmtId="166" fontId="22" fillId="7" borderId="46" xfId="2" applyFont="1" applyFill="1" applyBorder="1" applyAlignment="1">
      <alignment horizontal="center" vertical="center" wrapText="1"/>
    </xf>
    <xf numFmtId="0" fontId="11" fillId="8" borderId="35" xfId="0" applyFont="1" applyFill="1" applyBorder="1" applyAlignment="1">
      <alignment wrapText="1"/>
    </xf>
    <xf numFmtId="165" fontId="11" fillId="8" borderId="36" xfId="0" applyNumberFormat="1" applyFont="1" applyFill="1" applyBorder="1" applyAlignment="1">
      <alignment wrapText="1"/>
    </xf>
    <xf numFmtId="165" fontId="11" fillId="8" borderId="44" xfId="0" applyNumberFormat="1" applyFont="1" applyFill="1" applyBorder="1" applyAlignment="1">
      <alignment wrapText="1"/>
    </xf>
    <xf numFmtId="166" fontId="12" fillId="14" borderId="30" xfId="2" applyFont="1" applyFill="1" applyBorder="1" applyAlignment="1">
      <alignment horizontal="left" wrapText="1"/>
    </xf>
    <xf numFmtId="165" fontId="0" fillId="14" borderId="31" xfId="0" applyNumberFormat="1" applyFill="1" applyBorder="1" applyAlignment="1">
      <alignment wrapText="1"/>
    </xf>
    <xf numFmtId="165" fontId="0" fillId="14" borderId="47" xfId="0" applyNumberFormat="1" applyFill="1" applyBorder="1" applyAlignment="1">
      <alignment wrapText="1"/>
    </xf>
    <xf numFmtId="166" fontId="12" fillId="14" borderId="33" xfId="2" applyFont="1" applyFill="1" applyBorder="1" applyAlignment="1">
      <alignment horizontal="left" wrapText="1"/>
    </xf>
    <xf numFmtId="165" fontId="0" fillId="14" borderId="1" xfId="0" applyNumberFormat="1" applyFill="1" applyBorder="1" applyAlignment="1">
      <alignment wrapText="1"/>
    </xf>
    <xf numFmtId="165" fontId="0" fillId="14" borderId="43" xfId="0" applyNumberFormat="1" applyFill="1" applyBorder="1" applyAlignment="1">
      <alignment wrapText="1"/>
    </xf>
    <xf numFmtId="166" fontId="12" fillId="14" borderId="35" xfId="2" applyFont="1" applyFill="1" applyBorder="1" applyAlignment="1">
      <alignment horizontal="left" wrapText="1"/>
    </xf>
    <xf numFmtId="165" fontId="0" fillId="14" borderId="36" xfId="0" applyNumberFormat="1" applyFill="1" applyBorder="1" applyAlignment="1">
      <alignment wrapText="1"/>
    </xf>
    <xf numFmtId="165" fontId="0" fillId="14" borderId="44" xfId="0" applyNumberFormat="1" applyFill="1" applyBorder="1" applyAlignment="1">
      <alignment wrapText="1"/>
    </xf>
    <xf numFmtId="166" fontId="12" fillId="11" borderId="30" xfId="2" applyFont="1" applyFill="1" applyBorder="1" applyAlignment="1">
      <alignment horizontal="left" wrapText="1"/>
    </xf>
    <xf numFmtId="165" fontId="0" fillId="11" borderId="31" xfId="0" applyNumberFormat="1" applyFill="1" applyBorder="1" applyAlignment="1">
      <alignment wrapText="1"/>
    </xf>
    <xf numFmtId="165" fontId="0" fillId="11" borderId="47" xfId="0" applyNumberFormat="1" applyFill="1" applyBorder="1" applyAlignment="1">
      <alignment wrapText="1"/>
    </xf>
    <xf numFmtId="166" fontId="12" fillId="11" borderId="33" xfId="2" applyFont="1" applyFill="1" applyBorder="1" applyAlignment="1">
      <alignment horizontal="left" wrapText="1"/>
    </xf>
    <xf numFmtId="165" fontId="0" fillId="11" borderId="1" xfId="0" applyNumberFormat="1" applyFill="1" applyBorder="1" applyAlignment="1">
      <alignment wrapText="1"/>
    </xf>
    <xf numFmtId="165" fontId="0" fillId="11" borderId="43" xfId="0" applyNumberFormat="1" applyFill="1" applyBorder="1" applyAlignment="1">
      <alignment wrapText="1"/>
    </xf>
    <xf numFmtId="166" fontId="12" fillId="11" borderId="35" xfId="2" applyFont="1" applyFill="1" applyBorder="1" applyAlignment="1">
      <alignment horizontal="left" wrapText="1"/>
    </xf>
    <xf numFmtId="165" fontId="0" fillId="11" borderId="36" xfId="0" applyNumberFormat="1" applyFill="1" applyBorder="1" applyAlignment="1">
      <alignment wrapText="1"/>
    </xf>
    <xf numFmtId="165" fontId="0" fillId="11" borderId="44" xfId="0" applyNumberFormat="1" applyFill="1" applyBorder="1" applyAlignment="1">
      <alignment wrapText="1"/>
    </xf>
    <xf numFmtId="166" fontId="12" fillId="7" borderId="30" xfId="2" applyFont="1" applyFill="1" applyBorder="1" applyAlignment="1">
      <alignment horizontal="left" wrapText="1"/>
    </xf>
    <xf numFmtId="165" fontId="0" fillId="7" borderId="31" xfId="0" applyNumberFormat="1" applyFill="1" applyBorder="1" applyAlignment="1">
      <alignment wrapText="1"/>
    </xf>
    <xf numFmtId="165" fontId="0" fillId="7" borderId="47" xfId="0" applyNumberFormat="1" applyFill="1" applyBorder="1" applyAlignment="1">
      <alignment wrapText="1"/>
    </xf>
    <xf numFmtId="166" fontId="12" fillId="7" borderId="33" xfId="2" applyFont="1" applyFill="1" applyBorder="1" applyAlignment="1">
      <alignment horizontal="left" wrapText="1"/>
    </xf>
    <xf numFmtId="165" fontId="0" fillId="7" borderId="1" xfId="0" applyNumberFormat="1" applyFill="1" applyBorder="1" applyAlignment="1">
      <alignment wrapText="1"/>
    </xf>
    <xf numFmtId="165" fontId="0" fillId="7" borderId="43" xfId="0" applyNumberFormat="1" applyFill="1" applyBorder="1" applyAlignment="1">
      <alignment wrapText="1"/>
    </xf>
    <xf numFmtId="166" fontId="12" fillId="7" borderId="35" xfId="2" applyFont="1" applyFill="1" applyBorder="1" applyAlignment="1">
      <alignment horizontal="left" vertical="center" wrapText="1"/>
    </xf>
    <xf numFmtId="165" fontId="0" fillId="7" borderId="36" xfId="0" applyNumberFormat="1" applyFill="1" applyBorder="1" applyAlignment="1">
      <alignment wrapText="1"/>
    </xf>
    <xf numFmtId="165" fontId="0" fillId="7" borderId="44" xfId="0" applyNumberFormat="1" applyFill="1" applyBorder="1" applyAlignment="1">
      <alignment wrapText="1"/>
    </xf>
    <xf numFmtId="166" fontId="12" fillId="13" borderId="61" xfId="2" applyFont="1" applyFill="1" applyBorder="1" applyAlignment="1">
      <alignment horizontal="left" vertical="center" wrapText="1"/>
    </xf>
    <xf numFmtId="165" fontId="0" fillId="13" borderId="3" xfId="0" applyNumberFormat="1" applyFill="1" applyBorder="1" applyAlignment="1">
      <alignment wrapText="1"/>
    </xf>
    <xf numFmtId="165" fontId="0" fillId="13" borderId="62" xfId="0" applyNumberFormat="1" applyFill="1" applyBorder="1" applyAlignment="1">
      <alignment wrapText="1"/>
    </xf>
    <xf numFmtId="0" fontId="20" fillId="15" borderId="0" xfId="0" applyFont="1" applyFill="1" applyBorder="1" applyAlignment="1">
      <alignment horizontal="center" vertical="center"/>
    </xf>
    <xf numFmtId="0" fontId="0" fillId="15" borderId="0" xfId="0" applyFill="1" applyBorder="1"/>
    <xf numFmtId="171" fontId="0" fillId="15" borderId="0" xfId="0" applyNumberFormat="1" applyFill="1" applyBorder="1"/>
    <xf numFmtId="0" fontId="0" fillId="15" borderId="0" xfId="0" applyFont="1" applyFill="1" applyBorder="1" applyAlignment="1">
      <alignment horizontal="center" vertical="center"/>
    </xf>
    <xf numFmtId="0" fontId="0" fillId="15" borderId="0" xfId="0" applyFill="1"/>
    <xf numFmtId="171" fontId="0" fillId="15" borderId="0" xfId="0" applyNumberFormat="1" applyFill="1" applyBorder="1" applyAlignment="1"/>
    <xf numFmtId="0" fontId="7" fillId="2" borderId="0" xfId="0" applyFont="1" applyFill="1" applyBorder="1" applyAlignment="1">
      <alignment horizontal="left" vertical="top" wrapText="1"/>
    </xf>
    <xf numFmtId="165" fontId="11" fillId="2" borderId="46" xfId="0" applyNumberFormat="1" applyFont="1" applyFill="1" applyBorder="1"/>
    <xf numFmtId="169" fontId="11" fillId="15" borderId="45" xfId="0" applyNumberFormat="1" applyFont="1" applyFill="1" applyBorder="1"/>
    <xf numFmtId="165" fontId="11" fillId="2" borderId="46" xfId="6" applyFont="1" applyFill="1" applyBorder="1"/>
    <xf numFmtId="0" fontId="0" fillId="2" borderId="1" xfId="0" applyFill="1" applyBorder="1"/>
    <xf numFmtId="166" fontId="9" fillId="15" borderId="1" xfId="2" applyFont="1" applyFill="1" applyBorder="1" applyAlignment="1"/>
    <xf numFmtId="166" fontId="9" fillId="15" borderId="16" xfId="2" applyFont="1" applyFill="1" applyBorder="1" applyAlignment="1">
      <alignment vertical="center" wrapText="1"/>
    </xf>
    <xf numFmtId="166" fontId="9" fillId="15" borderId="53" xfId="2" applyFont="1" applyFill="1" applyBorder="1" applyAlignment="1">
      <alignment vertical="center" wrapText="1"/>
    </xf>
    <xf numFmtId="166" fontId="9" fillId="15" borderId="16" xfId="2" applyFont="1" applyFill="1" applyBorder="1" applyAlignment="1"/>
    <xf numFmtId="166" fontId="9" fillId="15" borderId="16" xfId="2" applyFont="1" applyFill="1" applyBorder="1" applyAlignment="1">
      <alignment wrapText="1"/>
    </xf>
    <xf numFmtId="166" fontId="9" fillId="15" borderId="31" xfId="2" applyFont="1" applyFill="1" applyBorder="1" applyAlignment="1"/>
    <xf numFmtId="166" fontId="9" fillId="15" borderId="47" xfId="2" applyFont="1" applyFill="1" applyBorder="1" applyAlignment="1"/>
    <xf numFmtId="166" fontId="9" fillId="15" borderId="43" xfId="2" applyFont="1" applyFill="1" applyBorder="1" applyAlignment="1"/>
    <xf numFmtId="166" fontId="9" fillId="15" borderId="36" xfId="2" applyFont="1" applyFill="1" applyBorder="1" applyAlignment="1"/>
    <xf numFmtId="166" fontId="9" fillId="15" borderId="44" xfId="2" applyFont="1" applyFill="1" applyBorder="1" applyAlignment="1"/>
    <xf numFmtId="166" fontId="9" fillId="15" borderId="17" xfId="2" applyFont="1" applyFill="1" applyBorder="1" applyAlignment="1">
      <alignment wrapText="1"/>
    </xf>
    <xf numFmtId="166" fontId="9" fillId="15" borderId="17" xfId="2" applyFont="1" applyFill="1" applyBorder="1" applyAlignment="1"/>
    <xf numFmtId="166" fontId="9" fillId="15" borderId="17" xfId="2" applyFont="1" applyFill="1" applyBorder="1" applyAlignment="1">
      <alignment vertical="center" wrapText="1"/>
    </xf>
    <xf numFmtId="166" fontId="9" fillId="15" borderId="7" xfId="2" applyFont="1" applyFill="1" applyBorder="1" applyAlignment="1">
      <alignment wrapText="1"/>
    </xf>
    <xf numFmtId="166" fontId="9" fillId="15" borderId="7" xfId="2" applyFont="1" applyFill="1" applyBorder="1" applyAlignment="1"/>
    <xf numFmtId="166" fontId="9" fillId="15" borderId="7" xfId="2" applyFont="1" applyFill="1" applyBorder="1" applyAlignment="1">
      <alignment vertical="center" wrapText="1"/>
    </xf>
    <xf numFmtId="172" fontId="12" fillId="10" borderId="30" xfId="2" applyNumberFormat="1" applyFont="1" applyFill="1" applyBorder="1" applyAlignment="1">
      <alignment vertical="center"/>
    </xf>
    <xf numFmtId="172" fontId="12" fillId="10" borderId="33" xfId="2" applyNumberFormat="1" applyFont="1" applyFill="1" applyBorder="1" applyAlignment="1">
      <alignment vertical="center"/>
    </xf>
    <xf numFmtId="172" fontId="12" fillId="10" borderId="35" xfId="2" applyNumberFormat="1" applyFont="1" applyFill="1" applyBorder="1" applyAlignment="1">
      <alignment vertical="center"/>
    </xf>
    <xf numFmtId="172" fontId="12" fillId="11" borderId="16" xfId="2" applyNumberFormat="1" applyFont="1" applyFill="1" applyBorder="1" applyAlignment="1">
      <alignment vertical="center" wrapText="1"/>
    </xf>
    <xf numFmtId="172" fontId="12" fillId="12" borderId="16" xfId="2" applyNumberFormat="1" applyFont="1" applyFill="1" applyBorder="1" applyAlignment="1">
      <alignment vertical="center"/>
    </xf>
    <xf numFmtId="172" fontId="12" fillId="13" borderId="16" xfId="2" applyNumberFormat="1" applyFont="1" applyFill="1" applyBorder="1" applyAlignment="1">
      <alignment vertical="center" wrapText="1"/>
    </xf>
    <xf numFmtId="0" fontId="0" fillId="2" borderId="0" xfId="0" applyFill="1" applyAlignment="1">
      <alignment horizontal="center"/>
    </xf>
    <xf numFmtId="172" fontId="12" fillId="10" borderId="23" xfId="2" applyNumberFormat="1" applyFont="1" applyFill="1" applyBorder="1" applyAlignment="1">
      <alignment vertical="center"/>
    </xf>
    <xf numFmtId="172" fontId="12" fillId="10" borderId="2" xfId="2" applyNumberFormat="1" applyFont="1" applyFill="1" applyBorder="1" applyAlignment="1">
      <alignment vertical="center"/>
    </xf>
    <xf numFmtId="172" fontId="12" fillId="10" borderId="54" xfId="2" applyNumberFormat="1" applyFont="1" applyFill="1" applyBorder="1" applyAlignment="1">
      <alignment vertical="center"/>
    </xf>
    <xf numFmtId="172" fontId="12" fillId="11" borderId="17" xfId="2" applyNumberFormat="1" applyFont="1" applyFill="1" applyBorder="1" applyAlignment="1">
      <alignment vertical="center" wrapText="1"/>
    </xf>
    <xf numFmtId="172" fontId="12" fillId="12" borderId="17" xfId="2" applyNumberFormat="1" applyFont="1" applyFill="1" applyBorder="1" applyAlignment="1">
      <alignment vertical="center"/>
    </xf>
    <xf numFmtId="172" fontId="12" fillId="13" borderId="17" xfId="2" applyNumberFormat="1" applyFont="1" applyFill="1" applyBorder="1" applyAlignment="1">
      <alignment vertical="center" wrapText="1"/>
    </xf>
    <xf numFmtId="166" fontId="9" fillId="13" borderId="45" xfId="2" applyFont="1" applyFill="1" applyBorder="1" applyAlignment="1">
      <alignment vertical="center" wrapText="1"/>
    </xf>
    <xf numFmtId="165" fontId="0" fillId="13" borderId="64" xfId="6" applyFont="1" applyFill="1" applyBorder="1"/>
    <xf numFmtId="166" fontId="9" fillId="11" borderId="45" xfId="2" applyFont="1" applyFill="1" applyBorder="1" applyAlignment="1">
      <alignment vertical="center" wrapText="1"/>
    </xf>
    <xf numFmtId="165" fontId="0" fillId="11" borderId="64" xfId="6" applyFont="1" applyFill="1" applyBorder="1"/>
    <xf numFmtId="166" fontId="9" fillId="13" borderId="65" xfId="2" applyFont="1" applyFill="1" applyBorder="1" applyAlignment="1">
      <alignment vertical="center" wrapText="1"/>
    </xf>
    <xf numFmtId="165" fontId="0" fillId="13" borderId="66" xfId="6" applyFont="1" applyFill="1" applyBorder="1"/>
    <xf numFmtId="172" fontId="12" fillId="11" borderId="7" xfId="2" applyNumberFormat="1" applyFont="1" applyFill="1" applyBorder="1" applyAlignment="1">
      <alignment vertical="center" wrapText="1"/>
    </xf>
    <xf numFmtId="169" fontId="0" fillId="13" borderId="65" xfId="2" applyNumberFormat="1" applyFont="1" applyFill="1" applyBorder="1"/>
    <xf numFmtId="165" fontId="0" fillId="13" borderId="55" xfId="6" applyFont="1" applyFill="1" applyBorder="1"/>
    <xf numFmtId="0" fontId="0" fillId="15" borderId="8" xfId="0" applyFill="1" applyBorder="1"/>
    <xf numFmtId="165" fontId="11" fillId="2" borderId="55" xfId="0" applyNumberFormat="1" applyFont="1" applyFill="1" applyBorder="1"/>
    <xf numFmtId="172" fontId="12" fillId="12" borderId="0" xfId="2" applyNumberFormat="1" applyFont="1" applyFill="1" applyBorder="1" applyAlignment="1">
      <alignment vertical="center"/>
    </xf>
    <xf numFmtId="166" fontId="9" fillId="15" borderId="13" xfId="2" applyFont="1" applyFill="1" applyBorder="1" applyAlignment="1"/>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11" fillId="2" borderId="0" xfId="0" applyFont="1" applyFill="1" applyBorder="1" applyAlignment="1">
      <alignment horizontal="center"/>
    </xf>
    <xf numFmtId="1" fontId="11" fillId="2" borderId="0" xfId="0" applyNumberFormat="1" applyFont="1" applyFill="1" applyBorder="1" applyAlignment="1">
      <alignment horizontal="center"/>
    </xf>
    <xf numFmtId="0" fontId="11" fillId="15" borderId="0" xfId="0" applyFont="1" applyFill="1" applyBorder="1" applyAlignment="1">
      <alignment horizontal="center"/>
    </xf>
    <xf numFmtId="1" fontId="11" fillId="15" borderId="0" xfId="0" applyNumberFormat="1" applyFont="1" applyFill="1" applyBorder="1" applyAlignment="1">
      <alignment horizontal="center"/>
    </xf>
    <xf numFmtId="0" fontId="0" fillId="2" borderId="0" xfId="0" applyFill="1" applyBorder="1" applyAlignment="1">
      <alignment horizontal="center" vertical="center" wrapText="1"/>
    </xf>
    <xf numFmtId="0" fontId="11" fillId="2" borderId="0" xfId="0" applyFont="1" applyFill="1" applyBorder="1" applyAlignment="1">
      <alignment horizontal="center" wrapText="1"/>
    </xf>
    <xf numFmtId="0" fontId="0" fillId="15" borderId="0" xfId="0" applyFill="1" applyBorder="1" applyAlignment="1">
      <alignment horizontal="center" vertical="center" wrapText="1"/>
    </xf>
    <xf numFmtId="0" fontId="11" fillId="15" borderId="0" xfId="0" applyFont="1" applyFill="1" applyBorder="1" applyAlignment="1">
      <alignment horizontal="center" wrapText="1"/>
    </xf>
    <xf numFmtId="0" fontId="11" fillId="2" borderId="0" xfId="0" applyFont="1" applyFill="1" applyBorder="1" applyAlignment="1">
      <alignment horizontal="center" vertical="center" wrapText="1"/>
    </xf>
    <xf numFmtId="0" fontId="11" fillId="15" borderId="0" xfId="0" applyFont="1" applyFill="1" applyBorder="1" applyAlignment="1">
      <alignment horizontal="center" vertical="center" wrapText="1"/>
    </xf>
    <xf numFmtId="0" fontId="0" fillId="15" borderId="0" xfId="0" applyFill="1" applyAlignment="1">
      <alignment wrapText="1"/>
    </xf>
    <xf numFmtId="0" fontId="14" fillId="2" borderId="0" xfId="0" applyFont="1" applyFill="1" applyBorder="1" applyAlignment="1"/>
    <xf numFmtId="0" fontId="0" fillId="2" borderId="63" xfId="0" applyFill="1" applyBorder="1" applyAlignment="1">
      <alignment wrapText="1"/>
    </xf>
    <xf numFmtId="0" fontId="0" fillId="2" borderId="63" xfId="0" applyFill="1" applyBorder="1" applyAlignment="1">
      <alignment horizontal="center" wrapText="1"/>
    </xf>
    <xf numFmtId="0" fontId="0" fillId="2" borderId="63" xfId="0" applyFill="1" applyBorder="1"/>
    <xf numFmtId="0" fontId="11" fillId="2" borderId="28" xfId="0" applyFont="1" applyFill="1" applyBorder="1" applyAlignment="1">
      <alignment horizontal="center" vertical="center" wrapText="1"/>
    </xf>
    <xf numFmtId="0" fontId="11" fillId="9" borderId="19" xfId="0" applyFont="1" applyFill="1" applyBorder="1" applyAlignment="1">
      <alignment horizontal="center" vertical="center" wrapText="1"/>
    </xf>
    <xf numFmtId="0" fontId="0" fillId="2" borderId="31" xfId="0" applyFill="1" applyBorder="1" applyAlignment="1">
      <alignment vertical="center" wrapText="1"/>
    </xf>
    <xf numFmtId="0" fontId="0" fillId="2" borderId="3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center" vertical="center"/>
    </xf>
    <xf numFmtId="0" fontId="0" fillId="2" borderId="36" xfId="0" applyFill="1" applyBorder="1" applyAlignment="1">
      <alignment vertical="center" wrapText="1"/>
    </xf>
    <xf numFmtId="0" fontId="0" fillId="2" borderId="36" xfId="0" applyFill="1" applyBorder="1" applyAlignment="1">
      <alignment horizontal="center" vertical="center"/>
    </xf>
    <xf numFmtId="0" fontId="11" fillId="6" borderId="67" xfId="0" applyFont="1" applyFill="1" applyBorder="1" applyAlignment="1">
      <alignment horizontal="center" vertical="center" wrapText="1"/>
    </xf>
    <xf numFmtId="0" fontId="11" fillId="6" borderId="55" xfId="0" applyFont="1" applyFill="1" applyBorder="1" applyAlignment="1">
      <alignment horizontal="center" vertical="center" wrapText="1"/>
    </xf>
    <xf numFmtId="0" fontId="0" fillId="2" borderId="22" xfId="0" applyFill="1" applyBorder="1" applyAlignment="1">
      <alignment horizontal="center" vertical="center"/>
    </xf>
    <xf numFmtId="0" fontId="0" fillId="2" borderId="24" xfId="0" applyFill="1" applyBorder="1" applyAlignment="1">
      <alignment horizontal="center" vertical="center"/>
    </xf>
    <xf numFmtId="0" fontId="0" fillId="2" borderId="39" xfId="0" applyFill="1" applyBorder="1" applyAlignment="1">
      <alignment horizontal="center" vertical="center"/>
    </xf>
    <xf numFmtId="0" fontId="11" fillId="6" borderId="65" xfId="0" applyFont="1" applyFill="1" applyBorder="1" applyAlignment="1">
      <alignment horizontal="center" vertical="center" wrapText="1"/>
    </xf>
    <xf numFmtId="1" fontId="11" fillId="2" borderId="20" xfId="0" applyNumberFormat="1" applyFont="1" applyFill="1" applyBorder="1" applyAlignment="1">
      <alignment horizontal="center" vertical="center"/>
    </xf>
    <xf numFmtId="0" fontId="0" fillId="2" borderId="47" xfId="0" applyFill="1" applyBorder="1" applyAlignment="1">
      <alignment horizontal="center" vertical="center"/>
    </xf>
    <xf numFmtId="0" fontId="0" fillId="2" borderId="43" xfId="0" applyFill="1" applyBorder="1" applyAlignment="1">
      <alignment horizontal="center" vertical="center"/>
    </xf>
    <xf numFmtId="0" fontId="0" fillId="2" borderId="44" xfId="0" applyFill="1" applyBorder="1" applyAlignment="1">
      <alignment horizontal="center" vertical="center"/>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1" fontId="11" fillId="2" borderId="0" xfId="0" applyNumberFormat="1" applyFont="1"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1" xfId="0" applyNumberFormat="1" applyFill="1" applyBorder="1"/>
    <xf numFmtId="166" fontId="12" fillId="10" borderId="1" xfId="2" applyFont="1" applyFill="1" applyBorder="1" applyAlignment="1"/>
    <xf numFmtId="0" fontId="11" fillId="6" borderId="1" xfId="0" applyFont="1" applyFill="1" applyBorder="1" applyAlignment="1">
      <alignment horizontal="center" vertical="center" wrapText="1"/>
    </xf>
    <xf numFmtId="2" fontId="11" fillId="9" borderId="1" xfId="0" applyNumberFormat="1" applyFont="1" applyFill="1" applyBorder="1"/>
    <xf numFmtId="0" fontId="11" fillId="2" borderId="55" xfId="0" applyFont="1" applyFill="1" applyBorder="1" applyAlignment="1">
      <alignment horizontal="center" vertical="center" wrapText="1"/>
    </xf>
    <xf numFmtId="0" fontId="11" fillId="9" borderId="20" xfId="0" applyFont="1" applyFill="1" applyBorder="1" applyAlignment="1">
      <alignment horizontal="center" vertical="center" wrapText="1"/>
    </xf>
    <xf numFmtId="169" fontId="7" fillId="2" borderId="1" xfId="2" applyNumberFormat="1" applyFont="1" applyFill="1" applyBorder="1" applyAlignment="1">
      <alignment horizontal="left" vertical="top" wrapText="1"/>
    </xf>
    <xf numFmtId="165" fontId="21" fillId="6" borderId="1" xfId="6" applyFont="1" applyFill="1" applyBorder="1" applyAlignment="1">
      <alignment horizontal="left" vertical="top" wrapText="1"/>
    </xf>
    <xf numFmtId="0" fontId="12" fillId="7" borderId="1" xfId="0" applyFont="1" applyFill="1" applyBorder="1" applyAlignment="1">
      <alignment horizontal="center" vertical="center" wrapText="1"/>
    </xf>
    <xf numFmtId="2" fontId="11" fillId="2" borderId="55" xfId="0" applyNumberFormat="1" applyFont="1" applyFill="1" applyBorder="1" applyAlignment="1">
      <alignment horizontal="center" vertical="center"/>
    </xf>
    <xf numFmtId="2" fontId="0" fillId="2" borderId="46" xfId="0" applyNumberFormat="1" applyFill="1" applyBorder="1" applyAlignment="1">
      <alignment horizontal="center" vertical="center"/>
    </xf>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9" xfId="0" applyFill="1" applyBorder="1" applyAlignment="1">
      <alignment horizontal="left"/>
    </xf>
    <xf numFmtId="0" fontId="3" fillId="2" borderId="49" xfId="1" applyFill="1" applyBorder="1" applyAlignment="1">
      <alignment horizontal="left"/>
    </xf>
    <xf numFmtId="0" fontId="0" fillId="2" borderId="49" xfId="0" applyFill="1" applyBorder="1"/>
    <xf numFmtId="165" fontId="11" fillId="6" borderId="58" xfId="6" applyFont="1" applyFill="1" applyBorder="1" applyAlignment="1">
      <alignment horizontal="center"/>
    </xf>
    <xf numFmtId="165" fontId="11" fillId="6" borderId="59" xfId="6" applyFont="1" applyFill="1" applyBorder="1" applyAlignment="1">
      <alignment horizontal="center"/>
    </xf>
    <xf numFmtId="165" fontId="11" fillId="6" borderId="69" xfId="6" applyFont="1" applyFill="1" applyBorder="1" applyAlignment="1">
      <alignment horizontal="center"/>
    </xf>
    <xf numFmtId="0" fontId="11" fillId="6" borderId="19" xfId="0" applyFont="1" applyFill="1" applyBorder="1"/>
    <xf numFmtId="165" fontId="11" fillId="6" borderId="21" xfId="6" applyFont="1" applyFill="1" applyBorder="1" applyAlignment="1">
      <alignment horizontal="center"/>
    </xf>
    <xf numFmtId="165" fontId="11" fillId="6" borderId="72" xfId="6" applyFont="1" applyFill="1" applyBorder="1" applyAlignment="1">
      <alignment horizontal="center"/>
    </xf>
    <xf numFmtId="165" fontId="11" fillId="6" borderId="53"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6" borderId="21" xfId="0" applyFont="1" applyFill="1" applyBorder="1" applyAlignment="1">
      <alignment horizontal="center"/>
    </xf>
    <xf numFmtId="0" fontId="11" fillId="6" borderId="72" xfId="0" applyFont="1" applyFill="1" applyBorder="1" applyAlignment="1">
      <alignment horizontal="center"/>
    </xf>
    <xf numFmtId="0" fontId="11" fillId="6" borderId="53" xfId="0" applyFont="1" applyFill="1" applyBorder="1" applyAlignment="1">
      <alignment horizontal="center"/>
    </xf>
    <xf numFmtId="0" fontId="11" fillId="6" borderId="7" xfId="0" applyFont="1" applyFill="1" applyBorder="1" applyAlignment="1">
      <alignment horizontal="center"/>
    </xf>
    <xf numFmtId="165" fontId="0" fillId="0" borderId="31" xfId="6" applyFont="1" applyBorder="1" applyAlignment="1">
      <alignment horizontal="center"/>
    </xf>
    <xf numFmtId="165" fontId="0" fillId="0" borderId="22" xfId="6" applyFont="1" applyBorder="1" applyAlignment="1">
      <alignment horizontal="center"/>
    </xf>
    <xf numFmtId="165" fontId="11" fillId="6" borderId="57" xfId="6" applyFont="1" applyFill="1" applyBorder="1" applyAlignment="1">
      <alignment horizontal="center"/>
    </xf>
    <xf numFmtId="0" fontId="0" fillId="2" borderId="32" xfId="0" applyFill="1" applyBorder="1" applyAlignment="1">
      <alignment horizontal="left"/>
    </xf>
    <xf numFmtId="165" fontId="0" fillId="0" borderId="36" xfId="6" applyFont="1" applyBorder="1" applyAlignment="1">
      <alignment horizontal="center"/>
    </xf>
    <xf numFmtId="165" fontId="0" fillId="0" borderId="39" xfId="6" applyFont="1" applyBorder="1" applyAlignment="1">
      <alignment horizontal="center"/>
    </xf>
    <xf numFmtId="0" fontId="0" fillId="2" borderId="60" xfId="0" applyFill="1" applyBorder="1" applyAlignment="1">
      <alignment horizontal="left"/>
    </xf>
    <xf numFmtId="165" fontId="0" fillId="0" borderId="31" xfId="6" applyFont="1" applyBorder="1" applyAlignment="1">
      <alignment horizontal="left" vertical="center"/>
    </xf>
    <xf numFmtId="165" fontId="0" fillId="0" borderId="22" xfId="6" applyFont="1" applyBorder="1" applyAlignment="1">
      <alignment horizontal="left" vertical="center"/>
    </xf>
    <xf numFmtId="165" fontId="11" fillId="6" borderId="57" xfId="6" applyFont="1" applyFill="1" applyBorder="1" applyAlignment="1">
      <alignment horizontal="left" vertical="center"/>
    </xf>
    <xf numFmtId="0" fontId="0" fillId="2" borderId="32" xfId="0" applyFill="1" applyBorder="1" applyAlignment="1">
      <alignment horizontal="left" vertical="center"/>
    </xf>
    <xf numFmtId="0" fontId="21" fillId="6" borderId="53" xfId="0" applyFont="1" applyFill="1" applyBorder="1" applyAlignment="1">
      <alignment horizontal="center"/>
    </xf>
    <xf numFmtId="165" fontId="0" fillId="0" borderId="21" xfId="6" applyFont="1" applyBorder="1" applyAlignment="1">
      <alignment horizontal="center"/>
    </xf>
    <xf numFmtId="165" fontId="0" fillId="0" borderId="72" xfId="6" applyFont="1" applyBorder="1" applyAlignment="1">
      <alignment horizontal="center"/>
    </xf>
    <xf numFmtId="0" fontId="0" fillId="2" borderId="7" xfId="0" applyFill="1" applyBorder="1" applyAlignment="1">
      <alignment horizontal="left"/>
    </xf>
    <xf numFmtId="165" fontId="11" fillId="9" borderId="53" xfId="6" applyFont="1" applyFill="1" applyBorder="1" applyAlignment="1">
      <alignment horizontal="center"/>
    </xf>
    <xf numFmtId="0" fontId="11" fillId="6" borderId="73"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4" xfId="6" applyFont="1" applyBorder="1" applyAlignment="1">
      <alignment horizontal="center"/>
    </xf>
    <xf numFmtId="165" fontId="0" fillId="0" borderId="23" xfId="6" applyFont="1" applyBorder="1" applyAlignment="1">
      <alignment horizontal="left" vertical="center"/>
    </xf>
    <xf numFmtId="165" fontId="0" fillId="0" borderId="73" xfId="6" applyFont="1" applyBorder="1" applyAlignment="1">
      <alignment horizontal="center"/>
    </xf>
    <xf numFmtId="165" fontId="0" fillId="0" borderId="71" xfId="6" applyFont="1" applyBorder="1" applyAlignment="1">
      <alignment horizontal="center"/>
    </xf>
    <xf numFmtId="0" fontId="0" fillId="0" borderId="32" xfId="0" applyBorder="1"/>
    <xf numFmtId="0" fontId="0" fillId="0" borderId="49" xfId="0" applyBorder="1"/>
    <xf numFmtId="0" fontId="0" fillId="2" borderId="49" xfId="0" applyFill="1" applyBorder="1" applyAlignment="1">
      <alignment wrapText="1"/>
    </xf>
    <xf numFmtId="0" fontId="0" fillId="0" borderId="60" xfId="0" applyBorder="1"/>
    <xf numFmtId="0" fontId="0" fillId="0" borderId="32" xfId="0" applyBorder="1" applyAlignment="1">
      <alignment wrapText="1"/>
    </xf>
    <xf numFmtId="0" fontId="0" fillId="0" borderId="7" xfId="0" applyBorder="1"/>
    <xf numFmtId="171" fontId="0" fillId="2" borderId="0" xfId="0" applyNumberFormat="1" applyFont="1" applyFill="1" applyBorder="1" applyAlignment="1">
      <alignment horizontal="center"/>
    </xf>
    <xf numFmtId="0" fontId="0" fillId="0" borderId="1" xfId="0" applyBorder="1" applyAlignment="1">
      <alignment horizontal="center"/>
    </xf>
    <xf numFmtId="173"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6" borderId="3" xfId="0" applyFont="1" applyFill="1" applyBorder="1" applyAlignment="1">
      <alignment horizontal="center" vertical="center"/>
    </xf>
    <xf numFmtId="0" fontId="0" fillId="2" borderId="33" xfId="0" applyFill="1" applyBorder="1" applyAlignment="1">
      <alignment wrapText="1"/>
    </xf>
    <xf numFmtId="165" fontId="0" fillId="2" borderId="43" xfId="6" applyFont="1" applyFill="1" applyBorder="1" applyAlignment="1">
      <alignment horizontal="center"/>
    </xf>
    <xf numFmtId="0" fontId="0" fillId="2" borderId="35" xfId="0" applyFill="1" applyBorder="1" applyAlignment="1">
      <alignment wrapText="1"/>
    </xf>
    <xf numFmtId="0" fontId="0" fillId="2" borderId="36" xfId="0" applyFill="1" applyBorder="1" applyAlignment="1">
      <alignment horizontal="center"/>
    </xf>
    <xf numFmtId="165" fontId="0" fillId="2" borderId="36" xfId="6" applyFont="1" applyFill="1" applyBorder="1" applyAlignment="1">
      <alignment horizontal="center"/>
    </xf>
    <xf numFmtId="165" fontId="0" fillId="2" borderId="44" xfId="6" applyFont="1" applyFill="1" applyBorder="1" applyAlignment="1">
      <alignment horizontal="center"/>
    </xf>
    <xf numFmtId="0" fontId="12" fillId="6" borderId="19" xfId="0" applyFont="1" applyFill="1" applyBorder="1" applyAlignment="1">
      <alignment horizontal="center" vertical="center"/>
    </xf>
    <xf numFmtId="0" fontId="12" fillId="6" borderId="61" xfId="0" applyFont="1" applyFill="1" applyBorder="1" applyAlignment="1">
      <alignment horizontal="center" vertical="center" wrapText="1"/>
    </xf>
    <xf numFmtId="0" fontId="12" fillId="6" borderId="62"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9" borderId="20" xfId="0" applyNumberFormat="1" applyFont="1" applyFill="1" applyBorder="1"/>
    <xf numFmtId="0" fontId="12" fillId="7" borderId="61" xfId="0" applyFont="1" applyFill="1" applyBorder="1" applyAlignment="1">
      <alignment horizontal="center" vertical="center" wrapText="1"/>
    </xf>
    <xf numFmtId="0" fontId="12" fillId="7" borderId="3" xfId="0" applyFont="1" applyFill="1" applyBorder="1" applyAlignment="1">
      <alignment horizontal="center" vertical="center"/>
    </xf>
    <xf numFmtId="0" fontId="12" fillId="7" borderId="62"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8" xfId="0" applyNumberFormat="1" applyBorder="1" applyAlignment="1">
      <alignment horizontal="center"/>
    </xf>
    <xf numFmtId="1" fontId="0" fillId="0" borderId="2" xfId="0" applyNumberFormat="1" applyBorder="1" applyAlignment="1">
      <alignment horizontal="center"/>
    </xf>
    <xf numFmtId="173" fontId="0" fillId="0" borderId="62" xfId="0" applyNumberFormat="1" applyBorder="1" applyAlignment="1">
      <alignment horizontal="center"/>
    </xf>
    <xf numFmtId="0" fontId="0" fillId="0" borderId="33" xfId="0" applyBorder="1" applyAlignment="1">
      <alignment horizontal="left" vertical="center"/>
    </xf>
    <xf numFmtId="173" fontId="0" fillId="0" borderId="43" xfId="0" applyNumberFormat="1" applyBorder="1" applyAlignment="1">
      <alignment horizontal="center"/>
    </xf>
    <xf numFmtId="0" fontId="0" fillId="0" borderId="33" xfId="0" applyBorder="1" applyAlignment="1">
      <alignment horizontal="left" vertical="center" wrapText="1"/>
    </xf>
    <xf numFmtId="0" fontId="11" fillId="6" borderId="41" xfId="0" applyFont="1" applyFill="1" applyBorder="1" applyAlignment="1">
      <alignment horizontal="center"/>
    </xf>
    <xf numFmtId="0" fontId="11" fillId="6" borderId="34" xfId="0" applyFont="1" applyFill="1" applyBorder="1" applyAlignment="1">
      <alignment horizontal="center"/>
    </xf>
    <xf numFmtId="0" fontId="11" fillId="6" borderId="71" xfId="0" applyFont="1" applyFill="1" applyBorder="1" applyAlignment="1">
      <alignment horizontal="center"/>
    </xf>
    <xf numFmtId="0" fontId="11" fillId="6" borderId="63" xfId="0" applyFont="1" applyFill="1" applyBorder="1" applyAlignment="1">
      <alignment horizontal="center"/>
    </xf>
    <xf numFmtId="0" fontId="11" fillId="6" borderId="29" xfId="0" applyFont="1" applyFill="1" applyBorder="1" applyAlignment="1">
      <alignment horizontal="center"/>
    </xf>
    <xf numFmtId="0" fontId="0" fillId="0" borderId="30" xfId="0" applyBorder="1" applyAlignment="1">
      <alignment horizontal="left" vertical="center"/>
    </xf>
    <xf numFmtId="173" fontId="0" fillId="0" borderId="47" xfId="0" applyNumberFormat="1" applyBorder="1" applyAlignment="1">
      <alignment horizontal="center"/>
    </xf>
    <xf numFmtId="1" fontId="0" fillId="0" borderId="23" xfId="0" applyNumberFormat="1" applyBorder="1" applyAlignment="1">
      <alignment horizontal="center"/>
    </xf>
    <xf numFmtId="0" fontId="0" fillId="0" borderId="35" xfId="0" applyBorder="1" applyAlignment="1">
      <alignment horizontal="left" vertical="center"/>
    </xf>
    <xf numFmtId="173" fontId="0" fillId="0" borderId="44" xfId="0" applyNumberFormat="1" applyBorder="1" applyAlignment="1">
      <alignment horizontal="center"/>
    </xf>
    <xf numFmtId="1" fontId="0" fillId="0" borderId="54" xfId="0" applyNumberFormat="1" applyBorder="1" applyAlignment="1">
      <alignment horizontal="center"/>
    </xf>
    <xf numFmtId="0" fontId="11" fillId="6" borderId="16" xfId="0" applyFont="1" applyFill="1" applyBorder="1" applyAlignment="1">
      <alignment horizontal="center" vertical="center" wrapText="1"/>
    </xf>
    <xf numFmtId="0" fontId="0" fillId="0" borderId="19" xfId="0" applyBorder="1" applyAlignment="1">
      <alignment horizontal="left" vertical="center"/>
    </xf>
    <xf numFmtId="173" fontId="0" fillId="0" borderId="20" xfId="0" applyNumberFormat="1" applyBorder="1" applyAlignment="1">
      <alignment horizontal="center"/>
    </xf>
    <xf numFmtId="1" fontId="0" fillId="0" borderId="73" xfId="0" applyNumberFormat="1" applyBorder="1" applyAlignment="1">
      <alignment horizontal="center"/>
    </xf>
    <xf numFmtId="0" fontId="0" fillId="0" borderId="35" xfId="0" applyBorder="1" applyAlignment="1">
      <alignment horizontal="left" vertical="center" wrapText="1"/>
    </xf>
    <xf numFmtId="173" fontId="0" fillId="15" borderId="44" xfId="0" applyNumberFormat="1" applyFill="1" applyBorder="1" applyAlignment="1">
      <alignment horizontal="center"/>
    </xf>
    <xf numFmtId="1" fontId="0" fillId="15" borderId="54" xfId="0" applyNumberFormat="1" applyFill="1" applyBorder="1" applyAlignment="1">
      <alignment horizontal="center"/>
    </xf>
    <xf numFmtId="0" fontId="0" fillId="15" borderId="12" xfId="0" applyFill="1" applyBorder="1"/>
    <xf numFmtId="0" fontId="0" fillId="15" borderId="11" xfId="0" applyFill="1" applyBorder="1"/>
    <xf numFmtId="165" fontId="0" fillId="0" borderId="37" xfId="6" applyFont="1" applyBorder="1" applyAlignment="1">
      <alignment horizontal="center"/>
    </xf>
    <xf numFmtId="173" fontId="0" fillId="15" borderId="20" xfId="0" applyNumberFormat="1" applyFill="1" applyBorder="1" applyAlignment="1">
      <alignment horizontal="center"/>
    </xf>
    <xf numFmtId="1" fontId="0" fillId="15" borderId="73" xfId="0" applyNumberFormat="1" applyFill="1" applyBorder="1" applyAlignment="1">
      <alignment horizontal="center"/>
    </xf>
    <xf numFmtId="0" fontId="0" fillId="0" borderId="61" xfId="0" applyBorder="1"/>
    <xf numFmtId="0" fontId="0" fillId="0" borderId="33" xfId="0" applyBorder="1"/>
    <xf numFmtId="174" fontId="11" fillId="9" borderId="6" xfId="0" applyNumberFormat="1" applyFont="1" applyFill="1" applyBorder="1"/>
    <xf numFmtId="0" fontId="11" fillId="7" borderId="15" xfId="0" applyFont="1" applyFill="1" applyBorder="1" applyAlignment="1">
      <alignment horizontal="center"/>
    </xf>
    <xf numFmtId="165" fontId="0" fillId="7" borderId="57" xfId="0" applyNumberFormat="1" applyFill="1" applyBorder="1"/>
    <xf numFmtId="165" fontId="0" fillId="7" borderId="58" xfId="0" applyNumberFormat="1" applyFill="1" applyBorder="1"/>
    <xf numFmtId="165" fontId="0" fillId="7" borderId="59" xfId="0" applyNumberFormat="1" applyFill="1" applyBorder="1"/>
    <xf numFmtId="165" fontId="0" fillId="7" borderId="53" xfId="0" applyNumberFormat="1" applyFill="1" applyBorder="1"/>
    <xf numFmtId="165" fontId="0" fillId="7" borderId="70" xfId="0" applyNumberFormat="1" applyFill="1" applyBorder="1"/>
    <xf numFmtId="174" fontId="0" fillId="7" borderId="75" xfId="0" applyNumberFormat="1" applyFill="1" applyBorder="1"/>
    <xf numFmtId="174" fontId="0" fillId="7" borderId="37" xfId="0" applyNumberFormat="1" applyFill="1" applyBorder="1"/>
    <xf numFmtId="1" fontId="0" fillId="0" borderId="31" xfId="0" applyNumberFormat="1" applyBorder="1" applyAlignment="1">
      <alignment horizontal="center"/>
    </xf>
    <xf numFmtId="1" fontId="0" fillId="0" borderId="36" xfId="0" applyNumberFormat="1" applyBorder="1" applyAlignment="1">
      <alignment horizontal="center"/>
    </xf>
    <xf numFmtId="1" fontId="0" fillId="0" borderId="21" xfId="0" applyNumberFormat="1" applyBorder="1" applyAlignment="1">
      <alignment horizontal="center"/>
    </xf>
    <xf numFmtId="1" fontId="0" fillId="15" borderId="36" xfId="0" applyNumberFormat="1" applyFill="1" applyBorder="1" applyAlignment="1">
      <alignment horizontal="center"/>
    </xf>
    <xf numFmtId="1" fontId="0" fillId="15" borderId="21" xfId="0" applyNumberFormat="1" applyFill="1" applyBorder="1" applyAlignment="1">
      <alignment horizontal="center"/>
    </xf>
    <xf numFmtId="1" fontId="0" fillId="15" borderId="11" xfId="0" applyNumberFormat="1" applyFill="1" applyBorder="1"/>
    <xf numFmtId="1" fontId="0" fillId="0" borderId="76" xfId="0" applyNumberFormat="1" applyBorder="1" applyAlignment="1">
      <alignment horizontal="center"/>
    </xf>
    <xf numFmtId="1" fontId="0" fillId="0" borderId="37" xfId="0" applyNumberFormat="1" applyBorder="1" applyAlignment="1">
      <alignment horizontal="center"/>
    </xf>
    <xf numFmtId="165" fontId="0" fillId="0" borderId="75" xfId="6" applyFont="1" applyBorder="1" applyAlignment="1">
      <alignment horizontal="center"/>
    </xf>
    <xf numFmtId="165" fontId="0" fillId="7" borderId="6" xfId="0" applyNumberFormat="1" applyFill="1" applyBorder="1"/>
    <xf numFmtId="0" fontId="11" fillId="6" borderId="15" xfId="0" applyFont="1" applyFill="1" applyBorder="1" applyAlignment="1">
      <alignment horizontal="center" vertical="center" wrapText="1"/>
    </xf>
    <xf numFmtId="0" fontId="0" fillId="0" borderId="42" xfId="0" applyBorder="1" applyAlignment="1">
      <alignment horizontal="left" vertical="center"/>
    </xf>
    <xf numFmtId="173" fontId="0" fillId="0" borderId="38" xfId="0" applyNumberFormat="1" applyBorder="1" applyAlignment="1">
      <alignment horizontal="center"/>
    </xf>
    <xf numFmtId="0" fontId="12" fillId="7" borderId="3" xfId="0" applyFont="1" applyFill="1" applyBorder="1" applyAlignment="1">
      <alignment horizontal="center" vertical="center" wrapText="1"/>
    </xf>
    <xf numFmtId="10" fontId="12" fillId="7" borderId="63" xfId="0" applyNumberFormat="1" applyFont="1" applyFill="1" applyBorder="1" applyAlignment="1">
      <alignment horizontal="center" vertical="center"/>
    </xf>
    <xf numFmtId="9" fontId="12" fillId="7" borderId="63"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1" xfId="0" applyFill="1" applyBorder="1"/>
    <xf numFmtId="0" fontId="0" fillId="2" borderId="36" xfId="0" applyFill="1" applyBorder="1"/>
    <xf numFmtId="0" fontId="12" fillId="7" borderId="68" xfId="0" applyFont="1" applyFill="1" applyBorder="1" applyAlignment="1">
      <alignment horizontal="center" vertical="center"/>
    </xf>
    <xf numFmtId="10" fontId="12" fillId="7" borderId="71"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7" xfId="6" applyFont="1" applyFill="1" applyBorder="1"/>
    <xf numFmtId="165" fontId="0" fillId="2" borderId="43" xfId="6" applyFont="1" applyFill="1" applyBorder="1"/>
    <xf numFmtId="165" fontId="0" fillId="2" borderId="44" xfId="6" applyFont="1" applyFill="1" applyBorder="1"/>
    <xf numFmtId="165" fontId="11" fillId="7" borderId="53" xfId="6" applyFont="1" applyFill="1" applyBorder="1"/>
    <xf numFmtId="165" fontId="11" fillId="7" borderId="57" xfId="6" applyFont="1" applyFill="1" applyBorder="1"/>
    <xf numFmtId="165" fontId="11" fillId="7" borderId="58" xfId="6" applyFont="1" applyFill="1" applyBorder="1"/>
    <xf numFmtId="165" fontId="11" fillId="7" borderId="59" xfId="6" applyFont="1" applyFill="1" applyBorder="1"/>
    <xf numFmtId="0" fontId="12" fillId="7" borderId="27" xfId="0" applyFont="1" applyFill="1" applyBorder="1" applyAlignment="1">
      <alignment horizontal="center" vertical="center" wrapText="1"/>
    </xf>
    <xf numFmtId="9" fontId="12" fillId="7" borderId="29" xfId="0" applyNumberFormat="1" applyFont="1" applyFill="1" applyBorder="1" applyAlignment="1">
      <alignment horizontal="center" vertical="center"/>
    </xf>
    <xf numFmtId="165" fontId="0" fillId="0" borderId="53" xfId="6" applyFont="1" applyBorder="1" applyAlignment="1">
      <alignment horizontal="center"/>
    </xf>
    <xf numFmtId="165" fontId="0" fillId="0" borderId="57" xfId="6" applyFont="1" applyBorder="1" applyAlignment="1">
      <alignment horizontal="center"/>
    </xf>
    <xf numFmtId="165" fontId="0" fillId="0" borderId="58" xfId="6" applyFont="1" applyBorder="1" applyAlignment="1">
      <alignment horizontal="center"/>
    </xf>
    <xf numFmtId="165" fontId="0" fillId="0" borderId="59" xfId="6" applyFont="1" applyBorder="1" applyAlignment="1">
      <alignment horizontal="center"/>
    </xf>
    <xf numFmtId="165" fontId="0" fillId="2" borderId="34" xfId="6" applyFont="1" applyFill="1" applyBorder="1"/>
    <xf numFmtId="0" fontId="12" fillId="7" borderId="1" xfId="0" applyFont="1" applyFill="1" applyBorder="1" applyAlignment="1">
      <alignment horizontal="center" vertical="center"/>
    </xf>
    <xf numFmtId="173" fontId="11" fillId="7" borderId="1" xfId="0" applyNumberFormat="1" applyFont="1" applyFill="1" applyBorder="1" applyAlignment="1">
      <alignment horizontal="center"/>
    </xf>
    <xf numFmtId="0" fontId="11" fillId="9" borderId="1" xfId="0" applyFont="1" applyFill="1" applyBorder="1" applyAlignment="1">
      <alignment horizontal="center"/>
    </xf>
    <xf numFmtId="171" fontId="0" fillId="2" borderId="1" xfId="0" applyNumberFormat="1" applyFont="1" applyFill="1" applyBorder="1" applyAlignment="1">
      <alignment horizontal="right"/>
    </xf>
    <xf numFmtId="0" fontId="11" fillId="7" borderId="1" xfId="0" applyFont="1" applyFill="1" applyBorder="1" applyAlignment="1">
      <alignment horizontal="left"/>
    </xf>
    <xf numFmtId="171" fontId="11" fillId="9" borderId="1" xfId="0" applyNumberFormat="1" applyFont="1" applyFill="1" applyBorder="1" applyAlignment="1">
      <alignment horizontal="right"/>
    </xf>
    <xf numFmtId="171" fontId="0" fillId="0" borderId="1" xfId="0" applyNumberFormat="1" applyBorder="1" applyAlignment="1">
      <alignment horizontal="center"/>
    </xf>
    <xf numFmtId="171" fontId="0" fillId="0" borderId="35" xfId="0" applyNumberFormat="1" applyBorder="1" applyAlignment="1">
      <alignment horizontal="center"/>
    </xf>
    <xf numFmtId="171" fontId="0" fillId="0" borderId="36" xfId="0" applyNumberFormat="1" applyBorder="1" applyAlignment="1">
      <alignment horizontal="center"/>
    </xf>
    <xf numFmtId="171" fontId="0" fillId="0" borderId="44" xfId="0" applyNumberFormat="1" applyBorder="1" applyAlignment="1">
      <alignment horizontal="center"/>
    </xf>
    <xf numFmtId="0" fontId="11" fillId="7" borderId="61" xfId="0" applyFont="1" applyFill="1" applyBorder="1" applyAlignment="1">
      <alignment horizontal="center"/>
    </xf>
    <xf numFmtId="0" fontId="11" fillId="7" borderId="3" xfId="0" applyFont="1" applyFill="1" applyBorder="1" applyAlignment="1">
      <alignment horizontal="center"/>
    </xf>
    <xf numFmtId="0" fontId="11" fillId="7" borderId="62" xfId="0" applyFont="1" applyFill="1" applyBorder="1" applyAlignment="1">
      <alignment horizontal="center"/>
    </xf>
    <xf numFmtId="171" fontId="0" fillId="0" borderId="3" xfId="0" applyNumberFormat="1" applyBorder="1" applyAlignment="1">
      <alignment horizontal="center"/>
    </xf>
    <xf numFmtId="0" fontId="0" fillId="0" borderId="33" xfId="0" applyBorder="1" applyAlignment="1">
      <alignment vertical="center"/>
    </xf>
    <xf numFmtId="171" fontId="0" fillId="7" borderId="43" xfId="0" applyNumberFormat="1" applyFill="1" applyBorder="1"/>
    <xf numFmtId="0" fontId="0" fillId="2" borderId="33" xfId="0" applyFill="1" applyBorder="1"/>
    <xf numFmtId="0" fontId="12" fillId="7" borderId="35" xfId="0" applyFont="1" applyFill="1" applyBorder="1" applyAlignment="1">
      <alignment horizontal="center" vertical="center"/>
    </xf>
    <xf numFmtId="0" fontId="11" fillId="7" borderId="36" xfId="0" applyFont="1" applyFill="1" applyBorder="1" applyAlignment="1">
      <alignment horizontal="center"/>
    </xf>
    <xf numFmtId="173" fontId="11" fillId="7" borderId="36" xfId="0" applyNumberFormat="1" applyFont="1" applyFill="1" applyBorder="1" applyAlignment="1">
      <alignment horizontal="center"/>
    </xf>
    <xf numFmtId="171" fontId="11" fillId="9" borderId="44" xfId="0" applyNumberFormat="1" applyFont="1" applyFill="1" applyBorder="1"/>
    <xf numFmtId="0" fontId="12" fillId="7" borderId="33" xfId="0" applyFont="1" applyFill="1" applyBorder="1" applyAlignment="1">
      <alignment horizontal="center" vertical="center"/>
    </xf>
    <xf numFmtId="171" fontId="11" fillId="9" borderId="43"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3" xfId="1" applyFill="1" applyBorder="1"/>
    <xf numFmtId="0" fontId="3" fillId="0" borderId="43" xfId="1" applyBorder="1"/>
    <xf numFmtId="0" fontId="0" fillId="0" borderId="35" xfId="0" applyBorder="1" applyAlignment="1">
      <alignment vertical="center"/>
    </xf>
    <xf numFmtId="0" fontId="0" fillId="0" borderId="36" xfId="0" applyBorder="1" applyAlignment="1">
      <alignment horizontal="center"/>
    </xf>
    <xf numFmtId="0" fontId="0" fillId="2" borderId="44" xfId="0" applyFill="1" applyBorder="1"/>
    <xf numFmtId="171" fontId="11" fillId="9" borderId="53" xfId="0" applyNumberFormat="1" applyFont="1" applyFill="1" applyBorder="1" applyAlignment="1">
      <alignment horizontal="center"/>
    </xf>
    <xf numFmtId="171" fontId="0" fillId="0" borderId="63" xfId="0" applyNumberFormat="1" applyBorder="1" applyAlignment="1">
      <alignment horizontal="center"/>
    </xf>
    <xf numFmtId="0" fontId="12" fillId="7" borderId="61" xfId="0" applyFont="1" applyFill="1" applyBorder="1" applyAlignment="1">
      <alignment horizontal="center"/>
    </xf>
    <xf numFmtId="0" fontId="12" fillId="7" borderId="3" xfId="0" applyFont="1" applyFill="1" applyBorder="1" applyAlignment="1">
      <alignment horizontal="center"/>
    </xf>
    <xf numFmtId="0" fontId="12" fillId="7" borderId="62" xfId="0" applyFont="1" applyFill="1" applyBorder="1" applyAlignment="1">
      <alignment horizontal="center"/>
    </xf>
    <xf numFmtId="171" fontId="11" fillId="9" borderId="6" xfId="0" applyNumberFormat="1" applyFont="1" applyFill="1" applyBorder="1" applyAlignment="1">
      <alignment horizontal="center"/>
    </xf>
    <xf numFmtId="0" fontId="14" fillId="0" borderId="0" xfId="0" applyFont="1" applyFill="1" applyBorder="1" applyAlignment="1"/>
    <xf numFmtId="171" fontId="0" fillId="0" borderId="43" xfId="0" applyNumberFormat="1" applyBorder="1" applyAlignment="1">
      <alignment horizontal="center"/>
    </xf>
    <xf numFmtId="171" fontId="0" fillId="0" borderId="34" xfId="0" applyNumberFormat="1" applyBorder="1" applyAlignment="1">
      <alignment horizontal="center"/>
    </xf>
    <xf numFmtId="0" fontId="0" fillId="0" borderId="1" xfId="0" applyBorder="1" applyAlignment="1">
      <alignment horizontal="center" vertical="center"/>
    </xf>
    <xf numFmtId="0" fontId="0" fillId="0" borderId="68" xfId="0" applyBorder="1" applyAlignment="1">
      <alignment horizontal="center"/>
    </xf>
    <xf numFmtId="0" fontId="0" fillId="0" borderId="2" xfId="0" applyBorder="1" applyAlignment="1">
      <alignment vertical="center"/>
    </xf>
    <xf numFmtId="171" fontId="0" fillId="16" borderId="1" xfId="0" applyNumberFormat="1" applyFill="1" applyBorder="1" applyAlignment="1">
      <alignment horizontal="center"/>
    </xf>
    <xf numFmtId="171" fontId="0" fillId="9" borderId="1" xfId="0" applyNumberFormat="1" applyFill="1" applyBorder="1" applyAlignment="1">
      <alignment horizontal="center"/>
    </xf>
    <xf numFmtId="171" fontId="0" fillId="9" borderId="1" xfId="0" applyNumberFormat="1" applyFill="1" applyBorder="1"/>
    <xf numFmtId="171" fontId="0" fillId="16"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1" fontId="0" fillId="9" borderId="33" xfId="0" applyNumberFormat="1" applyFill="1" applyBorder="1" applyAlignment="1">
      <alignment horizontal="center"/>
    </xf>
    <xf numFmtId="171" fontId="0" fillId="16" borderId="43" xfId="0" applyNumberFormat="1" applyFill="1" applyBorder="1" applyAlignment="1">
      <alignment horizontal="center"/>
    </xf>
    <xf numFmtId="171" fontId="0" fillId="16" borderId="33" xfId="0" applyNumberFormat="1" applyFill="1" applyBorder="1" applyAlignment="1">
      <alignment horizontal="center"/>
    </xf>
    <xf numFmtId="171" fontId="0" fillId="9" borderId="43" xfId="0" applyNumberFormat="1" applyFill="1" applyBorder="1" applyAlignment="1">
      <alignment horizontal="center"/>
    </xf>
    <xf numFmtId="171" fontId="0" fillId="16" borderId="35" xfId="0" applyNumberFormat="1" applyFill="1" applyBorder="1" applyAlignment="1">
      <alignment horizontal="center"/>
    </xf>
    <xf numFmtId="171" fontId="0" fillId="16" borderId="36" xfId="0" applyNumberFormat="1" applyFill="1" applyBorder="1" applyAlignment="1">
      <alignment horizontal="center"/>
    </xf>
    <xf numFmtId="171" fontId="0" fillId="9" borderId="44" xfId="0" applyNumberFormat="1" applyFill="1" applyBorder="1" applyAlignment="1">
      <alignment horizontal="center"/>
    </xf>
    <xf numFmtId="171" fontId="0" fillId="9" borderId="33" xfId="0" applyNumberFormat="1" applyFill="1" applyBorder="1"/>
    <xf numFmtId="171" fontId="0" fillId="9" borderId="43" xfId="0" applyNumberFormat="1" applyFill="1" applyBorder="1"/>
    <xf numFmtId="171" fontId="0" fillId="16" borderId="33" xfId="0" applyNumberFormat="1" applyFill="1" applyBorder="1"/>
    <xf numFmtId="171" fontId="0" fillId="16" borderId="43" xfId="0" applyNumberFormat="1" applyFill="1" applyBorder="1"/>
    <xf numFmtId="171" fontId="0" fillId="16" borderId="35" xfId="0" applyNumberFormat="1" applyFill="1" applyBorder="1"/>
    <xf numFmtId="171" fontId="0" fillId="16" borderId="36" xfId="0" applyNumberFormat="1" applyFill="1" applyBorder="1"/>
    <xf numFmtId="171" fontId="0" fillId="16" borderId="44" xfId="0" applyNumberFormat="1" applyFill="1" applyBorder="1"/>
    <xf numFmtId="171" fontId="12" fillId="9" borderId="21" xfId="0" applyNumberFormat="1" applyFont="1" applyFill="1" applyBorder="1"/>
    <xf numFmtId="171" fontId="12" fillId="9" borderId="20" xfId="0" applyNumberFormat="1" applyFont="1" applyFill="1" applyBorder="1"/>
    <xf numFmtId="0" fontId="0" fillId="0" borderId="23" xfId="0" applyBorder="1" applyAlignment="1">
      <alignment vertical="center"/>
    </xf>
    <xf numFmtId="0" fontId="0" fillId="0" borderId="31" xfId="0" applyBorder="1" applyAlignment="1">
      <alignment horizontal="center"/>
    </xf>
    <xf numFmtId="171" fontId="0" fillId="0" borderId="31" xfId="0" applyNumberFormat="1" applyBorder="1" applyAlignment="1">
      <alignment horizontal="center"/>
    </xf>
    <xf numFmtId="0" fontId="0" fillId="0" borderId="22" xfId="0" applyBorder="1" applyAlignment="1">
      <alignment horizontal="center"/>
    </xf>
    <xf numFmtId="171" fontId="0" fillId="9" borderId="30" xfId="0" applyNumberFormat="1" applyFill="1" applyBorder="1" applyAlignment="1">
      <alignment horizontal="center"/>
    </xf>
    <xf numFmtId="171" fontId="0" fillId="16" borderId="31" xfId="0" applyNumberFormat="1" applyFill="1" applyBorder="1" applyAlignment="1">
      <alignment horizontal="center"/>
    </xf>
    <xf numFmtId="171" fontId="0" fillId="16" borderId="47" xfId="0" applyNumberFormat="1" applyFill="1" applyBorder="1" applyAlignment="1">
      <alignment horizontal="center"/>
    </xf>
    <xf numFmtId="171" fontId="0" fillId="9" borderId="30" xfId="0" applyNumberFormat="1" applyFill="1" applyBorder="1"/>
    <xf numFmtId="171" fontId="0" fillId="9" borderId="47" xfId="0" applyNumberFormat="1" applyFill="1" applyBorder="1"/>
    <xf numFmtId="0" fontId="0" fillId="0" borderId="54" xfId="0" applyBorder="1" applyAlignment="1">
      <alignment vertical="center"/>
    </xf>
    <xf numFmtId="0" fontId="0" fillId="0" borderId="39" xfId="0" applyBorder="1" applyAlignment="1">
      <alignment horizontal="center"/>
    </xf>
    <xf numFmtId="171" fontId="0" fillId="9" borderId="31" xfId="0" applyNumberFormat="1" applyFill="1" applyBorder="1"/>
    <xf numFmtId="171" fontId="0" fillId="9" borderId="36" xfId="0" applyNumberFormat="1" applyFill="1" applyBorder="1" applyAlignment="1">
      <alignment horizontal="center"/>
    </xf>
    <xf numFmtId="171" fontId="0" fillId="16" borderId="44" xfId="0" applyNumberFormat="1" applyFill="1" applyBorder="1" applyAlignment="1">
      <alignment horizontal="center"/>
    </xf>
    <xf numFmtId="171" fontId="0" fillId="9" borderId="44" xfId="0" applyNumberFormat="1" applyFill="1" applyBorder="1"/>
    <xf numFmtId="0" fontId="0" fillId="0" borderId="75" xfId="0" applyBorder="1" applyAlignment="1">
      <alignment horizontal="center"/>
    </xf>
    <xf numFmtId="0" fontId="11" fillId="7" borderId="35" xfId="0" applyFont="1" applyFill="1" applyBorder="1" applyAlignment="1">
      <alignment horizontal="center" vertical="center"/>
    </xf>
    <xf numFmtId="0" fontId="11" fillId="7" borderId="36" xfId="0" applyFont="1" applyFill="1" applyBorder="1" applyAlignment="1">
      <alignment horizontal="center" vertical="center"/>
    </xf>
    <xf numFmtId="0" fontId="11" fillId="7" borderId="44" xfId="0" applyFont="1" applyFill="1" applyBorder="1" applyAlignment="1">
      <alignment horizontal="center" vertical="center"/>
    </xf>
    <xf numFmtId="171" fontId="12" fillId="9" borderId="73" xfId="0" applyNumberFormat="1" applyFont="1" applyFill="1" applyBorder="1"/>
    <xf numFmtId="0" fontId="0" fillId="0" borderId="2" xfId="0" applyBorder="1" applyAlignment="1">
      <alignment horizontal="center"/>
    </xf>
    <xf numFmtId="0" fontId="0" fillId="0" borderId="43" xfId="0" applyBorder="1"/>
    <xf numFmtId="171" fontId="0" fillId="0" borderId="62" xfId="0" applyNumberFormat="1" applyBorder="1" applyAlignment="1">
      <alignment horizontal="center"/>
    </xf>
    <xf numFmtId="0" fontId="11" fillId="7" borderId="73" xfId="0" applyFont="1" applyFill="1" applyBorder="1" applyAlignment="1">
      <alignment horizontal="center"/>
    </xf>
    <xf numFmtId="0" fontId="11" fillId="7" borderId="21" xfId="0" applyFont="1" applyFill="1" applyBorder="1" applyAlignment="1">
      <alignment horizontal="center"/>
    </xf>
    <xf numFmtId="0" fontId="11" fillId="7" borderId="20" xfId="0" applyFont="1" applyFill="1" applyBorder="1" applyAlignment="1">
      <alignment horizontal="center"/>
    </xf>
    <xf numFmtId="0" fontId="0" fillId="0" borderId="34" xfId="0" applyBorder="1"/>
    <xf numFmtId="0" fontId="0" fillId="0" borderId="71" xfId="0" applyBorder="1" applyAlignment="1">
      <alignment horizontal="center"/>
    </xf>
    <xf numFmtId="0" fontId="0" fillId="9" borderId="73" xfId="0" applyFill="1" applyBorder="1" applyAlignment="1">
      <alignment horizontal="center"/>
    </xf>
    <xf numFmtId="171" fontId="0" fillId="9" borderId="21" xfId="0" applyNumberFormat="1" applyFill="1" applyBorder="1" applyAlignment="1">
      <alignment horizontal="center"/>
    </xf>
    <xf numFmtId="171" fontId="0" fillId="9" borderId="20" xfId="0" applyNumberFormat="1" applyFill="1" applyBorder="1" applyAlignment="1">
      <alignment horizontal="center"/>
    </xf>
    <xf numFmtId="171" fontId="0" fillId="0" borderId="77" xfId="0" applyNumberFormat="1" applyBorder="1" applyAlignment="1">
      <alignment horizontal="center"/>
    </xf>
    <xf numFmtId="171" fontId="0" fillId="0" borderId="26" xfId="0" applyNumberFormat="1" applyBorder="1" applyAlignment="1">
      <alignment horizontal="center"/>
    </xf>
    <xf numFmtId="171" fontId="0" fillId="0" borderId="46" xfId="0" applyNumberFormat="1" applyBorder="1" applyAlignment="1">
      <alignment horizontal="center"/>
    </xf>
    <xf numFmtId="165" fontId="0" fillId="2" borderId="0" xfId="6" applyFont="1" applyFill="1"/>
    <xf numFmtId="164" fontId="0" fillId="2" borderId="0" xfId="0" applyNumberFormat="1" applyFill="1"/>
    <xf numFmtId="171" fontId="11" fillId="9" borderId="30" xfId="0" applyNumberFormat="1" applyFont="1" applyFill="1" applyBorder="1"/>
    <xf numFmtId="171" fontId="11" fillId="9" borderId="33" xfId="0" applyNumberFormat="1" applyFont="1" applyFill="1" applyBorder="1"/>
    <xf numFmtId="175" fontId="11" fillId="13" borderId="43" xfId="0" applyNumberFormat="1" applyFont="1" applyFill="1" applyBorder="1" applyAlignment="1">
      <alignment horizontal="center"/>
    </xf>
    <xf numFmtId="171" fontId="11" fillId="9" borderId="35" xfId="0" applyNumberFormat="1" applyFont="1" applyFill="1" applyBorder="1"/>
    <xf numFmtId="171" fontId="0" fillId="9" borderId="73"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9" borderId="24" xfId="0" applyFill="1" applyBorder="1"/>
    <xf numFmtId="0" fontId="0" fillId="9" borderId="2" xfId="0" applyFill="1" applyBorder="1"/>
    <xf numFmtId="0" fontId="27" fillId="6" borderId="25" xfId="0" applyFont="1" applyFill="1" applyBorder="1" applyAlignment="1">
      <alignment vertical="center"/>
    </xf>
    <xf numFmtId="0" fontId="27" fillId="6" borderId="2" xfId="0" applyFont="1" applyFill="1" applyBorder="1" applyAlignment="1">
      <alignment vertical="center"/>
    </xf>
    <xf numFmtId="10" fontId="0" fillId="2" borderId="1" xfId="0" applyNumberFormat="1" applyFill="1" applyBorder="1" applyAlignment="1">
      <alignment horizontal="center"/>
    </xf>
    <xf numFmtId="171" fontId="0" fillId="2" borderId="1" xfId="0" applyNumberFormat="1" applyFill="1" applyBorder="1" applyAlignment="1">
      <alignment horizontal="center"/>
    </xf>
    <xf numFmtId="9" fontId="0" fillId="2" borderId="1" xfId="0" applyNumberFormat="1" applyFill="1" applyBorder="1" applyAlignment="1">
      <alignment horizontal="center"/>
    </xf>
    <xf numFmtId="175" fontId="0" fillId="2" borderId="1" xfId="0" applyNumberFormat="1" applyFill="1" applyBorder="1" applyAlignment="1">
      <alignment horizontal="center"/>
    </xf>
    <xf numFmtId="167" fontId="0" fillId="2" borderId="1" xfId="0" applyNumberFormat="1" applyFill="1" applyBorder="1" applyAlignment="1">
      <alignment horizontal="center"/>
    </xf>
    <xf numFmtId="0" fontId="0" fillId="2" borderId="3" xfId="0" applyFill="1" applyBorder="1" applyAlignment="1">
      <alignment horizontal="center"/>
    </xf>
    <xf numFmtId="0" fontId="11" fillId="6" borderId="24" xfId="0" applyFont="1" applyFill="1" applyBorder="1" applyAlignment="1">
      <alignment horizontal="center" vertical="center" wrapText="1"/>
    </xf>
    <xf numFmtId="171" fontId="0" fillId="6" borderId="1" xfId="0" applyNumberFormat="1" applyFill="1" applyBorder="1"/>
    <xf numFmtId="0" fontId="0" fillId="6" borderId="1" xfId="0" applyFill="1" applyBorder="1" applyAlignment="1">
      <alignment horizontal="center"/>
    </xf>
    <xf numFmtId="0" fontId="0" fillId="6" borderId="24" xfId="0" applyFill="1" applyBorder="1" applyAlignment="1">
      <alignment vertical="center"/>
    </xf>
    <xf numFmtId="0" fontId="0" fillId="6" borderId="2" xfId="0" applyFill="1" applyBorder="1" applyAlignment="1">
      <alignment vertical="center"/>
    </xf>
    <xf numFmtId="0" fontId="0" fillId="6" borderId="1" xfId="0" applyFill="1" applyBorder="1"/>
    <xf numFmtId="0" fontId="0" fillId="6" borderId="24" xfId="0" applyFill="1" applyBorder="1"/>
    <xf numFmtId="0" fontId="0" fillId="6" borderId="2" xfId="0" applyFill="1" applyBorder="1"/>
    <xf numFmtId="0" fontId="0" fillId="2" borderId="2" xfId="0" applyFill="1" applyBorder="1" applyAlignment="1">
      <alignment horizontal="center" vertical="center"/>
    </xf>
    <xf numFmtId="171"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9" borderId="1" xfId="0" applyFill="1" applyBorder="1" applyAlignment="1">
      <alignment horizontal="center" vertical="center"/>
    </xf>
    <xf numFmtId="171" fontId="0" fillId="9" borderId="1" xfId="0" applyNumberFormat="1" applyFill="1" applyBorder="1" applyAlignment="1">
      <alignment horizontal="center" vertical="center"/>
    </xf>
    <xf numFmtId="0" fontId="11" fillId="6" borderId="24" xfId="0" applyFont="1" applyFill="1" applyBorder="1"/>
    <xf numFmtId="0" fontId="11" fillId="6" borderId="2" xfId="0" applyFont="1" applyFill="1" applyBorder="1"/>
    <xf numFmtId="0" fontId="22" fillId="6" borderId="24" xfId="0" applyFont="1" applyFill="1" applyBorder="1" applyAlignment="1">
      <alignment vertical="center"/>
    </xf>
    <xf numFmtId="171" fontId="0" fillId="6" borderId="1" xfId="0" applyNumberFormat="1" applyFont="1" applyFill="1" applyBorder="1" applyAlignment="1">
      <alignment horizontal="center"/>
    </xf>
    <xf numFmtId="0" fontId="0" fillId="2" borderId="0" xfId="0" applyFill="1" applyBorder="1" applyAlignment="1">
      <alignment horizontal="center"/>
    </xf>
    <xf numFmtId="171" fontId="0" fillId="2" borderId="33" xfId="0" applyNumberFormat="1" applyFont="1" applyFill="1" applyBorder="1" applyAlignment="1">
      <alignment horizontal="center"/>
    </xf>
    <xf numFmtId="171" fontId="0" fillId="2" borderId="43"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1" fontId="11" fillId="17" borderId="1" xfId="0" applyNumberFormat="1" applyFont="1" applyFill="1" applyBorder="1" applyAlignment="1">
      <alignment horizontal="center" vertical="center"/>
    </xf>
    <xf numFmtId="171" fontId="11" fillId="6" borderId="1" xfId="0" applyNumberFormat="1" applyFont="1" applyFill="1" applyBorder="1" applyAlignment="1">
      <alignment horizontal="right"/>
    </xf>
    <xf numFmtId="9" fontId="11" fillId="2" borderId="1" xfId="0" applyNumberFormat="1" applyFont="1" applyFill="1" applyBorder="1" applyAlignment="1">
      <alignment horizontal="center"/>
    </xf>
    <xf numFmtId="175" fontId="11" fillId="2" borderId="1" xfId="0" applyNumberFormat="1" applyFont="1" applyFill="1" applyBorder="1" applyAlignment="1">
      <alignment horizontal="center"/>
    </xf>
    <xf numFmtId="167"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6" xfId="0" applyFill="1" applyBorder="1" applyAlignment="1">
      <alignment horizontal="left" vertical="center" wrapText="1"/>
    </xf>
    <xf numFmtId="0" fontId="0" fillId="2" borderId="3" xfId="0" applyFill="1" applyBorder="1" applyAlignment="1">
      <alignment horizontal="center" vertical="center"/>
    </xf>
    <xf numFmtId="0" fontId="0" fillId="2" borderId="62" xfId="0" applyFill="1" applyBorder="1" applyAlignment="1">
      <alignment horizontal="center" vertical="center"/>
    </xf>
    <xf numFmtId="0" fontId="11" fillId="6" borderId="35" xfId="0" applyFont="1" applyFill="1" applyBorder="1" applyAlignment="1">
      <alignment horizontal="center"/>
    </xf>
    <xf numFmtId="0" fontId="11" fillId="6" borderId="36" xfId="0" applyFont="1" applyFill="1" applyBorder="1" applyAlignment="1">
      <alignment horizontal="center" vertical="center" wrapText="1"/>
    </xf>
    <xf numFmtId="0" fontId="11" fillId="6" borderId="36" xfId="0" applyFont="1" applyFill="1" applyBorder="1" applyAlignment="1">
      <alignment horizontal="center"/>
    </xf>
    <xf numFmtId="0" fontId="11" fillId="6" borderId="44" xfId="0" applyFont="1" applyFill="1" applyBorder="1" applyAlignment="1">
      <alignment horizontal="center"/>
    </xf>
    <xf numFmtId="0" fontId="0" fillId="2" borderId="68" xfId="0" applyFill="1" applyBorder="1" applyAlignment="1">
      <alignment horizontal="left" vertical="center" wrapText="1"/>
    </xf>
    <xf numFmtId="0" fontId="0" fillId="2" borderId="2" xfId="0" applyFill="1" applyBorder="1" applyAlignment="1">
      <alignment horizontal="left" vertical="center" wrapText="1"/>
    </xf>
    <xf numFmtId="0" fontId="0" fillId="2" borderId="54" xfId="0" applyFill="1" applyBorder="1" applyAlignment="1">
      <alignment horizontal="left" vertical="center" wrapText="1"/>
    </xf>
    <xf numFmtId="0" fontId="11" fillId="6" borderId="57" xfId="0" applyFont="1" applyFill="1" applyBorder="1" applyAlignment="1">
      <alignment horizontal="center" vertical="center"/>
    </xf>
    <xf numFmtId="0" fontId="11" fillId="6" borderId="58" xfId="0" applyFont="1" applyFill="1" applyBorder="1" applyAlignment="1">
      <alignment horizontal="center" vertical="center"/>
    </xf>
    <xf numFmtId="0" fontId="11" fillId="6" borderId="59" xfId="0" applyFont="1" applyFill="1" applyBorder="1" applyAlignment="1">
      <alignment horizontal="center" vertical="center"/>
    </xf>
    <xf numFmtId="0" fontId="11" fillId="6" borderId="69" xfId="0" applyFont="1" applyFill="1" applyBorder="1" applyAlignment="1">
      <alignment horizontal="center" vertical="center"/>
    </xf>
    <xf numFmtId="0" fontId="0" fillId="2" borderId="71" xfId="0" applyFill="1" applyBorder="1" applyAlignment="1">
      <alignment horizontal="left" vertical="center" wrapText="1"/>
    </xf>
    <xf numFmtId="0" fontId="0" fillId="2" borderId="63" xfId="0" applyFill="1" applyBorder="1" applyAlignment="1">
      <alignment horizontal="left" vertical="center" wrapText="1"/>
    </xf>
    <xf numFmtId="0" fontId="0" fillId="2" borderId="63" xfId="0" applyFill="1" applyBorder="1" applyAlignment="1">
      <alignment horizontal="center" vertical="center"/>
    </xf>
    <xf numFmtId="0" fontId="0" fillId="2" borderId="34" xfId="0" applyFill="1" applyBorder="1" applyAlignment="1">
      <alignment horizontal="center" vertical="center"/>
    </xf>
    <xf numFmtId="0" fontId="11" fillId="6" borderId="70" xfId="0" applyFont="1" applyFill="1" applyBorder="1" applyAlignment="1">
      <alignment horizontal="center" vertical="center"/>
    </xf>
    <xf numFmtId="0" fontId="11" fillId="6" borderId="53" xfId="0" applyFont="1" applyFill="1" applyBorder="1" applyAlignment="1">
      <alignment horizontal="center" vertical="center"/>
    </xf>
    <xf numFmtId="0" fontId="0" fillId="6" borderId="73" xfId="0" applyFill="1" applyBorder="1" applyAlignment="1">
      <alignment horizontal="left" vertical="center" wrapText="1"/>
    </xf>
    <xf numFmtId="0" fontId="0" fillId="6" borderId="21" xfId="0" applyFill="1" applyBorder="1" applyAlignment="1">
      <alignment horizontal="left" vertical="center" wrapText="1"/>
    </xf>
    <xf numFmtId="0" fontId="0" fillId="6" borderId="21" xfId="0" applyFill="1" applyBorder="1" applyAlignment="1">
      <alignment horizontal="center" vertical="center"/>
    </xf>
    <xf numFmtId="0" fontId="0" fillId="6" borderId="20" xfId="0" applyFill="1" applyBorder="1" applyAlignment="1">
      <alignment horizontal="center" vertical="center"/>
    </xf>
    <xf numFmtId="0" fontId="0" fillId="2" borderId="77" xfId="0" applyFill="1" applyBorder="1" applyAlignment="1">
      <alignment horizontal="left" vertical="center" wrapText="1"/>
    </xf>
    <xf numFmtId="0" fontId="0" fillId="2" borderId="26" xfId="0" applyFill="1" applyBorder="1" applyAlignment="1">
      <alignment horizontal="center" vertical="center"/>
    </xf>
    <xf numFmtId="0" fontId="0" fillId="2" borderId="46" xfId="0" applyFill="1" applyBorder="1" applyAlignment="1">
      <alignment horizontal="center" vertical="center"/>
    </xf>
    <xf numFmtId="0" fontId="0" fillId="6" borderId="19" xfId="0" applyFill="1" applyBorder="1" applyAlignment="1">
      <alignment horizontal="left" vertical="center" wrapText="1"/>
    </xf>
    <xf numFmtId="171" fontId="11" fillId="11" borderId="1" xfId="0" applyNumberFormat="1" applyFont="1" applyFill="1" applyBorder="1" applyAlignment="1">
      <alignment horizontal="center" vertical="center"/>
    </xf>
    <xf numFmtId="2" fontId="0" fillId="11" borderId="1" xfId="0" applyNumberFormat="1" applyFill="1" applyBorder="1" applyAlignment="1">
      <alignment horizontal="center"/>
    </xf>
    <xf numFmtId="0" fontId="0" fillId="2" borderId="3" xfId="0" applyFont="1" applyFill="1" applyBorder="1" applyAlignment="1">
      <alignment vertical="center"/>
    </xf>
    <xf numFmtId="171" fontId="0" fillId="6" borderId="61" xfId="0" applyNumberFormat="1" applyFill="1" applyBorder="1"/>
    <xf numFmtId="9" fontId="0" fillId="2" borderId="62" xfId="0" applyNumberFormat="1" applyFill="1" applyBorder="1" applyAlignment="1">
      <alignment horizontal="center"/>
    </xf>
    <xf numFmtId="171" fontId="0" fillId="6" borderId="33" xfId="0" applyNumberFormat="1" applyFill="1" applyBorder="1"/>
    <xf numFmtId="175" fontId="0" fillId="2" borderId="43" xfId="0" applyNumberFormat="1" applyFill="1" applyBorder="1" applyAlignment="1">
      <alignment horizontal="center"/>
    </xf>
    <xf numFmtId="171" fontId="0" fillId="6" borderId="35" xfId="0" applyNumberFormat="1" applyFill="1" applyBorder="1"/>
    <xf numFmtId="167" fontId="0" fillId="2" borderId="44"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166" fontId="0" fillId="2" borderId="0" xfId="2" applyFont="1" applyFill="1"/>
    <xf numFmtId="0" fontId="28" fillId="18" borderId="53" xfId="0" applyFont="1" applyFill="1" applyBorder="1" applyAlignment="1">
      <alignment horizontal="center"/>
    </xf>
    <xf numFmtId="171" fontId="11" fillId="19" borderId="1" xfId="0" applyNumberFormat="1" applyFont="1" applyFill="1" applyBorder="1" applyAlignment="1">
      <alignment horizontal="center" vertical="center"/>
    </xf>
    <xf numFmtId="171" fontId="11" fillId="14" borderId="1" xfId="0" applyNumberFormat="1" applyFont="1" applyFill="1" applyBorder="1" applyAlignment="1">
      <alignment horizontal="center" vertical="center"/>
    </xf>
    <xf numFmtId="171" fontId="11" fillId="18" borderId="1" xfId="0" applyNumberFormat="1" applyFont="1" applyFill="1" applyBorder="1" applyAlignment="1">
      <alignment horizontal="center" vertical="center"/>
    </xf>
    <xf numFmtId="0" fontId="0" fillId="0" borderId="0" xfId="0" applyFont="1" applyFill="1"/>
    <xf numFmtId="0" fontId="0" fillId="0" borderId="0" xfId="0" applyFill="1"/>
    <xf numFmtId="0" fontId="0" fillId="20" borderId="0" xfId="0" applyFill="1"/>
    <xf numFmtId="0" fontId="0" fillId="21" borderId="0" xfId="0" applyFill="1"/>
    <xf numFmtId="0" fontId="0" fillId="22" borderId="0" xfId="0" applyFill="1"/>
    <xf numFmtId="0" fontId="15" fillId="20" borderId="0" xfId="0" applyFont="1" applyFill="1" applyAlignment="1">
      <alignment vertical="center"/>
    </xf>
    <xf numFmtId="0" fontId="5" fillId="20" borderId="0" xfId="0" applyFont="1" applyFill="1" applyAlignment="1">
      <alignment vertical="center"/>
    </xf>
    <xf numFmtId="0" fontId="15" fillId="21" borderId="0" xfId="0" applyFont="1" applyFill="1" applyAlignment="1">
      <alignment vertical="center"/>
    </xf>
    <xf numFmtId="0" fontId="5" fillId="21" borderId="0" xfId="0" applyFont="1" applyFill="1" applyAlignment="1">
      <alignment vertical="center"/>
    </xf>
    <xf numFmtId="0" fontId="15" fillId="22" borderId="0" xfId="0" applyFont="1" applyFill="1" applyAlignment="1">
      <alignment vertical="center"/>
    </xf>
    <xf numFmtId="0" fontId="5" fillId="22" borderId="0" xfId="0" applyFont="1" applyFill="1" applyAlignment="1">
      <alignment vertical="center"/>
    </xf>
    <xf numFmtId="0" fontId="0" fillId="22" borderId="0" xfId="0" applyFill="1" applyAlignment="1">
      <alignment wrapText="1"/>
    </xf>
    <xf numFmtId="0" fontId="6" fillId="22" borderId="0" xfId="0" applyFont="1" applyFill="1" applyAlignment="1">
      <alignment vertical="center"/>
    </xf>
    <xf numFmtId="10" fontId="11" fillId="13" borderId="47" xfId="0" applyNumberFormat="1" applyFont="1" applyFill="1" applyBorder="1" applyAlignment="1">
      <alignment horizontal="center"/>
    </xf>
    <xf numFmtId="10" fontId="11" fillId="13" borderId="44" xfId="0" applyNumberFormat="1" applyFont="1" applyFill="1" applyBorder="1" applyAlignment="1">
      <alignment horizont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9" fillId="12" borderId="4" xfId="0" applyFont="1" applyFill="1" applyBorder="1" applyAlignment="1">
      <alignment horizontal="center" vertical="center" wrapText="1"/>
    </xf>
    <xf numFmtId="0" fontId="19" fillId="12" borderId="6" xfId="0" applyFont="1" applyFill="1" applyBorder="1" applyAlignment="1">
      <alignment horizontal="center" vertical="center"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9" fillId="11" borderId="6"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19" fillId="7" borderId="8" xfId="0" applyFont="1" applyFill="1" applyBorder="1" applyAlignment="1">
      <alignment horizontal="center" vertical="center" wrapText="1"/>
    </xf>
    <xf numFmtId="0" fontId="19" fillId="7" borderId="9" xfId="0" applyFont="1" applyFill="1" applyBorder="1" applyAlignment="1">
      <alignment horizontal="center" vertical="center" wrapText="1"/>
    </xf>
    <xf numFmtId="0" fontId="19" fillId="7" borderId="14"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19" fillId="7" borderId="10" xfId="0" applyFont="1" applyFill="1" applyBorder="1" applyAlignment="1">
      <alignment horizontal="center" vertical="center" wrapText="1"/>
    </xf>
    <xf numFmtId="0" fontId="19" fillId="7" borderId="15" xfId="0" applyFont="1" applyFill="1" applyBorder="1" applyAlignment="1">
      <alignment horizontal="center" vertical="center" wrapText="1"/>
    </xf>
    <xf numFmtId="0" fontId="19" fillId="7" borderId="11"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13" borderId="4" xfId="0" applyFont="1" applyFill="1" applyBorder="1" applyAlignment="1">
      <alignment horizontal="center" vertical="center" wrapText="1"/>
    </xf>
    <xf numFmtId="0" fontId="19" fillId="13" borderId="5" xfId="0" applyFont="1" applyFill="1" applyBorder="1" applyAlignment="1">
      <alignment horizontal="center" vertical="center" wrapText="1"/>
    </xf>
    <xf numFmtId="0" fontId="19" fillId="13" borderId="6" xfId="0" applyFont="1" applyFill="1" applyBorder="1" applyAlignment="1">
      <alignment horizontal="center" vertical="center" wrapText="1"/>
    </xf>
    <xf numFmtId="0" fontId="19" fillId="12" borderId="5" xfId="0" applyFont="1" applyFill="1" applyBorder="1" applyAlignment="1">
      <alignment horizontal="center" vertical="center" wrapText="1"/>
    </xf>
    <xf numFmtId="0" fontId="19" fillId="7" borderId="4" xfId="0" applyFont="1" applyFill="1" applyBorder="1" applyAlignment="1">
      <alignment horizontal="center" vertical="center" textRotation="90" wrapText="1"/>
    </xf>
    <xf numFmtId="0" fontId="19" fillId="7" borderId="5" xfId="0" applyFont="1" applyFill="1" applyBorder="1" applyAlignment="1">
      <alignment horizontal="center" vertical="center" textRotation="90" wrapText="1"/>
    </xf>
    <xf numFmtId="0" fontId="19" fillId="7" borderId="6" xfId="0" applyFont="1" applyFill="1" applyBorder="1" applyAlignment="1">
      <alignment horizontal="center" vertical="center" textRotation="90" wrapText="1"/>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0" fontId="14" fillId="6" borderId="19" xfId="0" applyFont="1" applyFill="1" applyBorder="1" applyAlignment="1">
      <alignment horizontal="left"/>
    </xf>
    <xf numFmtId="0" fontId="14" fillId="6" borderId="21" xfId="0" applyFont="1" applyFill="1" applyBorder="1" applyAlignment="1">
      <alignment horizontal="left"/>
    </xf>
    <xf numFmtId="0" fontId="14" fillId="6" borderId="20" xfId="0" applyFont="1" applyFill="1" applyBorder="1" applyAlignment="1">
      <alignment horizontal="left"/>
    </xf>
    <xf numFmtId="0" fontId="14" fillId="6" borderId="16" xfId="0" applyFont="1" applyFill="1" applyBorder="1" applyAlignment="1">
      <alignment horizontal="center"/>
    </xf>
    <xf numFmtId="0" fontId="14" fillId="6" borderId="17" xfId="0" applyFont="1" applyFill="1" applyBorder="1" applyAlignment="1">
      <alignment horizontal="center"/>
    </xf>
    <xf numFmtId="0" fontId="14" fillId="6" borderId="7" xfId="0" applyFont="1" applyFill="1" applyBorder="1" applyAlignment="1">
      <alignment horizontal="center"/>
    </xf>
    <xf numFmtId="0" fontId="19" fillId="10" borderId="4" xfId="0"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10" borderId="6" xfId="0" applyFont="1" applyFill="1" applyBorder="1" applyAlignment="1">
      <alignment horizontal="center" vertical="center" wrapText="1"/>
    </xf>
    <xf numFmtId="0" fontId="11" fillId="7" borderId="40" xfId="0" applyFont="1" applyFill="1" applyBorder="1" applyAlignment="1">
      <alignment horizontal="center" vertical="center"/>
    </xf>
    <xf numFmtId="0" fontId="11" fillId="7" borderId="32" xfId="0" applyFont="1" applyFill="1" applyBorder="1" applyAlignment="1">
      <alignment horizontal="center" vertical="center"/>
    </xf>
    <xf numFmtId="9" fontId="11" fillId="9" borderId="48" xfId="3" applyFont="1" applyFill="1" applyBorder="1" applyAlignment="1">
      <alignment horizontal="center" vertical="center"/>
    </xf>
    <xf numFmtId="9" fontId="11" fillId="9" borderId="49" xfId="3" applyFont="1" applyFill="1" applyBorder="1" applyAlignment="1">
      <alignment horizontal="center" vertical="center"/>
    </xf>
    <xf numFmtId="0" fontId="21" fillId="2" borderId="16" xfId="0" applyFont="1" applyFill="1" applyBorder="1" applyAlignment="1">
      <alignment horizontal="left" vertical="top" wrapText="1"/>
    </xf>
    <xf numFmtId="0" fontId="21" fillId="2" borderId="17" xfId="0" applyFont="1" applyFill="1" applyBorder="1" applyAlignment="1">
      <alignment horizontal="left" vertical="top"/>
    </xf>
    <xf numFmtId="0" fontId="21" fillId="2" borderId="7" xfId="0" applyFont="1" applyFill="1" applyBorder="1" applyAlignment="1">
      <alignment horizontal="left" vertical="top"/>
    </xf>
    <xf numFmtId="0" fontId="9" fillId="2" borderId="13"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4" xfId="0" applyFont="1" applyFill="1" applyBorder="1" applyAlignment="1">
      <alignment horizontal="left" vertical="top" wrapText="1"/>
    </xf>
    <xf numFmtId="0" fontId="9" fillId="2" borderId="0" xfId="0" applyFont="1" applyFill="1" applyBorder="1" applyAlignment="1">
      <alignment horizontal="left" vertical="top" wrapText="1"/>
    </xf>
    <xf numFmtId="0" fontId="9" fillId="2" borderId="10" xfId="0" applyFont="1" applyFill="1" applyBorder="1" applyAlignment="1">
      <alignment horizontal="left" vertical="top" wrapText="1"/>
    </xf>
    <xf numFmtId="0" fontId="9" fillId="2" borderId="15" xfId="0" applyFont="1" applyFill="1" applyBorder="1" applyAlignment="1">
      <alignment horizontal="left" vertical="top" wrapText="1"/>
    </xf>
    <xf numFmtId="0" fontId="9" fillId="2" borderId="11" xfId="0" applyFont="1" applyFill="1" applyBorder="1" applyAlignment="1">
      <alignment horizontal="left" vertical="top" wrapText="1"/>
    </xf>
    <xf numFmtId="0" fontId="9" fillId="2" borderId="12" xfId="0" applyFont="1" applyFill="1" applyBorder="1" applyAlignment="1">
      <alignment horizontal="left" vertical="top" wrapText="1"/>
    </xf>
    <xf numFmtId="0" fontId="20" fillId="8" borderId="16" xfId="0" applyFont="1" applyFill="1" applyBorder="1" applyAlignment="1">
      <alignment horizontal="left"/>
    </xf>
    <xf numFmtId="0" fontId="20" fillId="8" borderId="17" xfId="0" applyFont="1" applyFill="1" applyBorder="1" applyAlignment="1">
      <alignment horizontal="left"/>
    </xf>
    <xf numFmtId="0" fontId="20" fillId="8" borderId="7" xfId="0" applyFont="1" applyFill="1" applyBorder="1" applyAlignment="1">
      <alignment horizontal="left"/>
    </xf>
    <xf numFmtId="0" fontId="8" fillId="6" borderId="41" xfId="0" applyFont="1" applyFill="1" applyBorder="1" applyAlignment="1">
      <alignment horizontal="center" vertical="center"/>
    </xf>
    <xf numFmtId="0" fontId="8" fillId="6" borderId="34" xfId="0" applyFont="1" applyFill="1" applyBorder="1" applyAlignment="1">
      <alignment horizontal="center" vertical="center"/>
    </xf>
    <xf numFmtId="0" fontId="11" fillId="6" borderId="8"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13" xfId="0" applyFont="1" applyFill="1" applyBorder="1" applyAlignment="1">
      <alignment horizontal="center" vertical="center"/>
    </xf>
    <xf numFmtId="166" fontId="22" fillId="7" borderId="51" xfId="2" applyFont="1" applyFill="1" applyBorder="1" applyAlignment="1">
      <alignment horizontal="center" vertical="center"/>
    </xf>
    <xf numFmtId="166" fontId="22" fillId="7" borderId="48" xfId="2" applyFont="1" applyFill="1" applyBorder="1" applyAlignment="1">
      <alignment horizontal="center" vertical="center"/>
    </xf>
    <xf numFmtId="166" fontId="22" fillId="7" borderId="50" xfId="2" applyFont="1" applyFill="1" applyBorder="1" applyAlignment="1">
      <alignment horizontal="center" vertical="center"/>
    </xf>
    <xf numFmtId="166" fontId="22" fillId="7" borderId="27" xfId="2" applyFont="1" applyFill="1" applyBorder="1" applyAlignment="1">
      <alignment horizontal="center" vertical="center"/>
    </xf>
    <xf numFmtId="166" fontId="22" fillId="7" borderId="24" xfId="2" applyFont="1" applyFill="1" applyBorder="1" applyAlignment="1">
      <alignment horizontal="center" vertical="center"/>
    </xf>
    <xf numFmtId="166" fontId="22" fillId="7" borderId="39" xfId="2" applyFont="1" applyFill="1" applyBorder="1" applyAlignment="1">
      <alignment horizontal="center" vertical="center"/>
    </xf>
    <xf numFmtId="166" fontId="22" fillId="7" borderId="52" xfId="2" applyFont="1" applyFill="1" applyBorder="1" applyAlignment="1">
      <alignment horizontal="center" vertical="center"/>
    </xf>
    <xf numFmtId="166" fontId="22" fillId="7" borderId="41" xfId="2" applyFont="1" applyFill="1" applyBorder="1" applyAlignment="1">
      <alignment horizontal="center" vertical="center"/>
    </xf>
    <xf numFmtId="166" fontId="22" fillId="7" borderId="42" xfId="2" applyFont="1" applyFill="1" applyBorder="1" applyAlignment="1">
      <alignment horizontal="center" vertical="center"/>
    </xf>
    <xf numFmtId="166" fontId="22" fillId="7" borderId="34" xfId="2" applyFont="1" applyFill="1" applyBorder="1" applyAlignment="1">
      <alignment horizontal="center" vertical="center"/>
    </xf>
    <xf numFmtId="166" fontId="22" fillId="7" borderId="38" xfId="2" applyFont="1" applyFill="1" applyBorder="1" applyAlignment="1">
      <alignment horizontal="center" vertical="center"/>
    </xf>
    <xf numFmtId="0" fontId="11" fillId="7" borderId="51" xfId="0" applyFont="1" applyFill="1" applyBorder="1" applyAlignment="1">
      <alignment horizontal="center" vertical="center"/>
    </xf>
    <xf numFmtId="166" fontId="22" fillId="7" borderId="40" xfId="2" applyFont="1" applyFill="1" applyBorder="1" applyAlignment="1">
      <alignment horizontal="center" vertical="center"/>
    </xf>
    <xf numFmtId="166" fontId="22" fillId="7" borderId="32" xfId="2" applyFont="1" applyFill="1" applyBorder="1" applyAlignment="1">
      <alignment horizontal="center" vertical="center"/>
    </xf>
    <xf numFmtId="166" fontId="22" fillId="7" borderId="45" xfId="2" applyFont="1" applyFill="1" applyBorder="1" applyAlignment="1">
      <alignment horizontal="center" vertical="center"/>
    </xf>
    <xf numFmtId="166" fontId="22" fillId="7" borderId="46" xfId="2" applyFont="1" applyFill="1" applyBorder="1" applyAlignment="1">
      <alignment horizontal="center" vertical="center"/>
    </xf>
    <xf numFmtId="0" fontId="0" fillId="7" borderId="1" xfId="0" applyFont="1" applyFill="1" applyBorder="1" applyAlignment="1">
      <alignment horizontal="center" vertical="center"/>
    </xf>
    <xf numFmtId="0" fontId="0" fillId="7" borderId="31" xfId="0" applyFont="1" applyFill="1" applyBorder="1" applyAlignment="1">
      <alignment horizontal="center" vertical="center"/>
    </xf>
    <xf numFmtId="166" fontId="22" fillId="7" borderId="22" xfId="2" applyFont="1" applyFill="1" applyBorder="1" applyAlignment="1">
      <alignment horizontal="center" vertical="center"/>
    </xf>
    <xf numFmtId="0" fontId="8" fillId="9" borderId="28" xfId="0" applyFont="1" applyFill="1" applyBorder="1" applyAlignment="1">
      <alignment horizontal="center" vertical="center"/>
    </xf>
    <xf numFmtId="0" fontId="8" fillId="9" borderId="55" xfId="0" applyFont="1" applyFill="1" applyBorder="1" applyAlignment="1">
      <alignment horizontal="center" vertical="center"/>
    </xf>
    <xf numFmtId="0" fontId="20" fillId="6" borderId="13"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4" xfId="0" applyFont="1" applyFill="1" applyBorder="1" applyAlignment="1">
      <alignment horizontal="center" vertical="center"/>
    </xf>
    <xf numFmtId="0" fontId="20" fillId="6" borderId="10"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12" xfId="0" applyFont="1" applyFill="1" applyBorder="1" applyAlignment="1">
      <alignment horizontal="center" vertical="center"/>
    </xf>
    <xf numFmtId="0" fontId="0" fillId="7" borderId="23" xfId="0" applyFont="1" applyFill="1" applyBorder="1" applyAlignment="1">
      <alignment horizontal="center" vertical="center"/>
    </xf>
    <xf numFmtId="0" fontId="14" fillId="8" borderId="16" xfId="0" applyFont="1" applyFill="1" applyBorder="1" applyAlignment="1">
      <alignment horizontal="left"/>
    </xf>
    <xf numFmtId="0" fontId="14" fillId="8" borderId="17" xfId="0" applyFont="1" applyFill="1" applyBorder="1" applyAlignment="1">
      <alignment horizontal="left"/>
    </xf>
    <xf numFmtId="0" fontId="14" fillId="8" borderId="7" xfId="0" applyFont="1" applyFill="1" applyBorder="1" applyAlignment="1">
      <alignment horizontal="left"/>
    </xf>
    <xf numFmtId="166" fontId="22" fillId="7" borderId="29" xfId="2" applyFont="1" applyFill="1" applyBorder="1" applyAlignment="1">
      <alignment horizontal="center" vertical="center"/>
    </xf>
    <xf numFmtId="0" fontId="0" fillId="7" borderId="2" xfId="0" applyFont="1" applyFill="1" applyBorder="1" applyAlignment="1">
      <alignment horizontal="center" vertical="center"/>
    </xf>
    <xf numFmtId="0" fontId="0" fillId="7" borderId="54" xfId="0" applyFont="1" applyFill="1" applyBorder="1" applyAlignment="1">
      <alignment horizontal="center" vertical="center"/>
    </xf>
    <xf numFmtId="0" fontId="0" fillId="7" borderId="36" xfId="0" applyFont="1" applyFill="1" applyBorder="1" applyAlignment="1">
      <alignment horizontal="center" vertical="center"/>
    </xf>
    <xf numFmtId="0" fontId="0" fillId="7" borderId="47" xfId="0" applyFont="1" applyFill="1" applyBorder="1" applyAlignment="1">
      <alignment horizontal="center" vertical="center"/>
    </xf>
    <xf numFmtId="0" fontId="0" fillId="7" borderId="43" xfId="0" applyFont="1" applyFill="1" applyBorder="1" applyAlignment="1">
      <alignment horizontal="center" vertical="center"/>
    </xf>
    <xf numFmtId="0" fontId="11" fillId="9" borderId="1" xfId="0" applyFont="1" applyFill="1" applyBorder="1" applyAlignment="1">
      <alignment horizontal="center" vertical="center"/>
    </xf>
    <xf numFmtId="0" fontId="8" fillId="6" borderId="11" xfId="0" applyFont="1" applyFill="1" applyBorder="1" applyAlignment="1">
      <alignment horizontal="left"/>
    </xf>
    <xf numFmtId="0" fontId="8" fillId="6" borderId="12" xfId="0" applyFont="1" applyFill="1" applyBorder="1" applyAlignment="1">
      <alignment horizontal="left"/>
    </xf>
    <xf numFmtId="0" fontId="8" fillId="6" borderId="30" xfId="0" applyFont="1" applyFill="1" applyBorder="1" applyAlignment="1">
      <alignment horizontal="center" vertical="center"/>
    </xf>
    <xf numFmtId="0" fontId="8" fillId="6" borderId="47" xfId="0" applyFont="1" applyFill="1" applyBorder="1" applyAlignment="1">
      <alignment horizontal="center" vertical="center"/>
    </xf>
    <xf numFmtId="0" fontId="20" fillId="6" borderId="30" xfId="0" applyFont="1" applyFill="1" applyBorder="1" applyAlignment="1">
      <alignment horizontal="center" vertical="center"/>
    </xf>
    <xf numFmtId="0" fontId="20" fillId="6" borderId="47" xfId="0" applyFont="1" applyFill="1" applyBorder="1" applyAlignment="1">
      <alignment horizontal="center" vertical="center"/>
    </xf>
    <xf numFmtId="0" fontId="20" fillId="6" borderId="33" xfId="0" applyFont="1" applyFill="1" applyBorder="1" applyAlignment="1">
      <alignment horizontal="center" vertical="center"/>
    </xf>
    <xf numFmtId="0" fontId="20" fillId="6" borderId="43" xfId="0" applyFont="1" applyFill="1" applyBorder="1" applyAlignment="1">
      <alignment horizontal="center" vertical="center"/>
    </xf>
    <xf numFmtId="0" fontId="20" fillId="6" borderId="35" xfId="0" applyFont="1" applyFill="1" applyBorder="1" applyAlignment="1">
      <alignment horizontal="center" vertical="center"/>
    </xf>
    <xf numFmtId="0" fontId="20" fillId="6" borderId="44" xfId="0" applyFont="1" applyFill="1" applyBorder="1" applyAlignment="1">
      <alignment horizontal="center" vertical="center"/>
    </xf>
    <xf numFmtId="0" fontId="0" fillId="7" borderId="44" xfId="0" applyFont="1" applyFill="1" applyBorder="1" applyAlignment="1">
      <alignment horizontal="center" vertical="center"/>
    </xf>
    <xf numFmtId="0" fontId="0" fillId="7" borderId="40" xfId="0" applyFont="1" applyFill="1" applyBorder="1" applyAlignment="1">
      <alignment horizontal="center" vertical="center"/>
    </xf>
    <xf numFmtId="0" fontId="0" fillId="7" borderId="22" xfId="0" applyFont="1" applyFill="1" applyBorder="1" applyAlignment="1">
      <alignment horizontal="center" vertical="center"/>
    </xf>
    <xf numFmtId="0" fontId="11" fillId="9" borderId="43" xfId="0" applyFont="1" applyFill="1" applyBorder="1" applyAlignment="1">
      <alignment horizontal="center" vertical="center"/>
    </xf>
    <xf numFmtId="0" fontId="0" fillId="7" borderId="24" xfId="0" applyFont="1" applyFill="1" applyBorder="1" applyAlignment="1">
      <alignment horizontal="center" vertical="center"/>
    </xf>
    <xf numFmtId="0" fontId="0" fillId="7" borderId="49" xfId="0" applyFont="1" applyFill="1" applyBorder="1" applyAlignment="1">
      <alignment horizontal="center" vertical="center"/>
    </xf>
    <xf numFmtId="171" fontId="0" fillId="2" borderId="48" xfId="0" applyNumberFormat="1" applyFill="1" applyBorder="1" applyAlignment="1">
      <alignment horizontal="center"/>
    </xf>
    <xf numFmtId="171" fontId="0" fillId="2" borderId="49" xfId="0" applyNumberFormat="1" applyFill="1" applyBorder="1" applyAlignment="1">
      <alignment horizontal="center"/>
    </xf>
    <xf numFmtId="171" fontId="0" fillId="9" borderId="48" xfId="0" applyNumberFormat="1" applyFill="1" applyBorder="1" applyAlignment="1">
      <alignment horizontal="center"/>
    </xf>
    <xf numFmtId="171" fontId="0" fillId="9" borderId="49" xfId="0" applyNumberFormat="1" applyFill="1" applyBorder="1" applyAlignment="1">
      <alignment horizontal="center"/>
    </xf>
    <xf numFmtId="0" fontId="0" fillId="2" borderId="40" xfId="0" applyFill="1" applyBorder="1" applyAlignment="1">
      <alignment horizontal="center"/>
    </xf>
    <xf numFmtId="0" fontId="0" fillId="2" borderId="32" xfId="0" applyFill="1" applyBorder="1" applyAlignment="1">
      <alignment horizontal="center"/>
    </xf>
    <xf numFmtId="0" fontId="11" fillId="6" borderId="16" xfId="0" applyFont="1" applyFill="1" applyBorder="1" applyAlignment="1">
      <alignment horizontal="center" vertical="center"/>
    </xf>
    <xf numFmtId="0" fontId="11" fillId="6" borderId="7" xfId="0" applyFont="1" applyFill="1" applyBorder="1" applyAlignment="1">
      <alignment horizontal="center" vertical="center"/>
    </xf>
    <xf numFmtId="171" fontId="0" fillId="2" borderId="40" xfId="0" applyNumberFormat="1" applyFill="1" applyBorder="1" applyAlignment="1">
      <alignment horizontal="center"/>
    </xf>
    <xf numFmtId="171" fontId="0" fillId="2" borderId="32" xfId="0" applyNumberFormat="1" applyFill="1" applyBorder="1" applyAlignment="1">
      <alignment horizontal="center"/>
    </xf>
    <xf numFmtId="171" fontId="0" fillId="2" borderId="50" xfId="0" applyNumberFormat="1" applyFill="1" applyBorder="1" applyAlignment="1">
      <alignment horizontal="center"/>
    </xf>
    <xf numFmtId="171" fontId="0" fillId="2" borderId="60" xfId="0" applyNumberFormat="1" applyFill="1" applyBorder="1" applyAlignment="1">
      <alignment horizontal="center"/>
    </xf>
    <xf numFmtId="171" fontId="0" fillId="9" borderId="40" xfId="0" applyNumberFormat="1" applyFill="1" applyBorder="1" applyAlignment="1">
      <alignment horizontal="center"/>
    </xf>
    <xf numFmtId="171" fontId="0" fillId="9" borderId="32" xfId="0" applyNumberFormat="1" applyFill="1" applyBorder="1" applyAlignment="1">
      <alignment horizontal="center"/>
    </xf>
    <xf numFmtId="0" fontId="0" fillId="7" borderId="39" xfId="0" applyFont="1" applyFill="1" applyBorder="1" applyAlignment="1">
      <alignment horizontal="center" vertical="center"/>
    </xf>
    <xf numFmtId="166" fontId="12" fillId="10" borderId="35" xfId="2" applyFont="1" applyFill="1" applyBorder="1" applyAlignment="1">
      <alignment horizontal="left"/>
    </xf>
    <xf numFmtId="166" fontId="12" fillId="10" borderId="44" xfId="2" applyFont="1" applyFill="1" applyBorder="1" applyAlignment="1">
      <alignment horizontal="left"/>
    </xf>
    <xf numFmtId="166" fontId="12" fillId="10" borderId="33" xfId="2" applyFont="1" applyFill="1" applyBorder="1" applyAlignment="1">
      <alignment horizontal="left"/>
    </xf>
    <xf numFmtId="166" fontId="12" fillId="10" borderId="43" xfId="2" applyFont="1" applyFill="1" applyBorder="1" applyAlignment="1">
      <alignment horizontal="left"/>
    </xf>
    <xf numFmtId="166" fontId="12" fillId="10" borderId="30" xfId="2" applyFont="1" applyFill="1" applyBorder="1" applyAlignment="1">
      <alignment horizontal="left"/>
    </xf>
    <xf numFmtId="166" fontId="12" fillId="10" borderId="47" xfId="2" applyFont="1" applyFill="1" applyBorder="1" applyAlignment="1">
      <alignment horizontal="left"/>
    </xf>
    <xf numFmtId="0" fontId="12" fillId="9" borderId="19" xfId="0" applyFont="1" applyFill="1" applyBorder="1" applyAlignment="1">
      <alignment horizontal="left"/>
    </xf>
    <xf numFmtId="0" fontId="12" fillId="9" borderId="20" xfId="0" applyFont="1" applyFill="1" applyBorder="1" applyAlignment="1">
      <alignment horizontal="left"/>
    </xf>
    <xf numFmtId="0" fontId="12" fillId="9" borderId="30" xfId="0" applyFont="1" applyFill="1" applyBorder="1" applyAlignment="1">
      <alignment horizontal="left"/>
    </xf>
    <xf numFmtId="0" fontId="12" fillId="9" borderId="47" xfId="0" applyFont="1" applyFill="1" applyBorder="1" applyAlignment="1">
      <alignment horizontal="left"/>
    </xf>
    <xf numFmtId="166" fontId="12" fillId="11" borderId="19" xfId="2" applyFont="1" applyFill="1" applyBorder="1" applyAlignment="1">
      <alignment horizontal="left" wrapText="1"/>
    </xf>
    <xf numFmtId="166" fontId="12" fillId="11" borderId="20" xfId="2" applyFont="1" applyFill="1" applyBorder="1" applyAlignment="1">
      <alignment horizontal="left" wrapText="1"/>
    </xf>
    <xf numFmtId="166" fontId="12" fillId="12" borderId="45" xfId="2" applyFont="1" applyFill="1" applyBorder="1" applyAlignment="1">
      <alignment horizontal="left"/>
    </xf>
    <xf numFmtId="166" fontId="12" fillId="12" borderId="46" xfId="2" applyFont="1" applyFill="1" applyBorder="1" applyAlignment="1">
      <alignment horizontal="left"/>
    </xf>
    <xf numFmtId="166" fontId="12" fillId="13" borderId="19" xfId="2" applyFont="1" applyFill="1" applyBorder="1" applyAlignment="1">
      <alignment horizontal="left" vertical="center" wrapText="1"/>
    </xf>
    <xf numFmtId="166" fontId="12" fillId="13" borderId="20" xfId="2" applyFont="1" applyFill="1" applyBorder="1" applyAlignment="1">
      <alignment horizontal="left" vertical="center" wrapText="1"/>
    </xf>
    <xf numFmtId="0" fontId="11" fillId="9" borderId="65" xfId="0" applyFont="1" applyFill="1" applyBorder="1" applyAlignment="1">
      <alignment horizontal="left"/>
    </xf>
    <xf numFmtId="0" fontId="11" fillId="9" borderId="55" xfId="0" applyFont="1" applyFill="1" applyBorder="1" applyAlignment="1">
      <alignment horizontal="left"/>
    </xf>
    <xf numFmtId="166" fontId="12" fillId="11" borderId="45" xfId="2" applyFont="1" applyFill="1" applyBorder="1" applyAlignment="1">
      <alignment horizontal="left"/>
    </xf>
    <xf numFmtId="166" fontId="12" fillId="11" borderId="46" xfId="2" applyFont="1" applyFill="1" applyBorder="1" applyAlignment="1">
      <alignment horizontal="left"/>
    </xf>
    <xf numFmtId="166" fontId="12" fillId="12" borderId="19" xfId="2" applyFont="1" applyFill="1" applyBorder="1" applyAlignment="1">
      <alignment horizontal="left"/>
    </xf>
    <xf numFmtId="166" fontId="12" fillId="12" borderId="20" xfId="2" applyFont="1" applyFill="1" applyBorder="1" applyAlignment="1">
      <alignment horizontal="left"/>
    </xf>
    <xf numFmtId="166" fontId="12" fillId="13" borderId="42" xfId="2" applyFont="1" applyFill="1" applyBorder="1" applyAlignment="1">
      <alignment horizontal="left" vertical="center"/>
    </xf>
    <xf numFmtId="166" fontId="12" fillId="13" borderId="38" xfId="2" applyFont="1" applyFill="1" applyBorder="1" applyAlignment="1">
      <alignment horizontal="left" vertical="center"/>
    </xf>
    <xf numFmtId="166" fontId="12" fillId="13" borderId="42" xfId="2" applyFont="1" applyFill="1" applyBorder="1" applyAlignment="1">
      <alignment horizontal="left" vertical="center" wrapText="1"/>
    </xf>
    <xf numFmtId="166" fontId="12" fillId="13" borderId="38" xfId="2" applyFont="1" applyFill="1" applyBorder="1" applyAlignment="1">
      <alignment horizontal="left" vertical="center" wrapText="1"/>
    </xf>
    <xf numFmtId="166" fontId="12" fillId="11" borderId="45" xfId="2" applyFont="1" applyFill="1" applyBorder="1" applyAlignment="1">
      <alignment horizontal="left" wrapText="1"/>
    </xf>
    <xf numFmtId="166" fontId="12" fillId="11" borderId="46" xfId="2" applyFont="1" applyFill="1" applyBorder="1" applyAlignment="1">
      <alignment horizontal="left" wrapText="1"/>
    </xf>
    <xf numFmtId="0" fontId="11" fillId="9" borderId="1" xfId="0" applyFont="1" applyFill="1" applyBorder="1" applyAlignment="1">
      <alignment horizontal="left"/>
    </xf>
    <xf numFmtId="0" fontId="14" fillId="8" borderId="16" xfId="0" applyFont="1" applyFill="1" applyBorder="1" applyAlignment="1">
      <alignment horizontal="center"/>
    </xf>
    <xf numFmtId="0" fontId="14" fillId="8" borderId="17" xfId="0" applyFont="1" applyFill="1" applyBorder="1" applyAlignment="1">
      <alignment horizontal="center"/>
    </xf>
    <xf numFmtId="0" fontId="14" fillId="8" borderId="7" xfId="0" applyFont="1" applyFill="1" applyBorder="1" applyAlignment="1">
      <alignment horizontal="center"/>
    </xf>
    <xf numFmtId="0" fontId="0" fillId="2" borderId="3" xfId="0" applyFill="1" applyBorder="1" applyAlignment="1">
      <alignment horizontal="left" vertical="center" wrapText="1"/>
    </xf>
    <xf numFmtId="0" fontId="11"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0" fillId="2" borderId="57" xfId="0" applyFill="1" applyBorder="1" applyAlignment="1">
      <alignment horizontal="center" vertical="center" wrapText="1"/>
    </xf>
    <xf numFmtId="0" fontId="0" fillId="2" borderId="59" xfId="0"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12"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14" fillId="6" borderId="16" xfId="0" applyFont="1" applyFill="1" applyBorder="1" applyAlignment="1">
      <alignment horizontal="left" wrapText="1"/>
    </xf>
    <xf numFmtId="0" fontId="14" fillId="6" borderId="17" xfId="0" applyFont="1" applyFill="1" applyBorder="1" applyAlignment="1">
      <alignment horizontal="left" wrapText="1"/>
    </xf>
    <xf numFmtId="0" fontId="14" fillId="6" borderId="7" xfId="0" applyFont="1" applyFill="1" applyBorder="1" applyAlignment="1">
      <alignment horizontal="left" wrapText="1"/>
    </xf>
    <xf numFmtId="0" fontId="21" fillId="6" borderId="16" xfId="0" applyFont="1" applyFill="1" applyBorder="1" applyAlignment="1">
      <alignment horizontal="center" vertical="center"/>
    </xf>
    <xf numFmtId="0" fontId="21" fillId="6" borderId="7" xfId="0" applyFont="1" applyFill="1" applyBorder="1" applyAlignment="1">
      <alignment horizontal="center" vertical="center"/>
    </xf>
    <xf numFmtId="0" fontId="21" fillId="6" borderId="57" xfId="0" applyFont="1" applyFill="1" applyBorder="1" applyAlignment="1">
      <alignment horizontal="center" vertical="center"/>
    </xf>
    <xf numFmtId="0" fontId="21" fillId="6" borderId="58" xfId="0" applyFont="1" applyFill="1" applyBorder="1" applyAlignment="1">
      <alignment horizontal="center" vertical="center"/>
    </xf>
    <xf numFmtId="0" fontId="21" fillId="6" borderId="59" xfId="0" applyFont="1" applyFill="1" applyBorder="1" applyAlignment="1">
      <alignment horizontal="center" vertical="center"/>
    </xf>
    <xf numFmtId="0" fontId="21" fillId="6" borderId="58" xfId="0" applyFont="1" applyFill="1" applyBorder="1" applyAlignment="1">
      <alignment horizontal="center" vertical="center" wrapText="1"/>
    </xf>
    <xf numFmtId="0" fontId="21" fillId="6" borderId="59" xfId="0" applyFont="1" applyFill="1" applyBorder="1" applyAlignment="1">
      <alignment horizontal="center" vertical="center" wrapText="1"/>
    </xf>
    <xf numFmtId="0" fontId="21" fillId="6" borderId="4" xfId="0" applyFont="1" applyFill="1" applyBorder="1" applyAlignment="1">
      <alignment horizontal="center" vertical="center"/>
    </xf>
    <xf numFmtId="0" fontId="21" fillId="6" borderId="6" xfId="0" applyFont="1" applyFill="1" applyBorder="1" applyAlignment="1">
      <alignment horizontal="center" vertical="center"/>
    </xf>
    <xf numFmtId="0" fontId="11" fillId="6" borderId="57" xfId="0" applyFont="1" applyFill="1" applyBorder="1" applyAlignment="1">
      <alignment horizontal="center" vertical="center" wrapText="1"/>
    </xf>
    <xf numFmtId="0" fontId="11" fillId="6" borderId="58" xfId="0" applyFont="1" applyFill="1" applyBorder="1" applyAlignment="1">
      <alignment horizontal="center" vertical="center" wrapText="1"/>
    </xf>
    <xf numFmtId="0" fontId="11" fillId="6" borderId="59" xfId="0" applyFont="1" applyFill="1" applyBorder="1" applyAlignment="1">
      <alignment horizontal="center" vertical="center" wrapText="1"/>
    </xf>
    <xf numFmtId="0" fontId="11" fillId="6" borderId="27" xfId="0" applyFont="1" applyFill="1" applyBorder="1" applyAlignment="1">
      <alignment horizontal="center"/>
    </xf>
    <xf numFmtId="0" fontId="11" fillId="6" borderId="68" xfId="0" applyFont="1" applyFill="1" applyBorder="1" applyAlignment="1">
      <alignment horizontal="center"/>
    </xf>
    <xf numFmtId="0" fontId="11" fillId="6" borderId="40" xfId="0" applyFont="1" applyFill="1" applyBorder="1" applyAlignment="1">
      <alignment horizontal="center" vertical="center" wrapText="1"/>
    </xf>
    <xf numFmtId="0" fontId="11" fillId="6" borderId="48" xfId="0" applyFont="1" applyFill="1" applyBorder="1" applyAlignment="1">
      <alignment horizontal="center" vertical="center" wrapText="1"/>
    </xf>
    <xf numFmtId="0" fontId="11" fillId="6" borderId="50" xfId="0" applyFont="1" applyFill="1" applyBorder="1" applyAlignment="1">
      <alignment horizontal="center" vertical="center" wrapText="1"/>
    </xf>
    <xf numFmtId="0" fontId="11" fillId="6" borderId="74" xfId="0" applyFont="1" applyFill="1" applyBorder="1" applyAlignment="1">
      <alignment horizontal="center"/>
    </xf>
    <xf numFmtId="0" fontId="11" fillId="6" borderId="40" xfId="0" applyFont="1" applyFill="1" applyBorder="1" applyAlignment="1">
      <alignment horizontal="center"/>
    </xf>
    <xf numFmtId="0" fontId="11" fillId="6" borderId="32" xfId="0" applyFont="1" applyFill="1" applyBorder="1" applyAlignment="1">
      <alignment horizont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14" fillId="7" borderId="16" xfId="0" applyFont="1" applyFill="1" applyBorder="1" applyAlignment="1">
      <alignment horizontal="left"/>
    </xf>
    <xf numFmtId="0" fontId="14" fillId="7" borderId="17" xfId="0" applyFont="1" applyFill="1" applyBorder="1" applyAlignment="1">
      <alignment horizontal="left"/>
    </xf>
    <xf numFmtId="0" fontId="14" fillId="7" borderId="7" xfId="0" applyFont="1" applyFill="1" applyBorder="1" applyAlignment="1">
      <alignment horizontal="left"/>
    </xf>
    <xf numFmtId="0" fontId="12" fillId="7" borderId="61" xfId="0" applyFont="1" applyFill="1" applyBorder="1" applyAlignment="1">
      <alignment horizontal="center" vertical="center"/>
    </xf>
    <xf numFmtId="0" fontId="12" fillId="7" borderId="33"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62" xfId="0" applyFont="1" applyFill="1" applyBorder="1" applyAlignment="1">
      <alignment horizontal="center" vertical="center"/>
    </xf>
    <xf numFmtId="0" fontId="12" fillId="7" borderId="43"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41" xfId="0" applyFont="1" applyFill="1" applyBorder="1" applyAlignment="1">
      <alignment horizontal="center" vertical="center"/>
    </xf>
    <xf numFmtId="0" fontId="12" fillId="7" borderId="57" xfId="0" applyFont="1" applyFill="1" applyBorder="1" applyAlignment="1">
      <alignment horizontal="center" vertical="center" wrapText="1"/>
    </xf>
    <xf numFmtId="0" fontId="12" fillId="7" borderId="69" xfId="0" applyFont="1" applyFill="1" applyBorder="1" applyAlignment="1">
      <alignment horizontal="center" vertical="center" wrapText="1"/>
    </xf>
    <xf numFmtId="0" fontId="0" fillId="2" borderId="30" xfId="0" applyFill="1" applyBorder="1" applyAlignment="1">
      <alignment horizontal="center" vertical="center"/>
    </xf>
    <xf numFmtId="0" fontId="0" fillId="2" borderId="33"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12" fillId="7" borderId="47" xfId="0" applyFont="1" applyFill="1" applyBorder="1" applyAlignment="1">
      <alignment horizontal="center" vertical="center" wrapText="1"/>
    </xf>
    <xf numFmtId="0" fontId="12" fillId="7" borderId="34" xfId="0" applyFont="1" applyFill="1" applyBorder="1" applyAlignment="1">
      <alignment horizontal="center" vertical="center" wrapText="1"/>
    </xf>
    <xf numFmtId="0" fontId="12" fillId="7" borderId="31" xfId="0" applyFont="1" applyFill="1" applyBorder="1" applyAlignment="1">
      <alignment horizontal="center" vertical="center"/>
    </xf>
    <xf numFmtId="0" fontId="12" fillId="7" borderId="63" xfId="0" applyFont="1" applyFill="1" applyBorder="1" applyAlignment="1">
      <alignment horizontal="center" vertical="center"/>
    </xf>
    <xf numFmtId="0" fontId="11" fillId="7" borderId="42" xfId="0" applyFont="1" applyFill="1" applyBorder="1" applyAlignment="1">
      <alignment horizontal="center"/>
    </xf>
    <xf numFmtId="0" fontId="11" fillId="7" borderId="37" xfId="0" applyFont="1" applyFill="1" applyBorder="1" applyAlignment="1">
      <alignment horizontal="center"/>
    </xf>
    <xf numFmtId="0" fontId="11" fillId="7" borderId="75"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0" borderId="65"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12" fillId="6" borderId="19" xfId="0" applyFont="1" applyFill="1" applyBorder="1" applyAlignment="1">
      <alignment horizontal="right"/>
    </xf>
    <xf numFmtId="0" fontId="12" fillId="6" borderId="21" xfId="0" applyFont="1" applyFill="1" applyBorder="1" applyAlignment="1">
      <alignment horizontal="right"/>
    </xf>
    <xf numFmtId="0" fontId="12" fillId="6" borderId="20" xfId="0" applyFont="1" applyFill="1" applyBorder="1" applyAlignment="1">
      <alignment horizontal="right"/>
    </xf>
    <xf numFmtId="0" fontId="11" fillId="7" borderId="22" xfId="0" applyFont="1" applyFill="1" applyBorder="1" applyAlignment="1">
      <alignment horizontal="center" vertical="center" wrapText="1"/>
    </xf>
    <xf numFmtId="0" fontId="11" fillId="7" borderId="39" xfId="0" applyFont="1" applyFill="1" applyBorder="1" applyAlignment="1">
      <alignment horizontal="center" vertical="center"/>
    </xf>
    <xf numFmtId="0" fontId="11" fillId="7" borderId="67" xfId="0" applyFont="1" applyFill="1" applyBorder="1" applyAlignment="1">
      <alignment horizontal="center" vertical="center"/>
    </xf>
    <xf numFmtId="0" fontId="11" fillId="7" borderId="37" xfId="0" applyFont="1" applyFill="1" applyBorder="1" applyAlignment="1">
      <alignment horizontal="center" vertical="center"/>
    </xf>
    <xf numFmtId="0" fontId="0" fillId="0" borderId="65" xfId="0" applyBorder="1" applyAlignment="1">
      <alignment horizontal="center" vertical="center" wrapText="1"/>
    </xf>
    <xf numFmtId="0" fontId="0" fillId="0" borderId="45" xfId="0" applyBorder="1" applyAlignment="1">
      <alignment horizontal="center" vertical="center" wrapText="1"/>
    </xf>
    <xf numFmtId="0" fontId="0" fillId="0" borderId="42" xfId="0" applyBorder="1" applyAlignment="1">
      <alignment horizontal="center" vertical="center" wrapText="1"/>
    </xf>
    <xf numFmtId="0" fontId="11" fillId="7" borderId="30" xfId="0" applyFont="1" applyFill="1" applyBorder="1" applyAlignment="1">
      <alignment horizontal="center" vertical="center"/>
    </xf>
    <xf numFmtId="0" fontId="11" fillId="7" borderId="31" xfId="0" applyFont="1" applyFill="1" applyBorder="1" applyAlignment="1">
      <alignment horizontal="center" vertical="center"/>
    </xf>
    <xf numFmtId="0" fontId="11" fillId="7" borderId="47" xfId="0" applyFont="1" applyFill="1" applyBorder="1" applyAlignment="1">
      <alignment horizontal="center" vertical="center"/>
    </xf>
    <xf numFmtId="0" fontId="14" fillId="6" borderId="13" xfId="0" applyFont="1" applyFill="1" applyBorder="1" applyAlignment="1">
      <alignment horizontal="left"/>
    </xf>
    <xf numFmtId="0" fontId="14" fillId="6" borderId="8" xfId="0" applyFont="1" applyFill="1" applyBorder="1" applyAlignment="1">
      <alignment horizontal="left"/>
    </xf>
    <xf numFmtId="0" fontId="14" fillId="6" borderId="9" xfId="0" applyFont="1" applyFill="1" applyBorder="1" applyAlignment="1">
      <alignment horizontal="left"/>
    </xf>
    <xf numFmtId="0" fontId="11" fillId="7" borderId="35" xfId="0" applyFont="1" applyFill="1" applyBorder="1" applyAlignment="1">
      <alignment horizontal="center" vertical="center"/>
    </xf>
    <xf numFmtId="0" fontId="11" fillId="7" borderId="36" xfId="0" applyFont="1" applyFill="1" applyBorder="1" applyAlignment="1">
      <alignment horizontal="center" vertical="center"/>
    </xf>
    <xf numFmtId="0" fontId="0" fillId="9" borderId="19" xfId="0" applyFill="1" applyBorder="1" applyAlignment="1">
      <alignment horizontal="left"/>
    </xf>
    <xf numFmtId="0" fontId="0" fillId="9" borderId="20" xfId="0" applyFill="1" applyBorder="1" applyAlignment="1">
      <alignment horizontal="left"/>
    </xf>
    <xf numFmtId="0" fontId="0" fillId="9" borderId="16" xfId="0" applyFill="1" applyBorder="1" applyAlignment="1">
      <alignment horizontal="left"/>
    </xf>
    <xf numFmtId="0" fontId="0" fillId="9" borderId="7" xfId="0" applyFill="1" applyBorder="1" applyAlignment="1">
      <alignment horizontal="left"/>
    </xf>
    <xf numFmtId="0" fontId="0" fillId="0" borderId="61" xfId="0" applyBorder="1" applyAlignment="1">
      <alignment horizontal="left" vertical="center"/>
    </xf>
    <xf numFmtId="0" fontId="0" fillId="0" borderId="62" xfId="0" applyBorder="1" applyAlignment="1">
      <alignment horizontal="left" vertical="center"/>
    </xf>
    <xf numFmtId="0" fontId="0" fillId="0" borderId="33" xfId="0" applyBorder="1" applyAlignment="1">
      <alignment horizontal="center" vertical="center"/>
    </xf>
    <xf numFmtId="0" fontId="0" fillId="0" borderId="41" xfId="0" applyBorder="1" applyAlignment="1">
      <alignment horizontal="center" vertical="center"/>
    </xf>
    <xf numFmtId="0" fontId="0" fillId="0" borderId="33" xfId="0" applyBorder="1" applyAlignment="1">
      <alignment horizontal="left"/>
    </xf>
    <xf numFmtId="0" fontId="0" fillId="0" borderId="43" xfId="0" applyBorder="1" applyAlignment="1">
      <alignment horizontal="left"/>
    </xf>
    <xf numFmtId="0" fontId="11" fillId="7" borderId="19" xfId="0" applyFont="1" applyFill="1" applyBorder="1" applyAlignment="1">
      <alignment horizontal="left"/>
    </xf>
    <xf numFmtId="0" fontId="11" fillId="7" borderId="20" xfId="0" applyFont="1" applyFill="1" applyBorder="1" applyAlignment="1">
      <alignment horizontal="left"/>
    </xf>
    <xf numFmtId="0" fontId="0" fillId="0" borderId="45" xfId="0" applyBorder="1" applyAlignment="1">
      <alignment horizontal="left"/>
    </xf>
    <xf numFmtId="0" fontId="0" fillId="0" borderId="46" xfId="0" applyBorder="1" applyAlignment="1">
      <alignment horizontal="left"/>
    </xf>
    <xf numFmtId="0" fontId="0" fillId="0" borderId="61" xfId="0" applyBorder="1" applyAlignment="1">
      <alignment horizontal="left"/>
    </xf>
    <xf numFmtId="0" fontId="0" fillId="0" borderId="62" xfId="0" applyBorder="1" applyAlignment="1">
      <alignment horizontal="left"/>
    </xf>
    <xf numFmtId="0" fontId="0" fillId="0" borderId="41" xfId="0" applyBorder="1" applyAlignment="1">
      <alignment horizontal="left"/>
    </xf>
    <xf numFmtId="0" fontId="0" fillId="0" borderId="34" xfId="0" applyBorder="1" applyAlignment="1">
      <alignment horizontal="left"/>
    </xf>
    <xf numFmtId="0" fontId="15" fillId="22" borderId="0" xfId="0" applyFont="1" applyFill="1" applyAlignment="1">
      <alignment horizontal="center" vertical="center"/>
    </xf>
    <xf numFmtId="0" fontId="16" fillId="22"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1" borderId="24" xfId="0" applyNumberFormat="1" applyFont="1" applyFill="1" applyBorder="1" applyAlignment="1">
      <alignment horizontal="center"/>
    </xf>
    <xf numFmtId="2" fontId="11" fillId="11" borderId="2" xfId="0" applyNumberFormat="1" applyFont="1" applyFill="1" applyBorder="1" applyAlignment="1">
      <alignment horizontal="center"/>
    </xf>
    <xf numFmtId="0" fontId="0" fillId="6" borderId="24" xfId="0" applyFill="1" applyBorder="1" applyAlignment="1">
      <alignment horizontal="left"/>
    </xf>
    <xf numFmtId="0" fontId="0" fillId="6" borderId="2" xfId="0" applyFill="1" applyBorder="1" applyAlignment="1">
      <alignment horizontal="left"/>
    </xf>
    <xf numFmtId="0" fontId="0" fillId="2" borderId="57" xfId="0" applyFill="1" applyBorder="1" applyAlignment="1">
      <alignment horizontal="left" vertical="center" wrapText="1"/>
    </xf>
    <xf numFmtId="0" fontId="0" fillId="2" borderId="58" xfId="0" applyFill="1" applyBorder="1" applyAlignment="1">
      <alignment horizontal="left" vertical="center" wrapText="1"/>
    </xf>
    <xf numFmtId="0" fontId="0" fillId="2" borderId="69" xfId="0" applyFill="1" applyBorder="1" applyAlignment="1">
      <alignment horizontal="left" vertical="center" wrapText="1"/>
    </xf>
    <xf numFmtId="0" fontId="0" fillId="2" borderId="70" xfId="0" applyFill="1" applyBorder="1" applyAlignment="1">
      <alignment horizontal="left" vertical="center" wrapText="1"/>
    </xf>
    <xf numFmtId="0" fontId="11" fillId="6" borderId="16" xfId="0" applyFont="1" applyFill="1" applyBorder="1" applyAlignment="1">
      <alignment horizontal="center"/>
    </xf>
    <xf numFmtId="0" fontId="11" fillId="6" borderId="17" xfId="0" applyFont="1" applyFill="1" applyBorder="1" applyAlignment="1">
      <alignment horizontal="center"/>
    </xf>
    <xf numFmtId="0" fontId="11" fillId="6" borderId="7" xfId="0" applyFont="1" applyFill="1" applyBorder="1" applyAlignment="1">
      <alignment horizontal="center"/>
    </xf>
    <xf numFmtId="0" fontId="11" fillId="6" borderId="24" xfId="0" applyFont="1" applyFill="1" applyBorder="1" applyAlignment="1">
      <alignment horizontal="center"/>
    </xf>
    <xf numFmtId="0" fontId="11" fillId="6"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6" borderId="63" xfId="0" applyFill="1" applyBorder="1" applyAlignment="1">
      <alignment horizontal="center" vertical="center"/>
    </xf>
    <xf numFmtId="0" fontId="0" fillId="6" borderId="26" xfId="0" applyFill="1" applyBorder="1" applyAlignment="1">
      <alignment horizontal="center" vertical="center"/>
    </xf>
    <xf numFmtId="0" fontId="0" fillId="6"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1" fontId="11" fillId="17" borderId="24" xfId="0" applyNumberFormat="1" applyFont="1" applyFill="1" applyBorder="1" applyAlignment="1">
      <alignment horizontal="center"/>
    </xf>
    <xf numFmtId="171" fontId="11" fillId="17" borderId="2" xfId="0" applyNumberFormat="1" applyFont="1" applyFill="1" applyBorder="1" applyAlignment="1">
      <alignment horizontal="center"/>
    </xf>
    <xf numFmtId="0" fontId="11" fillId="6" borderId="24"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7" borderId="16" xfId="0" applyFont="1" applyFill="1" applyBorder="1" applyAlignment="1">
      <alignment horizontal="center"/>
    </xf>
    <xf numFmtId="0" fontId="8" fillId="7" borderId="17" xfId="0" applyFont="1" applyFill="1" applyBorder="1" applyAlignment="1">
      <alignment horizontal="center"/>
    </xf>
    <xf numFmtId="0" fontId="8" fillId="7" borderId="7" xfId="0" applyFont="1" applyFill="1" applyBorder="1" applyAlignment="1">
      <alignment horizontal="center"/>
    </xf>
    <xf numFmtId="0" fontId="0" fillId="7" borderId="16" xfId="0" applyFill="1" applyBorder="1" applyAlignment="1">
      <alignment horizontal="center"/>
    </xf>
    <xf numFmtId="0" fontId="0" fillId="7"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9" borderId="13" xfId="0" applyFont="1" applyFill="1" applyBorder="1" applyAlignment="1">
      <alignment horizontal="center"/>
    </xf>
    <xf numFmtId="0" fontId="11" fillId="19" borderId="8" xfId="0" applyFont="1" applyFill="1" applyBorder="1" applyAlignment="1">
      <alignment horizontal="center"/>
    </xf>
    <xf numFmtId="0" fontId="11" fillId="19" borderId="9" xfId="0" applyFont="1" applyFill="1" applyBorder="1" applyAlignment="1">
      <alignment horizontal="center"/>
    </xf>
    <xf numFmtId="0" fontId="11" fillId="19" borderId="15" xfId="0" applyFont="1" applyFill="1" applyBorder="1" applyAlignment="1">
      <alignment horizontal="center"/>
    </xf>
    <xf numFmtId="0" fontId="11" fillId="19" borderId="11" xfId="0" applyFont="1" applyFill="1" applyBorder="1" applyAlignment="1">
      <alignment horizontal="center"/>
    </xf>
    <xf numFmtId="0" fontId="11" fillId="19" borderId="12" xfId="0" applyFont="1" applyFill="1" applyBorder="1" applyAlignment="1">
      <alignment horizontal="center"/>
    </xf>
    <xf numFmtId="0" fontId="7" fillId="2" borderId="0" xfId="0" applyFont="1" applyFill="1" applyAlignment="1">
      <alignment horizontal="left" vertical="center"/>
    </xf>
    <xf numFmtId="0" fontId="7" fillId="14" borderId="78" xfId="1" applyFont="1" applyFill="1" applyBorder="1" applyAlignment="1">
      <alignment horizontal="center" vertical="center"/>
    </xf>
    <xf numFmtId="0" fontId="7" fillId="14" borderId="79" xfId="1" applyFont="1" applyFill="1" applyBorder="1" applyAlignment="1">
      <alignment horizontal="center" vertical="center"/>
    </xf>
    <xf numFmtId="0" fontId="7" fillId="14" borderId="80" xfId="1" applyFont="1" applyFill="1" applyBorder="1" applyAlignment="1">
      <alignment horizontal="center" vertical="center"/>
    </xf>
    <xf numFmtId="0" fontId="8" fillId="14" borderId="81" xfId="0" applyFont="1" applyFill="1" applyBorder="1" applyAlignment="1">
      <alignment horizontal="center"/>
    </xf>
    <xf numFmtId="0" fontId="0" fillId="14" borderId="82" xfId="0" applyFill="1" applyBorder="1" applyAlignment="1">
      <alignment vertical="center"/>
    </xf>
    <xf numFmtId="0" fontId="0" fillId="14" borderId="83" xfId="0" applyFill="1" applyBorder="1" applyAlignment="1">
      <alignment vertical="center"/>
    </xf>
    <xf numFmtId="0" fontId="15" fillId="14" borderId="83" xfId="0" applyFont="1" applyFill="1" applyBorder="1" applyAlignment="1">
      <alignment horizontal="center" vertical="center"/>
    </xf>
    <xf numFmtId="0" fontId="16" fillId="14" borderId="83" xfId="0" applyFont="1" applyFill="1" applyBorder="1" applyAlignment="1">
      <alignment horizontal="center" vertical="center"/>
    </xf>
    <xf numFmtId="0" fontId="14" fillId="14" borderId="84" xfId="0" applyFont="1" applyFill="1" applyBorder="1" applyAlignment="1">
      <alignment horizontal="left"/>
    </xf>
    <xf numFmtId="0" fontId="14" fillId="14" borderId="85" xfId="0" applyFont="1" applyFill="1" applyBorder="1" applyAlignment="1">
      <alignment horizontal="left"/>
    </xf>
    <xf numFmtId="0" fontId="14" fillId="14" borderId="86" xfId="0" applyFont="1" applyFill="1" applyBorder="1" applyAlignment="1">
      <alignment horizontal="left"/>
    </xf>
    <xf numFmtId="0" fontId="14" fillId="14" borderId="84" xfId="0" applyFont="1" applyFill="1" applyBorder="1" applyAlignment="1">
      <alignment horizontal="center"/>
    </xf>
    <xf numFmtId="0" fontId="14" fillId="14" borderId="85" xfId="0" applyFont="1" applyFill="1" applyBorder="1" applyAlignment="1">
      <alignment horizontal="center"/>
    </xf>
    <xf numFmtId="0" fontId="7" fillId="2" borderId="87" xfId="0" applyFont="1" applyFill="1" applyBorder="1" applyAlignment="1">
      <alignment horizontal="left" vertical="top" wrapText="1"/>
    </xf>
    <xf numFmtId="0" fontId="7" fillId="2" borderId="88" xfId="0" applyFont="1" applyFill="1" applyBorder="1" applyAlignment="1">
      <alignment horizontal="left" vertical="top" wrapText="1"/>
    </xf>
    <xf numFmtId="0" fontId="7" fillId="2" borderId="89" xfId="0" applyFont="1" applyFill="1" applyBorder="1" applyAlignment="1">
      <alignment horizontal="left" vertical="top" wrapText="1"/>
    </xf>
    <xf numFmtId="0" fontId="14" fillId="14" borderId="90" xfId="0" applyFont="1" applyFill="1" applyBorder="1" applyAlignment="1">
      <alignment horizontal="left"/>
    </xf>
    <xf numFmtId="0" fontId="14" fillId="14" borderId="91" xfId="0" applyFont="1" applyFill="1" applyBorder="1" applyAlignment="1">
      <alignment horizontal="left"/>
    </xf>
  </cellXfs>
  <cellStyles count="7">
    <cellStyle name="Comma" xfId="2" builtinId="3"/>
    <cellStyle name="Currency" xfId="6" builtinId="4"/>
    <cellStyle name="Hyperlink" xfId="1" builtinId="8"/>
    <cellStyle name="Normal" xfId="0" builtinId="0"/>
    <cellStyle name="Normal 2 14" xfId="4" xr:uid="{00000000-0005-0000-0000-000004000000}"/>
    <cellStyle name="Normal 2 15" xfId="5" xr:uid="{00000000-0005-0000-0000-00000500000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2019</c:v>
                </c:pt>
              </c:strCache>
            </c:strRef>
          </c:tx>
          <c:spPr>
            <a:solidFill>
              <a:schemeClr val="accent1"/>
            </a:solidFill>
            <a:ln>
              <a:noFill/>
            </a:ln>
            <a:effectLst/>
            <a:sp3d/>
          </c:spPr>
          <c:invertIfNegative val="0"/>
          <c:cat>
            <c:strRef>
              <c:f>Hipótesis!$D$23</c:f>
              <c:strCache>
                <c:ptCount val="1"/>
                <c:pt idx="0">
                  <c:v>Total</c:v>
                </c:pt>
              </c:strCache>
            </c:strRef>
          </c:cat>
          <c:val>
            <c:numRef>
              <c:f>Hipótesis!$D$24</c:f>
              <c:numCache>
                <c:formatCode>_-"$"\ * #,##0.00_-;\-"$"\ * #,##0.00_-;_-"$"\ * "-"??_-;_-@_-</c:formatCode>
                <c:ptCount val="1"/>
                <c:pt idx="0">
                  <c:v>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2020</c:v>
                </c:pt>
              </c:strCache>
            </c:strRef>
          </c:tx>
          <c:spPr>
            <a:solidFill>
              <a:schemeClr val="accent2"/>
            </a:solidFill>
            <a:ln>
              <a:noFill/>
            </a:ln>
            <a:effectLst/>
            <a:sp3d/>
          </c:spPr>
          <c:invertIfNegative val="0"/>
          <c:cat>
            <c:strRef>
              <c:f>Hipótesis!$D$23</c:f>
              <c:strCache>
                <c:ptCount val="1"/>
                <c:pt idx="0">
                  <c:v>Total</c:v>
                </c:pt>
              </c:strCache>
            </c:strRef>
          </c:cat>
          <c:val>
            <c:numRef>
              <c:f>Hipótesis!$D$25</c:f>
              <c:numCache>
                <c:formatCode>_-"$"\ * #,##0.00_-;\-"$"\ * #,##0.00_-;_-"$"\ * "-"??_-;_-@_-</c:formatCode>
                <c:ptCount val="1"/>
                <c:pt idx="0">
                  <c:v>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2021</c:v>
                </c:pt>
              </c:strCache>
            </c:strRef>
          </c:tx>
          <c:spPr>
            <a:solidFill>
              <a:schemeClr val="accent3"/>
            </a:solidFill>
            <a:ln>
              <a:noFill/>
            </a:ln>
            <a:effectLst/>
            <a:sp3d/>
          </c:spPr>
          <c:invertIfNegative val="0"/>
          <c:cat>
            <c:strRef>
              <c:f>Hipótesis!$D$23</c:f>
              <c:strCache>
                <c:ptCount val="1"/>
                <c:pt idx="0">
                  <c:v>Total</c:v>
                </c:pt>
              </c:strCache>
            </c:strRef>
          </c:cat>
          <c:val>
            <c:numRef>
              <c:f>Hipótesis!$D$26</c:f>
              <c:numCache>
                <c:formatCode>_-"$"\ * #,##0.00_-;\-"$"\ * #,##0.00_-;_-"$"\ * "-"??_-;_-@_-</c:formatCode>
                <c:ptCount val="1"/>
                <c:pt idx="0">
                  <c:v>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2021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ingresos'!$E$17:$E$29</c:f>
              <c:numCache>
                <c:formatCode>_-"$"\ * #,##0.00_-;\-"$"\ * #,##0.00_-;_-"$"\ * "-"??_-;_-@_-</c:formatCode>
                <c:ptCount val="13"/>
                <c:pt idx="0">
                  <c:v>5180000</c:v>
                </c:pt>
                <c:pt idx="1">
                  <c:v>22475000</c:v>
                </c:pt>
                <c:pt idx="2">
                  <c:v>14490000</c:v>
                </c:pt>
                <c:pt idx="3">
                  <c:v>1896500</c:v>
                </c:pt>
                <c:pt idx="4">
                  <c:v>1504000</c:v>
                </c:pt>
                <c:pt idx="5">
                  <c:v>3740000</c:v>
                </c:pt>
                <c:pt idx="6">
                  <c:v>800000</c:v>
                </c:pt>
                <c:pt idx="7">
                  <c:v>1600000</c:v>
                </c:pt>
                <c:pt idx="8">
                  <c:v>432000</c:v>
                </c:pt>
                <c:pt idx="9">
                  <c:v>990000</c:v>
                </c:pt>
                <c:pt idx="10">
                  <c:v>225000</c:v>
                </c:pt>
                <c:pt idx="11">
                  <c:v>2730000</c:v>
                </c:pt>
                <c:pt idx="12">
                  <c:v>3000000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11364349.35</c:v>
                </c:pt>
                <c:pt idx="1">
                  <c:v>17694195.824999999</c:v>
                </c:pt>
                <c:pt idx="2">
                  <c:v>29793383.600000001</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21051966.495000001</c:v>
                </c:pt>
                <c:pt idx="1">
                  <c:v>28756871.726666667</c:v>
                </c:pt>
                <c:pt idx="2">
                  <c:v>43029515.19933334</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21051966.495000001</c:v>
                </c:pt>
                <c:pt idx="1">
                  <c:v>28756871.726666667</c:v>
                </c:pt>
                <c:pt idx="2">
                  <c:v>43029515.19933334</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0</c:v>
                </c:pt>
                <c:pt idx="1">
                  <c:v>0</c:v>
                </c:pt>
                <c:pt idx="2">
                  <c:v>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 de ventas 2019</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solidFill>
              <a:schemeClr val="accent1"/>
            </a:solidFill>
            <a:ln>
              <a:noFill/>
            </a:ln>
            <a:effectLst/>
          </c:spPr>
          <c:invertIfNegative val="0"/>
          <c:val>
            <c:numRef>
              <c:f>'Proy. ventas'!$F$32</c:f>
              <c:numCache>
                <c:formatCode>_-"$"\ * #,##0.00_-;\-"$"\ * #,##0.00_-;_-"$"\ * "-"??_-;_-@_-</c:formatCode>
                <c:ptCount val="1"/>
                <c:pt idx="0">
                  <c:v>1575012</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solidFill>
              <a:schemeClr val="accent2"/>
            </a:solidFill>
            <a:ln>
              <a:noFill/>
            </a:ln>
            <a:effectLst/>
          </c:spPr>
          <c:invertIfNegative val="0"/>
          <c:val>
            <c:numRef>
              <c:f>'Proy. ventas'!$H$32</c:f>
              <c:numCache>
                <c:formatCode>_-"$"\ * #,##0.00_-;\-"$"\ * #,##0.00_-;_-"$"\ * "-"??_-;_-@_-</c:formatCode>
                <c:ptCount val="1"/>
                <c:pt idx="0">
                  <c:v>1968765</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solidFill>
              <a:schemeClr val="accent3"/>
            </a:solidFill>
            <a:ln>
              <a:noFill/>
            </a:ln>
            <a:effectLst/>
          </c:spPr>
          <c:invertIfNegative val="0"/>
          <c:val>
            <c:numRef>
              <c:f>'Proy. ventas'!$J$32</c:f>
              <c:numCache>
                <c:formatCode>_-"$"\ * #,##0.00_-;\-"$"\ * #,##0.00_-;_-"$"\ * "-"??_-;_-@_-</c:formatCode>
                <c:ptCount val="1"/>
                <c:pt idx="0">
                  <c:v>1575012</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solidFill>
              <a:schemeClr val="accent4"/>
            </a:solidFill>
            <a:ln>
              <a:noFill/>
            </a:ln>
            <a:effectLst/>
          </c:spPr>
          <c:invertIfNegative val="0"/>
          <c:val>
            <c:numRef>
              <c:f>'Proy. ventas'!$L$32</c:f>
              <c:numCache>
                <c:formatCode>_-"$"\ * #,##0.00_-;\-"$"\ * #,##0.00_-;_-"$"\ * "-"??_-;_-@_-</c:formatCode>
                <c:ptCount val="1"/>
                <c:pt idx="0">
                  <c:v>1378135.5</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solidFill>
              <a:schemeClr val="accent5"/>
            </a:solidFill>
            <a:ln>
              <a:noFill/>
            </a:ln>
            <a:effectLst/>
          </c:spPr>
          <c:invertIfNegative val="0"/>
          <c:val>
            <c:numRef>
              <c:f>'Proy. ventas'!$N$32</c:f>
              <c:numCache>
                <c:formatCode>_-"$"\ * #,##0.00_-;\-"$"\ * #,##0.00_-;_-"$"\ * "-"??_-;_-@_-</c:formatCode>
                <c:ptCount val="1"/>
                <c:pt idx="0">
                  <c:v>1181259</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solidFill>
              <a:schemeClr val="accent6"/>
            </a:solidFill>
            <a:ln>
              <a:noFill/>
            </a:ln>
            <a:effectLst/>
          </c:spPr>
          <c:invertIfNegative val="0"/>
          <c:val>
            <c:numRef>
              <c:f>'Proy. ventas'!$P$32</c:f>
              <c:numCache>
                <c:formatCode>_-"$"\ * #,##0.00_-;\-"$"\ * #,##0.00_-;_-"$"\ * "-"??_-;_-@_-</c:formatCode>
                <c:ptCount val="1"/>
                <c:pt idx="0">
                  <c:v>787506</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solidFill>
              <a:schemeClr val="accent1">
                <a:lumMod val="60000"/>
              </a:schemeClr>
            </a:solidFill>
            <a:ln>
              <a:noFill/>
            </a:ln>
            <a:effectLst/>
          </c:spPr>
          <c:invertIfNegative val="0"/>
          <c:val>
            <c:numRef>
              <c:f>'Proy. ventas'!$R$32</c:f>
              <c:numCache>
                <c:formatCode>_-"$"\ * #,##0.00_-;\-"$"\ * #,##0.00_-;_-"$"\ * "-"??_-;_-@_-</c:formatCode>
                <c:ptCount val="1"/>
                <c:pt idx="0">
                  <c:v>1771888.5</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solidFill>
              <a:schemeClr val="accent2">
                <a:lumMod val="60000"/>
              </a:schemeClr>
            </a:solidFill>
            <a:ln>
              <a:noFill/>
            </a:ln>
            <a:effectLst/>
          </c:spPr>
          <c:invertIfNegative val="0"/>
          <c:val>
            <c:numRef>
              <c:f>'Proy. ventas'!$T$32</c:f>
              <c:numCache>
                <c:formatCode>_-"$"\ * #,##0.00_-;\-"$"\ * #,##0.00_-;_-"$"\ * "-"??_-;_-@_-</c:formatCode>
                <c:ptCount val="1"/>
                <c:pt idx="0">
                  <c:v>984382.5</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solidFill>
              <a:schemeClr val="accent3">
                <a:lumMod val="60000"/>
              </a:schemeClr>
            </a:solidFill>
            <a:ln>
              <a:noFill/>
            </a:ln>
            <a:effectLst/>
          </c:spPr>
          <c:invertIfNegative val="0"/>
          <c:val>
            <c:numRef>
              <c:f>'Proy. ventas'!$V$32</c:f>
              <c:numCache>
                <c:formatCode>_-"$"\ * #,##0.00_-;\-"$"\ * #,##0.00_-;_-"$"\ * "-"??_-;_-@_-</c:formatCode>
                <c:ptCount val="1"/>
                <c:pt idx="0">
                  <c:v>1771888.5</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solidFill>
              <a:schemeClr val="accent4">
                <a:lumMod val="60000"/>
              </a:schemeClr>
            </a:solidFill>
            <a:ln>
              <a:noFill/>
            </a:ln>
            <a:effectLst/>
          </c:spPr>
          <c:invertIfNegative val="0"/>
          <c:val>
            <c:numRef>
              <c:f>'Proy. ventas'!$X$32</c:f>
              <c:numCache>
                <c:formatCode>_-"$"\ * #,##0.00_-;\-"$"\ * #,##0.00_-;_-"$"\ * "-"??_-;_-@_-</c:formatCode>
                <c:ptCount val="1"/>
                <c:pt idx="0">
                  <c:v>1968765</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solidFill>
              <a:schemeClr val="accent5">
                <a:lumMod val="60000"/>
              </a:schemeClr>
            </a:solidFill>
            <a:ln>
              <a:noFill/>
            </a:ln>
            <a:effectLst/>
          </c:spPr>
          <c:invertIfNegative val="0"/>
          <c:val>
            <c:numRef>
              <c:f>'Proy. ventas'!$Z$32</c:f>
              <c:numCache>
                <c:formatCode>_-"$"\ * #,##0.00_-;\-"$"\ * #,##0.00_-;_-"$"\ * "-"??_-;_-@_-</c:formatCode>
                <c:ptCount val="1"/>
                <c:pt idx="0">
                  <c:v>2165641.5</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solidFill>
              <a:schemeClr val="accent6">
                <a:lumMod val="60000"/>
              </a:schemeClr>
            </a:solidFill>
            <a:ln>
              <a:noFill/>
            </a:ln>
            <a:effectLst/>
          </c:spPr>
          <c:invertIfNegative val="0"/>
          <c:val>
            <c:numRef>
              <c:f>'Proy. ventas'!$AB$32</c:f>
              <c:numCache>
                <c:formatCode>_-"$"\ * #,##0.00_-;\-"$"\ * #,##0.00_-;_-"$"\ * "-"??_-;_-@_-</c:formatCode>
                <c:ptCount val="1"/>
                <c:pt idx="0">
                  <c:v>2559394.5</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219"/>
        <c:overlap val="-27"/>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2020</a:t>
            </a:r>
            <a:endParaRPr lang="es-A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ventas'!$E$79:$F$79</c:f>
              <c:strCache>
                <c:ptCount val="1"/>
                <c:pt idx="0">
                  <c:v>Enero</c:v>
                </c:pt>
              </c:strCache>
            </c:strRef>
          </c:tx>
          <c:spPr>
            <a:solidFill>
              <a:schemeClr val="accent1"/>
            </a:solidFill>
            <a:ln>
              <a:noFill/>
            </a:ln>
            <a:effectLst/>
          </c:spPr>
          <c:invertIfNegative val="0"/>
          <c:val>
            <c:numRef>
              <c:f>'Proy. ventas'!$F$95</c:f>
              <c:numCache>
                <c:formatCode>_-"$"\ * #,##0.00_-;\-"$"\ * #,##0.00_-;_-"$"\ * "-"??_-;_-@_-</c:formatCode>
                <c:ptCount val="1"/>
                <c:pt idx="0">
                  <c:v>2624972</c:v>
                </c:pt>
              </c:numCache>
            </c:numRef>
          </c:val>
          <c:extLst>
            <c:ext xmlns:c16="http://schemas.microsoft.com/office/drawing/2014/chart" uri="{C3380CC4-5D6E-409C-BE32-E72D297353CC}">
              <c16:uniqueId val="{00000000-916A-4904-8F5A-19D256CB58D9}"/>
            </c:ext>
          </c:extLst>
        </c:ser>
        <c:ser>
          <c:idx val="1"/>
          <c:order val="1"/>
          <c:tx>
            <c:strRef>
              <c:f>'Proy. ventas'!$G$79:$H$79</c:f>
              <c:strCache>
                <c:ptCount val="1"/>
                <c:pt idx="0">
                  <c:v>Febrero</c:v>
                </c:pt>
              </c:strCache>
            </c:strRef>
          </c:tx>
          <c:spPr>
            <a:solidFill>
              <a:schemeClr val="accent2"/>
            </a:solidFill>
            <a:ln>
              <a:noFill/>
            </a:ln>
            <a:effectLst/>
          </c:spPr>
          <c:invertIfNegative val="0"/>
          <c:val>
            <c:numRef>
              <c:f>'Proy. ventas'!$H$95</c:f>
              <c:numCache>
                <c:formatCode>_-"$"\ * #,##0.00_-;\-"$"\ * #,##0.00_-;_-"$"\ * "-"??_-;_-@_-</c:formatCode>
                <c:ptCount val="1"/>
                <c:pt idx="0">
                  <c:v>3281215</c:v>
                </c:pt>
              </c:numCache>
            </c:numRef>
          </c:val>
          <c:extLst>
            <c:ext xmlns:c16="http://schemas.microsoft.com/office/drawing/2014/chart" uri="{C3380CC4-5D6E-409C-BE32-E72D297353CC}">
              <c16:uniqueId val="{00000001-916A-4904-8F5A-19D256CB58D9}"/>
            </c:ext>
          </c:extLst>
        </c:ser>
        <c:ser>
          <c:idx val="2"/>
          <c:order val="2"/>
          <c:tx>
            <c:strRef>
              <c:f>'Proy. ventas'!$I$79:$J$79</c:f>
              <c:strCache>
                <c:ptCount val="1"/>
                <c:pt idx="0">
                  <c:v>Marzo</c:v>
                </c:pt>
              </c:strCache>
            </c:strRef>
          </c:tx>
          <c:spPr>
            <a:solidFill>
              <a:schemeClr val="accent3"/>
            </a:solidFill>
            <a:ln>
              <a:noFill/>
            </a:ln>
            <a:effectLst/>
          </c:spPr>
          <c:invertIfNegative val="0"/>
          <c:val>
            <c:numRef>
              <c:f>'Proy. ventas'!$J$95</c:f>
              <c:numCache>
                <c:formatCode>_-"$"\ * #,##0.00_-;\-"$"\ * #,##0.00_-;_-"$"\ * "-"??_-;_-@_-</c:formatCode>
                <c:ptCount val="1"/>
                <c:pt idx="0">
                  <c:v>2624972</c:v>
                </c:pt>
              </c:numCache>
            </c:numRef>
          </c:val>
          <c:extLst>
            <c:ext xmlns:c16="http://schemas.microsoft.com/office/drawing/2014/chart" uri="{C3380CC4-5D6E-409C-BE32-E72D297353CC}">
              <c16:uniqueId val="{00000002-916A-4904-8F5A-19D256CB58D9}"/>
            </c:ext>
          </c:extLst>
        </c:ser>
        <c:ser>
          <c:idx val="3"/>
          <c:order val="3"/>
          <c:tx>
            <c:strRef>
              <c:f>'Proy. ventas'!$K$79:$L$79</c:f>
              <c:strCache>
                <c:ptCount val="1"/>
                <c:pt idx="0">
                  <c:v>Abril</c:v>
                </c:pt>
              </c:strCache>
            </c:strRef>
          </c:tx>
          <c:spPr>
            <a:solidFill>
              <a:schemeClr val="accent4"/>
            </a:solidFill>
            <a:ln>
              <a:noFill/>
            </a:ln>
            <a:effectLst/>
          </c:spPr>
          <c:invertIfNegative val="0"/>
          <c:val>
            <c:numRef>
              <c:f>'Proy. ventas'!$L$95</c:f>
              <c:numCache>
                <c:formatCode>_-"$"\ * #,##0.00_-;\-"$"\ * #,##0.00_-;_-"$"\ * "-"??_-;_-@_-</c:formatCode>
                <c:ptCount val="1"/>
                <c:pt idx="0">
                  <c:v>2296850.5</c:v>
                </c:pt>
              </c:numCache>
            </c:numRef>
          </c:val>
          <c:extLst>
            <c:ext xmlns:c16="http://schemas.microsoft.com/office/drawing/2014/chart" uri="{C3380CC4-5D6E-409C-BE32-E72D297353CC}">
              <c16:uniqueId val="{00000003-916A-4904-8F5A-19D256CB58D9}"/>
            </c:ext>
          </c:extLst>
        </c:ser>
        <c:ser>
          <c:idx val="4"/>
          <c:order val="4"/>
          <c:tx>
            <c:strRef>
              <c:f>'Proy. ventas'!$M$79:$N$79</c:f>
              <c:strCache>
                <c:ptCount val="1"/>
                <c:pt idx="0">
                  <c:v>Mayo</c:v>
                </c:pt>
              </c:strCache>
            </c:strRef>
          </c:tx>
          <c:spPr>
            <a:solidFill>
              <a:schemeClr val="accent5"/>
            </a:solidFill>
            <a:ln>
              <a:noFill/>
            </a:ln>
            <a:effectLst/>
          </c:spPr>
          <c:invertIfNegative val="0"/>
          <c:val>
            <c:numRef>
              <c:f>'Proy. ventas'!$N$95</c:f>
              <c:numCache>
                <c:formatCode>_-"$"\ * #,##0.00_-;\-"$"\ * #,##0.00_-;_-"$"\ * "-"??_-;_-@_-</c:formatCode>
                <c:ptCount val="1"/>
                <c:pt idx="0">
                  <c:v>1968729</c:v>
                </c:pt>
              </c:numCache>
            </c:numRef>
          </c:val>
          <c:extLst>
            <c:ext xmlns:c16="http://schemas.microsoft.com/office/drawing/2014/chart" uri="{C3380CC4-5D6E-409C-BE32-E72D297353CC}">
              <c16:uniqueId val="{00000004-916A-4904-8F5A-19D256CB58D9}"/>
            </c:ext>
          </c:extLst>
        </c:ser>
        <c:ser>
          <c:idx val="5"/>
          <c:order val="5"/>
          <c:tx>
            <c:strRef>
              <c:f>'Proy. ventas'!$O$79:$P$79</c:f>
              <c:strCache>
                <c:ptCount val="1"/>
                <c:pt idx="0">
                  <c:v>Junio</c:v>
                </c:pt>
              </c:strCache>
            </c:strRef>
          </c:tx>
          <c:spPr>
            <a:solidFill>
              <a:schemeClr val="accent6"/>
            </a:solidFill>
            <a:ln>
              <a:noFill/>
            </a:ln>
            <a:effectLst/>
          </c:spPr>
          <c:invertIfNegative val="0"/>
          <c:val>
            <c:numRef>
              <c:f>'Proy. ventas'!$P$95</c:f>
              <c:numCache>
                <c:formatCode>_-"$"\ * #,##0.00_-;\-"$"\ * #,##0.00_-;_-"$"\ * "-"??_-;_-@_-</c:formatCode>
                <c:ptCount val="1"/>
                <c:pt idx="0">
                  <c:v>1312486</c:v>
                </c:pt>
              </c:numCache>
            </c:numRef>
          </c:val>
          <c:extLst>
            <c:ext xmlns:c16="http://schemas.microsoft.com/office/drawing/2014/chart" uri="{C3380CC4-5D6E-409C-BE32-E72D297353CC}">
              <c16:uniqueId val="{00000005-916A-4904-8F5A-19D256CB58D9}"/>
            </c:ext>
          </c:extLst>
        </c:ser>
        <c:ser>
          <c:idx val="6"/>
          <c:order val="6"/>
          <c:tx>
            <c:strRef>
              <c:f>'Proy. ventas'!$Q$79:$R$79</c:f>
              <c:strCache>
                <c:ptCount val="1"/>
                <c:pt idx="0">
                  <c:v>Julio</c:v>
                </c:pt>
              </c:strCache>
            </c:strRef>
          </c:tx>
          <c:spPr>
            <a:solidFill>
              <a:schemeClr val="accent1">
                <a:lumMod val="60000"/>
              </a:schemeClr>
            </a:solidFill>
            <a:ln>
              <a:noFill/>
            </a:ln>
            <a:effectLst/>
          </c:spPr>
          <c:invertIfNegative val="0"/>
          <c:val>
            <c:numRef>
              <c:f>'Proy. ventas'!$R$95</c:f>
              <c:numCache>
                <c:formatCode>_-"$"\ * #,##0.00_-;\-"$"\ * #,##0.00_-;_-"$"\ * "-"??_-;_-@_-</c:formatCode>
                <c:ptCount val="1"/>
                <c:pt idx="0">
                  <c:v>2953093.5</c:v>
                </c:pt>
              </c:numCache>
            </c:numRef>
          </c:val>
          <c:extLst>
            <c:ext xmlns:c16="http://schemas.microsoft.com/office/drawing/2014/chart" uri="{C3380CC4-5D6E-409C-BE32-E72D297353CC}">
              <c16:uniqueId val="{00000006-916A-4904-8F5A-19D256CB58D9}"/>
            </c:ext>
          </c:extLst>
        </c:ser>
        <c:ser>
          <c:idx val="7"/>
          <c:order val="7"/>
          <c:tx>
            <c:strRef>
              <c:f>'Proy. ventas'!$S$79:$T$79</c:f>
              <c:strCache>
                <c:ptCount val="1"/>
                <c:pt idx="0">
                  <c:v>Agosto</c:v>
                </c:pt>
              </c:strCache>
            </c:strRef>
          </c:tx>
          <c:spPr>
            <a:solidFill>
              <a:schemeClr val="accent2">
                <a:lumMod val="60000"/>
              </a:schemeClr>
            </a:solidFill>
            <a:ln>
              <a:noFill/>
            </a:ln>
            <a:effectLst/>
          </c:spPr>
          <c:invertIfNegative val="0"/>
          <c:val>
            <c:numRef>
              <c:f>'Proy. ventas'!$T$95</c:f>
              <c:numCache>
                <c:formatCode>_-"$"\ * #,##0.00_-;\-"$"\ * #,##0.00_-;_-"$"\ * "-"??_-;_-@_-</c:formatCode>
                <c:ptCount val="1"/>
                <c:pt idx="0">
                  <c:v>1640607.5</c:v>
                </c:pt>
              </c:numCache>
            </c:numRef>
          </c:val>
          <c:extLst>
            <c:ext xmlns:c16="http://schemas.microsoft.com/office/drawing/2014/chart" uri="{C3380CC4-5D6E-409C-BE32-E72D297353CC}">
              <c16:uniqueId val="{00000007-916A-4904-8F5A-19D256CB58D9}"/>
            </c:ext>
          </c:extLst>
        </c:ser>
        <c:ser>
          <c:idx val="8"/>
          <c:order val="8"/>
          <c:tx>
            <c:strRef>
              <c:f>'Proy. ventas'!$U$79:$V$79</c:f>
              <c:strCache>
                <c:ptCount val="1"/>
                <c:pt idx="0">
                  <c:v>Septiembre</c:v>
                </c:pt>
              </c:strCache>
            </c:strRef>
          </c:tx>
          <c:spPr>
            <a:solidFill>
              <a:schemeClr val="accent3">
                <a:lumMod val="60000"/>
              </a:schemeClr>
            </a:solidFill>
            <a:ln>
              <a:noFill/>
            </a:ln>
            <a:effectLst/>
          </c:spPr>
          <c:invertIfNegative val="0"/>
          <c:val>
            <c:numRef>
              <c:f>'Proy. ventas'!$V$95</c:f>
              <c:numCache>
                <c:formatCode>_-"$"\ * #,##0.00_-;\-"$"\ * #,##0.00_-;_-"$"\ * "-"??_-;_-@_-</c:formatCode>
                <c:ptCount val="1"/>
                <c:pt idx="0">
                  <c:v>2953093.5</c:v>
                </c:pt>
              </c:numCache>
            </c:numRef>
          </c:val>
          <c:extLst>
            <c:ext xmlns:c16="http://schemas.microsoft.com/office/drawing/2014/chart" uri="{C3380CC4-5D6E-409C-BE32-E72D297353CC}">
              <c16:uniqueId val="{00000008-916A-4904-8F5A-19D256CB58D9}"/>
            </c:ext>
          </c:extLst>
        </c:ser>
        <c:ser>
          <c:idx val="9"/>
          <c:order val="9"/>
          <c:tx>
            <c:strRef>
              <c:f>'Proy. ventas'!$W$79:$X$79</c:f>
              <c:strCache>
                <c:ptCount val="1"/>
                <c:pt idx="0">
                  <c:v>Octubre</c:v>
                </c:pt>
              </c:strCache>
            </c:strRef>
          </c:tx>
          <c:spPr>
            <a:solidFill>
              <a:schemeClr val="accent4">
                <a:lumMod val="60000"/>
              </a:schemeClr>
            </a:solidFill>
            <a:ln>
              <a:noFill/>
            </a:ln>
            <a:effectLst/>
          </c:spPr>
          <c:invertIfNegative val="0"/>
          <c:val>
            <c:numRef>
              <c:f>'Proy. ventas'!$X$95</c:f>
              <c:numCache>
                <c:formatCode>_-"$"\ * #,##0.00_-;\-"$"\ * #,##0.00_-;_-"$"\ * "-"??_-;_-@_-</c:formatCode>
                <c:ptCount val="1"/>
                <c:pt idx="0">
                  <c:v>3281215</c:v>
                </c:pt>
              </c:numCache>
            </c:numRef>
          </c:val>
          <c:extLst>
            <c:ext xmlns:c16="http://schemas.microsoft.com/office/drawing/2014/chart" uri="{C3380CC4-5D6E-409C-BE32-E72D297353CC}">
              <c16:uniqueId val="{00000009-916A-4904-8F5A-19D256CB58D9}"/>
            </c:ext>
          </c:extLst>
        </c:ser>
        <c:ser>
          <c:idx val="10"/>
          <c:order val="10"/>
          <c:tx>
            <c:strRef>
              <c:f>'Proy. ventas'!$Y$79:$Z$79</c:f>
              <c:strCache>
                <c:ptCount val="1"/>
                <c:pt idx="0">
                  <c:v>Noviembre</c:v>
                </c:pt>
              </c:strCache>
            </c:strRef>
          </c:tx>
          <c:spPr>
            <a:solidFill>
              <a:schemeClr val="accent5">
                <a:lumMod val="60000"/>
              </a:schemeClr>
            </a:solidFill>
            <a:ln>
              <a:noFill/>
            </a:ln>
            <a:effectLst/>
          </c:spPr>
          <c:invertIfNegative val="0"/>
          <c:val>
            <c:numRef>
              <c:f>'Proy. ventas'!$Z$95</c:f>
              <c:numCache>
                <c:formatCode>_-"$"\ * #,##0.00_-;\-"$"\ * #,##0.00_-;_-"$"\ * "-"??_-;_-@_-</c:formatCode>
                <c:ptCount val="1"/>
                <c:pt idx="0">
                  <c:v>3609336.5</c:v>
                </c:pt>
              </c:numCache>
            </c:numRef>
          </c:val>
          <c:extLst>
            <c:ext xmlns:c16="http://schemas.microsoft.com/office/drawing/2014/chart" uri="{C3380CC4-5D6E-409C-BE32-E72D297353CC}">
              <c16:uniqueId val="{0000000A-916A-4904-8F5A-19D256CB58D9}"/>
            </c:ext>
          </c:extLst>
        </c:ser>
        <c:ser>
          <c:idx val="11"/>
          <c:order val="11"/>
          <c:tx>
            <c:strRef>
              <c:f>'Proy. ventas'!$AA$79:$AB$79</c:f>
              <c:strCache>
                <c:ptCount val="1"/>
                <c:pt idx="0">
                  <c:v>Diciembre</c:v>
                </c:pt>
              </c:strCache>
            </c:strRef>
          </c:tx>
          <c:spPr>
            <a:solidFill>
              <a:schemeClr val="accent6">
                <a:lumMod val="60000"/>
              </a:schemeClr>
            </a:solidFill>
            <a:ln>
              <a:noFill/>
            </a:ln>
            <a:effectLst/>
          </c:spPr>
          <c:invertIfNegative val="0"/>
          <c:val>
            <c:numRef>
              <c:f>'Proy. ventas'!$AB$95</c:f>
              <c:numCache>
                <c:formatCode>_-"$"\ * #,##0.00_-;\-"$"\ * #,##0.00_-;_-"$"\ * "-"??_-;_-@_-</c:formatCode>
                <c:ptCount val="1"/>
                <c:pt idx="0">
                  <c:v>4265579.5</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2021</a:t>
            </a:r>
            <a:endParaRPr lang="es-AR"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'Proy. ventas'!$E$141:$F$141</c:f>
              <c:strCache>
                <c:ptCount val="1"/>
                <c:pt idx="0">
                  <c:v>Enero</c:v>
                </c:pt>
              </c:strCache>
            </c:strRef>
          </c:tx>
          <c:spPr>
            <a:solidFill>
              <a:schemeClr val="accent1"/>
            </a:solidFill>
            <a:ln>
              <a:noFill/>
            </a:ln>
            <a:effectLst/>
          </c:spPr>
          <c:invertIfNegative val="0"/>
          <c:val>
            <c:numRef>
              <c:f>'Proy. ventas'!$F$157</c:f>
              <c:numCache>
                <c:formatCode>_-"$"\ * #,##0.00_-;\-"$"\ * #,##0.00_-;_-"$"\ * "-"??_-;_-@_-</c:formatCode>
                <c:ptCount val="1"/>
                <c:pt idx="0">
                  <c:v>4725000</c:v>
                </c:pt>
              </c:numCache>
            </c:numRef>
          </c:val>
          <c:extLst>
            <c:ext xmlns:c16="http://schemas.microsoft.com/office/drawing/2014/chart" uri="{C3380CC4-5D6E-409C-BE32-E72D297353CC}">
              <c16:uniqueId val="{00000000-9191-4473-B9A1-489F425F65C4}"/>
            </c:ext>
          </c:extLst>
        </c:ser>
        <c:ser>
          <c:idx val="1"/>
          <c:order val="1"/>
          <c:tx>
            <c:strRef>
              <c:f>'Proy. ventas'!$G$141:$H$141</c:f>
              <c:strCache>
                <c:ptCount val="1"/>
                <c:pt idx="0">
                  <c:v>Febrero</c:v>
                </c:pt>
              </c:strCache>
            </c:strRef>
          </c:tx>
          <c:spPr>
            <a:solidFill>
              <a:schemeClr val="accent2"/>
            </a:solidFill>
            <a:ln>
              <a:noFill/>
            </a:ln>
            <a:effectLst/>
          </c:spPr>
          <c:invertIfNegative val="0"/>
          <c:val>
            <c:numRef>
              <c:f>'Proy. ventas'!$H$157</c:f>
              <c:numCache>
                <c:formatCode>_-"$"\ * #,##0.00_-;\-"$"\ * #,##0.00_-;_-"$"\ * "-"??_-;_-@_-</c:formatCode>
                <c:ptCount val="1"/>
                <c:pt idx="0">
                  <c:v>5906250</c:v>
                </c:pt>
              </c:numCache>
            </c:numRef>
          </c:val>
          <c:extLst>
            <c:ext xmlns:c16="http://schemas.microsoft.com/office/drawing/2014/chart" uri="{C3380CC4-5D6E-409C-BE32-E72D297353CC}">
              <c16:uniqueId val="{00000001-9191-4473-B9A1-489F425F65C4}"/>
            </c:ext>
          </c:extLst>
        </c:ser>
        <c:ser>
          <c:idx val="2"/>
          <c:order val="2"/>
          <c:tx>
            <c:strRef>
              <c:f>'Proy. ventas'!$I$141:$J$141</c:f>
              <c:strCache>
                <c:ptCount val="1"/>
                <c:pt idx="0">
                  <c:v>Marzo</c:v>
                </c:pt>
              </c:strCache>
            </c:strRef>
          </c:tx>
          <c:spPr>
            <a:solidFill>
              <a:schemeClr val="accent3"/>
            </a:solidFill>
            <a:ln>
              <a:noFill/>
            </a:ln>
            <a:effectLst/>
          </c:spPr>
          <c:invertIfNegative val="0"/>
          <c:val>
            <c:numRef>
              <c:f>'Proy. ventas'!$J$157</c:f>
              <c:numCache>
                <c:formatCode>_-"$"\ * #,##0.00_-;\-"$"\ * #,##0.00_-;_-"$"\ * "-"??_-;_-@_-</c:formatCode>
                <c:ptCount val="1"/>
                <c:pt idx="0">
                  <c:v>4725000</c:v>
                </c:pt>
              </c:numCache>
            </c:numRef>
          </c:val>
          <c:extLst>
            <c:ext xmlns:c16="http://schemas.microsoft.com/office/drawing/2014/chart" uri="{C3380CC4-5D6E-409C-BE32-E72D297353CC}">
              <c16:uniqueId val="{00000002-9191-4473-B9A1-489F425F65C4}"/>
            </c:ext>
          </c:extLst>
        </c:ser>
        <c:ser>
          <c:idx val="3"/>
          <c:order val="3"/>
          <c:tx>
            <c:strRef>
              <c:f>'Proy. ventas'!$K$141:$L$141</c:f>
              <c:strCache>
                <c:ptCount val="1"/>
                <c:pt idx="0">
                  <c:v>Abril</c:v>
                </c:pt>
              </c:strCache>
            </c:strRef>
          </c:tx>
          <c:spPr>
            <a:solidFill>
              <a:schemeClr val="accent4"/>
            </a:solidFill>
            <a:ln>
              <a:noFill/>
            </a:ln>
            <a:effectLst/>
          </c:spPr>
          <c:invertIfNegative val="0"/>
          <c:val>
            <c:numRef>
              <c:f>'Proy. ventas'!$L$157</c:f>
              <c:numCache>
                <c:formatCode>_-"$"\ * #,##0.00_-;\-"$"\ * #,##0.00_-;_-"$"\ * "-"??_-;_-@_-</c:formatCode>
                <c:ptCount val="1"/>
                <c:pt idx="0">
                  <c:v>4134375.0000000005</c:v>
                </c:pt>
              </c:numCache>
            </c:numRef>
          </c:val>
          <c:extLst>
            <c:ext xmlns:c16="http://schemas.microsoft.com/office/drawing/2014/chart" uri="{C3380CC4-5D6E-409C-BE32-E72D297353CC}">
              <c16:uniqueId val="{00000003-9191-4473-B9A1-489F425F65C4}"/>
            </c:ext>
          </c:extLst>
        </c:ser>
        <c:ser>
          <c:idx val="4"/>
          <c:order val="4"/>
          <c:tx>
            <c:strRef>
              <c:f>'Proy. ventas'!$M$141:$N$141</c:f>
              <c:strCache>
                <c:ptCount val="1"/>
                <c:pt idx="0">
                  <c:v>Mayo</c:v>
                </c:pt>
              </c:strCache>
            </c:strRef>
          </c:tx>
          <c:spPr>
            <a:solidFill>
              <a:schemeClr val="accent5"/>
            </a:solidFill>
            <a:ln>
              <a:noFill/>
            </a:ln>
            <a:effectLst/>
          </c:spPr>
          <c:invertIfNegative val="0"/>
          <c:val>
            <c:numRef>
              <c:f>'Proy. ventas'!$N$157</c:f>
              <c:numCache>
                <c:formatCode>_-"$"\ * #,##0.00_-;\-"$"\ * #,##0.00_-;_-"$"\ * "-"??_-;_-@_-</c:formatCode>
                <c:ptCount val="1"/>
                <c:pt idx="0">
                  <c:v>3543750</c:v>
                </c:pt>
              </c:numCache>
            </c:numRef>
          </c:val>
          <c:extLst>
            <c:ext xmlns:c16="http://schemas.microsoft.com/office/drawing/2014/chart" uri="{C3380CC4-5D6E-409C-BE32-E72D297353CC}">
              <c16:uniqueId val="{00000004-9191-4473-B9A1-489F425F65C4}"/>
            </c:ext>
          </c:extLst>
        </c:ser>
        <c:ser>
          <c:idx val="5"/>
          <c:order val="5"/>
          <c:tx>
            <c:strRef>
              <c:f>'Proy. ventas'!$O$141:$P$141</c:f>
              <c:strCache>
                <c:ptCount val="1"/>
                <c:pt idx="0">
                  <c:v>Junio</c:v>
                </c:pt>
              </c:strCache>
            </c:strRef>
          </c:tx>
          <c:spPr>
            <a:solidFill>
              <a:schemeClr val="accent6"/>
            </a:solidFill>
            <a:ln>
              <a:noFill/>
            </a:ln>
            <a:effectLst/>
          </c:spPr>
          <c:invertIfNegative val="0"/>
          <c:val>
            <c:numRef>
              <c:f>'Proy. ventas'!$P$157</c:f>
              <c:numCache>
                <c:formatCode>_-"$"\ * #,##0.00_-;\-"$"\ * #,##0.00_-;_-"$"\ * "-"??_-;_-@_-</c:formatCode>
                <c:ptCount val="1"/>
                <c:pt idx="0">
                  <c:v>2362500</c:v>
                </c:pt>
              </c:numCache>
            </c:numRef>
          </c:val>
          <c:extLst>
            <c:ext xmlns:c16="http://schemas.microsoft.com/office/drawing/2014/chart" uri="{C3380CC4-5D6E-409C-BE32-E72D297353CC}">
              <c16:uniqueId val="{00000005-9191-4473-B9A1-489F425F65C4}"/>
            </c:ext>
          </c:extLst>
        </c:ser>
        <c:ser>
          <c:idx val="6"/>
          <c:order val="6"/>
          <c:tx>
            <c:strRef>
              <c:f>'Proy. ventas'!$Q$141:$R$141</c:f>
              <c:strCache>
                <c:ptCount val="1"/>
                <c:pt idx="0">
                  <c:v>Julio</c:v>
                </c:pt>
              </c:strCache>
            </c:strRef>
          </c:tx>
          <c:spPr>
            <a:solidFill>
              <a:schemeClr val="accent1">
                <a:lumMod val="60000"/>
              </a:schemeClr>
            </a:solidFill>
            <a:ln>
              <a:noFill/>
            </a:ln>
            <a:effectLst/>
          </c:spPr>
          <c:invertIfNegative val="0"/>
          <c:val>
            <c:numRef>
              <c:f>'Proy. ventas'!$R$157</c:f>
              <c:numCache>
                <c:formatCode>_-"$"\ * #,##0.00_-;\-"$"\ * #,##0.00_-;_-"$"\ * "-"??_-;_-@_-</c:formatCode>
                <c:ptCount val="1"/>
                <c:pt idx="0">
                  <c:v>5315625</c:v>
                </c:pt>
              </c:numCache>
            </c:numRef>
          </c:val>
          <c:extLst>
            <c:ext xmlns:c16="http://schemas.microsoft.com/office/drawing/2014/chart" uri="{C3380CC4-5D6E-409C-BE32-E72D297353CC}">
              <c16:uniqueId val="{00000006-9191-4473-B9A1-489F425F65C4}"/>
            </c:ext>
          </c:extLst>
        </c:ser>
        <c:ser>
          <c:idx val="7"/>
          <c:order val="7"/>
          <c:tx>
            <c:strRef>
              <c:f>'Proy. ventas'!$S$141:$T$141</c:f>
              <c:strCache>
                <c:ptCount val="1"/>
                <c:pt idx="0">
                  <c:v>Agosto</c:v>
                </c:pt>
              </c:strCache>
            </c:strRef>
          </c:tx>
          <c:spPr>
            <a:solidFill>
              <a:schemeClr val="accent2">
                <a:lumMod val="60000"/>
              </a:schemeClr>
            </a:solidFill>
            <a:ln>
              <a:noFill/>
            </a:ln>
            <a:effectLst/>
          </c:spPr>
          <c:invertIfNegative val="0"/>
          <c:val>
            <c:numRef>
              <c:f>'Proy. ventas'!$T$157</c:f>
              <c:numCache>
                <c:formatCode>_-"$"\ * #,##0.00_-;\-"$"\ * #,##0.00_-;_-"$"\ * "-"??_-;_-@_-</c:formatCode>
                <c:ptCount val="1"/>
                <c:pt idx="0">
                  <c:v>2953125</c:v>
                </c:pt>
              </c:numCache>
            </c:numRef>
          </c:val>
          <c:extLst>
            <c:ext xmlns:c16="http://schemas.microsoft.com/office/drawing/2014/chart" uri="{C3380CC4-5D6E-409C-BE32-E72D297353CC}">
              <c16:uniqueId val="{00000007-9191-4473-B9A1-489F425F65C4}"/>
            </c:ext>
          </c:extLst>
        </c:ser>
        <c:ser>
          <c:idx val="8"/>
          <c:order val="8"/>
          <c:tx>
            <c:strRef>
              <c:f>'Proy. ventas'!$U$141:$V$141</c:f>
              <c:strCache>
                <c:ptCount val="1"/>
                <c:pt idx="0">
                  <c:v>Septiembre</c:v>
                </c:pt>
              </c:strCache>
            </c:strRef>
          </c:tx>
          <c:spPr>
            <a:solidFill>
              <a:schemeClr val="accent3">
                <a:lumMod val="60000"/>
              </a:schemeClr>
            </a:solidFill>
            <a:ln>
              <a:noFill/>
            </a:ln>
            <a:effectLst/>
          </c:spPr>
          <c:invertIfNegative val="0"/>
          <c:val>
            <c:numRef>
              <c:f>'Proy. ventas'!$V$157</c:f>
              <c:numCache>
                <c:formatCode>_-"$"\ * #,##0.00_-;\-"$"\ * #,##0.00_-;_-"$"\ * "-"??_-;_-@_-</c:formatCode>
                <c:ptCount val="1"/>
                <c:pt idx="0">
                  <c:v>5315625</c:v>
                </c:pt>
              </c:numCache>
            </c:numRef>
          </c:val>
          <c:extLst>
            <c:ext xmlns:c16="http://schemas.microsoft.com/office/drawing/2014/chart" uri="{C3380CC4-5D6E-409C-BE32-E72D297353CC}">
              <c16:uniqueId val="{00000008-9191-4473-B9A1-489F425F65C4}"/>
            </c:ext>
          </c:extLst>
        </c:ser>
        <c:ser>
          <c:idx val="9"/>
          <c:order val="9"/>
          <c:tx>
            <c:strRef>
              <c:f>'Proy. ventas'!$W$141:$X$141</c:f>
              <c:strCache>
                <c:ptCount val="1"/>
                <c:pt idx="0">
                  <c:v>Octubre</c:v>
                </c:pt>
              </c:strCache>
            </c:strRef>
          </c:tx>
          <c:spPr>
            <a:solidFill>
              <a:schemeClr val="accent4">
                <a:lumMod val="60000"/>
              </a:schemeClr>
            </a:solidFill>
            <a:ln>
              <a:noFill/>
            </a:ln>
            <a:effectLst/>
          </c:spPr>
          <c:invertIfNegative val="0"/>
          <c:val>
            <c:numRef>
              <c:f>'Proy. ventas'!$X$157</c:f>
              <c:numCache>
                <c:formatCode>_-"$"\ * #,##0.00_-;\-"$"\ * #,##0.00_-;_-"$"\ * "-"??_-;_-@_-</c:formatCode>
                <c:ptCount val="1"/>
                <c:pt idx="0">
                  <c:v>5906250</c:v>
                </c:pt>
              </c:numCache>
            </c:numRef>
          </c:val>
          <c:extLst>
            <c:ext xmlns:c16="http://schemas.microsoft.com/office/drawing/2014/chart" uri="{C3380CC4-5D6E-409C-BE32-E72D297353CC}">
              <c16:uniqueId val="{00000009-9191-4473-B9A1-489F425F65C4}"/>
            </c:ext>
          </c:extLst>
        </c:ser>
        <c:ser>
          <c:idx val="10"/>
          <c:order val="10"/>
          <c:tx>
            <c:strRef>
              <c:f>'Proy. ventas'!$Y$141:$Z$141</c:f>
              <c:strCache>
                <c:ptCount val="1"/>
                <c:pt idx="0">
                  <c:v>Noviembre</c:v>
                </c:pt>
              </c:strCache>
            </c:strRef>
          </c:tx>
          <c:spPr>
            <a:solidFill>
              <a:schemeClr val="accent5">
                <a:lumMod val="60000"/>
              </a:schemeClr>
            </a:solidFill>
            <a:ln>
              <a:noFill/>
            </a:ln>
            <a:effectLst/>
          </c:spPr>
          <c:invertIfNegative val="0"/>
          <c:val>
            <c:numRef>
              <c:f>'Proy. ventas'!$Z$157</c:f>
              <c:numCache>
                <c:formatCode>_-"$"\ * #,##0.00_-;\-"$"\ * #,##0.00_-;_-"$"\ * "-"??_-;_-@_-</c:formatCode>
                <c:ptCount val="1"/>
                <c:pt idx="0">
                  <c:v>6496875</c:v>
                </c:pt>
              </c:numCache>
            </c:numRef>
          </c:val>
          <c:extLst>
            <c:ext xmlns:c16="http://schemas.microsoft.com/office/drawing/2014/chart" uri="{C3380CC4-5D6E-409C-BE32-E72D297353CC}">
              <c16:uniqueId val="{0000000A-9191-4473-B9A1-489F425F65C4}"/>
            </c:ext>
          </c:extLst>
        </c:ser>
        <c:ser>
          <c:idx val="11"/>
          <c:order val="11"/>
          <c:tx>
            <c:strRef>
              <c:f>'Proy. ventas'!$AA$141:$AB$141</c:f>
              <c:strCache>
                <c:ptCount val="1"/>
                <c:pt idx="0">
                  <c:v>Diciembre</c:v>
                </c:pt>
              </c:strCache>
            </c:strRef>
          </c:tx>
          <c:spPr>
            <a:solidFill>
              <a:schemeClr val="accent6">
                <a:lumMod val="60000"/>
              </a:schemeClr>
            </a:solidFill>
            <a:ln>
              <a:noFill/>
            </a:ln>
            <a:effectLst/>
          </c:spPr>
          <c:invertIfNegative val="0"/>
          <c:val>
            <c:numRef>
              <c:f>'Proy. ventas'!$AB$157</c:f>
              <c:numCache>
                <c:formatCode>_-"$"\ * #,##0.00_-;\-"$"\ * #,##0.00_-;_-"$"\ * "-"??_-;_-@_-</c:formatCode>
                <c:ptCount val="1"/>
                <c:pt idx="0">
                  <c:v>7678125</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ventas en 2019 de productos</a:t>
            </a:r>
            <a:r>
              <a:rPr lang="en-US" baseline="0"/>
              <a:t> fabricados en nuestra empresa</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ventas'!$A$19</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72</c:v>
                </c:pt>
                <c:pt idx="1">
                  <c:v>90</c:v>
                </c:pt>
                <c:pt idx="2">
                  <c:v>72</c:v>
                </c:pt>
                <c:pt idx="3">
                  <c:v>63.000000000000007</c:v>
                </c:pt>
                <c:pt idx="4">
                  <c:v>54</c:v>
                </c:pt>
                <c:pt idx="5">
                  <c:v>36</c:v>
                </c:pt>
                <c:pt idx="6">
                  <c:v>81</c:v>
                </c:pt>
                <c:pt idx="7">
                  <c:v>45</c:v>
                </c:pt>
                <c:pt idx="8">
                  <c:v>81</c:v>
                </c:pt>
                <c:pt idx="9">
                  <c:v>90</c:v>
                </c:pt>
                <c:pt idx="10">
                  <c:v>99</c:v>
                </c:pt>
                <c:pt idx="11">
                  <c:v>117</c:v>
                </c:pt>
              </c:numCache>
            </c:numRef>
          </c:val>
          <c:smooth val="0"/>
          <c:extLst>
            <c:ext xmlns:c16="http://schemas.microsoft.com/office/drawing/2014/chart" uri="{C3380CC4-5D6E-409C-BE32-E72D297353CC}">
              <c16:uniqueId val="{00000000-396A-4246-A5F4-AB115A34A6FA}"/>
            </c:ext>
          </c:extLst>
        </c:ser>
        <c:ser>
          <c:idx val="1"/>
          <c:order val="1"/>
          <c:tx>
            <c:strRef>
              <c:f>'Proy. ventas'!$A$20</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40</c:v>
                </c:pt>
                <c:pt idx="1">
                  <c:v>50</c:v>
                </c:pt>
                <c:pt idx="2">
                  <c:v>40</c:v>
                </c:pt>
                <c:pt idx="3">
                  <c:v>35</c:v>
                </c:pt>
                <c:pt idx="4">
                  <c:v>30</c:v>
                </c:pt>
                <c:pt idx="5">
                  <c:v>20</c:v>
                </c:pt>
                <c:pt idx="6">
                  <c:v>45</c:v>
                </c:pt>
                <c:pt idx="7">
                  <c:v>25</c:v>
                </c:pt>
                <c:pt idx="8">
                  <c:v>45</c:v>
                </c:pt>
                <c:pt idx="9">
                  <c:v>50</c:v>
                </c:pt>
                <c:pt idx="10">
                  <c:v>55</c:v>
                </c:pt>
                <c:pt idx="11">
                  <c:v>65</c:v>
                </c:pt>
              </c:numCache>
            </c:numRef>
          </c:val>
          <c:smooth val="0"/>
          <c:extLst>
            <c:ext xmlns:c16="http://schemas.microsoft.com/office/drawing/2014/chart" uri="{C3380CC4-5D6E-409C-BE32-E72D297353CC}">
              <c16:uniqueId val="{00000001-396A-4246-A5F4-AB115A34A6FA}"/>
            </c:ext>
          </c:extLst>
        </c:ser>
        <c:ser>
          <c:idx val="2"/>
          <c:order val="2"/>
          <c:tx>
            <c:strRef>
              <c:f>'Proy. ventas'!$A$21</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9.6</c:v>
                </c:pt>
                <c:pt idx="1">
                  <c:v>12</c:v>
                </c:pt>
                <c:pt idx="2">
                  <c:v>9.6</c:v>
                </c:pt>
                <c:pt idx="3">
                  <c:v>8.4</c:v>
                </c:pt>
                <c:pt idx="4">
                  <c:v>7.1999999999999993</c:v>
                </c:pt>
                <c:pt idx="5">
                  <c:v>4.8</c:v>
                </c:pt>
                <c:pt idx="6">
                  <c:v>10.799999999999999</c:v>
                </c:pt>
                <c:pt idx="7">
                  <c:v>6</c:v>
                </c:pt>
                <c:pt idx="8">
                  <c:v>10.799999999999999</c:v>
                </c:pt>
                <c:pt idx="9">
                  <c:v>12</c:v>
                </c:pt>
                <c:pt idx="10">
                  <c:v>13.2</c:v>
                </c:pt>
                <c:pt idx="11">
                  <c:v>15.600000000000001</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2624736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ventas'!$A$82</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ventas'!$E$82,'Proy. ventas'!$G$82,'Proy. ventas'!$I$82,'Proy. ventas'!$K$82,'Proy. ventas'!$M$82,'Proy. ventas'!$O$82,'Proy. ventas'!$Q$82,'Proy. ventas'!$S$82,'Proy. ventas'!$U$82,'Proy. ventas'!$W$82,'Proy. ventas'!$Y$82,'Proy. ventas'!$AA$82)</c:f>
              <c:numCache>
                <c:formatCode>_-* #,##0\ _€_-;\-* #,##0\ _€_-;_-* "-"??\ _€_-;_-@_-</c:formatCode>
                <c:ptCount val="12"/>
                <c:pt idx="0">
                  <c:v>132</c:v>
                </c:pt>
                <c:pt idx="1">
                  <c:v>120</c:v>
                </c:pt>
                <c:pt idx="2">
                  <c:v>84.000000000000014</c:v>
                </c:pt>
                <c:pt idx="3">
                  <c:v>72</c:v>
                </c:pt>
                <c:pt idx="4">
                  <c:v>72</c:v>
                </c:pt>
                <c:pt idx="5">
                  <c:v>48</c:v>
                </c:pt>
                <c:pt idx="6">
                  <c:v>108</c:v>
                </c:pt>
                <c:pt idx="7">
                  <c:v>60</c:v>
                </c:pt>
                <c:pt idx="8">
                  <c:v>108</c:v>
                </c:pt>
                <c:pt idx="9">
                  <c:v>120</c:v>
                </c:pt>
                <c:pt idx="10">
                  <c:v>132</c:v>
                </c:pt>
                <c:pt idx="11">
                  <c:v>144</c:v>
                </c:pt>
              </c:numCache>
            </c:numRef>
          </c:val>
          <c:smooth val="0"/>
          <c:extLst>
            <c:ext xmlns:c16="http://schemas.microsoft.com/office/drawing/2014/chart" uri="{C3380CC4-5D6E-409C-BE32-E72D297353CC}">
              <c16:uniqueId val="{00000000-4FB4-4DAA-AE13-4A7CBDA485EA}"/>
            </c:ext>
          </c:extLst>
        </c:ser>
        <c:ser>
          <c:idx val="1"/>
          <c:order val="1"/>
          <c:tx>
            <c:strRef>
              <c:f>'Proy. ventas'!$A$83</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ventas'!$E$83,'Proy. ventas'!$G$83,'Proy. ventas'!$I$83,'Proy. ventas'!$K$83,'Proy. ventas'!$M$83,'Proy. ventas'!$O$83,'Proy. ventas'!$Q$83,'Proy. ventas'!$S$83,'Proy. ventas'!$U$83,'Proy. ventas'!$W$83,'Proy. ventas'!$Y$83,'Proy. ventas'!$AA$83)</c:f>
              <c:numCache>
                <c:formatCode>_-* #,##0\ _€_-;\-* #,##0\ _€_-;_-* "-"??\ _€_-;_-@_-</c:formatCode>
                <c:ptCount val="12"/>
                <c:pt idx="0">
                  <c:v>92.95</c:v>
                </c:pt>
                <c:pt idx="1">
                  <c:v>84.5</c:v>
                </c:pt>
                <c:pt idx="2">
                  <c:v>59.150000000000006</c:v>
                </c:pt>
                <c:pt idx="3">
                  <c:v>50.699999999999996</c:v>
                </c:pt>
                <c:pt idx="4">
                  <c:v>50.699999999999996</c:v>
                </c:pt>
                <c:pt idx="5">
                  <c:v>33.799999999999997</c:v>
                </c:pt>
                <c:pt idx="6">
                  <c:v>76.05</c:v>
                </c:pt>
                <c:pt idx="7">
                  <c:v>42.25</c:v>
                </c:pt>
                <c:pt idx="8">
                  <c:v>76.05</c:v>
                </c:pt>
                <c:pt idx="9">
                  <c:v>84.5</c:v>
                </c:pt>
                <c:pt idx="10">
                  <c:v>92.95</c:v>
                </c:pt>
                <c:pt idx="11">
                  <c:v>101.39999999999999</c:v>
                </c:pt>
              </c:numCache>
            </c:numRef>
          </c:val>
          <c:smooth val="0"/>
          <c:extLst>
            <c:ext xmlns:c16="http://schemas.microsoft.com/office/drawing/2014/chart" uri="{C3380CC4-5D6E-409C-BE32-E72D297353CC}">
              <c16:uniqueId val="{00000001-4FB4-4DAA-AE13-4A7CBDA485EA}"/>
            </c:ext>
          </c:extLst>
        </c:ser>
        <c:ser>
          <c:idx val="2"/>
          <c:order val="2"/>
          <c:tx>
            <c:strRef>
              <c:f>'Proy. ventas'!$A$84</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ventas'!$E$84,'Proy. ventas'!$G$84,'Proy. ventas'!$I$84,'Proy. ventas'!$K$84,'Proy. ventas'!$M$84,'Proy. ventas'!$O$84,'Proy. ventas'!$Q$84,'Proy. ventas'!$S$84,'Proy. ventas'!$U$84,'Proy. ventas'!$W$84,'Proy. ventas'!$Y$84,'Proy. ventas'!$AA$84)</c:f>
              <c:numCache>
                <c:formatCode>_-* #,##0\ _€_-;\-* #,##0\ _€_-;_-* "-"??\ _€_-;_-@_-</c:formatCode>
                <c:ptCount val="12"/>
                <c:pt idx="0">
                  <c:v>26.95</c:v>
                </c:pt>
                <c:pt idx="1">
                  <c:v>24.5</c:v>
                </c:pt>
                <c:pt idx="2">
                  <c:v>17.150000000000002</c:v>
                </c:pt>
                <c:pt idx="3">
                  <c:v>14.7</c:v>
                </c:pt>
                <c:pt idx="4">
                  <c:v>14.7</c:v>
                </c:pt>
                <c:pt idx="5">
                  <c:v>9.8000000000000007</c:v>
                </c:pt>
                <c:pt idx="6">
                  <c:v>22.05</c:v>
                </c:pt>
                <c:pt idx="7">
                  <c:v>12.25</c:v>
                </c:pt>
                <c:pt idx="8">
                  <c:v>22.05</c:v>
                </c:pt>
                <c:pt idx="9">
                  <c:v>24.5</c:v>
                </c:pt>
                <c:pt idx="10">
                  <c:v>26.95</c:v>
                </c:pt>
                <c:pt idx="11">
                  <c:v>29.4</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marker val="1"/>
        <c:smooth val="0"/>
        <c:axId val="387721455"/>
        <c:axId val="253992239"/>
      </c:lineChart>
      <c:catAx>
        <c:axId val="387721455"/>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2239"/>
        <c:crosses val="autoZero"/>
        <c:auto val="1"/>
        <c:lblAlgn val="ctr"/>
        <c:lblOffset val="100"/>
        <c:noMultiLvlLbl val="0"/>
      </c:catAx>
      <c:valAx>
        <c:axId val="253992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21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0"/>
          <c:order val="0"/>
          <c:tx>
            <c:strRef>
              <c:f>'Proy. ventas'!$A$144</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ventas'!$E$144,'Proy. ventas'!$G$144,'Proy. ventas'!$I$144,'Proy. ventas'!$K$144,'Proy. ventas'!$M$144,'Proy. ventas'!$O$144,'Proy. ventas'!$Q$144,'Proy. ventas'!$S$144,'Proy. ventas'!$U$144,'Proy. ventas'!$W$144,'Proy. ventas'!$Y$144,'Proy. ventas'!$AA$144)</c:f>
              <c:numCache>
                <c:formatCode>_-* #,##0\ _€_-;\-* #,##0\ _€_-;_-* "-"??\ _€_-;_-@_-</c:formatCode>
                <c:ptCount val="12"/>
                <c:pt idx="0">
                  <c:v>203.5</c:v>
                </c:pt>
                <c:pt idx="1">
                  <c:v>166.5</c:v>
                </c:pt>
                <c:pt idx="2">
                  <c:v>148</c:v>
                </c:pt>
                <c:pt idx="3">
                  <c:v>111</c:v>
                </c:pt>
                <c:pt idx="4">
                  <c:v>111</c:v>
                </c:pt>
                <c:pt idx="5">
                  <c:v>92.5</c:v>
                </c:pt>
                <c:pt idx="6">
                  <c:v>185</c:v>
                </c:pt>
                <c:pt idx="7">
                  <c:v>92.5</c:v>
                </c:pt>
                <c:pt idx="8">
                  <c:v>148</c:v>
                </c:pt>
                <c:pt idx="9">
                  <c:v>185</c:v>
                </c:pt>
                <c:pt idx="10">
                  <c:v>185</c:v>
                </c:pt>
                <c:pt idx="11">
                  <c:v>222</c:v>
                </c:pt>
              </c:numCache>
            </c:numRef>
          </c:val>
          <c:smooth val="0"/>
          <c:extLst>
            <c:ext xmlns:c16="http://schemas.microsoft.com/office/drawing/2014/chart" uri="{C3380CC4-5D6E-409C-BE32-E72D297353CC}">
              <c16:uniqueId val="{00000000-8413-472A-B852-1050BCF984DB}"/>
            </c:ext>
          </c:extLst>
        </c:ser>
        <c:ser>
          <c:idx val="1"/>
          <c:order val="1"/>
          <c:tx>
            <c:strRef>
              <c:f>'Proy. ventas'!$A$145</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ventas'!$E$145,'Proy. ventas'!$G$145,'Proy. ventas'!$I$145,'Proy. ventas'!$K$145,'Proy. ventas'!$M$145,'Proy. ventas'!$O$145,'Proy. ventas'!$Q$145,'Proy. ventas'!$S$145,'Proy. ventas'!$U$145,'Proy. ventas'!$W$145,'Proy. ventas'!$Y$145,'Proy. ventas'!$AA$145)</c:f>
              <c:numCache>
                <c:formatCode>_-* #,##0\ _€_-;\-* #,##0\ _€_-;_-* "-"??\ _€_-;_-@_-</c:formatCode>
                <c:ptCount val="12"/>
                <c:pt idx="0">
                  <c:v>159.5</c:v>
                </c:pt>
                <c:pt idx="1">
                  <c:v>130.5</c:v>
                </c:pt>
                <c:pt idx="2">
                  <c:v>116</c:v>
                </c:pt>
                <c:pt idx="3">
                  <c:v>87</c:v>
                </c:pt>
                <c:pt idx="4">
                  <c:v>87</c:v>
                </c:pt>
                <c:pt idx="5">
                  <c:v>72.5</c:v>
                </c:pt>
                <c:pt idx="6">
                  <c:v>145</c:v>
                </c:pt>
                <c:pt idx="7">
                  <c:v>72.5</c:v>
                </c:pt>
                <c:pt idx="8">
                  <c:v>116</c:v>
                </c:pt>
                <c:pt idx="9">
                  <c:v>145</c:v>
                </c:pt>
                <c:pt idx="10">
                  <c:v>145</c:v>
                </c:pt>
                <c:pt idx="11">
                  <c:v>174</c:v>
                </c:pt>
              </c:numCache>
            </c:numRef>
          </c:val>
          <c:smooth val="0"/>
          <c:extLst>
            <c:ext xmlns:c16="http://schemas.microsoft.com/office/drawing/2014/chart" uri="{C3380CC4-5D6E-409C-BE32-E72D297353CC}">
              <c16:uniqueId val="{00000001-8413-472A-B852-1050BCF984DB}"/>
            </c:ext>
          </c:extLst>
        </c:ser>
        <c:ser>
          <c:idx val="2"/>
          <c:order val="2"/>
          <c:tx>
            <c:strRef>
              <c:f>'Proy. ventas'!$A$146</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ventas'!$E$146,'Proy. ventas'!$G$146,'Proy. ventas'!$I$146,'Proy. ventas'!$K$146,'Proy. ventas'!$M$146,'Proy. ventas'!$O$146,'Proy. ventas'!$Q$146,'Proy. ventas'!$S$146,'Proy. ventas'!$U$146,'Proy. ventas'!$W$146,'Proy. ventas'!$Y$146,'Proy. ventas'!$AA$146)</c:f>
              <c:numCache>
                <c:formatCode>_-* #,##0\ _€_-;\-* #,##0\ _€_-;_-* "-"??\ _€_-;_-@_-</c:formatCode>
                <c:ptCount val="12"/>
                <c:pt idx="0">
                  <c:v>69.3</c:v>
                </c:pt>
                <c:pt idx="1">
                  <c:v>56.699999999999996</c:v>
                </c:pt>
                <c:pt idx="2">
                  <c:v>50.4</c:v>
                </c:pt>
                <c:pt idx="3">
                  <c:v>37.799999999999997</c:v>
                </c:pt>
                <c:pt idx="4">
                  <c:v>37.799999999999997</c:v>
                </c:pt>
                <c:pt idx="5">
                  <c:v>31.5</c:v>
                </c:pt>
                <c:pt idx="6">
                  <c:v>63</c:v>
                </c:pt>
                <c:pt idx="7">
                  <c:v>31.5</c:v>
                </c:pt>
                <c:pt idx="8">
                  <c:v>50.4</c:v>
                </c:pt>
                <c:pt idx="9">
                  <c:v>63</c:v>
                </c:pt>
                <c:pt idx="10">
                  <c:v>63</c:v>
                </c:pt>
                <c:pt idx="11">
                  <c:v>75.599999999999994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crossAx val="38771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2019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ingresos'!$C$17:$C$29</c:f>
              <c:numCache>
                <c:formatCode>_-"$"\ * #,##0.00_-;\-"$"\ * #,##0.00_-;_-"$"\ * "-"??_-;_-@_-</c:formatCode>
                <c:ptCount val="13"/>
                <c:pt idx="0">
                  <c:v>2520000</c:v>
                </c:pt>
                <c:pt idx="1">
                  <c:v>7750000</c:v>
                </c:pt>
                <c:pt idx="2">
                  <c:v>2760000</c:v>
                </c:pt>
                <c:pt idx="3">
                  <c:v>275000</c:v>
                </c:pt>
                <c:pt idx="4">
                  <c:v>220000</c:v>
                </c:pt>
                <c:pt idx="5">
                  <c:v>660000</c:v>
                </c:pt>
                <c:pt idx="6">
                  <c:v>250000</c:v>
                </c:pt>
                <c:pt idx="7">
                  <c:v>1232000</c:v>
                </c:pt>
                <c:pt idx="8">
                  <c:v>242400</c:v>
                </c:pt>
                <c:pt idx="9">
                  <c:v>715000</c:v>
                </c:pt>
                <c:pt idx="10">
                  <c:v>163250</c:v>
                </c:pt>
                <c:pt idx="11">
                  <c:v>1400000</c:v>
                </c:pt>
                <c:pt idx="12">
                  <c:v>1500000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 _€_-;\-* #,##0.00\ _€_-;_-* "-"??\ _€_-;_-@_-</c:formatCode>
                <c:ptCount val="13"/>
              </c:numCache>
            </c:numRef>
          </c:cat>
          <c:val>
            <c:numRef>
              <c:f>'Mod. ingresos'!$D$17:$D$29</c:f>
              <c:numCache>
                <c:formatCode>_-"$"\ * #,##0.00_-;\-"$"\ * #,##0.00_-;_-"$"\ * "-"??_-;_-@_-</c:formatCode>
                <c:ptCount val="13"/>
                <c:pt idx="0">
                  <c:v>3360000</c:v>
                </c:pt>
                <c:pt idx="1">
                  <c:v>13097500</c:v>
                </c:pt>
                <c:pt idx="2">
                  <c:v>5635000</c:v>
                </c:pt>
                <c:pt idx="3">
                  <c:v>900000</c:v>
                </c:pt>
                <c:pt idx="4">
                  <c:v>720000</c:v>
                </c:pt>
                <c:pt idx="5">
                  <c:v>1650000</c:v>
                </c:pt>
                <c:pt idx="6">
                  <c:v>400000</c:v>
                </c:pt>
                <c:pt idx="7">
                  <c:v>1440000</c:v>
                </c:pt>
                <c:pt idx="8">
                  <c:v>350400</c:v>
                </c:pt>
                <c:pt idx="9">
                  <c:v>803000</c:v>
                </c:pt>
                <c:pt idx="10">
                  <c:v>186250</c:v>
                </c:pt>
                <c:pt idx="11">
                  <c:v>2170000</c:v>
                </c:pt>
                <c:pt idx="12">
                  <c:v>2100000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ln>
          <a:solidFill>
            <a:schemeClr val="accent5">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30</xdr:col>
      <xdr:colOff>442910</xdr:colOff>
      <xdr:row>17</xdr:row>
      <xdr:rowOff>8616</xdr:rowOff>
    </xdr:from>
    <xdr:to>
      <xdr:col>42</xdr:col>
      <xdr:colOff>546099</xdr:colOff>
      <xdr:row>40</xdr:row>
      <xdr:rowOff>1733549</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83</xdr:row>
      <xdr:rowOff>171450</xdr:rowOff>
    </xdr:from>
    <xdr:to>
      <xdr:col>43</xdr:col>
      <xdr:colOff>38100</xdr:colOff>
      <xdr:row>108</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142</xdr:row>
      <xdr:rowOff>47624</xdr:rowOff>
    </xdr:from>
    <xdr:to>
      <xdr:col>42</xdr:col>
      <xdr:colOff>571500</xdr:colOff>
      <xdr:row>168</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329044</xdr:colOff>
      <xdr:row>42</xdr:row>
      <xdr:rowOff>117762</xdr:rowOff>
    </xdr:from>
    <xdr:to>
      <xdr:col>43</xdr:col>
      <xdr:colOff>571500</xdr:colOff>
      <xdr:row>72</xdr:row>
      <xdr:rowOff>69273</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110</xdr:row>
      <xdr:rowOff>51955</xdr:rowOff>
    </xdr:from>
    <xdr:to>
      <xdr:col>42</xdr:col>
      <xdr:colOff>571500</xdr:colOff>
      <xdr:row>135</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170</xdr:row>
      <xdr:rowOff>86591</xdr:rowOff>
    </xdr:from>
    <xdr:to>
      <xdr:col>43</xdr:col>
      <xdr:colOff>155864</xdr:colOff>
      <xdr:row>202</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107</xdr:row>
      <xdr:rowOff>63500</xdr:rowOff>
    </xdr:from>
    <xdr:to>
      <xdr:col>1</xdr:col>
      <xdr:colOff>1016000</xdr:colOff>
      <xdr:row>110</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1317625</xdr:colOff>
      <xdr:row>46</xdr:row>
      <xdr:rowOff>111125</xdr:rowOff>
    </xdr:from>
    <xdr:to>
      <xdr:col>1</xdr:col>
      <xdr:colOff>936626</xdr:colOff>
      <xdr:row>49</xdr:row>
      <xdr:rowOff>180397</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317625" y="13731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169</xdr:row>
      <xdr:rowOff>158750</xdr:rowOff>
    </xdr:from>
    <xdr:to>
      <xdr:col>1</xdr:col>
      <xdr:colOff>904876</xdr:colOff>
      <xdr:row>173</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zoomScale="80" zoomScaleNormal="80" workbookViewId="0">
      <selection activeCell="C21" sqref="C21"/>
    </sheetView>
  </sheetViews>
  <sheetFormatPr defaultColWidth="11.42578125" defaultRowHeight="15" x14ac:dyDescent="0.25"/>
  <cols>
    <col min="1" max="1" width="11.42578125" style="1"/>
    <col min="2" max="2" width="12.5703125" style="1" customWidth="1"/>
    <col min="3" max="16384" width="11.42578125" style="1"/>
  </cols>
  <sheetData>
    <row r="9" spans="3:3" ht="28.5" x14ac:dyDescent="0.45">
      <c r="C9" s="2" t="s">
        <v>0</v>
      </c>
    </row>
    <row r="21" spans="3:4" ht="18.75" x14ac:dyDescent="0.25">
      <c r="C21" s="3" t="s">
        <v>379</v>
      </c>
      <c r="D21" s="1034"/>
    </row>
    <row r="22" spans="3:4" ht="18.75" x14ac:dyDescent="0.25">
      <c r="C22" s="3" t="s">
        <v>380</v>
      </c>
      <c r="D22" s="1034"/>
    </row>
    <row r="23" spans="3:4" ht="18" x14ac:dyDescent="0.25">
      <c r="C23" s="3" t="s">
        <v>364</v>
      </c>
    </row>
    <row r="24" spans="3:4" ht="18" x14ac:dyDescent="0.25">
      <c r="C24" s="3" t="s">
        <v>381</v>
      </c>
    </row>
    <row r="25" spans="3:4" ht="18" x14ac:dyDescent="0.25">
      <c r="C25" s="3" t="s">
        <v>382</v>
      </c>
    </row>
    <row r="26" spans="3:4" ht="18" x14ac:dyDescent="0.25">
      <c r="C26" s="3" t="s">
        <v>383</v>
      </c>
    </row>
  </sheetData>
  <hyperlinks>
    <hyperlink ref="C26" r:id="rId1" display="mailto:cristiangentile1@gmail.com" xr:uid="{00000000-0004-0000-0000-000000000000}"/>
  </hyperlinks>
  <pageMargins left="0.7" right="0.7" top="0.75" bottom="0.75" header="0.3" footer="0.3"/>
  <pageSetup orientation="portrait" horizontalDpi="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6" activePane="bottomLeft" state="frozen"/>
      <selection pane="bottomLeft" activeCell="A11" sqref="A11"/>
    </sheetView>
  </sheetViews>
  <sheetFormatPr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703" customFormat="1" ht="58.5" customHeight="1" x14ac:dyDescent="0.25">
      <c r="A1" s="706"/>
      <c r="B1" s="706"/>
      <c r="C1" s="706"/>
      <c r="D1" s="706"/>
      <c r="E1" s="706"/>
      <c r="F1" s="711" t="s">
        <v>7</v>
      </c>
      <c r="G1" s="712"/>
      <c r="H1" s="712"/>
      <c r="I1" s="706"/>
      <c r="J1" s="706"/>
      <c r="K1" s="706"/>
      <c r="L1" s="706"/>
      <c r="M1" s="706"/>
      <c r="N1" s="706"/>
      <c r="O1" s="706"/>
    </row>
    <row r="2" spans="1:15" ht="15.75" thickBot="1" x14ac:dyDescent="0.3"/>
    <row r="3" spans="1:15" ht="27" thickBot="1" x14ac:dyDescent="0.45">
      <c r="B3" s="717" t="s">
        <v>36</v>
      </c>
      <c r="C3" s="718"/>
      <c r="D3" s="719"/>
    </row>
    <row r="4" spans="1:15" x14ac:dyDescent="0.25">
      <c r="B4" s="40">
        <v>2019</v>
      </c>
      <c r="C4" s="40">
        <v>2020</v>
      </c>
      <c r="D4" s="40">
        <v>2021</v>
      </c>
    </row>
    <row r="5" spans="1:15" x14ac:dyDescent="0.25">
      <c r="B5" s="46">
        <f>Hipótesis!C24</f>
        <v>0.03</v>
      </c>
      <c r="C5" s="46">
        <f>Hipótesis!C25</f>
        <v>0.05</v>
      </c>
      <c r="D5" s="46">
        <f>Hipótesis!C26</f>
        <v>0.09</v>
      </c>
    </row>
    <row r="6" spans="1:15" x14ac:dyDescent="0.25">
      <c r="B6" s="39">
        <f>Hipótesis!D24</f>
        <v>0</v>
      </c>
      <c r="C6" s="39">
        <f>Hipótesis!D25</f>
        <v>0</v>
      </c>
      <c r="D6" s="39">
        <f>Hipótesis!D26</f>
        <v>0</v>
      </c>
    </row>
    <row r="7" spans="1:15" ht="15.75" thickBot="1" x14ac:dyDescent="0.3">
      <c r="B7" s="390"/>
      <c r="C7" s="390"/>
      <c r="D7" s="390"/>
    </row>
    <row r="8" spans="1:15" ht="27" thickBot="1" x14ac:dyDescent="0.45">
      <c r="B8" s="717" t="s">
        <v>230</v>
      </c>
      <c r="C8" s="718"/>
      <c r="D8" s="719"/>
    </row>
    <row r="9" spans="1:15" x14ac:dyDescent="0.25">
      <c r="B9" s="40">
        <v>2019</v>
      </c>
      <c r="C9" s="40">
        <v>2020</v>
      </c>
      <c r="D9" s="40">
        <v>2021</v>
      </c>
    </row>
    <row r="10" spans="1:15" x14ac:dyDescent="0.25">
      <c r="A10" s="497" t="s">
        <v>227</v>
      </c>
      <c r="B10" s="496">
        <f>'Costos fijos'!$G$5</f>
        <v>2343935.7000000002</v>
      </c>
      <c r="C10" s="496">
        <f>'Costos fijos'!$H$5</f>
        <v>2614351.9749999996</v>
      </c>
      <c r="D10" s="496">
        <f>'Costos fijos'!$I$5</f>
        <v>2971977.4835000001</v>
      </c>
    </row>
    <row r="11" spans="1:15" x14ac:dyDescent="0.25">
      <c r="A11" s="497" t="s">
        <v>228</v>
      </c>
      <c r="B11" s="496">
        <f>'Costos variables'!$H$6</f>
        <v>11364349.35</v>
      </c>
      <c r="C11" s="496">
        <f>'Costos variables'!$I$6</f>
        <v>17694195.824999999</v>
      </c>
      <c r="D11" s="496">
        <f>'Costos variables'!$J$6</f>
        <v>29793383.600000001</v>
      </c>
    </row>
    <row r="12" spans="1:15" x14ac:dyDescent="0.25">
      <c r="A12" s="497" t="s">
        <v>229</v>
      </c>
      <c r="B12" s="496">
        <f>'Costos RRHH'!$H$6</f>
        <v>7341662.4450000012</v>
      </c>
      <c r="C12" s="496">
        <f>'Costos RRHH'!$I$6</f>
        <v>8446303.9266666677</v>
      </c>
      <c r="D12" s="496">
        <f>'Costos RRHH'!$J$6</f>
        <v>10262133.115833335</v>
      </c>
    </row>
    <row r="13" spans="1:15" x14ac:dyDescent="0.25">
      <c r="A13" s="497" t="s">
        <v>230</v>
      </c>
      <c r="B13" s="498">
        <f>SUM(B9:B12)</f>
        <v>21051966.495000001</v>
      </c>
      <c r="C13" s="498">
        <f>SUM(C9:C12)</f>
        <v>28756871.726666667</v>
      </c>
      <c r="D13" s="498">
        <f>SUM(D9:D12)</f>
        <v>43029515.19933334</v>
      </c>
    </row>
    <row r="14" spans="1:15" x14ac:dyDescent="0.25">
      <c r="A14" s="497" t="s">
        <v>231</v>
      </c>
      <c r="B14" s="496">
        <f>$B$6</f>
        <v>0</v>
      </c>
      <c r="C14" s="496">
        <f>$C$6</f>
        <v>0</v>
      </c>
      <c r="D14" s="496">
        <f>$D$6</f>
        <v>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81"/>
  <sheetViews>
    <sheetView zoomScale="85" zoomScaleNormal="85" workbookViewId="0">
      <pane ySplit="1" topLeftCell="A52" activePane="bottomLeft" state="frozen"/>
      <selection pane="bottomLeft" sqref="A1:L1"/>
    </sheetView>
  </sheetViews>
  <sheetFormatPr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703" customFormat="1" ht="58.5" customHeight="1" x14ac:dyDescent="0.25">
      <c r="A1" s="706"/>
      <c r="B1" s="706"/>
      <c r="C1" s="706"/>
      <c r="D1" s="706"/>
      <c r="E1" s="706"/>
      <c r="F1" s="711" t="s">
        <v>8</v>
      </c>
      <c r="G1" s="712"/>
      <c r="H1" s="712"/>
      <c r="I1" s="706"/>
      <c r="J1" s="706"/>
      <c r="K1" s="706"/>
      <c r="L1" s="706"/>
    </row>
    <row r="2" spans="1:12" ht="15.75" thickBot="1" x14ac:dyDescent="0.3"/>
    <row r="3" spans="1:12" ht="27" thickBot="1" x14ac:dyDescent="0.45">
      <c r="B3" s="717" t="s">
        <v>36</v>
      </c>
      <c r="C3" s="718"/>
      <c r="D3" s="719"/>
      <c r="G3" s="747" t="s">
        <v>232</v>
      </c>
      <c r="H3" s="748"/>
      <c r="I3" s="748"/>
      <c r="J3" s="749"/>
    </row>
    <row r="4" spans="1:12" x14ac:dyDescent="0.25">
      <c r="B4" s="125">
        <v>2019</v>
      </c>
      <c r="C4" s="40">
        <v>2020</v>
      </c>
      <c r="D4" s="126">
        <v>2021</v>
      </c>
      <c r="G4" s="503" t="s">
        <v>233</v>
      </c>
      <c r="H4" s="504">
        <v>2019</v>
      </c>
      <c r="I4" s="504">
        <v>2020</v>
      </c>
      <c r="J4" s="505">
        <v>2021</v>
      </c>
    </row>
    <row r="5" spans="1:12" ht="15.75" thickBot="1" x14ac:dyDescent="0.3">
      <c r="B5" s="127">
        <f>Hipótesis!$C$24</f>
        <v>0.03</v>
      </c>
      <c r="C5" s="46">
        <f>Hipótesis!$C$25</f>
        <v>0.05</v>
      </c>
      <c r="D5" s="128">
        <f>Hipótesis!$C$26</f>
        <v>0.09</v>
      </c>
      <c r="G5" s="500">
        <f>$E$28</f>
        <v>2297572</v>
      </c>
      <c r="H5" s="501">
        <f>$E$45</f>
        <v>22999</v>
      </c>
      <c r="I5" s="501">
        <f>$E$63</f>
        <v>70262</v>
      </c>
      <c r="J5" s="502">
        <f>$E$81</f>
        <v>1306257</v>
      </c>
    </row>
    <row r="6" spans="1:12" ht="15.75" thickBot="1" x14ac:dyDescent="0.3">
      <c r="B6" s="129">
        <f>Hipótesis!$D$24</f>
        <v>0</v>
      </c>
      <c r="C6" s="130">
        <f>Hipótesis!$D$25</f>
        <v>0</v>
      </c>
      <c r="D6" s="131">
        <f>Hipótesis!$D$26</f>
        <v>0</v>
      </c>
    </row>
    <row r="8" spans="1:12" ht="15.75" thickBot="1" x14ac:dyDescent="0.3"/>
    <row r="9" spans="1:12" ht="27" thickBot="1" x14ac:dyDescent="0.45">
      <c r="B9" s="744" t="s">
        <v>234</v>
      </c>
      <c r="C9" s="745"/>
      <c r="D9" s="745"/>
      <c r="E9" s="745"/>
      <c r="F9" s="746"/>
    </row>
    <row r="10" spans="1:12" ht="15.75" x14ac:dyDescent="0.25">
      <c r="B10" s="526" t="s">
        <v>67</v>
      </c>
      <c r="C10" s="527" t="s">
        <v>63</v>
      </c>
      <c r="D10" s="527" t="s">
        <v>239</v>
      </c>
      <c r="E10" s="527" t="s">
        <v>175</v>
      </c>
      <c r="F10" s="528" t="s">
        <v>243</v>
      </c>
    </row>
    <row r="11" spans="1:12" x14ac:dyDescent="0.25">
      <c r="B11" s="507" t="s">
        <v>309</v>
      </c>
      <c r="C11" s="604">
        <v>20</v>
      </c>
      <c r="D11" s="499">
        <f>'Costos variables'!$E$20</f>
        <v>1360</v>
      </c>
      <c r="E11" s="499">
        <f>C11*D11</f>
        <v>27200</v>
      </c>
      <c r="F11" s="688"/>
    </row>
    <row r="12" spans="1:12" x14ac:dyDescent="0.25">
      <c r="B12" s="507" t="s">
        <v>310</v>
      </c>
      <c r="C12" s="604">
        <v>15</v>
      </c>
      <c r="D12" s="499">
        <f>'Costos variables'!$E$33</f>
        <v>5705</v>
      </c>
      <c r="E12" s="499">
        <f>C12*D12</f>
        <v>85575</v>
      </c>
      <c r="F12" s="688"/>
    </row>
    <row r="13" spans="1:12" x14ac:dyDescent="0.25">
      <c r="B13" s="507" t="s">
        <v>311</v>
      </c>
      <c r="C13" s="604">
        <v>10</v>
      </c>
      <c r="D13" s="499">
        <f>'Costos variables'!$E$46</f>
        <v>8105</v>
      </c>
      <c r="E13" s="499">
        <f>C13*D13</f>
        <v>81050</v>
      </c>
      <c r="F13" s="688"/>
    </row>
    <row r="14" spans="1:12" ht="15.75" x14ac:dyDescent="0.25">
      <c r="B14" s="507" t="s">
        <v>312</v>
      </c>
      <c r="C14" s="603" t="s">
        <v>274</v>
      </c>
      <c r="D14" s="603" t="s">
        <v>274</v>
      </c>
      <c r="E14" s="499">
        <f>10*D13+10*D12+10*D11</f>
        <v>151700</v>
      </c>
      <c r="F14" s="688"/>
    </row>
    <row r="15" spans="1:12" x14ac:dyDescent="0.25">
      <c r="B15" s="507" t="s">
        <v>235</v>
      </c>
      <c r="C15" s="391">
        <v>1</v>
      </c>
      <c r="D15" s="499">
        <v>20000</v>
      </c>
      <c r="E15" s="499">
        <f>C15*D15</f>
        <v>20000</v>
      </c>
      <c r="F15" s="519"/>
    </row>
    <row r="16" spans="1:12" x14ac:dyDescent="0.25">
      <c r="B16" s="507" t="s">
        <v>236</v>
      </c>
      <c r="C16" s="391">
        <v>1</v>
      </c>
      <c r="D16" s="499">
        <v>2850</v>
      </c>
      <c r="E16" s="499">
        <f t="shared" ref="E16:E27" si="0">C16*D16</f>
        <v>2850</v>
      </c>
      <c r="F16" s="520"/>
    </row>
    <row r="17" spans="2:6" x14ac:dyDescent="0.25">
      <c r="B17" s="507" t="s">
        <v>261</v>
      </c>
      <c r="C17" s="391">
        <v>1</v>
      </c>
      <c r="D17" s="499">
        <v>5000</v>
      </c>
      <c r="E17" s="499">
        <f t="shared" si="0"/>
        <v>5000</v>
      </c>
      <c r="F17" s="520"/>
    </row>
    <row r="18" spans="2:6" x14ac:dyDescent="0.25">
      <c r="B18" s="507" t="s">
        <v>238</v>
      </c>
      <c r="C18" s="391">
        <v>2</v>
      </c>
      <c r="D18" s="499">
        <v>2840</v>
      </c>
      <c r="E18" s="499">
        <f t="shared" si="0"/>
        <v>5680</v>
      </c>
      <c r="F18" s="520"/>
    </row>
    <row r="19" spans="2:6" x14ac:dyDescent="0.25">
      <c r="B19" s="507" t="s">
        <v>250</v>
      </c>
      <c r="C19" s="391">
        <v>5</v>
      </c>
      <c r="D19" s="499">
        <v>2600</v>
      </c>
      <c r="E19" s="499">
        <f t="shared" si="0"/>
        <v>13000</v>
      </c>
      <c r="F19" s="6"/>
    </row>
    <row r="20" spans="2:6" x14ac:dyDescent="0.25">
      <c r="B20" s="507" t="s">
        <v>291</v>
      </c>
      <c r="C20" s="391">
        <v>2</v>
      </c>
      <c r="D20" s="499">
        <v>736011</v>
      </c>
      <c r="E20" s="499">
        <f t="shared" si="0"/>
        <v>1472022</v>
      </c>
      <c r="F20" s="6"/>
    </row>
    <row r="21" spans="2:6" x14ac:dyDescent="0.25">
      <c r="B21" s="507" t="s">
        <v>249</v>
      </c>
      <c r="C21" s="391">
        <v>8</v>
      </c>
      <c r="D21" s="499">
        <v>17500</v>
      </c>
      <c r="E21" s="499">
        <f t="shared" si="0"/>
        <v>140000</v>
      </c>
      <c r="F21" s="520"/>
    </row>
    <row r="22" spans="2:6" x14ac:dyDescent="0.25">
      <c r="B22" s="507" t="s">
        <v>255</v>
      </c>
      <c r="C22" s="391">
        <v>2</v>
      </c>
      <c r="D22" s="499">
        <v>20170</v>
      </c>
      <c r="E22" s="499">
        <f t="shared" si="0"/>
        <v>40340</v>
      </c>
      <c r="F22" s="520"/>
    </row>
    <row r="23" spans="2:6" x14ac:dyDescent="0.25">
      <c r="B23" s="507" t="s">
        <v>247</v>
      </c>
      <c r="C23" s="391">
        <v>1</v>
      </c>
      <c r="D23" s="499">
        <v>4299</v>
      </c>
      <c r="E23" s="499">
        <f t="shared" si="0"/>
        <v>4299</v>
      </c>
      <c r="F23" s="519"/>
    </row>
    <row r="24" spans="2:6" x14ac:dyDescent="0.25">
      <c r="B24" s="507" t="s">
        <v>248</v>
      </c>
      <c r="C24" s="391">
        <v>6</v>
      </c>
      <c r="D24" s="499">
        <v>7480</v>
      </c>
      <c r="E24" s="499">
        <f t="shared" si="0"/>
        <v>44880</v>
      </c>
      <c r="F24" s="520"/>
    </row>
    <row r="25" spans="2:6" x14ac:dyDescent="0.25">
      <c r="B25" s="507" t="s">
        <v>246</v>
      </c>
      <c r="C25" s="391">
        <v>9</v>
      </c>
      <c r="D25" s="499">
        <v>3200</v>
      </c>
      <c r="E25" s="499">
        <f t="shared" si="0"/>
        <v>28800</v>
      </c>
      <c r="F25" s="520"/>
    </row>
    <row r="26" spans="2:6" x14ac:dyDescent="0.25">
      <c r="B26" s="507" t="s">
        <v>254</v>
      </c>
      <c r="C26" s="391">
        <v>24</v>
      </c>
      <c r="D26" s="499">
        <v>2299</v>
      </c>
      <c r="E26" s="499">
        <f t="shared" si="0"/>
        <v>55176</v>
      </c>
      <c r="F26" s="520"/>
    </row>
    <row r="27" spans="2:6" ht="15.75" thickBot="1" x14ac:dyDescent="0.3">
      <c r="B27" s="521" t="s">
        <v>244</v>
      </c>
      <c r="C27" s="522">
        <v>1</v>
      </c>
      <c r="D27" s="501">
        <v>120000</v>
      </c>
      <c r="E27" s="499">
        <f t="shared" si="0"/>
        <v>120000</v>
      </c>
      <c r="F27" s="523"/>
    </row>
    <row r="28" spans="2:6" ht="15.75" thickBot="1" x14ac:dyDescent="0.3">
      <c r="B28" s="943" t="s">
        <v>19</v>
      </c>
      <c r="C28" s="944"/>
      <c r="D28" s="945"/>
      <c r="E28" s="529">
        <f>SUM(E11:E27)</f>
        <v>2297572</v>
      </c>
    </row>
    <row r="29" spans="2:6" ht="15.75" thickBot="1" x14ac:dyDescent="0.3"/>
    <row r="30" spans="2:6" ht="27" thickBot="1" x14ac:dyDescent="0.45">
      <c r="B30" s="717" t="s">
        <v>240</v>
      </c>
      <c r="C30" s="718"/>
      <c r="D30" s="718"/>
      <c r="E30" s="719"/>
      <c r="F30" s="530"/>
    </row>
    <row r="31" spans="2:6" ht="15.75" x14ac:dyDescent="0.25">
      <c r="B31" s="526" t="s">
        <v>67</v>
      </c>
      <c r="C31" s="527" t="s">
        <v>63</v>
      </c>
      <c r="D31" s="527" t="s">
        <v>239</v>
      </c>
      <c r="E31" s="528" t="s">
        <v>175</v>
      </c>
    </row>
    <row r="32" spans="2:6" x14ac:dyDescent="0.25">
      <c r="B32" s="507" t="s">
        <v>235</v>
      </c>
      <c r="C32" s="391">
        <v>0</v>
      </c>
      <c r="D32" s="499">
        <v>20000</v>
      </c>
      <c r="E32" s="531">
        <f>C32*D32</f>
        <v>0</v>
      </c>
    </row>
    <row r="33" spans="2:8" x14ac:dyDescent="0.25">
      <c r="B33" s="507" t="s">
        <v>236</v>
      </c>
      <c r="C33" s="391">
        <v>0</v>
      </c>
      <c r="D33" s="499">
        <v>2850</v>
      </c>
      <c r="E33" s="531">
        <f t="shared" ref="E33:E44" si="1">C33*D33</f>
        <v>0</v>
      </c>
      <c r="G33" s="133"/>
      <c r="H33" s="133"/>
    </row>
    <row r="34" spans="2:8" x14ac:dyDescent="0.25">
      <c r="B34" s="507" t="s">
        <v>237</v>
      </c>
      <c r="C34" s="391">
        <v>0</v>
      </c>
      <c r="D34" s="499">
        <v>5000</v>
      </c>
      <c r="E34" s="531">
        <f t="shared" si="1"/>
        <v>0</v>
      </c>
      <c r="G34" s="133"/>
      <c r="H34" s="133"/>
    </row>
    <row r="35" spans="2:8" x14ac:dyDescent="0.25">
      <c r="B35" s="507" t="s">
        <v>238</v>
      </c>
      <c r="C35" s="391">
        <v>0</v>
      </c>
      <c r="D35" s="499">
        <v>2840</v>
      </c>
      <c r="E35" s="531">
        <f t="shared" si="1"/>
        <v>0</v>
      </c>
      <c r="G35" s="946"/>
      <c r="H35" s="946"/>
    </row>
    <row r="36" spans="2:8" x14ac:dyDescent="0.25">
      <c r="B36" s="507" t="s">
        <v>250</v>
      </c>
      <c r="C36" s="391">
        <v>0</v>
      </c>
      <c r="D36" s="499">
        <v>2600</v>
      </c>
      <c r="E36" s="531">
        <f t="shared" si="1"/>
        <v>0</v>
      </c>
      <c r="G36" s="947"/>
      <c r="H36" s="947"/>
    </row>
    <row r="37" spans="2:8" x14ac:dyDescent="0.25">
      <c r="B37" s="507" t="s">
        <v>291</v>
      </c>
      <c r="C37" s="391">
        <v>0</v>
      </c>
      <c r="D37" s="499">
        <v>736011</v>
      </c>
      <c r="E37" s="531">
        <f t="shared" si="1"/>
        <v>0</v>
      </c>
      <c r="G37" s="946"/>
      <c r="H37" s="946"/>
    </row>
    <row r="38" spans="2:8" x14ac:dyDescent="0.25">
      <c r="B38" s="507" t="s">
        <v>249</v>
      </c>
      <c r="C38" s="495">
        <v>1</v>
      </c>
      <c r="D38" s="499">
        <v>17500</v>
      </c>
      <c r="E38" s="531">
        <f t="shared" si="1"/>
        <v>17500</v>
      </c>
      <c r="G38" s="947"/>
      <c r="H38" s="947"/>
    </row>
    <row r="39" spans="2:8" x14ac:dyDescent="0.25">
      <c r="B39" s="507" t="s">
        <v>241</v>
      </c>
      <c r="C39" s="391">
        <v>0</v>
      </c>
      <c r="D39" s="499">
        <v>20170</v>
      </c>
      <c r="E39" s="531">
        <f t="shared" si="1"/>
        <v>0</v>
      </c>
      <c r="G39" s="947"/>
      <c r="H39" s="947"/>
    </row>
    <row r="40" spans="2:8" x14ac:dyDescent="0.25">
      <c r="B40" s="507" t="s">
        <v>247</v>
      </c>
      <c r="C40" s="391">
        <v>0</v>
      </c>
      <c r="D40" s="499">
        <v>4299</v>
      </c>
      <c r="E40" s="531">
        <f t="shared" si="1"/>
        <v>0</v>
      </c>
      <c r="G40" s="947"/>
      <c r="H40" s="947"/>
    </row>
    <row r="41" spans="2:8" x14ac:dyDescent="0.25">
      <c r="B41" s="507" t="s">
        <v>248</v>
      </c>
      <c r="C41" s="391">
        <v>0</v>
      </c>
      <c r="D41" s="499">
        <v>7480</v>
      </c>
      <c r="E41" s="531">
        <f t="shared" si="1"/>
        <v>0</v>
      </c>
      <c r="G41" s="946"/>
      <c r="H41" s="946"/>
    </row>
    <row r="42" spans="2:8" x14ac:dyDescent="0.25">
      <c r="B42" s="507" t="s">
        <v>246</v>
      </c>
      <c r="C42" s="495">
        <v>1</v>
      </c>
      <c r="D42" s="499">
        <v>3200</v>
      </c>
      <c r="E42" s="531">
        <f t="shared" si="1"/>
        <v>3200</v>
      </c>
      <c r="G42" s="946"/>
      <c r="H42" s="946"/>
    </row>
    <row r="43" spans="2:8" x14ac:dyDescent="0.25">
      <c r="B43" s="507" t="s">
        <v>242</v>
      </c>
      <c r="C43" s="495">
        <v>1</v>
      </c>
      <c r="D43" s="499">
        <v>2299</v>
      </c>
      <c r="E43" s="531">
        <f t="shared" si="1"/>
        <v>2299</v>
      </c>
      <c r="G43" s="133"/>
      <c r="H43" s="133"/>
    </row>
    <row r="44" spans="2:8" ht="15.75" thickBot="1" x14ac:dyDescent="0.3">
      <c r="B44" s="521" t="s">
        <v>244</v>
      </c>
      <c r="C44" s="522">
        <v>0</v>
      </c>
      <c r="D44" s="501">
        <v>120000</v>
      </c>
      <c r="E44" s="532">
        <f t="shared" si="1"/>
        <v>0</v>
      </c>
      <c r="G44" s="133"/>
      <c r="H44" s="133"/>
    </row>
    <row r="45" spans="2:8" ht="15.75" thickBot="1" x14ac:dyDescent="0.3">
      <c r="B45" s="943" t="s">
        <v>19</v>
      </c>
      <c r="C45" s="944"/>
      <c r="D45" s="945"/>
      <c r="E45" s="524">
        <f>SUM(E32:E44)</f>
        <v>22999</v>
      </c>
    </row>
    <row r="47" spans="2:8" ht="15.75" thickBot="1" x14ac:dyDescent="0.3"/>
    <row r="48" spans="2:8" ht="27" thickBot="1" x14ac:dyDescent="0.45">
      <c r="B48" s="717" t="s">
        <v>251</v>
      </c>
      <c r="C48" s="718"/>
      <c r="D48" s="718"/>
      <c r="E48" s="719"/>
    </row>
    <row r="49" spans="2:5" ht="15.75" x14ac:dyDescent="0.25">
      <c r="B49" s="526" t="s">
        <v>67</v>
      </c>
      <c r="C49" s="527" t="s">
        <v>63</v>
      </c>
      <c r="D49" s="527" t="s">
        <v>239</v>
      </c>
      <c r="E49" s="528" t="s">
        <v>175</v>
      </c>
    </row>
    <row r="50" spans="2:5" x14ac:dyDescent="0.25">
      <c r="B50" s="507" t="s">
        <v>235</v>
      </c>
      <c r="C50" s="391">
        <v>0</v>
      </c>
      <c r="D50" s="499">
        <v>20000</v>
      </c>
      <c r="E50" s="531">
        <f>C50*D50</f>
        <v>0</v>
      </c>
    </row>
    <row r="51" spans="2:5" x14ac:dyDescent="0.25">
      <c r="B51" s="507" t="s">
        <v>236</v>
      </c>
      <c r="C51" s="495">
        <v>1</v>
      </c>
      <c r="D51" s="499">
        <v>2850</v>
      </c>
      <c r="E51" s="531">
        <f t="shared" ref="E51:E62" si="2">C51*D51</f>
        <v>2850</v>
      </c>
    </row>
    <row r="52" spans="2:5" x14ac:dyDescent="0.25">
      <c r="B52" s="507" t="s">
        <v>237</v>
      </c>
      <c r="C52" s="495">
        <v>1</v>
      </c>
      <c r="D52" s="499">
        <v>5000</v>
      </c>
      <c r="E52" s="531">
        <f t="shared" si="2"/>
        <v>5000</v>
      </c>
    </row>
    <row r="53" spans="2:5" x14ac:dyDescent="0.25">
      <c r="B53" s="507" t="s">
        <v>238</v>
      </c>
      <c r="C53" s="495">
        <v>1</v>
      </c>
      <c r="D53" s="499">
        <v>2840</v>
      </c>
      <c r="E53" s="531">
        <f t="shared" si="2"/>
        <v>2840</v>
      </c>
    </row>
    <row r="54" spans="2:5" x14ac:dyDescent="0.25">
      <c r="B54" s="507" t="s">
        <v>250</v>
      </c>
      <c r="C54" s="495">
        <v>5</v>
      </c>
      <c r="D54" s="499">
        <v>2600</v>
      </c>
      <c r="E54" s="531">
        <f t="shared" si="2"/>
        <v>13000</v>
      </c>
    </row>
    <row r="55" spans="2:5" x14ac:dyDescent="0.25">
      <c r="B55" s="507" t="s">
        <v>291</v>
      </c>
      <c r="C55" s="391">
        <v>0</v>
      </c>
      <c r="D55" s="499">
        <v>736011</v>
      </c>
      <c r="E55" s="531">
        <f t="shared" si="2"/>
        <v>0</v>
      </c>
    </row>
    <row r="56" spans="2:5" x14ac:dyDescent="0.25">
      <c r="B56" s="507" t="s">
        <v>249</v>
      </c>
      <c r="C56" s="495">
        <v>1</v>
      </c>
      <c r="D56" s="499">
        <v>17500</v>
      </c>
      <c r="E56" s="531">
        <f t="shared" si="2"/>
        <v>17500</v>
      </c>
    </row>
    <row r="57" spans="2:5" x14ac:dyDescent="0.25">
      <c r="B57" s="507" t="s">
        <v>241</v>
      </c>
      <c r="C57" s="391">
        <v>0</v>
      </c>
      <c r="D57" s="499">
        <v>20170</v>
      </c>
      <c r="E57" s="531">
        <f t="shared" si="2"/>
        <v>0</v>
      </c>
    </row>
    <row r="58" spans="2:5" x14ac:dyDescent="0.25">
      <c r="B58" s="507" t="s">
        <v>247</v>
      </c>
      <c r="C58" s="391">
        <v>0</v>
      </c>
      <c r="D58" s="499">
        <v>4299</v>
      </c>
      <c r="E58" s="531">
        <f t="shared" si="2"/>
        <v>0</v>
      </c>
    </row>
    <row r="59" spans="2:5" x14ac:dyDescent="0.25">
      <c r="B59" s="507" t="s">
        <v>248</v>
      </c>
      <c r="C59" s="495">
        <v>1</v>
      </c>
      <c r="D59" s="499">
        <v>7480</v>
      </c>
      <c r="E59" s="531">
        <f t="shared" si="2"/>
        <v>7480</v>
      </c>
    </row>
    <row r="60" spans="2:5" x14ac:dyDescent="0.25">
      <c r="B60" s="507" t="s">
        <v>246</v>
      </c>
      <c r="C60" s="495">
        <v>1</v>
      </c>
      <c r="D60" s="499">
        <v>3200</v>
      </c>
      <c r="E60" s="531">
        <f t="shared" si="2"/>
        <v>3200</v>
      </c>
    </row>
    <row r="61" spans="2:5" x14ac:dyDescent="0.25">
      <c r="B61" s="507" t="s">
        <v>242</v>
      </c>
      <c r="C61" s="495">
        <v>8</v>
      </c>
      <c r="D61" s="499">
        <v>2299</v>
      </c>
      <c r="E61" s="531">
        <f t="shared" si="2"/>
        <v>18392</v>
      </c>
    </row>
    <row r="62" spans="2:5" ht="15.75" thickBot="1" x14ac:dyDescent="0.3">
      <c r="B62" s="521" t="s">
        <v>244</v>
      </c>
      <c r="C62" s="522">
        <v>0</v>
      </c>
      <c r="D62" s="501">
        <v>120000</v>
      </c>
      <c r="E62" s="532">
        <f t="shared" si="2"/>
        <v>0</v>
      </c>
    </row>
    <row r="63" spans="2:5" ht="15.75" thickBot="1" x14ac:dyDescent="0.3">
      <c r="B63" s="943" t="s">
        <v>19</v>
      </c>
      <c r="C63" s="944"/>
      <c r="D63" s="945"/>
      <c r="E63" s="524">
        <f>SUM(E50:E62)</f>
        <v>70262</v>
      </c>
    </row>
    <row r="65" spans="2:5" ht="15.75" thickBot="1" x14ac:dyDescent="0.3"/>
    <row r="66" spans="2:5" ht="27" thickBot="1" x14ac:dyDescent="0.45">
      <c r="B66" s="717" t="s">
        <v>252</v>
      </c>
      <c r="C66" s="718"/>
      <c r="D66" s="718"/>
      <c r="E66" s="719"/>
    </row>
    <row r="67" spans="2:5" ht="15.75" x14ac:dyDescent="0.25">
      <c r="B67" s="526" t="s">
        <v>67</v>
      </c>
      <c r="C67" s="527" t="s">
        <v>63</v>
      </c>
      <c r="D67" s="527" t="s">
        <v>239</v>
      </c>
      <c r="E67" s="528" t="s">
        <v>175</v>
      </c>
    </row>
    <row r="68" spans="2:5" x14ac:dyDescent="0.25">
      <c r="B68" s="507" t="s">
        <v>235</v>
      </c>
      <c r="C68" s="391">
        <v>0</v>
      </c>
      <c r="D68" s="499">
        <v>20000</v>
      </c>
      <c r="E68" s="531">
        <f>C68*D68</f>
        <v>0</v>
      </c>
    </row>
    <row r="69" spans="2:5" x14ac:dyDescent="0.25">
      <c r="B69" s="507" t="s">
        <v>236</v>
      </c>
      <c r="C69" s="391">
        <v>0</v>
      </c>
      <c r="D69" s="499">
        <v>2850</v>
      </c>
      <c r="E69" s="531">
        <f t="shared" ref="E69:E80" si="3">C69*D69</f>
        <v>0</v>
      </c>
    </row>
    <row r="70" spans="2:5" x14ac:dyDescent="0.25">
      <c r="B70" s="507" t="s">
        <v>237</v>
      </c>
      <c r="C70" s="391">
        <v>0</v>
      </c>
      <c r="D70" s="499">
        <v>5000</v>
      </c>
      <c r="E70" s="531">
        <f t="shared" si="3"/>
        <v>0</v>
      </c>
    </row>
    <row r="71" spans="2:5" x14ac:dyDescent="0.25">
      <c r="B71" s="507" t="s">
        <v>238</v>
      </c>
      <c r="C71" s="391">
        <v>0</v>
      </c>
      <c r="D71" s="499">
        <v>2840</v>
      </c>
      <c r="E71" s="531">
        <f t="shared" si="3"/>
        <v>0</v>
      </c>
    </row>
    <row r="72" spans="2:5" x14ac:dyDescent="0.25">
      <c r="B72" s="507" t="s">
        <v>250</v>
      </c>
      <c r="C72" s="391">
        <v>0</v>
      </c>
      <c r="D72" s="499">
        <v>2600</v>
      </c>
      <c r="E72" s="531">
        <f t="shared" si="3"/>
        <v>0</v>
      </c>
    </row>
    <row r="73" spans="2:5" x14ac:dyDescent="0.25">
      <c r="B73" s="507" t="s">
        <v>245</v>
      </c>
      <c r="C73" s="495">
        <v>1</v>
      </c>
      <c r="D73" s="499">
        <v>1234590</v>
      </c>
      <c r="E73" s="531">
        <f t="shared" si="3"/>
        <v>1234590</v>
      </c>
    </row>
    <row r="74" spans="2:5" x14ac:dyDescent="0.25">
      <c r="B74" s="507" t="s">
        <v>249</v>
      </c>
      <c r="C74" s="495">
        <v>2</v>
      </c>
      <c r="D74" s="499">
        <v>17500</v>
      </c>
      <c r="E74" s="531">
        <f t="shared" si="3"/>
        <v>35000</v>
      </c>
    </row>
    <row r="75" spans="2:5" x14ac:dyDescent="0.25">
      <c r="B75" s="507" t="s">
        <v>241</v>
      </c>
      <c r="C75" s="495">
        <v>1</v>
      </c>
      <c r="D75" s="499">
        <v>20170</v>
      </c>
      <c r="E75" s="531">
        <f t="shared" si="3"/>
        <v>20170</v>
      </c>
    </row>
    <row r="76" spans="2:5" x14ac:dyDescent="0.25">
      <c r="B76" s="507" t="s">
        <v>247</v>
      </c>
      <c r="C76" s="391">
        <v>0</v>
      </c>
      <c r="D76" s="499">
        <v>4299</v>
      </c>
      <c r="E76" s="531">
        <f t="shared" si="3"/>
        <v>0</v>
      </c>
    </row>
    <row r="77" spans="2:5" x14ac:dyDescent="0.25">
      <c r="B77" s="507" t="s">
        <v>248</v>
      </c>
      <c r="C77" s="391">
        <v>0</v>
      </c>
      <c r="D77" s="499">
        <v>7480</v>
      </c>
      <c r="E77" s="531">
        <f t="shared" si="3"/>
        <v>0</v>
      </c>
    </row>
    <row r="78" spans="2:5" x14ac:dyDescent="0.25">
      <c r="B78" s="507" t="s">
        <v>246</v>
      </c>
      <c r="C78" s="495">
        <v>3</v>
      </c>
      <c r="D78" s="499">
        <v>3200</v>
      </c>
      <c r="E78" s="531">
        <f t="shared" si="3"/>
        <v>9600</v>
      </c>
    </row>
    <row r="79" spans="2:5" x14ac:dyDescent="0.25">
      <c r="B79" s="507" t="s">
        <v>242</v>
      </c>
      <c r="C79" s="495">
        <v>3</v>
      </c>
      <c r="D79" s="499">
        <v>2299</v>
      </c>
      <c r="E79" s="531">
        <f t="shared" si="3"/>
        <v>6897</v>
      </c>
    </row>
    <row r="80" spans="2:5" ht="15.75" thickBot="1" x14ac:dyDescent="0.3">
      <c r="B80" s="521" t="s">
        <v>244</v>
      </c>
      <c r="C80" s="522">
        <v>0</v>
      </c>
      <c r="D80" s="501">
        <v>120000</v>
      </c>
      <c r="E80" s="502">
        <f t="shared" si="3"/>
        <v>0</v>
      </c>
    </row>
    <row r="81" spans="2:5" ht="15.75" thickBot="1" x14ac:dyDescent="0.3">
      <c r="B81" s="943" t="s">
        <v>19</v>
      </c>
      <c r="C81" s="944"/>
      <c r="D81" s="945"/>
      <c r="E81" s="524">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9"/>
  <sheetViews>
    <sheetView zoomScale="80" zoomScaleNormal="80" workbookViewId="0">
      <pane ySplit="1" topLeftCell="A8" activePane="bottomLeft" state="frozen"/>
      <selection pane="bottomLeft" sqref="A1:O1"/>
    </sheetView>
  </sheetViews>
  <sheetFormatPr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703" customFormat="1" ht="58.5" customHeight="1" x14ac:dyDescent="0.25">
      <c r="A1" s="706"/>
      <c r="B1" s="706"/>
      <c r="C1" s="706"/>
      <c r="D1" s="706"/>
      <c r="E1" s="706"/>
      <c r="F1" s="706"/>
      <c r="G1" s="711" t="s">
        <v>9</v>
      </c>
      <c r="H1" s="712"/>
      <c r="I1" s="706"/>
      <c r="J1" s="706"/>
      <c r="K1" s="706"/>
      <c r="L1" s="706"/>
      <c r="M1" s="706"/>
      <c r="N1" s="706"/>
      <c r="O1" s="706"/>
    </row>
    <row r="2" spans="1:15" ht="15.75" thickBot="1" x14ac:dyDescent="0.3"/>
    <row r="3" spans="1:15" ht="27" thickBot="1" x14ac:dyDescent="0.45">
      <c r="B3" s="717" t="s">
        <v>36</v>
      </c>
      <c r="C3" s="718"/>
      <c r="D3" s="719"/>
      <c r="E3" s="45"/>
      <c r="I3" s="717" t="s">
        <v>9</v>
      </c>
      <c r="J3" s="718"/>
      <c r="K3" s="719"/>
    </row>
    <row r="4" spans="1:15" x14ac:dyDescent="0.25">
      <c r="B4" s="40">
        <v>2019</v>
      </c>
      <c r="C4" s="40">
        <v>2020</v>
      </c>
      <c r="D4" s="40">
        <v>2021</v>
      </c>
      <c r="E4" s="292"/>
      <c r="I4" s="503">
        <v>2019</v>
      </c>
      <c r="J4" s="504">
        <v>2020</v>
      </c>
      <c r="K4" s="505">
        <v>2021</v>
      </c>
    </row>
    <row r="5" spans="1:15" ht="15.75" thickBot="1" x14ac:dyDescent="0.3">
      <c r="B5" s="46">
        <f>Hipótesis!$C$24</f>
        <v>0.03</v>
      </c>
      <c r="C5" s="46">
        <f>Hipótesis!$C$25</f>
        <v>0.05</v>
      </c>
      <c r="D5" s="46">
        <f>Hipótesis!$C$26</f>
        <v>0.09</v>
      </c>
      <c r="E5" s="393"/>
      <c r="I5" s="500">
        <f>$K$39</f>
        <v>141277.33333333334</v>
      </c>
      <c r="J5" s="501">
        <f>$L$39</f>
        <v>147660.56666666665</v>
      </c>
      <c r="K5" s="502">
        <f>$M$39</f>
        <v>162884.43333333335</v>
      </c>
    </row>
    <row r="6" spans="1:15" x14ac:dyDescent="0.25">
      <c r="B6" s="39">
        <f>Hipótesis!$D$24</f>
        <v>0</v>
      </c>
      <c r="C6" s="39">
        <f>Hipótesis!D25</f>
        <v>0</v>
      </c>
      <c r="D6" s="39">
        <f>Hipótesis!D26</f>
        <v>0</v>
      </c>
      <c r="E6" s="390"/>
    </row>
    <row r="7" spans="1:15" ht="15.75" thickBot="1" x14ac:dyDescent="0.3"/>
    <row r="8" spans="1:15" ht="27" thickBot="1" x14ac:dyDescent="0.45">
      <c r="B8" s="964" t="s">
        <v>9</v>
      </c>
      <c r="C8" s="965"/>
      <c r="D8" s="965"/>
      <c r="E8" s="965"/>
      <c r="F8" s="965"/>
      <c r="G8" s="965"/>
      <c r="H8" s="965"/>
      <c r="I8" s="965"/>
      <c r="J8" s="965"/>
      <c r="K8" s="965"/>
      <c r="L8" s="965"/>
      <c r="M8" s="966"/>
    </row>
    <row r="9" spans="1:15" x14ac:dyDescent="0.25">
      <c r="B9" s="961" t="s">
        <v>259</v>
      </c>
      <c r="C9" s="962" t="s">
        <v>67</v>
      </c>
      <c r="D9" s="962" t="s">
        <v>63</v>
      </c>
      <c r="E9" s="956" t="s">
        <v>239</v>
      </c>
      <c r="F9" s="954" t="s">
        <v>262</v>
      </c>
      <c r="G9" s="961" t="s">
        <v>263</v>
      </c>
      <c r="H9" s="962"/>
      <c r="I9" s="962"/>
      <c r="J9" s="963"/>
      <c r="K9" s="961" t="s">
        <v>258</v>
      </c>
      <c r="L9" s="962"/>
      <c r="M9" s="963"/>
    </row>
    <row r="10" spans="1:15" ht="15.75" thickBot="1" x14ac:dyDescent="0.3">
      <c r="B10" s="967"/>
      <c r="C10" s="968"/>
      <c r="D10" s="968"/>
      <c r="E10" s="957"/>
      <c r="F10" s="955"/>
      <c r="G10" s="574" t="s">
        <v>260</v>
      </c>
      <c r="H10" s="575" t="s">
        <v>69</v>
      </c>
      <c r="I10" s="575" t="s">
        <v>271</v>
      </c>
      <c r="J10" s="576" t="s">
        <v>272</v>
      </c>
      <c r="K10" s="574" t="s">
        <v>69</v>
      </c>
      <c r="L10" s="575" t="s">
        <v>271</v>
      </c>
      <c r="M10" s="576" t="s">
        <v>272</v>
      </c>
    </row>
    <row r="11" spans="1:15" x14ac:dyDescent="0.25">
      <c r="B11" s="958" t="s">
        <v>267</v>
      </c>
      <c r="C11" s="558" t="s">
        <v>235</v>
      </c>
      <c r="D11" s="559">
        <v>1</v>
      </c>
      <c r="E11" s="560">
        <v>20000</v>
      </c>
      <c r="F11" s="561">
        <v>10</v>
      </c>
      <c r="G11" s="562">
        <f>D11*E11</f>
        <v>20000</v>
      </c>
      <c r="H11" s="563">
        <v>0</v>
      </c>
      <c r="I11" s="563">
        <v>0</v>
      </c>
      <c r="J11" s="564">
        <v>0</v>
      </c>
      <c r="K11" s="565">
        <f>$G$11/$F$11</f>
        <v>2000</v>
      </c>
      <c r="L11" s="569">
        <f>$G$11/$F$11</f>
        <v>2000</v>
      </c>
      <c r="M11" s="566">
        <f>$G$11/$F$11</f>
        <v>2000</v>
      </c>
    </row>
    <row r="12" spans="1:15" x14ac:dyDescent="0.25">
      <c r="B12" s="959"/>
      <c r="C12" s="535" t="s">
        <v>236</v>
      </c>
      <c r="D12" s="391">
        <v>1</v>
      </c>
      <c r="E12" s="499">
        <v>2850</v>
      </c>
      <c r="F12" s="540">
        <v>5</v>
      </c>
      <c r="G12" s="542">
        <f t="shared" ref="G12:G31" si="0">D12*E12</f>
        <v>2850</v>
      </c>
      <c r="H12" s="536">
        <v>0</v>
      </c>
      <c r="I12" s="536">
        <v>0</v>
      </c>
      <c r="J12" s="543">
        <v>0</v>
      </c>
      <c r="K12" s="549">
        <f>$G$12/$F$12</f>
        <v>570</v>
      </c>
      <c r="L12" s="538">
        <f>$G$12/$F$12</f>
        <v>570</v>
      </c>
      <c r="M12" s="550">
        <f>$G$12/$F$12</f>
        <v>570</v>
      </c>
    </row>
    <row r="13" spans="1:15" x14ac:dyDescent="0.25">
      <c r="B13" s="959"/>
      <c r="C13" s="535" t="s">
        <v>236</v>
      </c>
      <c r="D13" s="391">
        <v>1</v>
      </c>
      <c r="E13" s="499">
        <f>E12</f>
        <v>2850</v>
      </c>
      <c r="F13" s="540">
        <v>5</v>
      </c>
      <c r="G13" s="544">
        <v>0</v>
      </c>
      <c r="H13" s="536">
        <v>0</v>
      </c>
      <c r="I13" s="537">
        <f>D13*E13</f>
        <v>2850</v>
      </c>
      <c r="J13" s="543">
        <v>0</v>
      </c>
      <c r="K13" s="551">
        <v>0</v>
      </c>
      <c r="L13" s="539">
        <v>0</v>
      </c>
      <c r="M13" s="550">
        <f>I13/F13</f>
        <v>570</v>
      </c>
    </row>
    <row r="14" spans="1:15" x14ac:dyDescent="0.25">
      <c r="B14" s="959"/>
      <c r="C14" s="535" t="s">
        <v>261</v>
      </c>
      <c r="D14" s="391">
        <v>1</v>
      </c>
      <c r="E14" s="499">
        <v>5000</v>
      </c>
      <c r="F14" s="540">
        <v>5</v>
      </c>
      <c r="G14" s="542">
        <f t="shared" si="0"/>
        <v>5000</v>
      </c>
      <c r="H14" s="536">
        <v>0</v>
      </c>
      <c r="I14" s="536">
        <v>0</v>
      </c>
      <c r="J14" s="543">
        <v>0</v>
      </c>
      <c r="K14" s="549">
        <f>$G$14/$F$14</f>
        <v>1000</v>
      </c>
      <c r="L14" s="538">
        <f>$G$14/$F$14</f>
        <v>1000</v>
      </c>
      <c r="M14" s="550">
        <f>$G$14/$F$14</f>
        <v>1000</v>
      </c>
    </row>
    <row r="15" spans="1:15" x14ac:dyDescent="0.25">
      <c r="B15" s="959"/>
      <c r="C15" s="535" t="s">
        <v>261</v>
      </c>
      <c r="D15" s="391">
        <v>1</v>
      </c>
      <c r="E15" s="499">
        <f>E14</f>
        <v>5000</v>
      </c>
      <c r="F15" s="540">
        <v>5</v>
      </c>
      <c r="G15" s="544">
        <v>0</v>
      </c>
      <c r="H15" s="536">
        <v>0</v>
      </c>
      <c r="I15" s="537">
        <f>D15*E15</f>
        <v>5000</v>
      </c>
      <c r="J15" s="543">
        <v>0</v>
      </c>
      <c r="K15" s="551">
        <v>0</v>
      </c>
      <c r="L15" s="539">
        <v>0</v>
      </c>
      <c r="M15" s="550">
        <f>I15/F15</f>
        <v>1000</v>
      </c>
    </row>
    <row r="16" spans="1:15" x14ac:dyDescent="0.25">
      <c r="B16" s="959"/>
      <c r="C16" s="535" t="s">
        <v>238</v>
      </c>
      <c r="D16" s="391">
        <v>2</v>
      </c>
      <c r="E16" s="499">
        <v>2840</v>
      </c>
      <c r="F16" s="540">
        <v>5</v>
      </c>
      <c r="G16" s="542">
        <f t="shared" si="0"/>
        <v>5680</v>
      </c>
      <c r="H16" s="536">
        <v>0</v>
      </c>
      <c r="I16" s="536">
        <v>0</v>
      </c>
      <c r="J16" s="543">
        <v>0</v>
      </c>
      <c r="K16" s="549">
        <f>$G$16/$F$16</f>
        <v>1136</v>
      </c>
      <c r="L16" s="538">
        <f>$G$16/$F$16</f>
        <v>1136</v>
      </c>
      <c r="M16" s="550">
        <f>$G$16/$F$16</f>
        <v>1136</v>
      </c>
    </row>
    <row r="17" spans="2:13" x14ac:dyDescent="0.25">
      <c r="B17" s="959"/>
      <c r="C17" s="535" t="s">
        <v>238</v>
      </c>
      <c r="D17" s="391">
        <v>1</v>
      </c>
      <c r="E17" s="499">
        <f>E16</f>
        <v>2840</v>
      </c>
      <c r="F17" s="541">
        <v>5</v>
      </c>
      <c r="G17" s="544">
        <v>0</v>
      </c>
      <c r="H17" s="536">
        <v>0</v>
      </c>
      <c r="I17" s="537">
        <f>D17*E17</f>
        <v>2840</v>
      </c>
      <c r="J17" s="543">
        <v>0</v>
      </c>
      <c r="K17" s="551">
        <v>0</v>
      </c>
      <c r="L17" s="539">
        <v>0</v>
      </c>
      <c r="M17" s="550">
        <f>I17/F17</f>
        <v>568</v>
      </c>
    </row>
    <row r="18" spans="2:13" x14ac:dyDescent="0.25">
      <c r="B18" s="959"/>
      <c r="C18" s="535" t="s">
        <v>264</v>
      </c>
      <c r="D18" s="391">
        <v>5</v>
      </c>
      <c r="E18" s="499">
        <v>2600</v>
      </c>
      <c r="F18" s="541">
        <v>5</v>
      </c>
      <c r="G18" s="542">
        <f t="shared" si="0"/>
        <v>13000</v>
      </c>
      <c r="H18" s="536">
        <v>0</v>
      </c>
      <c r="I18" s="536">
        <v>0</v>
      </c>
      <c r="J18" s="543">
        <v>0</v>
      </c>
      <c r="K18" s="549">
        <f>$G$18/$F$18</f>
        <v>2600</v>
      </c>
      <c r="L18" s="538">
        <f>$G$18/$F$18</f>
        <v>2600</v>
      </c>
      <c r="M18" s="550">
        <f>$G$18/$F$18</f>
        <v>2600</v>
      </c>
    </row>
    <row r="19" spans="2:13" ht="15.75" thickBot="1" x14ac:dyDescent="0.3">
      <c r="B19" s="960"/>
      <c r="C19" s="567" t="s">
        <v>264</v>
      </c>
      <c r="D19" s="522">
        <v>5</v>
      </c>
      <c r="E19" s="501">
        <f>E18</f>
        <v>2600</v>
      </c>
      <c r="F19" s="573">
        <v>5</v>
      </c>
      <c r="G19" s="546">
        <v>0</v>
      </c>
      <c r="H19" s="547">
        <v>0</v>
      </c>
      <c r="I19" s="570">
        <f>E19*D19</f>
        <v>13000</v>
      </c>
      <c r="J19" s="571">
        <v>0</v>
      </c>
      <c r="K19" s="553">
        <v>0</v>
      </c>
      <c r="L19" s="554">
        <v>0</v>
      </c>
      <c r="M19" s="572">
        <f>I19/F19</f>
        <v>2600</v>
      </c>
    </row>
    <row r="20" spans="2:13" x14ac:dyDescent="0.25">
      <c r="B20" s="948" t="s">
        <v>268</v>
      </c>
      <c r="C20" s="507" t="s">
        <v>291</v>
      </c>
      <c r="D20" s="559">
        <v>2</v>
      </c>
      <c r="E20" s="499">
        <v>736011</v>
      </c>
      <c r="F20" s="561">
        <v>30</v>
      </c>
      <c r="G20" s="562">
        <f t="shared" si="0"/>
        <v>1472022</v>
      </c>
      <c r="H20" s="563">
        <v>0</v>
      </c>
      <c r="I20" s="563">
        <v>0</v>
      </c>
      <c r="J20" s="564">
        <v>0</v>
      </c>
      <c r="K20" s="565">
        <f>$G$20/$F$20</f>
        <v>49067.4</v>
      </c>
      <c r="L20" s="569">
        <f>$G$20/$F$20</f>
        <v>49067.4</v>
      </c>
      <c r="M20" s="566">
        <f>$G$20/$F$20</f>
        <v>49067.4</v>
      </c>
    </row>
    <row r="21" spans="2:13" ht="15.75" thickBot="1" x14ac:dyDescent="0.3">
      <c r="B21" s="950"/>
      <c r="C21" s="507" t="s">
        <v>291</v>
      </c>
      <c r="D21" s="522">
        <v>1</v>
      </c>
      <c r="E21" s="501">
        <f>E20</f>
        <v>736011</v>
      </c>
      <c r="F21" s="568">
        <v>30</v>
      </c>
      <c r="G21" s="546">
        <v>0</v>
      </c>
      <c r="H21" s="547">
        <v>0</v>
      </c>
      <c r="I21" s="547">
        <v>0</v>
      </c>
      <c r="J21" s="548">
        <f>D21*E21</f>
        <v>736011</v>
      </c>
      <c r="K21" s="553">
        <v>0</v>
      </c>
      <c r="L21" s="554">
        <v>0</v>
      </c>
      <c r="M21" s="555">
        <v>0</v>
      </c>
    </row>
    <row r="22" spans="2:13" x14ac:dyDescent="0.25">
      <c r="B22" s="958" t="s">
        <v>269</v>
      </c>
      <c r="C22" s="558" t="s">
        <v>249</v>
      </c>
      <c r="D22" s="559">
        <v>8</v>
      </c>
      <c r="E22" s="560">
        <v>17500</v>
      </c>
      <c r="F22" s="561">
        <v>3</v>
      </c>
      <c r="G22" s="562">
        <f t="shared" si="0"/>
        <v>140000</v>
      </c>
      <c r="H22" s="563">
        <v>0</v>
      </c>
      <c r="I22" s="563">
        <v>0</v>
      </c>
      <c r="J22" s="564">
        <v>0</v>
      </c>
      <c r="K22" s="565">
        <f>$G$22/$F$22</f>
        <v>46666.666666666664</v>
      </c>
      <c r="L22" s="569">
        <f>$G$22/$F$22</f>
        <v>46666.666666666664</v>
      </c>
      <c r="M22" s="566">
        <f>$G$22/$F$22</f>
        <v>46666.666666666664</v>
      </c>
    </row>
    <row r="23" spans="2:13" x14ac:dyDescent="0.25">
      <c r="B23" s="959"/>
      <c r="C23" s="535" t="s">
        <v>249</v>
      </c>
      <c r="D23" s="391">
        <v>1</v>
      </c>
      <c r="E23" s="499">
        <v>17500</v>
      </c>
      <c r="F23" s="540">
        <v>3</v>
      </c>
      <c r="G23" s="544">
        <v>0</v>
      </c>
      <c r="H23" s="537">
        <f>D23*E23</f>
        <v>17500</v>
      </c>
      <c r="I23" s="536">
        <v>0</v>
      </c>
      <c r="J23" s="543">
        <v>0</v>
      </c>
      <c r="K23" s="551">
        <v>0</v>
      </c>
      <c r="L23" s="538">
        <f>$H$23/$F$23</f>
        <v>5833.333333333333</v>
      </c>
      <c r="M23" s="550">
        <f>$H$23/$F$23</f>
        <v>5833.333333333333</v>
      </c>
    </row>
    <row r="24" spans="2:13" x14ac:dyDescent="0.25">
      <c r="B24" s="959"/>
      <c r="C24" s="535" t="s">
        <v>249</v>
      </c>
      <c r="D24" s="391">
        <v>1</v>
      </c>
      <c r="E24" s="499">
        <v>17500</v>
      </c>
      <c r="F24" s="540">
        <v>3</v>
      </c>
      <c r="G24" s="544">
        <v>0</v>
      </c>
      <c r="H24" s="536">
        <v>0</v>
      </c>
      <c r="I24" s="537">
        <f>D24*E24</f>
        <v>17500</v>
      </c>
      <c r="J24" s="543">
        <v>0</v>
      </c>
      <c r="K24" s="551">
        <v>0</v>
      </c>
      <c r="L24" s="539">
        <v>0</v>
      </c>
      <c r="M24" s="550">
        <f>I24/F24</f>
        <v>5833.333333333333</v>
      </c>
    </row>
    <row r="25" spans="2:13" x14ac:dyDescent="0.25">
      <c r="B25" s="959"/>
      <c r="C25" s="535" t="s">
        <v>249</v>
      </c>
      <c r="D25" s="391">
        <v>2</v>
      </c>
      <c r="E25" s="499">
        <v>17500</v>
      </c>
      <c r="F25" s="540">
        <v>3</v>
      </c>
      <c r="G25" s="544">
        <v>0</v>
      </c>
      <c r="H25" s="536">
        <v>0</v>
      </c>
      <c r="I25" s="536">
        <v>0</v>
      </c>
      <c r="J25" s="545">
        <f>D25*E25</f>
        <v>35000</v>
      </c>
      <c r="K25" s="551">
        <v>0</v>
      </c>
      <c r="L25" s="539">
        <v>0</v>
      </c>
      <c r="M25" s="552">
        <v>0</v>
      </c>
    </row>
    <row r="26" spans="2:13" x14ac:dyDescent="0.25">
      <c r="B26" s="959"/>
      <c r="C26" s="535" t="s">
        <v>255</v>
      </c>
      <c r="D26" s="391">
        <v>2</v>
      </c>
      <c r="E26" s="499">
        <v>20170</v>
      </c>
      <c r="F26" s="540">
        <v>3</v>
      </c>
      <c r="G26" s="542">
        <f t="shared" si="0"/>
        <v>40340</v>
      </c>
      <c r="H26" s="536">
        <v>0</v>
      </c>
      <c r="I26" s="536">
        <v>0</v>
      </c>
      <c r="J26" s="543">
        <v>0</v>
      </c>
      <c r="K26" s="549">
        <f>$G$26/$F$26</f>
        <v>13446.666666666666</v>
      </c>
      <c r="L26" s="538">
        <f>$G$26/$F$26</f>
        <v>13446.666666666666</v>
      </c>
      <c r="M26" s="550">
        <f>$G$26/$F$26</f>
        <v>13446.666666666666</v>
      </c>
    </row>
    <row r="27" spans="2:13" x14ac:dyDescent="0.25">
      <c r="B27" s="959"/>
      <c r="C27" s="535" t="s">
        <v>255</v>
      </c>
      <c r="D27" s="391">
        <v>1</v>
      </c>
      <c r="E27" s="499">
        <v>20170</v>
      </c>
      <c r="F27" s="540">
        <v>3</v>
      </c>
      <c r="G27" s="544">
        <v>0</v>
      </c>
      <c r="H27" s="536">
        <v>0</v>
      </c>
      <c r="I27" s="536">
        <v>0</v>
      </c>
      <c r="J27" s="545">
        <f>D27*E27</f>
        <v>20170</v>
      </c>
      <c r="K27" s="551">
        <v>0</v>
      </c>
      <c r="L27" s="539">
        <v>0</v>
      </c>
      <c r="M27" s="552">
        <v>0</v>
      </c>
    </row>
    <row r="28" spans="2:13" x14ac:dyDescent="0.25">
      <c r="B28" s="959"/>
      <c r="C28" s="535" t="s">
        <v>247</v>
      </c>
      <c r="D28" s="391">
        <v>1</v>
      </c>
      <c r="E28" s="499">
        <v>4299</v>
      </c>
      <c r="F28" s="540">
        <v>3</v>
      </c>
      <c r="G28" s="542">
        <f t="shared" si="0"/>
        <v>4299</v>
      </c>
      <c r="H28" s="536">
        <v>0</v>
      </c>
      <c r="I28" s="536">
        <v>0</v>
      </c>
      <c r="J28" s="543">
        <v>0</v>
      </c>
      <c r="K28" s="549">
        <f>$G$28/$F$28</f>
        <v>1433</v>
      </c>
      <c r="L28" s="538">
        <f>$G$28/$F$28</f>
        <v>1433</v>
      </c>
      <c r="M28" s="550">
        <f>$G$28/$F$28</f>
        <v>1433</v>
      </c>
    </row>
    <row r="29" spans="2:13" x14ac:dyDescent="0.25">
      <c r="B29" s="959"/>
      <c r="C29" s="535" t="s">
        <v>248</v>
      </c>
      <c r="D29" s="391">
        <v>6</v>
      </c>
      <c r="E29" s="499">
        <v>7480</v>
      </c>
      <c r="F29" s="540">
        <v>3</v>
      </c>
      <c r="G29" s="542">
        <f t="shared" si="0"/>
        <v>44880</v>
      </c>
      <c r="H29" s="536">
        <v>0</v>
      </c>
      <c r="I29" s="536">
        <v>0</v>
      </c>
      <c r="J29" s="543">
        <v>0</v>
      </c>
      <c r="K29" s="549">
        <f>$G$29/$F$29</f>
        <v>14960</v>
      </c>
      <c r="L29" s="538">
        <f>$G$29/$F$29</f>
        <v>14960</v>
      </c>
      <c r="M29" s="550">
        <f>$G$29/$F$29</f>
        <v>14960</v>
      </c>
    </row>
    <row r="30" spans="2:13" ht="15.75" thickBot="1" x14ac:dyDescent="0.3">
      <c r="B30" s="960"/>
      <c r="C30" s="567" t="s">
        <v>248</v>
      </c>
      <c r="D30" s="522">
        <v>1</v>
      </c>
      <c r="E30" s="501">
        <v>7480</v>
      </c>
      <c r="F30" s="568">
        <v>3</v>
      </c>
      <c r="G30" s="546">
        <v>0</v>
      </c>
      <c r="H30" s="547">
        <v>0</v>
      </c>
      <c r="I30" s="570">
        <f>D30*E30</f>
        <v>7480</v>
      </c>
      <c r="J30" s="571">
        <v>0</v>
      </c>
      <c r="K30" s="553">
        <v>0</v>
      </c>
      <c r="L30" s="554">
        <v>0</v>
      </c>
      <c r="M30" s="572">
        <f>I30/F30</f>
        <v>2493.3333333333335</v>
      </c>
    </row>
    <row r="31" spans="2:13" x14ac:dyDescent="0.25">
      <c r="B31" s="948" t="s">
        <v>270</v>
      </c>
      <c r="C31" s="558" t="s">
        <v>246</v>
      </c>
      <c r="D31" s="559">
        <v>9</v>
      </c>
      <c r="E31" s="560">
        <v>3200</v>
      </c>
      <c r="F31" s="561">
        <v>10</v>
      </c>
      <c r="G31" s="562">
        <f t="shared" si="0"/>
        <v>28800</v>
      </c>
      <c r="H31" s="563">
        <v>0</v>
      </c>
      <c r="I31" s="563">
        <v>0</v>
      </c>
      <c r="J31" s="564">
        <v>0</v>
      </c>
      <c r="K31" s="565">
        <f>$G$31/$F$31</f>
        <v>2880</v>
      </c>
      <c r="L31" s="569">
        <f>$G$31/$F$31</f>
        <v>2880</v>
      </c>
      <c r="M31" s="566">
        <f>$G$31/$F$31</f>
        <v>2880</v>
      </c>
    </row>
    <row r="32" spans="2:13" x14ac:dyDescent="0.25">
      <c r="B32" s="949"/>
      <c r="C32" s="535" t="s">
        <v>246</v>
      </c>
      <c r="D32" s="391">
        <v>1</v>
      </c>
      <c r="E32" s="499">
        <v>3200</v>
      </c>
      <c r="F32" s="540">
        <v>10</v>
      </c>
      <c r="G32" s="544">
        <v>0</v>
      </c>
      <c r="H32" s="537">
        <f>D32*E32</f>
        <v>3200</v>
      </c>
      <c r="I32" s="536">
        <v>0</v>
      </c>
      <c r="J32" s="543">
        <v>0</v>
      </c>
      <c r="K32" s="551">
        <v>0</v>
      </c>
      <c r="L32" s="538">
        <f>$H$32/$F$32</f>
        <v>320</v>
      </c>
      <c r="M32" s="550">
        <f>$H$32/$F$32</f>
        <v>320</v>
      </c>
    </row>
    <row r="33" spans="2:13" x14ac:dyDescent="0.25">
      <c r="B33" s="949"/>
      <c r="C33" s="535" t="s">
        <v>246</v>
      </c>
      <c r="D33" s="391">
        <v>1</v>
      </c>
      <c r="E33" s="499">
        <v>3200</v>
      </c>
      <c r="F33" s="540">
        <v>10</v>
      </c>
      <c r="G33" s="544">
        <v>0</v>
      </c>
      <c r="H33" s="536">
        <v>0</v>
      </c>
      <c r="I33" s="537">
        <f>D33*E33</f>
        <v>3200</v>
      </c>
      <c r="J33" s="543">
        <v>0</v>
      </c>
      <c r="K33" s="551">
        <v>0</v>
      </c>
      <c r="L33" s="539">
        <v>0</v>
      </c>
      <c r="M33" s="550">
        <f>I33/F33</f>
        <v>320</v>
      </c>
    </row>
    <row r="34" spans="2:13" x14ac:dyDescent="0.25">
      <c r="B34" s="949"/>
      <c r="C34" s="535" t="s">
        <v>246</v>
      </c>
      <c r="D34" s="391">
        <v>3</v>
      </c>
      <c r="E34" s="499">
        <v>3200</v>
      </c>
      <c r="F34" s="540">
        <v>10</v>
      </c>
      <c r="G34" s="544">
        <v>0</v>
      </c>
      <c r="H34" s="536">
        <v>0</v>
      </c>
      <c r="I34" s="536">
        <v>0</v>
      </c>
      <c r="J34" s="545">
        <f>D34*E34</f>
        <v>9600</v>
      </c>
      <c r="K34" s="551">
        <v>0</v>
      </c>
      <c r="L34" s="539">
        <v>0</v>
      </c>
      <c r="M34" s="552">
        <v>0</v>
      </c>
    </row>
    <row r="35" spans="2:13" x14ac:dyDescent="0.25">
      <c r="B35" s="949"/>
      <c r="C35" s="535" t="s">
        <v>254</v>
      </c>
      <c r="D35" s="391">
        <v>24</v>
      </c>
      <c r="E35" s="499">
        <v>2299</v>
      </c>
      <c r="F35" s="540">
        <v>10</v>
      </c>
      <c r="G35" s="542">
        <f>D35*E35</f>
        <v>55176</v>
      </c>
      <c r="H35" s="536">
        <v>0</v>
      </c>
      <c r="I35" s="536">
        <v>0</v>
      </c>
      <c r="J35" s="543">
        <v>0</v>
      </c>
      <c r="K35" s="549">
        <f>$G$35/$F$35</f>
        <v>5517.6</v>
      </c>
      <c r="L35" s="538">
        <f>$G$35/$F$35</f>
        <v>5517.6</v>
      </c>
      <c r="M35" s="550">
        <f>$G$35/$F$35</f>
        <v>5517.6</v>
      </c>
    </row>
    <row r="36" spans="2:13" x14ac:dyDescent="0.25">
      <c r="B36" s="949"/>
      <c r="C36" s="535" t="s">
        <v>254</v>
      </c>
      <c r="D36" s="533">
        <v>1</v>
      </c>
      <c r="E36" s="499">
        <v>2299</v>
      </c>
      <c r="F36" s="540">
        <v>10</v>
      </c>
      <c r="G36" s="544">
        <v>0</v>
      </c>
      <c r="H36" s="537">
        <f>D36*E36</f>
        <v>2299</v>
      </c>
      <c r="I36" s="536">
        <v>0</v>
      </c>
      <c r="J36" s="543">
        <v>0</v>
      </c>
      <c r="K36" s="551">
        <v>0</v>
      </c>
      <c r="L36" s="538">
        <f>$H$36/$F$36</f>
        <v>229.9</v>
      </c>
      <c r="M36" s="550">
        <f>$H$36/$F$36</f>
        <v>229.9</v>
      </c>
    </row>
    <row r="37" spans="2:13" x14ac:dyDescent="0.25">
      <c r="B37" s="949"/>
      <c r="C37" s="535" t="s">
        <v>254</v>
      </c>
      <c r="D37" s="533">
        <v>8</v>
      </c>
      <c r="E37" s="499">
        <v>2299</v>
      </c>
      <c r="F37" s="540">
        <v>10</v>
      </c>
      <c r="G37" s="544">
        <v>0</v>
      </c>
      <c r="H37" s="536">
        <v>0</v>
      </c>
      <c r="I37" s="537">
        <f>D37*E37</f>
        <v>18392</v>
      </c>
      <c r="J37" s="543">
        <v>0</v>
      </c>
      <c r="K37" s="551">
        <v>0</v>
      </c>
      <c r="L37" s="539">
        <v>0</v>
      </c>
      <c r="M37" s="550">
        <f>I37/F37</f>
        <v>1839.2</v>
      </c>
    </row>
    <row r="38" spans="2:13" ht="15.75" thickBot="1" x14ac:dyDescent="0.3">
      <c r="B38" s="950"/>
      <c r="C38" s="567" t="s">
        <v>254</v>
      </c>
      <c r="D38" s="522">
        <v>3</v>
      </c>
      <c r="E38" s="501">
        <v>2299</v>
      </c>
      <c r="F38" s="568">
        <v>10</v>
      </c>
      <c r="G38" s="546">
        <v>0</v>
      </c>
      <c r="H38" s="547">
        <v>0</v>
      </c>
      <c r="I38" s="547">
        <v>0</v>
      </c>
      <c r="J38" s="548">
        <f>D38*E38</f>
        <v>6897</v>
      </c>
      <c r="K38" s="553">
        <v>0</v>
      </c>
      <c r="L38" s="554">
        <v>0</v>
      </c>
      <c r="M38" s="555">
        <v>0</v>
      </c>
    </row>
    <row r="39" spans="2:13" ht="16.5" thickBot="1" x14ac:dyDescent="0.3">
      <c r="B39" s="951" t="s">
        <v>224</v>
      </c>
      <c r="C39" s="952"/>
      <c r="D39" s="952"/>
      <c r="E39" s="952"/>
      <c r="F39" s="952"/>
      <c r="G39" s="952"/>
      <c r="H39" s="952"/>
      <c r="I39" s="952"/>
      <c r="J39" s="953"/>
      <c r="K39" s="577">
        <f>SUM(K11:K38)</f>
        <v>141277.33333333334</v>
      </c>
      <c r="L39" s="556">
        <f>SUM(L11:L38)</f>
        <v>147660.56666666665</v>
      </c>
      <c r="M39" s="557">
        <f>SUM(M11:M38)</f>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80" zoomScaleNormal="80" workbookViewId="0">
      <pane ySplit="1" topLeftCell="A9" activePane="bottomLeft" state="frozen"/>
      <selection pane="bottomLeft" activeCell="J33" sqref="J33"/>
    </sheetView>
  </sheetViews>
  <sheetFormatPr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2" width="14" style="1" bestFit="1" customWidth="1"/>
    <col min="13" max="13" width="30.140625" style="1" customWidth="1"/>
    <col min="14" max="16384" width="11.42578125" style="1"/>
  </cols>
  <sheetData>
    <row r="1" spans="1:15" s="703" customFormat="1" ht="58.5" customHeight="1" x14ac:dyDescent="0.25">
      <c r="A1" s="706"/>
      <c r="B1" s="706"/>
      <c r="C1" s="706"/>
      <c r="D1" s="706"/>
      <c r="E1" s="711" t="s">
        <v>13</v>
      </c>
      <c r="F1" s="712"/>
      <c r="G1" s="712"/>
      <c r="H1" s="706"/>
      <c r="I1" s="706"/>
      <c r="J1" s="706"/>
      <c r="K1" s="706"/>
      <c r="L1" s="706"/>
      <c r="M1" s="706"/>
      <c r="N1" s="706"/>
      <c r="O1" s="706"/>
    </row>
    <row r="2" spans="1:15" ht="15.75" thickBot="1" x14ac:dyDescent="0.3"/>
    <row r="3" spans="1:15" ht="27" thickBot="1" x14ac:dyDescent="0.45">
      <c r="H3" s="303"/>
      <c r="K3" s="717" t="s">
        <v>36</v>
      </c>
      <c r="L3" s="718"/>
      <c r="M3" s="719"/>
    </row>
    <row r="4" spans="1:15" x14ac:dyDescent="0.25">
      <c r="H4" s="292"/>
      <c r="K4" s="40">
        <v>2019</v>
      </c>
      <c r="L4" s="40">
        <v>2020</v>
      </c>
      <c r="M4" s="40">
        <v>2021</v>
      </c>
    </row>
    <row r="5" spans="1:15" x14ac:dyDescent="0.25">
      <c r="H5" s="390"/>
      <c r="K5" s="46">
        <f>Hipótesis!$C$24</f>
        <v>0.03</v>
      </c>
      <c r="L5" s="46">
        <f>Hipótesis!$C$25</f>
        <v>0.05</v>
      </c>
      <c r="M5" s="46">
        <f>Hipótesis!$C$26</f>
        <v>0.09</v>
      </c>
    </row>
    <row r="6" spans="1:15" x14ac:dyDescent="0.25">
      <c r="H6" s="133"/>
      <c r="K6" s="39">
        <f>Hipótesis!$D$24</f>
        <v>0</v>
      </c>
      <c r="L6" s="39">
        <f>Hipótesis!$D$25</f>
        <v>0</v>
      </c>
      <c r="M6" s="39">
        <f>Hipótesis!$D$26</f>
        <v>0</v>
      </c>
    </row>
    <row r="7" spans="1:15" ht="15.75" thickBot="1" x14ac:dyDescent="0.3">
      <c r="H7" s="133"/>
    </row>
    <row r="8" spans="1:15" ht="27" thickBot="1" x14ac:dyDescent="0.45">
      <c r="H8" s="303"/>
      <c r="K8" s="717" t="s">
        <v>308</v>
      </c>
      <c r="L8" s="718"/>
      <c r="M8" s="719"/>
    </row>
    <row r="9" spans="1:15" ht="15.75" thickBot="1" x14ac:dyDescent="0.3">
      <c r="H9" s="292"/>
      <c r="K9" s="125">
        <v>2019</v>
      </c>
      <c r="L9" s="40">
        <v>2020</v>
      </c>
      <c r="M9" s="126">
        <v>2021</v>
      </c>
    </row>
    <row r="10" spans="1:15" ht="27" thickBot="1" x14ac:dyDescent="0.45">
      <c r="B10" s="744" t="s">
        <v>13</v>
      </c>
      <c r="C10" s="745"/>
      <c r="D10" s="745"/>
      <c r="E10" s="745"/>
      <c r="F10" s="745"/>
      <c r="G10" s="746"/>
      <c r="H10" s="390"/>
      <c r="J10" s="628" t="s">
        <v>273</v>
      </c>
      <c r="K10" s="633">
        <f>'Costos fijos'!$G$5</f>
        <v>2343935.7000000002</v>
      </c>
      <c r="L10" s="39">
        <f>'Costos fijos'!$H$5</f>
        <v>2614351.9749999996</v>
      </c>
      <c r="M10" s="634">
        <f>'Costos fijos'!$I$5</f>
        <v>2971977.4835000001</v>
      </c>
    </row>
    <row r="11" spans="1:15" ht="15.75" thickBot="1" x14ac:dyDescent="0.3">
      <c r="B11" s="979" t="s">
        <v>286</v>
      </c>
      <c r="C11" s="980"/>
      <c r="D11" s="581" t="s">
        <v>287</v>
      </c>
      <c r="E11" s="582">
        <v>2019</v>
      </c>
      <c r="F11" s="582">
        <v>2020</v>
      </c>
      <c r="G11" s="583">
        <v>2021</v>
      </c>
      <c r="H11" s="133"/>
      <c r="J11" s="628" t="s">
        <v>228</v>
      </c>
      <c r="K11" s="633">
        <f>'Costos variables'!$H$6</f>
        <v>11364349.35</v>
      </c>
      <c r="L11" s="39">
        <f>'Costos variables'!$I$6</f>
        <v>17694195.824999999</v>
      </c>
      <c r="M11" s="634">
        <f>'Costos variables'!$J$6</f>
        <v>29793383.600000001</v>
      </c>
    </row>
    <row r="12" spans="1:15" ht="15.75" thickBot="1" x14ac:dyDescent="0.3">
      <c r="B12" s="973" t="s">
        <v>41</v>
      </c>
      <c r="C12" s="974"/>
      <c r="D12" s="534" t="s">
        <v>274</v>
      </c>
      <c r="E12" s="506">
        <f>+'Mod. ingresos'!C30</f>
        <v>19687650</v>
      </c>
      <c r="F12" s="506">
        <f>+'Mod. ingresos'!D30</f>
        <v>32812150</v>
      </c>
      <c r="G12" s="506">
        <f>+'Mod. ingresos'!E30</f>
        <v>59062500</v>
      </c>
      <c r="J12" s="628" t="s">
        <v>229</v>
      </c>
      <c r="K12" s="129">
        <f>'Costos RRHH'!$H$6</f>
        <v>7341662.4450000012</v>
      </c>
      <c r="L12" s="130">
        <f>'Costos RRHH'!$I$6</f>
        <v>8446303.9266666677</v>
      </c>
      <c r="M12" s="131">
        <f>'Costos RRHH'!$J$6</f>
        <v>10262133.115833335</v>
      </c>
    </row>
    <row r="13" spans="1:15" ht="15.75" thickBot="1" x14ac:dyDescent="0.3">
      <c r="B13" s="975" t="s">
        <v>275</v>
      </c>
      <c r="C13" s="579" t="s">
        <v>273</v>
      </c>
      <c r="D13" s="578" t="s">
        <v>274</v>
      </c>
      <c r="E13" s="499">
        <f t="shared" ref="E13:G15" si="0">K10</f>
        <v>2343935.7000000002</v>
      </c>
      <c r="F13" s="499">
        <f t="shared" si="0"/>
        <v>2614351.9749999996</v>
      </c>
      <c r="G13" s="531">
        <f t="shared" si="0"/>
        <v>2971977.4835000001</v>
      </c>
    </row>
    <row r="14" spans="1:15" ht="27" thickBot="1" x14ac:dyDescent="0.45">
      <c r="B14" s="975"/>
      <c r="C14" s="579" t="s">
        <v>228</v>
      </c>
      <c r="D14" s="578" t="s">
        <v>274</v>
      </c>
      <c r="E14" s="499">
        <f t="shared" si="0"/>
        <v>11364349.35</v>
      </c>
      <c r="F14" s="499">
        <f t="shared" si="0"/>
        <v>17694195.824999999</v>
      </c>
      <c r="G14" s="499">
        <f t="shared" si="0"/>
        <v>29793383.600000001</v>
      </c>
      <c r="K14" s="717" t="s">
        <v>9</v>
      </c>
      <c r="L14" s="718"/>
      <c r="M14" s="719"/>
    </row>
    <row r="15" spans="1:15" ht="15.75" thickBot="1" x14ac:dyDescent="0.3">
      <c r="B15" s="976"/>
      <c r="C15" s="584" t="s">
        <v>229</v>
      </c>
      <c r="D15" s="585" t="s">
        <v>274</v>
      </c>
      <c r="E15" s="525">
        <f t="shared" si="0"/>
        <v>7341662.4450000012</v>
      </c>
      <c r="F15" s="525">
        <f t="shared" si="0"/>
        <v>8446303.9266666677</v>
      </c>
      <c r="G15" s="525">
        <f t="shared" si="0"/>
        <v>10262133.115833335</v>
      </c>
      <c r="K15" s="503">
        <v>2019</v>
      </c>
      <c r="L15" s="504">
        <v>2020</v>
      </c>
      <c r="M15" s="505">
        <v>2021</v>
      </c>
    </row>
    <row r="16" spans="1:15" ht="15.75" thickBot="1" x14ac:dyDescent="0.3">
      <c r="B16" s="969" t="s">
        <v>276</v>
      </c>
      <c r="C16" s="970"/>
      <c r="D16" s="586" t="s">
        <v>274</v>
      </c>
      <c r="E16" s="587">
        <f>E12-E13-E14-E15</f>
        <v>-1362297.4950000001</v>
      </c>
      <c r="F16" s="587">
        <f>F12-F13-F14-F15</f>
        <v>4057298.2733333316</v>
      </c>
      <c r="G16" s="588">
        <f>G12-G13-G14-G15</f>
        <v>16035005.80066666</v>
      </c>
      <c r="K16" s="500">
        <f>Amortizaciones!$I$5</f>
        <v>141277.33333333334</v>
      </c>
      <c r="L16" s="501">
        <f>Amortizaciones!$J$5</f>
        <v>147660.56666666665</v>
      </c>
      <c r="M16" s="502">
        <f>Amortizaciones!$K$5</f>
        <v>162884.43333333335</v>
      </c>
    </row>
    <row r="17" spans="2:13" ht="15.75" thickBot="1" x14ac:dyDescent="0.3">
      <c r="B17" s="983" t="s">
        <v>277</v>
      </c>
      <c r="C17" s="984"/>
      <c r="D17" s="534" t="s">
        <v>274</v>
      </c>
      <c r="E17" s="506">
        <f>E12*0.03</f>
        <v>590629.5</v>
      </c>
      <c r="F17" s="506">
        <f>F12*0.03</f>
        <v>984364.5</v>
      </c>
      <c r="G17" s="580">
        <f>G12*0.03</f>
        <v>1771875</v>
      </c>
    </row>
    <row r="18" spans="2:13" ht="27" thickBot="1" x14ac:dyDescent="0.45">
      <c r="B18" s="977" t="s">
        <v>278</v>
      </c>
      <c r="C18" s="978"/>
      <c r="D18" s="578"/>
      <c r="E18" s="499">
        <f>E16-E17-K16</f>
        <v>-2094204.3283333334</v>
      </c>
      <c r="F18" s="499">
        <f>F16-F17-L16</f>
        <v>2925273.2066666652</v>
      </c>
      <c r="G18" s="531">
        <f>G16-G17-M16</f>
        <v>14100246.367333326</v>
      </c>
      <c r="J18" s="717" t="s">
        <v>232</v>
      </c>
      <c r="K18" s="718"/>
      <c r="L18" s="718"/>
      <c r="M18" s="719"/>
    </row>
    <row r="19" spans="2:13" ht="15.75" thickBot="1" x14ac:dyDescent="0.3">
      <c r="B19" s="985" t="s">
        <v>279</v>
      </c>
      <c r="C19" s="986"/>
      <c r="D19" s="585" t="s">
        <v>274</v>
      </c>
      <c r="E19" s="525">
        <v>0</v>
      </c>
      <c r="F19" s="525">
        <v>0</v>
      </c>
      <c r="G19" s="532">
        <f>F18*0.35</f>
        <v>1023845.6223333328</v>
      </c>
      <c r="J19" s="503" t="s">
        <v>233</v>
      </c>
      <c r="K19" s="504">
        <v>2019</v>
      </c>
      <c r="L19" s="504">
        <v>2020</v>
      </c>
      <c r="M19" s="505">
        <v>2021</v>
      </c>
    </row>
    <row r="20" spans="2:13" ht="15.75" thickBot="1" x14ac:dyDescent="0.3">
      <c r="B20" s="969" t="s">
        <v>280</v>
      </c>
      <c r="C20" s="970"/>
      <c r="D20" s="586" t="s">
        <v>274</v>
      </c>
      <c r="E20" s="587">
        <f>E16-E17-E19</f>
        <v>-1952926.9950000001</v>
      </c>
      <c r="F20" s="587">
        <f>F16-F17-F19</f>
        <v>3072933.7733333316</v>
      </c>
      <c r="G20" s="588">
        <f>G16-G17-G19</f>
        <v>13239285.178333327</v>
      </c>
      <c r="J20" s="500">
        <f>'Mod. inversión'!$G$5</f>
        <v>2297572</v>
      </c>
      <c r="K20" s="501">
        <f>'Mod. inversión'!$H$5</f>
        <v>22999</v>
      </c>
      <c r="L20" s="501">
        <f>'Mod. inversión'!$I$5</f>
        <v>70262</v>
      </c>
      <c r="M20" s="502">
        <f>'Mod. inversión'!$J$5</f>
        <v>1306257</v>
      </c>
    </row>
    <row r="21" spans="2:13" ht="15.75" thickBot="1" x14ac:dyDescent="0.3">
      <c r="B21" s="981" t="s">
        <v>281</v>
      </c>
      <c r="C21" s="982"/>
      <c r="D21" s="589">
        <f>-J20</f>
        <v>-2297572</v>
      </c>
      <c r="E21" s="590">
        <f>-K20</f>
        <v>-22999</v>
      </c>
      <c r="F21" s="590">
        <f>-L20</f>
        <v>-70262</v>
      </c>
      <c r="G21" s="591">
        <f>-M20</f>
        <v>-1306257</v>
      </c>
    </row>
    <row r="22" spans="2:13" ht="15.75" thickBot="1" x14ac:dyDescent="0.3">
      <c r="B22" s="971" t="s">
        <v>282</v>
      </c>
      <c r="C22" s="972"/>
      <c r="D22" s="598">
        <f>D21</f>
        <v>-2297572</v>
      </c>
      <c r="E22" s="587">
        <f>E20+E21</f>
        <v>-1975925.9950000001</v>
      </c>
      <c r="F22" s="587">
        <f>F20+F21</f>
        <v>3002671.7733333316</v>
      </c>
      <c r="G22" s="588">
        <f>G20+G21</f>
        <v>11933028.178333327</v>
      </c>
    </row>
    <row r="25" spans="2:13" ht="15.75" thickBot="1" x14ac:dyDescent="0.3"/>
    <row r="26" spans="2:13" x14ac:dyDescent="0.25">
      <c r="F26" s="594" t="s">
        <v>283</v>
      </c>
      <c r="G26" s="715">
        <v>0.7</v>
      </c>
    </row>
    <row r="27" spans="2:13" x14ac:dyDescent="0.25">
      <c r="F27" s="595" t="s">
        <v>284</v>
      </c>
      <c r="G27" s="596">
        <f>NPV(G26,D22:G22)</f>
        <v>4690.177494282013</v>
      </c>
    </row>
    <row r="28" spans="2:13" ht="15.75" thickBot="1" x14ac:dyDescent="0.3">
      <c r="F28" s="597" t="s">
        <v>285</v>
      </c>
      <c r="G28" s="716">
        <f>IRR(D22:G22,G26)</f>
        <v>0.70165578900676562</v>
      </c>
    </row>
    <row r="31" spans="2:13" ht="0.6" customHeight="1" x14ac:dyDescent="0.25">
      <c r="I31" s="599"/>
    </row>
    <row r="32" spans="2:13" x14ac:dyDescent="0.25">
      <c r="I32" s="599"/>
    </row>
    <row r="36" spans="4:9" x14ac:dyDescent="0.25">
      <c r="D36" s="48"/>
      <c r="E36" s="48"/>
      <c r="F36" s="48"/>
      <c r="G36" s="48"/>
      <c r="I36" s="49"/>
    </row>
    <row r="37" spans="4:9" x14ac:dyDescent="0.25">
      <c r="I37" s="49"/>
    </row>
    <row r="38" spans="4:9" x14ac:dyDescent="0.25">
      <c r="H38" s="593"/>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703" customFormat="1" ht="58.5" customHeight="1" x14ac:dyDescent="0.25">
      <c r="A1" s="706"/>
      <c r="B1" s="706"/>
      <c r="C1" s="706"/>
      <c r="D1" s="711" t="s">
        <v>11</v>
      </c>
      <c r="E1" s="706"/>
      <c r="F1" s="706"/>
      <c r="G1" s="712"/>
      <c r="H1" s="712"/>
      <c r="I1" s="706"/>
      <c r="J1" s="706"/>
      <c r="K1" s="706"/>
      <c r="L1" s="706"/>
      <c r="M1" s="706"/>
      <c r="N1" s="706"/>
    </row>
    <row r="3" spans="1:14" ht="15.75" thickBot="1" x14ac:dyDescent="0.3"/>
    <row r="4" spans="1:14" ht="27" thickBot="1" x14ac:dyDescent="0.45">
      <c r="B4" s="747" t="s">
        <v>11</v>
      </c>
      <c r="C4" s="748"/>
      <c r="D4" s="748"/>
      <c r="E4" s="748"/>
      <c r="F4" s="748"/>
      <c r="G4" s="749"/>
    </row>
    <row r="5" spans="1:14" ht="15.75" thickBot="1" x14ac:dyDescent="0.3">
      <c r="B5" s="661" t="s">
        <v>306</v>
      </c>
      <c r="C5" s="662" t="s">
        <v>292</v>
      </c>
      <c r="D5" s="662" t="s">
        <v>293</v>
      </c>
      <c r="E5" s="662" t="s">
        <v>294</v>
      </c>
      <c r="F5" s="663" t="s">
        <v>295</v>
      </c>
      <c r="G5" s="664" t="s">
        <v>296</v>
      </c>
      <c r="H5"/>
    </row>
    <row r="6" spans="1:14" ht="60" customHeight="1" thickBot="1" x14ac:dyDescent="0.3">
      <c r="B6" s="668">
        <v>1</v>
      </c>
      <c r="C6" s="685" t="s">
        <v>347</v>
      </c>
      <c r="D6" s="679" t="s">
        <v>348</v>
      </c>
      <c r="E6" s="679" t="s">
        <v>349</v>
      </c>
      <c r="F6" s="680" t="s">
        <v>298</v>
      </c>
      <c r="G6" s="681" t="s">
        <v>297</v>
      </c>
      <c r="H6" s="657"/>
    </row>
    <row r="7" spans="1:14" ht="61.5" customHeight="1" thickBot="1" x14ac:dyDescent="0.3">
      <c r="B7" s="671">
        <v>2</v>
      </c>
      <c r="C7" s="682" t="s">
        <v>314</v>
      </c>
      <c r="D7" s="625" t="s">
        <v>307</v>
      </c>
      <c r="E7" s="625" t="s">
        <v>313</v>
      </c>
      <c r="F7" s="683" t="s">
        <v>301</v>
      </c>
      <c r="G7" s="684" t="s">
        <v>297</v>
      </c>
      <c r="H7" s="657"/>
    </row>
    <row r="8" spans="1:14" ht="57.75" customHeight="1" thickBot="1" x14ac:dyDescent="0.3">
      <c r="B8" s="677">
        <v>3</v>
      </c>
      <c r="C8" s="678" t="s">
        <v>339</v>
      </c>
      <c r="D8" s="679" t="s">
        <v>338</v>
      </c>
      <c r="E8" s="679" t="s">
        <v>342</v>
      </c>
      <c r="F8" s="680" t="s">
        <v>301</v>
      </c>
      <c r="G8" s="681" t="s">
        <v>297</v>
      </c>
      <c r="H8" s="657"/>
    </row>
    <row r="9" spans="1:14" ht="33" customHeight="1" x14ac:dyDescent="0.25">
      <c r="B9" s="676">
        <v>4</v>
      </c>
      <c r="C9" s="665" t="s">
        <v>315</v>
      </c>
      <c r="D9" s="602" t="s">
        <v>317</v>
      </c>
      <c r="E9" s="602" t="s">
        <v>316</v>
      </c>
      <c r="F9" s="659" t="s">
        <v>298</v>
      </c>
      <c r="G9" s="660" t="s">
        <v>302</v>
      </c>
      <c r="H9" s="133"/>
    </row>
    <row r="10" spans="1:14" ht="30" x14ac:dyDescent="0.25">
      <c r="B10" s="669">
        <v>5</v>
      </c>
      <c r="C10" s="666" t="s">
        <v>303</v>
      </c>
      <c r="D10" s="600" t="s">
        <v>345</v>
      </c>
      <c r="E10" s="600" t="s">
        <v>304</v>
      </c>
      <c r="F10" s="312" t="s">
        <v>298</v>
      </c>
      <c r="G10" s="323" t="s">
        <v>302</v>
      </c>
      <c r="H10" s="133"/>
    </row>
    <row r="11" spans="1:14" ht="30" x14ac:dyDescent="0.25">
      <c r="B11" s="669">
        <v>6</v>
      </c>
      <c r="C11" s="666" t="s">
        <v>318</v>
      </c>
      <c r="D11" s="601" t="s">
        <v>346</v>
      </c>
      <c r="E11" s="601" t="s">
        <v>319</v>
      </c>
      <c r="F11" s="312" t="s">
        <v>298</v>
      </c>
      <c r="G11" s="323" t="s">
        <v>300</v>
      </c>
      <c r="H11" s="133"/>
    </row>
    <row r="12" spans="1:14" x14ac:dyDescent="0.25">
      <c r="B12" s="669">
        <v>7</v>
      </c>
      <c r="C12" s="666" t="s">
        <v>320</v>
      </c>
      <c r="D12" s="601"/>
      <c r="E12" s="601"/>
      <c r="F12" s="312" t="s">
        <v>301</v>
      </c>
      <c r="G12" s="323" t="s">
        <v>300</v>
      </c>
      <c r="H12" s="133"/>
    </row>
    <row r="13" spans="1:14" x14ac:dyDescent="0.25">
      <c r="B13" s="669">
        <v>8</v>
      </c>
      <c r="C13" s="666" t="s">
        <v>321</v>
      </c>
      <c r="D13" s="600"/>
      <c r="E13" s="600"/>
      <c r="F13" s="312" t="s">
        <v>301</v>
      </c>
      <c r="G13" s="323" t="s">
        <v>302</v>
      </c>
      <c r="H13" s="133"/>
    </row>
    <row r="14" spans="1:14" ht="15.75" thickBot="1" x14ac:dyDescent="0.3">
      <c r="B14" s="671">
        <v>9</v>
      </c>
      <c r="C14" s="672" t="s">
        <v>322</v>
      </c>
      <c r="D14" s="673"/>
      <c r="E14" s="673"/>
      <c r="F14" s="674" t="s">
        <v>301</v>
      </c>
      <c r="G14" s="675" t="s">
        <v>300</v>
      </c>
      <c r="H14" s="133"/>
    </row>
    <row r="15" spans="1:14" ht="68.25" customHeight="1" thickBot="1" x14ac:dyDescent="0.3">
      <c r="B15" s="677">
        <v>10</v>
      </c>
      <c r="C15" s="678" t="s">
        <v>335</v>
      </c>
      <c r="D15" s="679"/>
      <c r="E15" s="679"/>
      <c r="F15" s="680" t="s">
        <v>298</v>
      </c>
      <c r="G15" s="681" t="s">
        <v>297</v>
      </c>
      <c r="H15" s="657"/>
    </row>
    <row r="16" spans="1:14" x14ac:dyDescent="0.25">
      <c r="B16" s="676">
        <v>11</v>
      </c>
      <c r="C16" s="665" t="s">
        <v>323</v>
      </c>
      <c r="D16" s="602"/>
      <c r="E16" s="602"/>
      <c r="F16" s="659" t="s">
        <v>298</v>
      </c>
      <c r="G16" s="660" t="s">
        <v>302</v>
      </c>
      <c r="H16" s="133"/>
    </row>
    <row r="17" spans="2:8" x14ac:dyDescent="0.25">
      <c r="B17" s="669">
        <v>12</v>
      </c>
      <c r="C17" s="666" t="s">
        <v>324</v>
      </c>
      <c r="D17" s="600"/>
      <c r="E17" s="600"/>
      <c r="F17" s="312" t="s">
        <v>301</v>
      </c>
      <c r="G17" s="323" t="s">
        <v>302</v>
      </c>
      <c r="H17" s="133"/>
    </row>
    <row r="18" spans="2:8" ht="54.75" customHeight="1" x14ac:dyDescent="0.25">
      <c r="B18" s="669">
        <v>13</v>
      </c>
      <c r="C18" s="666" t="s">
        <v>325</v>
      </c>
      <c r="D18" s="600"/>
      <c r="E18" s="600"/>
      <c r="F18" s="312" t="s">
        <v>301</v>
      </c>
      <c r="G18" s="323" t="s">
        <v>297</v>
      </c>
      <c r="H18" s="133"/>
    </row>
    <row r="19" spans="2:8" x14ac:dyDescent="0.25">
      <c r="B19" s="669">
        <v>14</v>
      </c>
      <c r="C19" s="666" t="s">
        <v>327</v>
      </c>
      <c r="D19" s="600"/>
      <c r="E19" s="600"/>
      <c r="F19" s="312" t="s">
        <v>298</v>
      </c>
      <c r="G19" s="323" t="s">
        <v>297</v>
      </c>
      <c r="H19" s="657"/>
    </row>
    <row r="20" spans="2:8" ht="15.75" thickBot="1" x14ac:dyDescent="0.3">
      <c r="B20" s="670">
        <v>15</v>
      </c>
      <c r="C20" s="667" t="s">
        <v>326</v>
      </c>
      <c r="D20" s="658"/>
      <c r="E20" s="658"/>
      <c r="F20" s="314" t="s">
        <v>298</v>
      </c>
      <c r="G20" s="324" t="s">
        <v>298</v>
      </c>
      <c r="H20" s="133"/>
    </row>
    <row r="21" spans="2:8" x14ac:dyDescent="0.25">
      <c r="H21" s="133"/>
    </row>
    <row r="22" spans="2:8" x14ac:dyDescent="0.25">
      <c r="H22" s="133"/>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85" zoomScaleNormal="85" workbookViewId="0">
      <pane ySplit="1" topLeftCell="A9" activePane="bottomLeft" state="frozen"/>
      <selection pane="bottomLeft" activeCell="A24" sqref="A24"/>
    </sheetView>
  </sheetViews>
  <sheetFormatPr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703" customFormat="1" ht="58.5" customHeight="1" x14ac:dyDescent="0.25">
      <c r="A1" s="706"/>
      <c r="B1" s="706"/>
      <c r="C1" s="706"/>
      <c r="D1" s="706"/>
      <c r="E1" s="706"/>
      <c r="F1" s="706"/>
      <c r="G1" s="987" t="s">
        <v>329</v>
      </c>
      <c r="H1" s="988"/>
      <c r="I1" s="988"/>
      <c r="J1" s="706"/>
      <c r="K1" s="706"/>
      <c r="L1" s="706"/>
      <c r="M1" s="706"/>
      <c r="N1" s="706"/>
    </row>
    <row r="2" spans="1:38" ht="20.25" customHeight="1" thickBot="1" x14ac:dyDescent="0.3">
      <c r="G2" s="636"/>
      <c r="H2" s="637"/>
      <c r="I2" s="637"/>
    </row>
    <row r="3" spans="1:38" ht="15.75" thickBot="1" x14ac:dyDescent="0.3">
      <c r="B3" s="638"/>
      <c r="C3" s="639"/>
      <c r="D3" s="639"/>
      <c r="E3" s="639"/>
      <c r="F3" s="639"/>
      <c r="G3" s="639"/>
      <c r="H3" s="639"/>
      <c r="I3" s="639"/>
      <c r="J3" s="639"/>
      <c r="K3" s="639"/>
      <c r="L3" s="640"/>
    </row>
    <row r="4" spans="1:38" ht="15.75" thickBot="1" x14ac:dyDescent="0.3">
      <c r="B4" s="641"/>
      <c r="C4" s="999" t="s">
        <v>328</v>
      </c>
      <c r="D4" s="1000"/>
      <c r="E4" s="1000"/>
      <c r="F4" s="1000"/>
      <c r="G4" s="1000"/>
      <c r="H4" s="1000"/>
      <c r="I4" s="1000"/>
      <c r="J4" s="1000"/>
      <c r="K4" s="1001"/>
      <c r="L4" s="642"/>
      <c r="M4" s="330"/>
      <c r="N4" s="330"/>
      <c r="O4" s="330"/>
      <c r="P4" s="330"/>
      <c r="Q4" s="330"/>
      <c r="R4" s="330"/>
      <c r="S4" s="330"/>
      <c r="T4" s="330"/>
      <c r="U4" s="330"/>
      <c r="V4" s="330"/>
      <c r="W4" s="330"/>
      <c r="X4" s="330"/>
      <c r="Y4" s="330"/>
      <c r="Z4" s="330"/>
      <c r="AA4" s="330"/>
      <c r="AB4" s="330"/>
      <c r="AC4" s="330"/>
      <c r="AD4" s="330"/>
      <c r="AE4" s="330"/>
      <c r="AF4" s="330"/>
      <c r="AG4" s="330"/>
      <c r="AH4" s="330"/>
      <c r="AI4" s="330"/>
      <c r="AJ4" s="330"/>
      <c r="AK4" s="330"/>
      <c r="AL4" s="330"/>
    </row>
    <row r="5" spans="1:38" ht="15.75" thickBot="1" x14ac:dyDescent="0.3">
      <c r="B5" s="641"/>
      <c r="C5" s="643"/>
      <c r="D5" s="643"/>
      <c r="E5" s="643"/>
      <c r="F5" s="643"/>
      <c r="G5" s="643"/>
      <c r="H5" s="643"/>
      <c r="I5" s="643"/>
      <c r="J5" s="643"/>
      <c r="K5" s="643"/>
      <c r="L5" s="642"/>
      <c r="M5" s="330"/>
      <c r="N5" s="330"/>
      <c r="O5" s="330"/>
      <c r="P5" s="330"/>
      <c r="Q5" s="330"/>
      <c r="R5" s="330"/>
      <c r="S5" s="330"/>
      <c r="T5" s="330"/>
      <c r="U5" s="330"/>
      <c r="V5" s="330"/>
      <c r="W5" s="330"/>
      <c r="X5" s="330"/>
      <c r="Y5" s="330"/>
      <c r="Z5" s="330"/>
      <c r="AA5" s="330"/>
      <c r="AB5" s="330"/>
      <c r="AC5" s="330"/>
      <c r="AD5" s="330"/>
      <c r="AE5" s="330"/>
      <c r="AF5" s="330"/>
      <c r="AG5" s="330"/>
      <c r="AH5" s="330"/>
      <c r="AI5" s="330"/>
      <c r="AJ5" s="330"/>
      <c r="AK5" s="330"/>
      <c r="AL5" s="330"/>
    </row>
    <row r="6" spans="1:38" ht="30.75" thickBot="1" x14ac:dyDescent="0.3">
      <c r="B6" s="641"/>
      <c r="C6" s="133"/>
      <c r="D6" s="133"/>
      <c r="E6" s="133"/>
      <c r="F6" s="615" t="s">
        <v>36</v>
      </c>
      <c r="G6" s="607"/>
      <c r="H6" s="608"/>
      <c r="I6" s="643"/>
      <c r="J6" s="643"/>
      <c r="K6" s="359" t="s">
        <v>340</v>
      </c>
      <c r="L6" s="642"/>
      <c r="M6" s="330"/>
      <c r="N6" s="330"/>
      <c r="O6" s="330"/>
      <c r="P6" s="330"/>
      <c r="Q6" s="330"/>
      <c r="R6" s="330"/>
      <c r="S6" s="330"/>
      <c r="T6" s="330"/>
      <c r="U6" s="330"/>
      <c r="V6" s="330"/>
      <c r="W6" s="330"/>
      <c r="X6" s="330"/>
      <c r="Y6" s="330"/>
      <c r="Z6" s="330"/>
      <c r="AA6" s="330"/>
      <c r="AB6" s="330"/>
      <c r="AC6" s="330"/>
      <c r="AD6" s="330"/>
      <c r="AE6" s="330"/>
      <c r="AF6" s="330"/>
      <c r="AG6" s="330"/>
      <c r="AH6" s="330"/>
      <c r="AI6" s="330"/>
      <c r="AJ6" s="330"/>
      <c r="AK6" s="330"/>
      <c r="AL6" s="330"/>
    </row>
    <row r="7" spans="1:38" x14ac:dyDescent="0.25">
      <c r="B7" s="641"/>
      <c r="E7" s="133"/>
      <c r="F7" s="614">
        <v>2019</v>
      </c>
      <c r="G7" s="614">
        <v>2020</v>
      </c>
      <c r="H7" s="614">
        <v>2021</v>
      </c>
      <c r="I7" s="643"/>
      <c r="J7" s="643"/>
      <c r="K7" s="995" t="s">
        <v>335</v>
      </c>
      <c r="L7" s="642"/>
      <c r="M7" s="330"/>
      <c r="N7" s="330"/>
      <c r="O7" s="330"/>
      <c r="P7" s="330"/>
      <c r="Q7" s="330"/>
      <c r="R7" s="330"/>
      <c r="S7" s="330"/>
      <c r="T7" s="330"/>
      <c r="U7" s="330"/>
      <c r="V7" s="330"/>
      <c r="W7" s="330"/>
      <c r="X7" s="330"/>
      <c r="Y7" s="330"/>
      <c r="Z7" s="330"/>
      <c r="AA7" s="330"/>
      <c r="AB7" s="330"/>
      <c r="AC7" s="330"/>
      <c r="AD7" s="330"/>
      <c r="AE7" s="330"/>
      <c r="AF7" s="330"/>
      <c r="AG7" s="330"/>
      <c r="AH7" s="330"/>
      <c r="AI7" s="330"/>
      <c r="AJ7" s="330"/>
      <c r="AK7" s="330"/>
      <c r="AL7" s="330"/>
    </row>
    <row r="8" spans="1:38" x14ac:dyDescent="0.25">
      <c r="B8" s="641"/>
      <c r="E8" s="133"/>
      <c r="F8" s="609">
        <f>'Presupuesto financiero'!K5</f>
        <v>0.03</v>
      </c>
      <c r="G8" s="609">
        <f>'Presupuesto financiero'!L5</f>
        <v>0.05</v>
      </c>
      <c r="H8" s="609">
        <f>'Presupuesto financiero'!M5</f>
        <v>0.09</v>
      </c>
      <c r="I8" s="643"/>
      <c r="J8" s="643"/>
      <c r="K8" s="996"/>
      <c r="L8" s="642"/>
      <c r="M8" s="330"/>
      <c r="N8" s="330"/>
      <c r="O8" s="330"/>
      <c r="P8" s="330"/>
      <c r="Q8" s="330"/>
      <c r="R8" s="330"/>
      <c r="S8" s="330"/>
      <c r="T8" s="330"/>
      <c r="U8" s="330"/>
      <c r="V8" s="330"/>
      <c r="W8" s="330"/>
      <c r="X8" s="330"/>
      <c r="Y8" s="330"/>
      <c r="Z8" s="330"/>
      <c r="AA8" s="330"/>
      <c r="AB8" s="330"/>
      <c r="AC8" s="330"/>
      <c r="AD8" s="330"/>
      <c r="AE8" s="330"/>
      <c r="AF8" s="330"/>
      <c r="AG8" s="330"/>
      <c r="AH8" s="330"/>
      <c r="AI8" s="330"/>
      <c r="AJ8" s="330"/>
      <c r="AK8" s="330"/>
      <c r="AL8" s="330"/>
    </row>
    <row r="9" spans="1:38" ht="15.75" thickBot="1" x14ac:dyDescent="0.3">
      <c r="B9" s="641"/>
      <c r="E9" s="620" t="s">
        <v>336</v>
      </c>
      <c r="F9" s="631">
        <f>Hipótesis!$D$24</f>
        <v>0</v>
      </c>
      <c r="G9" s="631">
        <f>Hipótesis!$D$25</f>
        <v>0</v>
      </c>
      <c r="H9" s="631">
        <f>Hipótesis!$D$26</f>
        <v>0</v>
      </c>
      <c r="I9" s="643"/>
      <c r="J9" s="643"/>
      <c r="K9" s="997"/>
      <c r="L9" s="642"/>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row>
    <row r="10" spans="1:38" ht="15.75" thickBot="1" x14ac:dyDescent="0.3">
      <c r="B10" s="641"/>
      <c r="C10" s="133"/>
      <c r="D10" s="133"/>
      <c r="E10" s="620" t="s">
        <v>273</v>
      </c>
      <c r="F10" s="610">
        <f>'Presupuesto financiero'!K10</f>
        <v>2343935.7000000002</v>
      </c>
      <c r="G10" s="610">
        <f>'Presupuesto financiero'!L10</f>
        <v>2614351.9749999996</v>
      </c>
      <c r="H10" s="610">
        <f>'Presupuesto financiero'!M10</f>
        <v>2971977.4835000001</v>
      </c>
      <c r="I10" s="643"/>
      <c r="J10" s="643"/>
      <c r="K10" s="359" t="s">
        <v>293</v>
      </c>
      <c r="L10" s="642"/>
      <c r="M10" s="330"/>
      <c r="N10" s="330"/>
      <c r="O10" s="330"/>
      <c r="P10" s="330"/>
      <c r="Q10" s="330"/>
      <c r="R10" s="330"/>
      <c r="S10" s="330"/>
      <c r="T10" s="330"/>
      <c r="U10" s="330"/>
      <c r="V10" s="330"/>
      <c r="W10" s="330"/>
      <c r="X10" s="330"/>
      <c r="Y10" s="330"/>
      <c r="Z10" s="330"/>
      <c r="AA10" s="330"/>
      <c r="AB10" s="330"/>
      <c r="AC10" s="330"/>
      <c r="AD10" s="330"/>
      <c r="AE10" s="330"/>
      <c r="AF10" s="330"/>
      <c r="AG10" s="330"/>
      <c r="AH10" s="330"/>
      <c r="AI10" s="330"/>
      <c r="AJ10" s="330"/>
      <c r="AK10" s="330"/>
      <c r="AL10" s="330"/>
    </row>
    <row r="11" spans="1:38" x14ac:dyDescent="0.25">
      <c r="B11" s="641"/>
      <c r="C11" s="133"/>
      <c r="D11" s="133"/>
      <c r="E11" s="620" t="s">
        <v>228</v>
      </c>
      <c r="F11" s="610">
        <f>'Presupuesto financiero'!K11</f>
        <v>11364349.35</v>
      </c>
      <c r="G11" s="610">
        <f>'Presupuesto financiero'!L11</f>
        <v>17694195.824999999</v>
      </c>
      <c r="H11" s="610">
        <f>'Presupuesto financiero'!M11</f>
        <v>29793383.600000001</v>
      </c>
      <c r="I11" s="643"/>
      <c r="J11" s="643"/>
      <c r="K11" s="998"/>
      <c r="L11" s="642"/>
      <c r="M11" s="330"/>
      <c r="N11" s="330"/>
      <c r="O11" s="330"/>
      <c r="P11" s="330"/>
      <c r="Q11" s="330"/>
      <c r="R11" s="330"/>
      <c r="S11" s="330"/>
      <c r="T11" s="330"/>
      <c r="U11" s="330"/>
      <c r="V11" s="330"/>
      <c r="W11" s="330"/>
      <c r="X11" s="330"/>
      <c r="Y11" s="330"/>
      <c r="Z11" s="330"/>
      <c r="AA11" s="330"/>
      <c r="AB11" s="330"/>
      <c r="AC11" s="330"/>
      <c r="AD11" s="330"/>
      <c r="AE11" s="330"/>
      <c r="AF11" s="330"/>
      <c r="AG11" s="330"/>
      <c r="AH11" s="330"/>
      <c r="AI11" s="330"/>
      <c r="AJ11" s="330"/>
      <c r="AK11" s="330"/>
      <c r="AL11" s="330"/>
    </row>
    <row r="12" spans="1:38" x14ac:dyDescent="0.25">
      <c r="B12" s="641"/>
      <c r="C12" s="133"/>
      <c r="D12" s="133"/>
      <c r="E12" s="620" t="s">
        <v>334</v>
      </c>
      <c r="F12" s="610">
        <f>'Presupuesto financiero'!K12</f>
        <v>7341662.4450000012</v>
      </c>
      <c r="G12" s="610">
        <f>'Presupuesto financiero'!L12</f>
        <v>8446303.9266666677</v>
      </c>
      <c r="H12" s="610">
        <f>'Presupuesto financiero'!M12</f>
        <v>10262133.115833335</v>
      </c>
      <c r="I12" s="643"/>
      <c r="J12" s="643"/>
      <c r="K12" s="996"/>
      <c r="L12" s="642"/>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0"/>
      <c r="AJ12" s="330"/>
      <c r="AK12" s="330"/>
      <c r="AL12" s="330"/>
    </row>
    <row r="13" spans="1:38" ht="15.75" thickBot="1" x14ac:dyDescent="0.3">
      <c r="B13" s="641"/>
      <c r="C13" s="133"/>
      <c r="D13" s="133"/>
      <c r="E13" s="133"/>
      <c r="F13" s="133"/>
      <c r="G13" s="133"/>
      <c r="H13" s="133"/>
      <c r="I13" s="643"/>
      <c r="J13" s="643"/>
      <c r="K13" s="997"/>
      <c r="L13" s="642"/>
      <c r="M13" s="330"/>
      <c r="N13" s="330"/>
      <c r="O13" s="330"/>
      <c r="P13" s="330"/>
      <c r="Q13" s="330"/>
      <c r="R13" s="330"/>
      <c r="S13" s="330"/>
      <c r="T13" s="330"/>
      <c r="U13" s="330"/>
      <c r="V13" s="330"/>
      <c r="W13" s="330"/>
      <c r="X13" s="330"/>
      <c r="Y13" s="330"/>
      <c r="Z13" s="330"/>
      <c r="AA13" s="330"/>
      <c r="AB13" s="330"/>
      <c r="AC13" s="330"/>
      <c r="AD13" s="330"/>
      <c r="AE13" s="330"/>
      <c r="AF13" s="330"/>
      <c r="AG13" s="330"/>
      <c r="AH13" s="330"/>
      <c r="AI13" s="330"/>
      <c r="AJ13" s="330"/>
      <c r="AK13" s="330"/>
      <c r="AL13" s="330"/>
    </row>
    <row r="14" spans="1:38" ht="16.5" customHeight="1" thickBot="1" x14ac:dyDescent="0.3">
      <c r="B14" s="641"/>
      <c r="C14" s="1002" t="s">
        <v>351</v>
      </c>
      <c r="D14" s="1003"/>
      <c r="E14" s="133"/>
      <c r="F14" s="630" t="s">
        <v>258</v>
      </c>
      <c r="G14" s="607"/>
      <c r="H14" s="608"/>
      <c r="I14" s="643"/>
      <c r="J14" s="643"/>
      <c r="K14" s="359" t="s">
        <v>294</v>
      </c>
      <c r="L14" s="642"/>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330"/>
      <c r="AJ14" s="330"/>
      <c r="AK14" s="330"/>
      <c r="AL14" s="330"/>
    </row>
    <row r="15" spans="1:38" ht="15.75" customHeight="1" x14ac:dyDescent="0.25">
      <c r="B15" s="641"/>
      <c r="C15" s="989">
        <v>2021</v>
      </c>
      <c r="D15" s="990"/>
      <c r="E15" s="133"/>
      <c r="F15" s="394">
        <v>2019</v>
      </c>
      <c r="G15" s="394">
        <v>2020</v>
      </c>
      <c r="H15" s="394">
        <v>2021</v>
      </c>
      <c r="I15" s="643"/>
      <c r="J15" s="643"/>
      <c r="K15" s="1004" t="s">
        <v>350</v>
      </c>
      <c r="L15" s="642"/>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0"/>
      <c r="AJ15" s="330"/>
      <c r="AK15" s="330"/>
      <c r="AL15" s="330"/>
    </row>
    <row r="16" spans="1:38" ht="15.75" thickBot="1" x14ac:dyDescent="0.3">
      <c r="B16" s="641"/>
      <c r="C16" s="991">
        <v>0.8</v>
      </c>
      <c r="D16" s="992"/>
      <c r="E16" s="632"/>
      <c r="F16" s="610">
        <f>'Presupuesto financiero'!K16</f>
        <v>141277.33333333334</v>
      </c>
      <c r="G16" s="610">
        <f>'Presupuesto financiero'!L16</f>
        <v>147660.56666666665</v>
      </c>
      <c r="H16" s="610">
        <f>'Presupuesto financiero'!M16</f>
        <v>162884.43333333335</v>
      </c>
      <c r="I16" s="643"/>
      <c r="J16" s="643"/>
      <c r="K16" s="1005"/>
      <c r="L16" s="642"/>
      <c r="M16" s="330"/>
      <c r="N16" s="330"/>
      <c r="O16" s="330"/>
      <c r="P16" s="330"/>
      <c r="Q16" s="330"/>
      <c r="R16" s="330"/>
      <c r="S16" s="330"/>
      <c r="T16" s="330"/>
      <c r="U16" s="330"/>
      <c r="V16" s="330"/>
      <c r="W16" s="330"/>
      <c r="X16" s="330"/>
      <c r="Y16" s="330"/>
      <c r="Z16" s="330"/>
      <c r="AA16" s="330"/>
      <c r="AB16" s="330"/>
      <c r="AC16" s="330"/>
      <c r="AD16" s="330"/>
      <c r="AE16" s="330"/>
      <c r="AF16" s="330"/>
      <c r="AG16" s="330"/>
      <c r="AH16" s="330"/>
      <c r="AI16" s="330"/>
      <c r="AJ16" s="330"/>
      <c r="AK16" s="330"/>
      <c r="AL16" s="330"/>
    </row>
    <row r="17" spans="2:38" x14ac:dyDescent="0.25">
      <c r="B17" s="641"/>
      <c r="C17" s="133"/>
      <c r="D17" s="133"/>
      <c r="E17" s="632"/>
      <c r="F17" s="48"/>
      <c r="G17" s="48"/>
      <c r="H17" s="48"/>
      <c r="I17" s="643"/>
      <c r="J17" s="643"/>
      <c r="K17" s="643"/>
      <c r="L17" s="642"/>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330"/>
      <c r="AJ17" s="330"/>
      <c r="AK17" s="330"/>
      <c r="AL17" s="330"/>
    </row>
    <row r="18" spans="2:38" x14ac:dyDescent="0.25">
      <c r="B18" s="641"/>
      <c r="C18" s="133"/>
      <c r="D18" s="133"/>
      <c r="E18" s="630" t="s">
        <v>232</v>
      </c>
      <c r="F18" s="607"/>
      <c r="G18" s="607"/>
      <c r="H18" s="608"/>
      <c r="I18" s="643"/>
      <c r="J18" s="643"/>
      <c r="K18" s="643"/>
      <c r="L18" s="642"/>
      <c r="M18" s="330"/>
      <c r="N18" s="330"/>
      <c r="O18" s="330"/>
      <c r="P18" s="330"/>
      <c r="Q18" s="330"/>
      <c r="R18" s="330"/>
      <c r="S18" s="330"/>
      <c r="T18" s="330"/>
      <c r="U18" s="330"/>
      <c r="V18" s="330"/>
      <c r="W18" s="330"/>
      <c r="X18" s="330"/>
      <c r="Y18" s="330"/>
      <c r="Z18" s="330"/>
      <c r="AA18" s="330"/>
      <c r="AB18" s="330"/>
      <c r="AC18" s="330"/>
      <c r="AD18" s="330"/>
      <c r="AE18" s="330"/>
      <c r="AF18" s="330"/>
      <c r="AG18" s="330"/>
      <c r="AH18" s="330"/>
      <c r="AI18" s="330"/>
      <c r="AJ18" s="330"/>
      <c r="AK18" s="330"/>
      <c r="AL18" s="330"/>
    </row>
    <row r="19" spans="2:38" x14ac:dyDescent="0.25">
      <c r="B19" s="641"/>
      <c r="C19" s="133"/>
      <c r="D19" s="133"/>
      <c r="E19" s="614" t="s">
        <v>233</v>
      </c>
      <c r="F19" s="614">
        <v>2019</v>
      </c>
      <c r="G19" s="614">
        <v>2020</v>
      </c>
      <c r="H19" s="614">
        <v>2021</v>
      </c>
      <c r="I19" s="643"/>
      <c r="J19" s="643"/>
      <c r="K19" s="643"/>
      <c r="L19" s="642"/>
      <c r="M19" s="330"/>
      <c r="N19" s="330"/>
      <c r="O19" s="330"/>
      <c r="P19" s="330"/>
      <c r="Q19" s="330"/>
      <c r="R19" s="330"/>
      <c r="S19" s="330"/>
      <c r="T19" s="330"/>
      <c r="U19" s="330"/>
      <c r="V19" s="330"/>
      <c r="W19" s="330"/>
      <c r="X19" s="330"/>
      <c r="Y19" s="330"/>
      <c r="Z19" s="330"/>
      <c r="AA19" s="330"/>
      <c r="AB19" s="330"/>
      <c r="AC19" s="330"/>
      <c r="AD19" s="330"/>
      <c r="AE19" s="330"/>
      <c r="AF19" s="330"/>
      <c r="AG19" s="330"/>
      <c r="AH19" s="330"/>
      <c r="AI19" s="330"/>
      <c r="AJ19" s="330"/>
      <c r="AK19" s="330"/>
      <c r="AL19" s="330"/>
    </row>
    <row r="20" spans="2:38" x14ac:dyDescent="0.25">
      <c r="B20" s="641"/>
      <c r="C20" s="133"/>
      <c r="D20" s="133"/>
      <c r="E20" s="610">
        <f>'Presupuesto financiero'!J20</f>
        <v>2297572</v>
      </c>
      <c r="F20" s="610">
        <f>'Presupuesto financiero'!K20</f>
        <v>22999</v>
      </c>
      <c r="G20" s="610">
        <f>'Presupuesto financiero'!L20</f>
        <v>70262</v>
      </c>
      <c r="H20" s="610">
        <f>'Presupuesto financiero'!M20</f>
        <v>1306257</v>
      </c>
      <c r="I20" s="643"/>
      <c r="J20" s="643"/>
      <c r="K20" s="643"/>
      <c r="L20" s="642"/>
      <c r="M20" s="330"/>
      <c r="N20" s="330"/>
      <c r="O20" s="330"/>
      <c r="P20" s="330"/>
      <c r="Q20" s="330"/>
      <c r="R20" s="330"/>
      <c r="S20" s="330"/>
      <c r="T20" s="330"/>
      <c r="U20" s="330"/>
      <c r="V20" s="330"/>
      <c r="W20" s="330"/>
      <c r="X20" s="330"/>
      <c r="Y20" s="330"/>
      <c r="Z20" s="330"/>
      <c r="AA20" s="330"/>
      <c r="AB20" s="330"/>
      <c r="AC20" s="330"/>
      <c r="AD20" s="330"/>
      <c r="AE20" s="330"/>
      <c r="AF20" s="330"/>
      <c r="AG20" s="330"/>
      <c r="AH20" s="330"/>
      <c r="AI20" s="330"/>
      <c r="AJ20" s="330"/>
      <c r="AK20" s="330"/>
      <c r="AL20" s="330"/>
    </row>
    <row r="21" spans="2:38" x14ac:dyDescent="0.25">
      <c r="B21" s="641"/>
      <c r="C21" s="133"/>
      <c r="D21" s="133"/>
      <c r="E21" s="133"/>
      <c r="F21" s="133"/>
      <c r="G21" s="133"/>
      <c r="H21" s="133"/>
      <c r="I21" s="643"/>
      <c r="J21" s="643"/>
      <c r="K21" s="643"/>
      <c r="L21" s="642"/>
      <c r="M21" s="330"/>
      <c r="N21" s="330"/>
      <c r="O21" s="330"/>
      <c r="P21" s="330"/>
      <c r="Q21" s="330"/>
      <c r="R21" s="330"/>
      <c r="S21" s="330"/>
      <c r="T21" s="330"/>
      <c r="U21" s="330"/>
      <c r="V21" s="330"/>
      <c r="W21" s="330"/>
      <c r="X21" s="330"/>
      <c r="Y21" s="330"/>
      <c r="Z21" s="330"/>
      <c r="AA21" s="330"/>
      <c r="AB21" s="330"/>
      <c r="AC21" s="330"/>
      <c r="AD21" s="330"/>
      <c r="AE21" s="330"/>
      <c r="AF21" s="330"/>
      <c r="AG21" s="330"/>
      <c r="AH21" s="330"/>
      <c r="AI21" s="330"/>
      <c r="AJ21" s="330"/>
      <c r="AK21" s="330"/>
      <c r="AL21" s="330"/>
    </row>
    <row r="22" spans="2:38" x14ac:dyDescent="0.25">
      <c r="B22" s="641"/>
      <c r="C22" s="133"/>
      <c r="D22" s="133"/>
      <c r="E22" s="617" t="s">
        <v>287</v>
      </c>
      <c r="F22" s="617">
        <v>2019</v>
      </c>
      <c r="G22" s="617">
        <v>2020</v>
      </c>
      <c r="H22" s="617">
        <v>2021</v>
      </c>
      <c r="I22" s="643"/>
      <c r="J22" s="643"/>
      <c r="K22" s="643"/>
      <c r="L22" s="642"/>
      <c r="M22" s="330"/>
      <c r="N22" s="330"/>
      <c r="O22" s="330"/>
      <c r="P22" s="330"/>
      <c r="Q22" s="330"/>
      <c r="R22" s="330"/>
      <c r="S22" s="330"/>
      <c r="T22" s="330"/>
      <c r="U22" s="330"/>
      <c r="V22" s="330"/>
      <c r="W22" s="330"/>
      <c r="X22" s="330"/>
      <c r="Y22" s="330"/>
      <c r="Z22" s="330"/>
      <c r="AA22" s="330"/>
      <c r="AB22" s="330"/>
      <c r="AC22" s="330"/>
      <c r="AD22" s="330"/>
      <c r="AE22" s="330"/>
      <c r="AF22" s="330"/>
      <c r="AG22" s="330"/>
      <c r="AH22" s="330"/>
      <c r="AI22" s="330"/>
      <c r="AJ22" s="330"/>
      <c r="AK22" s="330"/>
      <c r="AL22" s="330"/>
    </row>
    <row r="23" spans="2:38" x14ac:dyDescent="0.25">
      <c r="B23" s="641"/>
      <c r="C23" s="618" t="s">
        <v>41</v>
      </c>
      <c r="D23" s="619"/>
      <c r="E23" s="623" t="s">
        <v>274</v>
      </c>
      <c r="F23" s="624">
        <f t="shared" ref="F23:G26" si="0">F9</f>
        <v>0</v>
      </c>
      <c r="G23" s="624">
        <f t="shared" si="0"/>
        <v>0</v>
      </c>
      <c r="H23" s="686">
        <f>H9*$C$16</f>
        <v>0</v>
      </c>
      <c r="I23" s="643"/>
      <c r="J23" s="643"/>
      <c r="K23" s="643"/>
      <c r="L23" s="642"/>
      <c r="M23" s="330"/>
      <c r="N23" s="330"/>
      <c r="O23" s="330"/>
      <c r="P23" s="330"/>
      <c r="Q23" s="330"/>
      <c r="R23" s="330"/>
      <c r="S23" s="330"/>
      <c r="T23" s="330"/>
      <c r="U23" s="330"/>
      <c r="V23" s="330"/>
      <c r="W23" s="330"/>
      <c r="X23" s="330"/>
      <c r="Y23" s="330"/>
      <c r="Z23" s="330"/>
      <c r="AA23" s="330"/>
      <c r="AB23" s="330"/>
      <c r="AC23" s="330"/>
      <c r="AD23" s="330"/>
      <c r="AE23" s="330"/>
      <c r="AF23" s="330"/>
      <c r="AG23" s="330"/>
      <c r="AH23" s="330"/>
      <c r="AI23" s="330"/>
      <c r="AJ23" s="330"/>
      <c r="AK23" s="330"/>
      <c r="AL23" s="330"/>
    </row>
    <row r="24" spans="2:38" x14ac:dyDescent="0.25">
      <c r="B24" s="641"/>
      <c r="C24" s="1006" t="s">
        <v>275</v>
      </c>
      <c r="D24" s="620" t="s">
        <v>331</v>
      </c>
      <c r="E24" s="623" t="s">
        <v>274</v>
      </c>
      <c r="F24" s="624">
        <f t="shared" si="0"/>
        <v>2343935.7000000002</v>
      </c>
      <c r="G24" s="624">
        <f t="shared" si="0"/>
        <v>2614351.9749999996</v>
      </c>
      <c r="H24" s="624">
        <f>H10</f>
        <v>2971977.4835000001</v>
      </c>
      <c r="I24" s="643"/>
      <c r="J24" s="643"/>
      <c r="K24" s="643"/>
      <c r="L24" s="642"/>
      <c r="M24" s="330"/>
      <c r="N24" s="330"/>
      <c r="O24" s="330"/>
      <c r="P24" s="330"/>
      <c r="Q24" s="330"/>
      <c r="R24" s="330"/>
      <c r="S24" s="330"/>
      <c r="T24" s="330"/>
      <c r="U24" s="330"/>
      <c r="V24" s="330"/>
      <c r="W24" s="330"/>
      <c r="X24" s="330"/>
      <c r="Y24" s="330"/>
      <c r="Z24" s="330"/>
      <c r="AA24" s="330"/>
      <c r="AB24" s="330"/>
      <c r="AC24" s="330"/>
      <c r="AD24" s="330"/>
      <c r="AE24" s="330"/>
      <c r="AF24" s="330"/>
      <c r="AG24" s="330"/>
      <c r="AH24" s="330"/>
      <c r="AI24" s="330"/>
      <c r="AJ24" s="330"/>
      <c r="AK24" s="330"/>
      <c r="AL24" s="330"/>
    </row>
    <row r="25" spans="2:38" x14ac:dyDescent="0.25">
      <c r="B25" s="641"/>
      <c r="C25" s="1007"/>
      <c r="D25" s="620" t="s">
        <v>332</v>
      </c>
      <c r="E25" s="623" t="s">
        <v>274</v>
      </c>
      <c r="F25" s="624">
        <f t="shared" si="0"/>
        <v>11364349.35</v>
      </c>
      <c r="G25" s="624">
        <f t="shared" si="0"/>
        <v>17694195.824999999</v>
      </c>
      <c r="H25" s="686">
        <f>H11*C16</f>
        <v>23834706.880000003</v>
      </c>
      <c r="I25" s="643"/>
      <c r="J25" s="643"/>
      <c r="K25" s="643"/>
      <c r="L25" s="642"/>
      <c r="M25" s="330"/>
      <c r="N25" s="330"/>
      <c r="O25" s="330"/>
      <c r="P25" s="330"/>
      <c r="Q25" s="330"/>
      <c r="R25" s="330"/>
      <c r="S25" s="330"/>
      <c r="T25" s="330"/>
      <c r="U25" s="330"/>
      <c r="V25" s="330"/>
      <c r="W25" s="330"/>
      <c r="X25" s="330"/>
      <c r="Y25" s="330"/>
      <c r="Z25" s="330"/>
      <c r="AA25" s="330"/>
      <c r="AB25" s="330"/>
      <c r="AC25" s="330"/>
      <c r="AD25" s="330"/>
      <c r="AE25" s="330"/>
      <c r="AF25" s="330"/>
      <c r="AG25" s="330"/>
      <c r="AH25" s="330"/>
      <c r="AI25" s="330"/>
      <c r="AJ25" s="330"/>
      <c r="AK25" s="330"/>
      <c r="AL25" s="330"/>
    </row>
    <row r="26" spans="2:38" x14ac:dyDescent="0.25">
      <c r="B26" s="641"/>
      <c r="C26" s="1008"/>
      <c r="D26" s="620" t="s">
        <v>333</v>
      </c>
      <c r="E26" s="623" t="s">
        <v>274</v>
      </c>
      <c r="F26" s="624">
        <f t="shared" si="0"/>
        <v>7341662.4450000012</v>
      </c>
      <c r="G26" s="624">
        <f t="shared" si="0"/>
        <v>8446303.9266666677</v>
      </c>
      <c r="H26" s="624">
        <f>H12</f>
        <v>10262133.115833335</v>
      </c>
      <c r="I26" s="643"/>
      <c r="J26" s="643"/>
      <c r="K26" s="643"/>
      <c r="L26" s="642"/>
      <c r="M26" s="330"/>
      <c r="N26" s="330"/>
      <c r="O26" s="330"/>
      <c r="P26" s="330"/>
      <c r="Q26" s="330"/>
      <c r="R26" s="330"/>
      <c r="S26" s="330"/>
      <c r="T26" s="330"/>
      <c r="U26" s="330"/>
      <c r="V26" s="330"/>
      <c r="W26" s="330"/>
      <c r="X26" s="330"/>
      <c r="Y26" s="330"/>
      <c r="Z26" s="330"/>
      <c r="AA26" s="330"/>
      <c r="AB26" s="330"/>
      <c r="AC26" s="330"/>
      <c r="AD26" s="330"/>
      <c r="AE26" s="330"/>
      <c r="AF26" s="330"/>
      <c r="AG26" s="330"/>
      <c r="AH26" s="330"/>
      <c r="AI26" s="330"/>
      <c r="AJ26" s="330"/>
      <c r="AK26" s="330"/>
      <c r="AL26" s="330"/>
    </row>
    <row r="27" spans="2:38" x14ac:dyDescent="0.25">
      <c r="B27" s="641"/>
      <c r="C27" s="605" t="s">
        <v>276</v>
      </c>
      <c r="D27" s="606"/>
      <c r="E27" s="626" t="s">
        <v>274</v>
      </c>
      <c r="F27" s="627">
        <f>F23-F24-F25-F26</f>
        <v>-21049947.495000001</v>
      </c>
      <c r="G27" s="627">
        <f>G23-G24-G25-G26</f>
        <v>-28754851.726666667</v>
      </c>
      <c r="H27" s="627">
        <f>H23-H24-H25-H26</f>
        <v>-37068817.479333341</v>
      </c>
      <c r="I27" s="643"/>
      <c r="J27" s="643"/>
      <c r="K27" s="643"/>
      <c r="L27" s="642"/>
      <c r="M27" s="330"/>
      <c r="N27" s="330"/>
      <c r="O27" s="330"/>
      <c r="P27" s="330"/>
      <c r="Q27" s="330"/>
      <c r="R27" s="330"/>
      <c r="S27" s="330"/>
      <c r="T27" s="330"/>
      <c r="U27" s="330"/>
      <c r="V27" s="330"/>
      <c r="W27" s="330"/>
      <c r="X27" s="330"/>
      <c r="Y27" s="330"/>
      <c r="Z27" s="330"/>
      <c r="AA27" s="330"/>
      <c r="AB27" s="330"/>
      <c r="AC27" s="330"/>
      <c r="AD27" s="330"/>
      <c r="AE27" s="330"/>
      <c r="AF27" s="330"/>
      <c r="AG27" s="330"/>
      <c r="AH27" s="330"/>
      <c r="AI27" s="330"/>
      <c r="AJ27" s="330"/>
      <c r="AK27" s="330"/>
      <c r="AL27" s="330"/>
    </row>
    <row r="28" spans="2:38" x14ac:dyDescent="0.25">
      <c r="B28" s="641"/>
      <c r="C28" s="621" t="s">
        <v>277</v>
      </c>
      <c r="D28" s="622"/>
      <c r="E28" s="312" t="s">
        <v>274</v>
      </c>
      <c r="F28" s="624">
        <f>F23*0.03</f>
        <v>0</v>
      </c>
      <c r="G28" s="624">
        <f>G23*0.03</f>
        <v>0</v>
      </c>
      <c r="H28" s="624">
        <f>H23*0.03</f>
        <v>0</v>
      </c>
      <c r="I28" s="643"/>
      <c r="J28" s="643"/>
      <c r="K28" s="643"/>
      <c r="L28" s="642"/>
      <c r="M28" s="330"/>
      <c r="N28" s="330"/>
      <c r="O28" s="330"/>
      <c r="P28" s="330"/>
      <c r="Q28" s="330"/>
      <c r="R28" s="330"/>
      <c r="S28" s="330"/>
      <c r="T28" s="330"/>
      <c r="U28" s="330"/>
      <c r="V28" s="330"/>
      <c r="W28" s="330"/>
      <c r="X28" s="330"/>
      <c r="Y28" s="330"/>
      <c r="Z28" s="330"/>
      <c r="AA28" s="330"/>
      <c r="AB28" s="330"/>
      <c r="AC28" s="330"/>
      <c r="AD28" s="330"/>
      <c r="AE28" s="330"/>
      <c r="AF28" s="330"/>
      <c r="AG28" s="330"/>
      <c r="AH28" s="330"/>
      <c r="AI28" s="330"/>
      <c r="AJ28" s="330"/>
      <c r="AK28" s="330"/>
      <c r="AL28" s="330"/>
    </row>
    <row r="29" spans="2:38" x14ac:dyDescent="0.25">
      <c r="B29" s="641"/>
      <c r="C29" s="993" t="s">
        <v>278</v>
      </c>
      <c r="D29" s="994"/>
      <c r="E29" s="312"/>
      <c r="F29" s="624">
        <f>F27-F28</f>
        <v>-21049947.495000001</v>
      </c>
      <c r="G29" s="624">
        <f>G27-G28-G16</f>
        <v>-28902512.293333333</v>
      </c>
      <c r="H29" s="624">
        <f>H27-H28-H16</f>
        <v>-37231701.912666671</v>
      </c>
      <c r="I29" s="643"/>
      <c r="J29" s="643"/>
      <c r="K29" s="643"/>
      <c r="L29" s="642"/>
      <c r="M29" s="330"/>
      <c r="N29" s="330"/>
      <c r="O29" s="330"/>
      <c r="P29" s="330"/>
      <c r="Q29" s="330"/>
      <c r="R29" s="330"/>
      <c r="S29" s="330"/>
      <c r="T29" s="330"/>
      <c r="U29" s="330"/>
      <c r="V29" s="330"/>
      <c r="W29" s="330"/>
      <c r="X29" s="330"/>
      <c r="Y29" s="330"/>
      <c r="Z29" s="330"/>
      <c r="AA29" s="330"/>
      <c r="AB29" s="330"/>
      <c r="AC29" s="330"/>
      <c r="AD29" s="330"/>
      <c r="AE29" s="330"/>
      <c r="AF29" s="330"/>
      <c r="AG29" s="330"/>
      <c r="AH29" s="330"/>
      <c r="AI29" s="330"/>
      <c r="AJ29" s="330"/>
      <c r="AK29" s="330"/>
      <c r="AL29" s="330"/>
    </row>
    <row r="30" spans="2:38" x14ac:dyDescent="0.25">
      <c r="B30" s="641"/>
      <c r="C30" s="621" t="s">
        <v>279</v>
      </c>
      <c r="D30" s="622"/>
      <c r="E30" s="312" t="s">
        <v>274</v>
      </c>
      <c r="F30" s="624">
        <v>0</v>
      </c>
      <c r="G30" s="624">
        <v>0</v>
      </c>
      <c r="H30" s="624">
        <f>0.35*G29</f>
        <v>-10115879.302666666</v>
      </c>
      <c r="I30" s="643"/>
      <c r="J30" s="643"/>
      <c r="K30" s="643"/>
      <c r="L30" s="642"/>
      <c r="M30" s="330"/>
      <c r="N30" s="330"/>
      <c r="O30" s="330"/>
      <c r="P30" s="330"/>
      <c r="Q30" s="330"/>
      <c r="R30" s="330"/>
      <c r="S30" s="330"/>
      <c r="T30" s="330"/>
      <c r="U30" s="330"/>
      <c r="V30" s="330"/>
      <c r="W30" s="330"/>
      <c r="X30" s="330"/>
      <c r="Y30" s="330"/>
      <c r="Z30" s="330"/>
      <c r="AA30" s="330"/>
      <c r="AB30" s="330"/>
      <c r="AC30" s="330"/>
      <c r="AD30" s="330"/>
      <c r="AE30" s="330"/>
      <c r="AF30" s="330"/>
      <c r="AG30" s="330"/>
      <c r="AH30" s="330"/>
      <c r="AI30" s="330"/>
      <c r="AJ30" s="330"/>
      <c r="AK30" s="330"/>
      <c r="AL30" s="330"/>
    </row>
    <row r="31" spans="2:38" x14ac:dyDescent="0.25">
      <c r="B31" s="641"/>
      <c r="C31" s="605" t="s">
        <v>280</v>
      </c>
      <c r="D31" s="606"/>
      <c r="E31" s="626" t="s">
        <v>274</v>
      </c>
      <c r="F31" s="627">
        <f>F27-F28-F30</f>
        <v>-21049947.495000001</v>
      </c>
      <c r="G31" s="627">
        <f>G27-G28-G30</f>
        <v>-28754851.726666667</v>
      </c>
      <c r="H31" s="627">
        <f>H27-H28-H30</f>
        <v>-26952938.176666677</v>
      </c>
      <c r="I31" s="643"/>
      <c r="J31" s="643"/>
      <c r="K31" s="643"/>
      <c r="L31" s="642"/>
      <c r="M31" s="330"/>
      <c r="N31" s="330"/>
      <c r="O31" s="330"/>
      <c r="P31" s="330"/>
      <c r="Q31" s="330"/>
      <c r="R31" s="330"/>
      <c r="S31" s="330"/>
      <c r="T31" s="330"/>
      <c r="U31" s="330"/>
      <c r="V31" s="330"/>
      <c r="W31" s="330"/>
      <c r="X31" s="330"/>
      <c r="Y31" s="330"/>
      <c r="Z31" s="330"/>
      <c r="AA31" s="330"/>
      <c r="AB31" s="330"/>
      <c r="AC31" s="330"/>
      <c r="AD31" s="330"/>
      <c r="AE31" s="330"/>
      <c r="AF31" s="330"/>
      <c r="AG31" s="330"/>
      <c r="AH31" s="330"/>
      <c r="AI31" s="330"/>
      <c r="AJ31" s="330"/>
      <c r="AK31" s="330"/>
      <c r="AL31" s="330"/>
    </row>
    <row r="32" spans="2:38" x14ac:dyDescent="0.25">
      <c r="B32" s="641"/>
      <c r="C32" s="621" t="s">
        <v>281</v>
      </c>
      <c r="D32" s="622"/>
      <c r="E32" s="624">
        <f>-E20</f>
        <v>-2297572</v>
      </c>
      <c r="F32" s="624">
        <f>-F20</f>
        <v>-22999</v>
      </c>
      <c r="G32" s="624">
        <f>-G20</f>
        <v>-70262</v>
      </c>
      <c r="H32" s="624">
        <f>-H20</f>
        <v>-1306257</v>
      </c>
      <c r="I32" s="643"/>
      <c r="J32" s="643"/>
      <c r="K32" s="643"/>
      <c r="L32" s="642"/>
      <c r="M32" s="330"/>
      <c r="N32" s="330"/>
      <c r="O32" s="330"/>
      <c r="P32" s="330"/>
      <c r="Q32" s="330"/>
      <c r="R32" s="330"/>
      <c r="S32" s="330"/>
      <c r="T32" s="330"/>
      <c r="U32" s="330"/>
      <c r="V32" s="330"/>
      <c r="W32" s="330"/>
      <c r="X32" s="330"/>
      <c r="Y32" s="330"/>
      <c r="Z32" s="330"/>
      <c r="AA32" s="330"/>
      <c r="AB32" s="330"/>
      <c r="AC32" s="330"/>
      <c r="AD32" s="330"/>
      <c r="AE32" s="330"/>
      <c r="AF32" s="330"/>
      <c r="AG32" s="330"/>
      <c r="AH32" s="330"/>
      <c r="AI32" s="330"/>
      <c r="AJ32" s="330"/>
      <c r="AK32" s="330"/>
      <c r="AL32" s="330"/>
    </row>
    <row r="33" spans="2:38" x14ac:dyDescent="0.25">
      <c r="B33" s="641"/>
      <c r="C33" s="605" t="s">
        <v>282</v>
      </c>
      <c r="D33" s="606"/>
      <c r="E33" s="627">
        <f>E32</f>
        <v>-2297572</v>
      </c>
      <c r="F33" s="627">
        <f>F31+F32</f>
        <v>-21072946.495000001</v>
      </c>
      <c r="G33" s="627">
        <f>G31+G32</f>
        <v>-28825113.726666667</v>
      </c>
      <c r="H33" s="627">
        <f>H31+H32</f>
        <v>-28259195.176666677</v>
      </c>
      <c r="I33" s="643"/>
      <c r="J33" s="643"/>
      <c r="K33" s="643"/>
      <c r="L33" s="642"/>
      <c r="M33" s="330"/>
      <c r="N33" s="330"/>
      <c r="O33" s="330"/>
      <c r="P33" s="330"/>
      <c r="Q33" s="330"/>
      <c r="R33" s="330"/>
      <c r="S33" s="330"/>
      <c r="T33" s="330"/>
      <c r="U33" s="330"/>
      <c r="V33" s="330"/>
      <c r="W33" s="330"/>
      <c r="X33" s="330"/>
      <c r="Y33" s="330"/>
      <c r="Z33" s="330"/>
      <c r="AA33" s="330"/>
      <c r="AB33" s="330"/>
      <c r="AC33" s="330"/>
      <c r="AD33" s="330"/>
      <c r="AE33" s="330"/>
      <c r="AF33" s="330"/>
      <c r="AG33" s="330"/>
      <c r="AH33" s="330"/>
      <c r="AI33" s="330"/>
      <c r="AJ33" s="330"/>
      <c r="AK33" s="330"/>
      <c r="AL33" s="330"/>
    </row>
    <row r="34" spans="2:38" x14ac:dyDescent="0.25">
      <c r="B34" s="641"/>
      <c r="C34" s="133"/>
      <c r="D34" s="133"/>
      <c r="E34" s="133"/>
      <c r="F34" s="133"/>
      <c r="G34" s="133"/>
      <c r="H34" s="133"/>
      <c r="I34" s="643"/>
      <c r="J34" s="643"/>
      <c r="K34" s="643"/>
      <c r="L34" s="642"/>
      <c r="M34" s="330"/>
      <c r="N34" s="330"/>
      <c r="O34" s="330"/>
      <c r="P34" s="330"/>
      <c r="Q34" s="330"/>
      <c r="R34" s="330"/>
      <c r="S34" s="330"/>
      <c r="T34" s="330"/>
      <c r="U34" s="330"/>
      <c r="V34" s="330"/>
      <c r="W34" s="330"/>
      <c r="X34" s="330"/>
      <c r="Y34" s="330"/>
      <c r="Z34" s="330"/>
      <c r="AA34" s="330"/>
      <c r="AB34" s="330"/>
      <c r="AC34" s="330"/>
      <c r="AD34" s="330"/>
      <c r="AE34" s="330"/>
      <c r="AF34" s="330"/>
      <c r="AG34" s="330"/>
      <c r="AH34" s="330"/>
      <c r="AI34" s="330"/>
      <c r="AJ34" s="330"/>
      <c r="AK34" s="330"/>
      <c r="AL34" s="330"/>
    </row>
    <row r="35" spans="2:38" x14ac:dyDescent="0.25">
      <c r="B35" s="641"/>
      <c r="C35" s="133"/>
      <c r="D35" s="133"/>
      <c r="E35" s="133"/>
      <c r="F35" s="133"/>
      <c r="G35" s="653" t="s">
        <v>283</v>
      </c>
      <c r="H35" s="654">
        <v>0.62</v>
      </c>
      <c r="I35" s="643"/>
      <c r="J35" s="643"/>
      <c r="K35" s="643"/>
      <c r="L35" s="642"/>
      <c r="M35" s="330"/>
      <c r="N35" s="330"/>
      <c r="O35" s="330"/>
      <c r="P35" s="330"/>
      <c r="Q35" s="330"/>
      <c r="R35" s="330"/>
      <c r="S35" s="330"/>
      <c r="T35" s="330"/>
      <c r="U35" s="330"/>
      <c r="V35" s="330"/>
      <c r="W35" s="330"/>
      <c r="X35" s="330"/>
      <c r="Y35" s="330"/>
      <c r="Z35" s="330"/>
      <c r="AA35" s="330"/>
      <c r="AB35" s="330"/>
      <c r="AC35" s="330"/>
      <c r="AD35" s="330"/>
      <c r="AE35" s="330"/>
      <c r="AF35" s="330"/>
      <c r="AG35" s="330"/>
      <c r="AH35" s="330"/>
      <c r="AI35" s="330"/>
      <c r="AJ35" s="330"/>
      <c r="AK35" s="330"/>
      <c r="AL35" s="330"/>
    </row>
    <row r="36" spans="2:38" x14ac:dyDescent="0.25">
      <c r="B36" s="641"/>
      <c r="C36" s="133"/>
      <c r="D36" s="133"/>
      <c r="E36" s="133"/>
      <c r="F36" s="133"/>
      <c r="G36" s="653" t="s">
        <v>284</v>
      </c>
      <c r="H36" s="655"/>
      <c r="I36" s="643"/>
      <c r="J36" s="643"/>
      <c r="K36" s="643"/>
      <c r="L36" s="642"/>
      <c r="M36" s="330"/>
      <c r="N36" s="330"/>
      <c r="O36" s="330"/>
      <c r="P36" s="330"/>
      <c r="Q36" s="330"/>
      <c r="R36" s="330"/>
      <c r="S36" s="330"/>
      <c r="T36" s="330"/>
      <c r="U36" s="330"/>
      <c r="V36" s="330"/>
      <c r="W36" s="330"/>
      <c r="X36" s="330"/>
      <c r="Y36" s="330"/>
      <c r="Z36" s="330"/>
      <c r="AA36" s="330"/>
      <c r="AB36" s="330"/>
      <c r="AC36" s="330"/>
      <c r="AD36" s="330"/>
      <c r="AE36" s="330"/>
      <c r="AF36" s="330"/>
      <c r="AG36" s="330"/>
      <c r="AH36" s="330"/>
      <c r="AI36" s="330"/>
      <c r="AJ36" s="330"/>
      <c r="AK36" s="330"/>
      <c r="AL36" s="330"/>
    </row>
    <row r="37" spans="2:38" x14ac:dyDescent="0.25">
      <c r="B37" s="641"/>
      <c r="C37" s="133"/>
      <c r="D37" s="133"/>
      <c r="E37" s="133"/>
      <c r="F37" s="133"/>
      <c r="G37" s="653" t="s">
        <v>285</v>
      </c>
      <c r="H37" s="656"/>
      <c r="I37" s="643"/>
      <c r="J37" s="643"/>
      <c r="K37" s="643"/>
      <c r="L37" s="642"/>
      <c r="M37" s="330"/>
      <c r="N37" s="330"/>
      <c r="O37" s="330"/>
      <c r="P37" s="330"/>
      <c r="Q37" s="330"/>
      <c r="R37" s="330"/>
      <c r="S37" s="330"/>
      <c r="T37" s="330"/>
      <c r="U37" s="330"/>
      <c r="V37" s="330"/>
      <c r="W37" s="330"/>
      <c r="X37" s="330"/>
      <c r="Y37" s="330"/>
      <c r="Z37" s="330"/>
      <c r="AA37" s="330"/>
      <c r="AB37" s="330"/>
      <c r="AC37" s="330"/>
      <c r="AD37" s="330"/>
      <c r="AE37" s="330"/>
      <c r="AF37" s="330"/>
      <c r="AG37" s="330"/>
      <c r="AH37" s="330"/>
      <c r="AI37" s="330"/>
      <c r="AJ37" s="330"/>
      <c r="AK37" s="330"/>
      <c r="AL37" s="330"/>
    </row>
    <row r="38" spans="2:38" ht="15.75" thickBot="1" x14ac:dyDescent="0.3">
      <c r="B38" s="644"/>
      <c r="C38" s="517"/>
      <c r="D38" s="517"/>
      <c r="E38" s="517"/>
      <c r="F38" s="517"/>
      <c r="G38" s="517"/>
      <c r="H38" s="517"/>
      <c r="I38" s="645"/>
      <c r="J38" s="645"/>
      <c r="K38" s="645"/>
      <c r="L38" s="646"/>
      <c r="M38" s="330"/>
      <c r="N38" s="330"/>
      <c r="O38" s="330"/>
      <c r="P38" s="330"/>
      <c r="Q38" s="330"/>
      <c r="R38" s="330"/>
      <c r="S38" s="330"/>
      <c r="T38" s="330"/>
      <c r="U38" s="330"/>
      <c r="V38" s="330"/>
      <c r="W38" s="330"/>
      <c r="X38" s="330"/>
      <c r="Y38" s="330"/>
      <c r="Z38" s="330"/>
      <c r="AA38" s="330"/>
      <c r="AB38" s="330"/>
      <c r="AC38" s="330"/>
      <c r="AD38" s="330"/>
      <c r="AE38" s="330"/>
      <c r="AF38" s="330"/>
      <c r="AG38" s="330"/>
      <c r="AH38" s="330"/>
      <c r="AI38" s="330"/>
      <c r="AJ38" s="330"/>
      <c r="AK38" s="330"/>
      <c r="AL38" s="330"/>
    </row>
    <row r="39" spans="2:38" x14ac:dyDescent="0.25">
      <c r="B39" s="330"/>
      <c r="I39" s="330"/>
      <c r="J39" s="330"/>
      <c r="K39" s="330"/>
      <c r="L39" s="330"/>
      <c r="M39" s="330"/>
      <c r="N39" s="330"/>
      <c r="O39" s="330"/>
      <c r="P39" s="330"/>
      <c r="Q39" s="330"/>
      <c r="R39" s="330"/>
      <c r="S39" s="330"/>
      <c r="T39" s="330"/>
      <c r="U39" s="330"/>
      <c r="V39" s="330"/>
      <c r="W39" s="330"/>
      <c r="X39" s="330"/>
      <c r="Y39" s="330"/>
      <c r="Z39" s="330"/>
      <c r="AA39" s="330"/>
      <c r="AB39" s="330"/>
      <c r="AC39" s="330"/>
      <c r="AD39" s="330"/>
      <c r="AE39" s="330"/>
      <c r="AF39" s="330"/>
      <c r="AG39" s="330"/>
      <c r="AH39" s="330"/>
      <c r="AI39" s="330"/>
      <c r="AJ39" s="330"/>
      <c r="AK39" s="330"/>
      <c r="AL39" s="330"/>
    </row>
    <row r="40" spans="2:38" x14ac:dyDescent="0.25">
      <c r="M40" s="330"/>
      <c r="N40" s="330"/>
      <c r="O40" s="330"/>
      <c r="P40" s="330"/>
      <c r="Q40" s="330"/>
      <c r="R40" s="330"/>
      <c r="S40" s="330"/>
      <c r="T40" s="330"/>
      <c r="U40" s="330"/>
      <c r="V40" s="330"/>
      <c r="W40" s="330"/>
      <c r="X40" s="330"/>
      <c r="Y40" s="330"/>
      <c r="Z40" s="330"/>
      <c r="AA40" s="330"/>
      <c r="AB40" s="330"/>
      <c r="AC40" s="330"/>
      <c r="AD40" s="330"/>
      <c r="AE40" s="330"/>
      <c r="AF40" s="330"/>
      <c r="AG40" s="330"/>
      <c r="AH40" s="330"/>
      <c r="AI40" s="330"/>
      <c r="AJ40" s="330"/>
      <c r="AK40" s="330"/>
      <c r="AL40" s="330"/>
    </row>
    <row r="41" spans="2:38" x14ac:dyDescent="0.25">
      <c r="M41" s="330"/>
      <c r="N41" s="330"/>
      <c r="O41" s="330"/>
      <c r="P41" s="330"/>
      <c r="Q41" s="330"/>
      <c r="R41" s="330"/>
      <c r="S41" s="330"/>
      <c r="T41" s="330"/>
      <c r="U41" s="330"/>
      <c r="V41" s="330"/>
      <c r="W41" s="330"/>
      <c r="X41" s="330"/>
      <c r="Y41" s="330"/>
      <c r="Z41" s="330"/>
      <c r="AA41" s="330"/>
      <c r="AB41" s="330"/>
      <c r="AC41" s="330"/>
      <c r="AD41" s="330"/>
      <c r="AE41" s="330"/>
      <c r="AF41" s="330"/>
      <c r="AG41" s="330"/>
      <c r="AH41" s="330"/>
      <c r="AI41" s="330"/>
      <c r="AJ41" s="330"/>
      <c r="AK41" s="330"/>
      <c r="AL41" s="330"/>
    </row>
    <row r="42" spans="2:38" x14ac:dyDescent="0.25">
      <c r="M42" s="330"/>
      <c r="N42" s="330"/>
      <c r="O42" s="330"/>
      <c r="P42" s="330"/>
      <c r="Q42" s="330"/>
      <c r="R42" s="330"/>
      <c r="S42" s="330"/>
      <c r="T42" s="330"/>
      <c r="U42" s="330"/>
      <c r="V42" s="330"/>
      <c r="W42" s="330"/>
      <c r="X42" s="330"/>
      <c r="Y42" s="330"/>
      <c r="Z42" s="330"/>
      <c r="AA42" s="330"/>
      <c r="AB42" s="330"/>
      <c r="AC42" s="330"/>
      <c r="AD42" s="330"/>
      <c r="AE42" s="330"/>
      <c r="AF42" s="330"/>
      <c r="AG42" s="330"/>
      <c r="AH42" s="330"/>
      <c r="AI42" s="330"/>
      <c r="AJ42" s="330"/>
      <c r="AK42" s="330"/>
      <c r="AL42" s="330"/>
    </row>
    <row r="77" spans="2:12" x14ac:dyDescent="0.25">
      <c r="B77" s="133"/>
      <c r="C77" s="133"/>
      <c r="D77" s="133"/>
      <c r="E77" s="133"/>
      <c r="F77" s="133"/>
      <c r="G77" s="133"/>
      <c r="H77" s="133"/>
      <c r="I77" s="133"/>
      <c r="J77" s="133"/>
      <c r="K77" s="133"/>
      <c r="L77" s="133"/>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0"/>
  <sheetViews>
    <sheetView topLeftCell="G1" zoomScale="85" zoomScaleNormal="85" workbookViewId="0">
      <pane ySplit="1" topLeftCell="A2" activePane="bottomLeft" state="frozen"/>
      <selection pane="bottomLeft" sqref="A1:N1"/>
    </sheetView>
  </sheetViews>
  <sheetFormatPr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703" customFormat="1" ht="58.5" customHeight="1" x14ac:dyDescent="0.25">
      <c r="A1" s="706"/>
      <c r="B1" s="706"/>
      <c r="C1" s="706"/>
      <c r="D1" s="706"/>
      <c r="E1" s="706"/>
      <c r="F1" s="987" t="s">
        <v>299</v>
      </c>
      <c r="G1" s="988"/>
      <c r="H1" s="988"/>
      <c r="I1" s="706"/>
      <c r="J1" s="706"/>
      <c r="K1" s="706"/>
      <c r="L1" s="706"/>
      <c r="M1" s="706"/>
      <c r="N1" s="706"/>
    </row>
    <row r="3" spans="1:14" ht="15.75" thickBot="1" x14ac:dyDescent="0.3"/>
    <row r="4" spans="1:14" ht="15.75" thickBot="1" x14ac:dyDescent="0.3">
      <c r="B4" s="647"/>
      <c r="C4" s="639"/>
      <c r="D4" s="639"/>
      <c r="E4" s="639"/>
      <c r="F4" s="639"/>
      <c r="G4" s="639"/>
      <c r="H4" s="639"/>
      <c r="I4" s="648"/>
      <c r="J4" s="648"/>
      <c r="K4" s="648"/>
      <c r="L4" s="649"/>
    </row>
    <row r="5" spans="1:14" ht="15.75" thickBot="1" x14ac:dyDescent="0.3">
      <c r="B5" s="641"/>
      <c r="C5" s="999" t="s">
        <v>337</v>
      </c>
      <c r="D5" s="1000"/>
      <c r="E5" s="1000"/>
      <c r="F5" s="1000"/>
      <c r="G5" s="1000"/>
      <c r="H5" s="1000"/>
      <c r="I5" s="1000"/>
      <c r="J5" s="1000"/>
      <c r="K5" s="1001"/>
      <c r="L5" s="642"/>
    </row>
    <row r="6" spans="1:14" ht="15.75" thickBot="1" x14ac:dyDescent="0.3">
      <c r="B6" s="641"/>
      <c r="C6" s="643"/>
      <c r="D6" s="643"/>
      <c r="E6" s="643"/>
      <c r="F6" s="643"/>
      <c r="G6" s="643"/>
      <c r="H6" s="643"/>
      <c r="I6" s="643"/>
      <c r="J6" s="643"/>
      <c r="K6" s="643"/>
      <c r="L6" s="642"/>
    </row>
    <row r="7" spans="1:14" ht="17.25" customHeight="1" thickBot="1" x14ac:dyDescent="0.3">
      <c r="B7" s="650"/>
      <c r="C7" s="133"/>
      <c r="D7" s="133"/>
      <c r="E7" s="133"/>
      <c r="F7" s="1013" t="s">
        <v>36</v>
      </c>
      <c r="G7" s="1014"/>
      <c r="H7" s="1015"/>
      <c r="I7" s="643"/>
      <c r="J7" s="643"/>
      <c r="K7" s="359" t="s">
        <v>344</v>
      </c>
      <c r="L7" s="651"/>
    </row>
    <row r="8" spans="1:14" x14ac:dyDescent="0.25">
      <c r="B8" s="650"/>
      <c r="E8" s="133"/>
      <c r="F8" s="614">
        <v>2019</v>
      </c>
      <c r="G8" s="614">
        <v>2020</v>
      </c>
      <c r="H8" s="614">
        <v>2021</v>
      </c>
      <c r="I8" s="643"/>
      <c r="J8" s="643"/>
      <c r="K8" s="998" t="s">
        <v>339</v>
      </c>
      <c r="L8" s="651"/>
    </row>
    <row r="9" spans="1:14" x14ac:dyDescent="0.25">
      <c r="B9" s="650"/>
      <c r="E9" s="133"/>
      <c r="F9" s="609">
        <f>'Presupuesto financiero'!K5</f>
        <v>0.03</v>
      </c>
      <c r="G9" s="609">
        <f>'Presupuesto financiero'!L5</f>
        <v>0.05</v>
      </c>
      <c r="H9" s="609">
        <f>'Presupuesto financiero'!M5</f>
        <v>0.09</v>
      </c>
      <c r="I9" s="643"/>
      <c r="J9" s="643"/>
      <c r="K9" s="996"/>
      <c r="L9" s="651"/>
    </row>
    <row r="10" spans="1:14" ht="15.75" thickBot="1" x14ac:dyDescent="0.3">
      <c r="B10" s="650"/>
      <c r="E10" s="620" t="s">
        <v>336</v>
      </c>
      <c r="F10" s="631">
        <f>'Presupuesto financiero'!K6</f>
        <v>0</v>
      </c>
      <c r="G10" s="631">
        <f>'Presupuesto financiero'!L6</f>
        <v>0</v>
      </c>
      <c r="H10" s="631">
        <f>'Presupuesto financiero'!M6</f>
        <v>0</v>
      </c>
      <c r="I10" s="643"/>
      <c r="J10" s="643"/>
      <c r="K10" s="997"/>
      <c r="L10" s="651"/>
    </row>
    <row r="11" spans="1:14" ht="15.75" thickBot="1" x14ac:dyDescent="0.3">
      <c r="B11" s="650"/>
      <c r="C11" s="133"/>
      <c r="D11" s="133"/>
      <c r="E11" s="620" t="s">
        <v>273</v>
      </c>
      <c r="F11" s="610">
        <f>'Presupuesto financiero'!K10</f>
        <v>2343935.7000000002</v>
      </c>
      <c r="G11" s="610">
        <f>'Presupuesto financiero'!L10</f>
        <v>2614351.9749999996</v>
      </c>
      <c r="H11" s="610">
        <f>'Presupuesto financiero'!M10</f>
        <v>2971977.4835000001</v>
      </c>
      <c r="I11" s="643"/>
      <c r="J11" s="643"/>
      <c r="K11" s="359" t="s">
        <v>293</v>
      </c>
      <c r="L11" s="651"/>
    </row>
    <row r="12" spans="1:14" x14ac:dyDescent="0.25">
      <c r="B12" s="650"/>
      <c r="C12" s="133"/>
      <c r="D12" s="133"/>
      <c r="E12" s="620" t="s">
        <v>228</v>
      </c>
      <c r="F12" s="610">
        <f>'Presupuesto financiero'!K11</f>
        <v>11364349.35</v>
      </c>
      <c r="G12" s="610">
        <f>'Presupuesto financiero'!L11</f>
        <v>17694195.824999999</v>
      </c>
      <c r="H12" s="610">
        <f>'Presupuesto financiero'!M11</f>
        <v>29793383.600000001</v>
      </c>
      <c r="I12" s="643"/>
      <c r="J12" s="643"/>
      <c r="K12" s="998" t="s">
        <v>338</v>
      </c>
      <c r="L12" s="651"/>
    </row>
    <row r="13" spans="1:14" x14ac:dyDescent="0.25">
      <c r="B13" s="650"/>
      <c r="C13" s="133"/>
      <c r="D13" s="133"/>
      <c r="E13" s="620" t="s">
        <v>334</v>
      </c>
      <c r="F13" s="610">
        <f>'Presupuesto financiero'!K12</f>
        <v>7341662.4450000012</v>
      </c>
      <c r="G13" s="610">
        <f>'Presupuesto financiero'!L12</f>
        <v>8446303.9266666677</v>
      </c>
      <c r="H13" s="610">
        <f>'Presupuesto financiero'!M12</f>
        <v>10262133.115833335</v>
      </c>
      <c r="I13" s="643"/>
      <c r="J13" s="643"/>
      <c r="K13" s="996"/>
      <c r="L13" s="651"/>
    </row>
    <row r="14" spans="1:14" ht="15.75" thickBot="1" x14ac:dyDescent="0.3">
      <c r="B14" s="650"/>
      <c r="C14" s="133"/>
      <c r="D14" s="133"/>
      <c r="E14" s="133"/>
      <c r="F14" s="133"/>
      <c r="G14" s="133"/>
      <c r="H14" s="133"/>
      <c r="I14" s="643"/>
      <c r="J14" s="643"/>
      <c r="K14" s="997"/>
      <c r="L14" s="651"/>
    </row>
    <row r="15" spans="1:14" ht="15.75" thickBot="1" x14ac:dyDescent="0.3">
      <c r="B15" s="650"/>
      <c r="C15" s="628" t="s">
        <v>330</v>
      </c>
      <c r="D15" s="629"/>
      <c r="E15" s="133"/>
      <c r="F15" s="630" t="s">
        <v>258</v>
      </c>
      <c r="G15" s="607"/>
      <c r="H15" s="608"/>
      <c r="I15" s="643"/>
      <c r="J15" s="643"/>
      <c r="K15" s="359" t="s">
        <v>294</v>
      </c>
      <c r="L15" s="651"/>
    </row>
    <row r="16" spans="1:14" ht="30.75" customHeight="1" thickBot="1" x14ac:dyDescent="0.3">
      <c r="B16" s="650"/>
      <c r="C16" s="1009" t="s">
        <v>343</v>
      </c>
      <c r="D16" s="1010"/>
      <c r="E16" s="133"/>
      <c r="F16" s="394">
        <v>2019</v>
      </c>
      <c r="G16" s="394">
        <v>2020</v>
      </c>
      <c r="H16" s="394">
        <v>2021</v>
      </c>
      <c r="I16" s="643"/>
      <c r="J16" s="643"/>
      <c r="K16" s="635" t="s">
        <v>342</v>
      </c>
      <c r="L16" s="651"/>
    </row>
    <row r="17" spans="2:12" x14ac:dyDescent="0.25">
      <c r="B17" s="650"/>
      <c r="C17" s="1011">
        <v>3800000</v>
      </c>
      <c r="D17" s="1012"/>
      <c r="E17" s="632"/>
      <c r="F17" s="610">
        <f>'Presupuesto financiero'!K16</f>
        <v>141277.33333333334</v>
      </c>
      <c r="G17" s="610">
        <f>'Presupuesto financiero'!L16</f>
        <v>147660.56666666665</v>
      </c>
      <c r="H17" s="610">
        <f>'Presupuesto financiero'!M16</f>
        <v>162884.43333333335</v>
      </c>
      <c r="I17" s="643"/>
      <c r="J17" s="643"/>
      <c r="K17" s="643"/>
      <c r="L17" s="651"/>
    </row>
    <row r="18" spans="2:12" x14ac:dyDescent="0.25">
      <c r="B18" s="650"/>
      <c r="C18" s="133"/>
      <c r="D18" s="133"/>
      <c r="E18" s="632"/>
      <c r="F18" s="48"/>
      <c r="G18" s="48"/>
      <c r="H18" s="48"/>
      <c r="I18" s="643"/>
      <c r="J18" s="643"/>
      <c r="K18" s="643"/>
      <c r="L18" s="651"/>
    </row>
    <row r="19" spans="2:12" x14ac:dyDescent="0.25">
      <c r="B19" s="650"/>
      <c r="C19" s="133"/>
      <c r="D19" s="133"/>
      <c r="E19" s="630" t="s">
        <v>232</v>
      </c>
      <c r="F19" s="607"/>
      <c r="G19" s="607"/>
      <c r="H19" s="608"/>
      <c r="I19" s="643"/>
      <c r="J19" s="643"/>
      <c r="K19" s="643"/>
      <c r="L19" s="651"/>
    </row>
    <row r="20" spans="2:12" x14ac:dyDescent="0.25">
      <c r="B20" s="650"/>
      <c r="C20" s="133"/>
      <c r="D20" s="133"/>
      <c r="E20" s="614" t="s">
        <v>233</v>
      </c>
      <c r="F20" s="614">
        <v>2019</v>
      </c>
      <c r="G20" s="614">
        <v>2020</v>
      </c>
      <c r="H20" s="614">
        <v>2021</v>
      </c>
      <c r="I20" s="643"/>
      <c r="J20" s="643"/>
      <c r="K20" s="643"/>
      <c r="L20" s="651"/>
    </row>
    <row r="21" spans="2:12" x14ac:dyDescent="0.25">
      <c r="B21" s="650"/>
      <c r="C21" s="133"/>
      <c r="D21" s="133"/>
      <c r="E21" s="610">
        <f>'Presupuesto financiero'!J20</f>
        <v>2297572</v>
      </c>
      <c r="F21" s="610">
        <f>'Presupuesto financiero'!K20</f>
        <v>22999</v>
      </c>
      <c r="G21" s="610">
        <f>'Presupuesto financiero'!L20</f>
        <v>70262</v>
      </c>
      <c r="H21" s="610">
        <f>'Presupuesto financiero'!M20</f>
        <v>1306257</v>
      </c>
      <c r="I21" s="643"/>
      <c r="J21" s="643"/>
      <c r="K21" s="643"/>
      <c r="L21" s="651"/>
    </row>
    <row r="22" spans="2:12" x14ac:dyDescent="0.25">
      <c r="B22" s="650"/>
      <c r="C22" s="133"/>
      <c r="D22" s="133"/>
      <c r="E22" s="133"/>
      <c r="F22" s="133"/>
      <c r="G22" s="133"/>
      <c r="H22" s="133"/>
      <c r="I22" s="643"/>
      <c r="J22" s="643"/>
      <c r="K22" s="643"/>
      <c r="L22" s="651"/>
    </row>
    <row r="23" spans="2:12" x14ac:dyDescent="0.25">
      <c r="B23" s="650"/>
      <c r="C23" s="133"/>
      <c r="D23" s="133"/>
      <c r="E23" s="617" t="s">
        <v>287</v>
      </c>
      <c r="F23" s="617">
        <v>2019</v>
      </c>
      <c r="G23" s="617">
        <v>2020</v>
      </c>
      <c r="H23" s="617">
        <v>2021</v>
      </c>
      <c r="I23" s="643"/>
      <c r="J23" s="643"/>
      <c r="K23" s="643"/>
      <c r="L23" s="651"/>
    </row>
    <row r="24" spans="2:12" x14ac:dyDescent="0.25">
      <c r="B24" s="650"/>
      <c r="C24" s="618" t="s">
        <v>41</v>
      </c>
      <c r="D24" s="619"/>
      <c r="E24" s="623" t="s">
        <v>274</v>
      </c>
      <c r="F24" s="624">
        <f t="shared" ref="F24:H25" si="0">F10</f>
        <v>0</v>
      </c>
      <c r="G24" s="624">
        <f t="shared" si="0"/>
        <v>0</v>
      </c>
      <c r="H24" s="624">
        <f t="shared" si="0"/>
        <v>0</v>
      </c>
      <c r="I24" s="643"/>
      <c r="J24" s="643"/>
      <c r="K24" s="643"/>
      <c r="L24" s="651"/>
    </row>
    <row r="25" spans="2:12" x14ac:dyDescent="0.25">
      <c r="B25" s="650"/>
      <c r="C25" s="1006" t="s">
        <v>275</v>
      </c>
      <c r="D25" s="620" t="s">
        <v>331</v>
      </c>
      <c r="E25" s="623" t="s">
        <v>274</v>
      </c>
      <c r="F25" s="624">
        <f t="shared" si="0"/>
        <v>2343935.7000000002</v>
      </c>
      <c r="G25" s="624">
        <f t="shared" si="0"/>
        <v>2614351.9749999996</v>
      </c>
      <c r="H25" s="624">
        <f t="shared" si="0"/>
        <v>2971977.4835000001</v>
      </c>
      <c r="I25" s="643"/>
      <c r="J25" s="643"/>
      <c r="K25" s="643"/>
      <c r="L25" s="651"/>
    </row>
    <row r="26" spans="2:12" x14ac:dyDescent="0.25">
      <c r="B26" s="650"/>
      <c r="C26" s="1007"/>
      <c r="D26" s="620" t="s">
        <v>332</v>
      </c>
      <c r="E26" s="623" t="s">
        <v>274</v>
      </c>
      <c r="F26" s="624">
        <f>F12</f>
        <v>11364349.35</v>
      </c>
      <c r="G26" s="652">
        <f>G12+C17</f>
        <v>21494195.824999999</v>
      </c>
      <c r="H26" s="624">
        <f>H12</f>
        <v>29793383.600000001</v>
      </c>
      <c r="I26" s="643"/>
      <c r="J26" s="643"/>
      <c r="K26" s="643"/>
      <c r="L26" s="651"/>
    </row>
    <row r="27" spans="2:12" x14ac:dyDescent="0.25">
      <c r="B27" s="650"/>
      <c r="C27" s="1008"/>
      <c r="D27" s="620" t="s">
        <v>333</v>
      </c>
      <c r="E27" s="623" t="s">
        <v>274</v>
      </c>
      <c r="F27" s="624">
        <f>F13</f>
        <v>7341662.4450000012</v>
      </c>
      <c r="G27" s="624">
        <f>G13</f>
        <v>8446303.9266666677</v>
      </c>
      <c r="H27" s="624">
        <f>H13</f>
        <v>10262133.115833335</v>
      </c>
      <c r="I27" s="643"/>
      <c r="J27" s="643"/>
      <c r="K27" s="643"/>
      <c r="L27" s="651"/>
    </row>
    <row r="28" spans="2:12" x14ac:dyDescent="0.25">
      <c r="B28" s="650"/>
      <c r="C28" s="605" t="s">
        <v>276</v>
      </c>
      <c r="D28" s="606"/>
      <c r="E28" s="626" t="s">
        <v>274</v>
      </c>
      <c r="F28" s="627">
        <f>F24-F25-F26-F27</f>
        <v>-21049947.495000001</v>
      </c>
      <c r="G28" s="627">
        <f>G24-G25-G26-G27</f>
        <v>-32554851.726666667</v>
      </c>
      <c r="H28" s="627">
        <f>H24-H25-H26-H27</f>
        <v>-43027494.19933334</v>
      </c>
      <c r="I28" s="643"/>
      <c r="J28" s="643"/>
      <c r="K28" s="643"/>
      <c r="L28" s="651"/>
    </row>
    <row r="29" spans="2:12" x14ac:dyDescent="0.25">
      <c r="B29" s="650"/>
      <c r="C29" s="621" t="s">
        <v>277</v>
      </c>
      <c r="D29" s="622"/>
      <c r="E29" s="312" t="s">
        <v>274</v>
      </c>
      <c r="F29" s="624">
        <f>F24*0.03</f>
        <v>0</v>
      </c>
      <c r="G29" s="624">
        <f>G24*0.03</f>
        <v>0</v>
      </c>
      <c r="H29" s="624">
        <f>H24*0.03</f>
        <v>0</v>
      </c>
      <c r="I29" s="643"/>
      <c r="J29" s="643"/>
      <c r="K29" s="643"/>
      <c r="L29" s="651"/>
    </row>
    <row r="30" spans="2:12" x14ac:dyDescent="0.25">
      <c r="B30" s="650"/>
      <c r="C30" s="993" t="s">
        <v>278</v>
      </c>
      <c r="D30" s="994"/>
      <c r="E30" s="312"/>
      <c r="F30" s="624">
        <f>F28-F29</f>
        <v>-21049947.495000001</v>
      </c>
      <c r="G30" s="624">
        <f>G28-G29-G17</f>
        <v>-32702512.293333333</v>
      </c>
      <c r="H30" s="624">
        <f>H28-H29</f>
        <v>-43027494.19933334</v>
      </c>
      <c r="I30" s="643"/>
      <c r="J30" s="643"/>
      <c r="K30" s="643"/>
      <c r="L30" s="651"/>
    </row>
    <row r="31" spans="2:12" x14ac:dyDescent="0.25">
      <c r="B31" s="650"/>
      <c r="C31" s="621" t="s">
        <v>279</v>
      </c>
      <c r="D31" s="622"/>
      <c r="E31" s="312" t="s">
        <v>274</v>
      </c>
      <c r="F31" s="624">
        <v>0</v>
      </c>
      <c r="G31" s="624">
        <v>0</v>
      </c>
      <c r="H31" s="624">
        <v>0</v>
      </c>
      <c r="I31" s="643"/>
      <c r="J31" s="643"/>
      <c r="K31" s="643"/>
      <c r="L31" s="651"/>
    </row>
    <row r="32" spans="2:12" x14ac:dyDescent="0.25">
      <c r="B32" s="650"/>
      <c r="C32" s="605" t="s">
        <v>280</v>
      </c>
      <c r="D32" s="606"/>
      <c r="E32" s="626" t="s">
        <v>274</v>
      </c>
      <c r="F32" s="627">
        <f>F28-F29-F31</f>
        <v>-21049947.495000001</v>
      </c>
      <c r="G32" s="627">
        <f>G28-G29-G31</f>
        <v>-32554851.726666667</v>
      </c>
      <c r="H32" s="627">
        <f>H28-H29-H31</f>
        <v>-43027494.19933334</v>
      </c>
      <c r="I32" s="643"/>
      <c r="J32" s="643"/>
      <c r="K32" s="643"/>
      <c r="L32" s="651"/>
    </row>
    <row r="33" spans="2:12" x14ac:dyDescent="0.25">
      <c r="B33" s="650"/>
      <c r="C33" s="621" t="s">
        <v>281</v>
      </c>
      <c r="D33" s="622"/>
      <c r="E33" s="624">
        <f>-E21</f>
        <v>-2297572</v>
      </c>
      <c r="F33" s="624">
        <f>-F21</f>
        <v>-22999</v>
      </c>
      <c r="G33" s="624">
        <f>-G21</f>
        <v>-70262</v>
      </c>
      <c r="H33" s="624">
        <f>-H21</f>
        <v>-1306257</v>
      </c>
      <c r="I33" s="643"/>
      <c r="J33" s="643"/>
      <c r="K33" s="643"/>
      <c r="L33" s="651"/>
    </row>
    <row r="34" spans="2:12" x14ac:dyDescent="0.25">
      <c r="B34" s="650"/>
      <c r="C34" s="605" t="s">
        <v>282</v>
      </c>
      <c r="D34" s="606"/>
      <c r="E34" s="627">
        <f>E33</f>
        <v>-2297572</v>
      </c>
      <c r="F34" s="627">
        <f>F32+F33</f>
        <v>-21072946.495000001</v>
      </c>
      <c r="G34" s="627">
        <f>G32+G33</f>
        <v>-32625113.726666667</v>
      </c>
      <c r="H34" s="627">
        <f>H32+H33</f>
        <v>-44333751.19933334</v>
      </c>
      <c r="I34" s="643"/>
      <c r="J34" s="643"/>
      <c r="K34" s="643"/>
      <c r="L34" s="651"/>
    </row>
    <row r="35" spans="2:12" x14ac:dyDescent="0.25">
      <c r="B35" s="650"/>
      <c r="C35" s="133"/>
      <c r="D35" s="133"/>
      <c r="E35" s="133"/>
      <c r="F35" s="133"/>
      <c r="G35" s="133"/>
      <c r="H35" s="133"/>
      <c r="I35" s="643"/>
      <c r="J35" s="643"/>
      <c r="K35" s="643"/>
      <c r="L35" s="651"/>
    </row>
    <row r="36" spans="2:12" x14ac:dyDescent="0.25">
      <c r="B36" s="650"/>
      <c r="C36" s="133"/>
      <c r="D36" s="133"/>
      <c r="E36" s="133"/>
      <c r="F36" s="133"/>
      <c r="G36" s="653" t="s">
        <v>283</v>
      </c>
      <c r="H36" s="654">
        <v>0.62</v>
      </c>
      <c r="I36" s="643"/>
      <c r="J36" s="643"/>
      <c r="K36" s="643"/>
      <c r="L36" s="651"/>
    </row>
    <row r="37" spans="2:12" x14ac:dyDescent="0.25">
      <c r="B37" s="650"/>
      <c r="C37" s="133"/>
      <c r="D37" s="133"/>
      <c r="E37" s="133"/>
      <c r="F37" s="133"/>
      <c r="G37" s="653" t="s">
        <v>284</v>
      </c>
      <c r="H37" s="655"/>
      <c r="I37" s="643"/>
      <c r="J37" s="643"/>
      <c r="K37" s="643"/>
      <c r="L37" s="651"/>
    </row>
    <row r="38" spans="2:12" x14ac:dyDescent="0.25">
      <c r="B38" s="650"/>
      <c r="C38" s="133"/>
      <c r="D38" s="133"/>
      <c r="E38" s="133"/>
      <c r="F38" s="133"/>
      <c r="G38" s="653" t="s">
        <v>285</v>
      </c>
      <c r="H38" s="656"/>
      <c r="I38" s="643"/>
      <c r="J38" s="643"/>
      <c r="K38" s="643"/>
      <c r="L38" s="651"/>
    </row>
    <row r="39" spans="2:12" x14ac:dyDescent="0.25">
      <c r="B39" s="650"/>
      <c r="C39" s="133"/>
      <c r="D39" s="133"/>
      <c r="E39" s="133"/>
      <c r="F39" s="133"/>
      <c r="G39" s="133"/>
      <c r="H39" s="133"/>
      <c r="I39" s="133"/>
      <c r="J39" s="133"/>
      <c r="K39" s="133"/>
      <c r="L39" s="651"/>
    </row>
    <row r="40" spans="2:12" ht="15.75" thickBot="1" x14ac:dyDescent="0.3">
      <c r="B40" s="516"/>
      <c r="C40" s="517"/>
      <c r="D40" s="517"/>
      <c r="E40" s="517"/>
      <c r="F40" s="517"/>
      <c r="G40" s="517"/>
      <c r="H40" s="517"/>
      <c r="I40" s="517"/>
      <c r="J40" s="517"/>
      <c r="K40" s="517"/>
      <c r="L40" s="518"/>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topLeftCell="L1" zoomScale="90" zoomScaleNormal="90" workbookViewId="0">
      <pane ySplit="1" topLeftCell="A2" activePane="bottomLeft" state="frozen"/>
      <selection pane="bottomLeft" sqref="A1:N1"/>
    </sheetView>
  </sheetViews>
  <sheetFormatPr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703" customFormat="1" ht="58.5" customHeight="1" x14ac:dyDescent="0.25">
      <c r="A1" s="706"/>
      <c r="B1" s="706"/>
      <c r="C1" s="706"/>
      <c r="D1" s="706"/>
      <c r="E1" s="706"/>
      <c r="F1" s="987" t="s">
        <v>305</v>
      </c>
      <c r="G1" s="988"/>
      <c r="H1" s="988"/>
      <c r="I1" s="706"/>
      <c r="J1" s="706"/>
      <c r="K1" s="706"/>
      <c r="L1" s="706"/>
      <c r="M1" s="706"/>
      <c r="N1" s="706"/>
    </row>
    <row r="2" spans="1:14" ht="15.75" thickBot="1" x14ac:dyDescent="0.3"/>
    <row r="3" spans="1:14" ht="15.75" thickBot="1" x14ac:dyDescent="0.3">
      <c r="B3" s="638"/>
      <c r="C3" s="639"/>
      <c r="D3" s="639"/>
      <c r="E3" s="639"/>
      <c r="F3" s="639"/>
      <c r="G3" s="639"/>
      <c r="H3" s="639"/>
      <c r="I3" s="639"/>
      <c r="J3" s="639"/>
      <c r="K3" s="639"/>
      <c r="L3" s="640"/>
    </row>
    <row r="4" spans="1:14" ht="15.75" thickBot="1" x14ac:dyDescent="0.3">
      <c r="B4" s="650"/>
      <c r="C4" s="837" t="s">
        <v>341</v>
      </c>
      <c r="D4" s="1016"/>
      <c r="E4" s="1016"/>
      <c r="F4" s="1016"/>
      <c r="G4" s="1016"/>
      <c r="H4" s="1016"/>
      <c r="I4" s="1016"/>
      <c r="J4" s="1016"/>
      <c r="K4" s="838"/>
      <c r="L4" s="651"/>
    </row>
    <row r="5" spans="1:14" ht="15.75" thickBot="1" x14ac:dyDescent="0.3">
      <c r="B5" s="650"/>
      <c r="C5" s="643"/>
      <c r="D5" s="643"/>
      <c r="E5" s="643"/>
      <c r="F5" s="643"/>
      <c r="G5" s="643"/>
      <c r="H5" s="643"/>
      <c r="I5" s="643"/>
      <c r="J5" s="643"/>
      <c r="K5" s="643"/>
      <c r="L5" s="651"/>
    </row>
    <row r="6" spans="1:14" ht="15.75" thickBot="1" x14ac:dyDescent="0.3">
      <c r="B6" s="650"/>
      <c r="C6" s="133"/>
      <c r="D6" s="133"/>
      <c r="E6" s="133"/>
      <c r="F6" s="1013" t="s">
        <v>36</v>
      </c>
      <c r="G6" s="1014"/>
      <c r="H6" s="1015"/>
      <c r="I6" s="643"/>
      <c r="J6" s="643"/>
      <c r="K6" s="359" t="s">
        <v>352</v>
      </c>
      <c r="L6" s="651"/>
    </row>
    <row r="7" spans="1:14" x14ac:dyDescent="0.25">
      <c r="B7" s="650"/>
      <c r="E7" s="133"/>
      <c r="F7" s="614">
        <v>2019</v>
      </c>
      <c r="G7" s="614">
        <v>2020</v>
      </c>
      <c r="H7" s="614">
        <v>2021</v>
      </c>
      <c r="I7" s="643"/>
      <c r="J7" s="643"/>
      <c r="K7" s="998" t="s">
        <v>347</v>
      </c>
      <c r="L7" s="651"/>
    </row>
    <row r="8" spans="1:14" x14ac:dyDescent="0.25">
      <c r="B8" s="650"/>
      <c r="E8" s="133"/>
      <c r="F8" s="609">
        <f>'Presupuesto financiero'!K5</f>
        <v>0.03</v>
      </c>
      <c r="G8" s="609">
        <f>'Presupuesto financiero'!L5</f>
        <v>0.05</v>
      </c>
      <c r="H8" s="609">
        <f>'Presupuesto financiero'!M5</f>
        <v>0.09</v>
      </c>
      <c r="I8" s="643"/>
      <c r="J8" s="643"/>
      <c r="K8" s="996"/>
      <c r="L8" s="651"/>
    </row>
    <row r="9" spans="1:14" ht="15.75" thickBot="1" x14ac:dyDescent="0.3">
      <c r="B9" s="650"/>
      <c r="E9" s="620" t="s">
        <v>336</v>
      </c>
      <c r="F9" s="631">
        <f>'Presupuesto financiero'!K6</f>
        <v>0</v>
      </c>
      <c r="G9" s="631">
        <f>'Presupuesto financiero'!L6</f>
        <v>0</v>
      </c>
      <c r="H9" s="631">
        <f>'Presupuesto financiero'!M6</f>
        <v>0</v>
      </c>
      <c r="I9" s="643"/>
      <c r="J9" s="643"/>
      <c r="K9" s="997"/>
      <c r="L9" s="651"/>
    </row>
    <row r="10" spans="1:14" ht="15.75" thickBot="1" x14ac:dyDescent="0.3">
      <c r="B10" s="650"/>
      <c r="C10" s="133"/>
      <c r="D10" s="133"/>
      <c r="E10" s="620" t="s">
        <v>273</v>
      </c>
      <c r="F10" s="610">
        <f>'Presupuesto financiero'!K10</f>
        <v>2343935.7000000002</v>
      </c>
      <c r="G10" s="610">
        <f>'Presupuesto financiero'!L10</f>
        <v>2614351.9749999996</v>
      </c>
      <c r="H10" s="610">
        <f>'Presupuesto financiero'!M10</f>
        <v>2971977.4835000001</v>
      </c>
      <c r="I10" s="643"/>
      <c r="J10" s="643"/>
      <c r="K10" s="359" t="s">
        <v>293</v>
      </c>
      <c r="L10" s="651"/>
    </row>
    <row r="11" spans="1:14" x14ac:dyDescent="0.25">
      <c r="B11" s="650"/>
      <c r="C11" s="133"/>
      <c r="D11" s="133"/>
      <c r="E11" s="620" t="s">
        <v>228</v>
      </c>
      <c r="F11" s="610">
        <f>'Presupuesto financiero'!K11</f>
        <v>11364349.35</v>
      </c>
      <c r="G11" s="610">
        <f>'Presupuesto financiero'!L11</f>
        <v>17694195.824999999</v>
      </c>
      <c r="H11" s="610">
        <f>'Presupuesto financiero'!M11</f>
        <v>29793383.600000001</v>
      </c>
      <c r="I11" s="643"/>
      <c r="J11" s="643"/>
      <c r="K11" s="998"/>
      <c r="L11" s="651"/>
    </row>
    <row r="12" spans="1:14" x14ac:dyDescent="0.25">
      <c r="B12" s="650"/>
      <c r="C12" s="133"/>
      <c r="D12" s="133"/>
      <c r="E12" s="620" t="s">
        <v>334</v>
      </c>
      <c r="F12" s="610">
        <f>'Presupuesto financiero'!K12</f>
        <v>7341662.4450000012</v>
      </c>
      <c r="G12" s="610">
        <f>'Presupuesto financiero'!L12</f>
        <v>8446303.9266666677</v>
      </c>
      <c r="H12" s="610">
        <f>'Presupuesto financiero'!M12</f>
        <v>10262133.115833335</v>
      </c>
      <c r="I12" s="643"/>
      <c r="J12" s="643"/>
      <c r="K12" s="996"/>
      <c r="L12" s="651"/>
    </row>
    <row r="13" spans="1:14" ht="15.75" thickBot="1" x14ac:dyDescent="0.3">
      <c r="B13" s="650"/>
      <c r="C13" s="133"/>
      <c r="D13" s="133"/>
      <c r="E13" s="133"/>
      <c r="F13" s="133"/>
      <c r="G13" s="133"/>
      <c r="H13" s="133"/>
      <c r="I13" s="643"/>
      <c r="J13" s="643"/>
      <c r="K13" s="997"/>
      <c r="L13" s="651"/>
    </row>
    <row r="14" spans="1:14" ht="15.75" thickBot="1" x14ac:dyDescent="0.3">
      <c r="B14" s="650"/>
      <c r="C14" s="1002" t="s">
        <v>351</v>
      </c>
      <c r="D14" s="1003"/>
      <c r="E14" s="133"/>
      <c r="F14" s="630" t="s">
        <v>258</v>
      </c>
      <c r="G14" s="607"/>
      <c r="H14" s="608"/>
      <c r="I14" s="643"/>
      <c r="J14" s="643"/>
      <c r="K14" s="359" t="s">
        <v>294</v>
      </c>
      <c r="L14" s="651"/>
    </row>
    <row r="15" spans="1:14" ht="20.25" customHeight="1" thickBot="1" x14ac:dyDescent="0.3">
      <c r="B15" s="650"/>
      <c r="C15" s="614">
        <v>2020</v>
      </c>
      <c r="D15" s="614">
        <v>2021</v>
      </c>
      <c r="E15" s="133"/>
      <c r="F15" s="394">
        <v>2019</v>
      </c>
      <c r="G15" s="394">
        <v>2020</v>
      </c>
      <c r="H15" s="394">
        <v>2021</v>
      </c>
      <c r="I15" s="643"/>
      <c r="J15" s="643"/>
      <c r="K15" s="635" t="s">
        <v>349</v>
      </c>
      <c r="L15" s="651"/>
    </row>
    <row r="16" spans="1:14" x14ac:dyDescent="0.25">
      <c r="B16" s="650"/>
      <c r="C16" s="687">
        <v>0.9</v>
      </c>
      <c r="D16" s="687">
        <v>0.9</v>
      </c>
      <c r="E16" s="632"/>
      <c r="F16" s="610">
        <f>'Presupuesto financiero'!K16</f>
        <v>141277.33333333334</v>
      </c>
      <c r="G16" s="610">
        <f>'Presupuesto financiero'!L16</f>
        <v>147660.56666666665</v>
      </c>
      <c r="H16" s="610">
        <f>'Presupuesto financiero'!M16</f>
        <v>162884.43333333335</v>
      </c>
      <c r="I16" s="643"/>
      <c r="J16" s="643"/>
      <c r="K16" s="643"/>
      <c r="L16" s="651"/>
    </row>
    <row r="17" spans="2:12" x14ac:dyDescent="0.25">
      <c r="B17" s="650"/>
      <c r="C17" s="133"/>
      <c r="D17" s="133"/>
      <c r="E17" s="632"/>
      <c r="F17" s="48"/>
      <c r="G17" s="48"/>
      <c r="H17" s="48"/>
      <c r="I17" s="643"/>
      <c r="J17" s="643"/>
      <c r="K17" s="643"/>
      <c r="L17" s="651"/>
    </row>
    <row r="18" spans="2:12" x14ac:dyDescent="0.25">
      <c r="B18" s="650"/>
      <c r="C18" s="133"/>
      <c r="D18" s="133"/>
      <c r="E18" s="630" t="s">
        <v>232</v>
      </c>
      <c r="F18" s="607"/>
      <c r="G18" s="607"/>
      <c r="H18" s="608"/>
      <c r="I18" s="643"/>
      <c r="J18" s="643"/>
      <c r="K18" s="643"/>
      <c r="L18" s="651"/>
    </row>
    <row r="19" spans="2:12" x14ac:dyDescent="0.25">
      <c r="B19" s="650"/>
      <c r="C19" s="133"/>
      <c r="D19" s="133"/>
      <c r="E19" s="614" t="s">
        <v>233</v>
      </c>
      <c r="F19" s="614">
        <v>2019</v>
      </c>
      <c r="G19" s="614">
        <v>2020</v>
      </c>
      <c r="H19" s="614">
        <v>2021</v>
      </c>
      <c r="I19" s="643"/>
      <c r="J19" s="643"/>
      <c r="K19" s="643"/>
      <c r="L19" s="651"/>
    </row>
    <row r="20" spans="2:12" x14ac:dyDescent="0.25">
      <c r="B20" s="650"/>
      <c r="C20" s="133"/>
      <c r="D20" s="133"/>
      <c r="E20" s="610">
        <f>'Presupuesto financiero'!J20</f>
        <v>2297572</v>
      </c>
      <c r="F20" s="610">
        <f>'Presupuesto financiero'!K20</f>
        <v>22999</v>
      </c>
      <c r="G20" s="610">
        <f>'Presupuesto financiero'!L20</f>
        <v>70262</v>
      </c>
      <c r="H20" s="610">
        <f>'Presupuesto financiero'!M20</f>
        <v>1306257</v>
      </c>
      <c r="I20" s="643"/>
      <c r="J20" s="643"/>
      <c r="K20" s="643"/>
      <c r="L20" s="651"/>
    </row>
    <row r="21" spans="2:12" x14ac:dyDescent="0.25">
      <c r="B21" s="650"/>
      <c r="C21" s="133"/>
      <c r="D21" s="133"/>
      <c r="E21" s="133"/>
      <c r="F21" s="133"/>
      <c r="G21" s="133"/>
      <c r="H21" s="133"/>
      <c r="I21" s="643"/>
      <c r="J21" s="643"/>
      <c r="K21" s="643"/>
      <c r="L21" s="651"/>
    </row>
    <row r="22" spans="2:12" x14ac:dyDescent="0.25">
      <c r="B22" s="650"/>
      <c r="C22" s="133"/>
      <c r="D22" s="133"/>
      <c r="E22" s="617" t="s">
        <v>287</v>
      </c>
      <c r="F22" s="617">
        <v>2019</v>
      </c>
      <c r="G22" s="617">
        <v>2020</v>
      </c>
      <c r="H22" s="617">
        <v>2021</v>
      </c>
      <c r="I22" s="643"/>
      <c r="J22" s="643"/>
      <c r="K22" s="643"/>
      <c r="L22" s="651"/>
    </row>
    <row r="23" spans="2:12" x14ac:dyDescent="0.25">
      <c r="B23" s="650"/>
      <c r="C23" s="618" t="s">
        <v>41</v>
      </c>
      <c r="D23" s="619"/>
      <c r="E23" s="623" t="s">
        <v>274</v>
      </c>
      <c r="F23" s="624">
        <f>F9</f>
        <v>0</v>
      </c>
      <c r="G23" s="686">
        <f>G9*C16</f>
        <v>0</v>
      </c>
      <c r="H23" s="686">
        <f>H9*D16</f>
        <v>0</v>
      </c>
      <c r="I23" s="643"/>
      <c r="J23" s="643"/>
      <c r="K23" s="643"/>
      <c r="L23" s="651"/>
    </row>
    <row r="24" spans="2:12" x14ac:dyDescent="0.25">
      <c r="B24" s="650"/>
      <c r="C24" s="1006" t="s">
        <v>275</v>
      </c>
      <c r="D24" s="620" t="s">
        <v>331</v>
      </c>
      <c r="E24" s="623" t="s">
        <v>274</v>
      </c>
      <c r="F24" s="624">
        <f>F10</f>
        <v>2343935.7000000002</v>
      </c>
      <c r="G24" s="624">
        <f>G10</f>
        <v>2614351.9749999996</v>
      </c>
      <c r="H24" s="624">
        <f>H10</f>
        <v>2971977.4835000001</v>
      </c>
      <c r="I24" s="643"/>
      <c r="J24" s="643"/>
      <c r="K24" s="643"/>
      <c r="L24" s="651"/>
    </row>
    <row r="25" spans="2:12" x14ac:dyDescent="0.25">
      <c r="B25" s="650"/>
      <c r="C25" s="1007"/>
      <c r="D25" s="620" t="s">
        <v>332</v>
      </c>
      <c r="E25" s="623" t="s">
        <v>274</v>
      </c>
      <c r="F25" s="624">
        <f>F11</f>
        <v>11364349.35</v>
      </c>
      <c r="G25" s="686">
        <f>G11*C16</f>
        <v>15924776.2425</v>
      </c>
      <c r="H25" s="686">
        <f>H11*D16</f>
        <v>26814045.240000002</v>
      </c>
      <c r="I25" s="643"/>
      <c r="J25" s="643"/>
      <c r="K25" s="643"/>
      <c r="L25" s="651"/>
    </row>
    <row r="26" spans="2:12" x14ac:dyDescent="0.25">
      <c r="B26" s="650"/>
      <c r="C26" s="1008"/>
      <c r="D26" s="620" t="s">
        <v>333</v>
      </c>
      <c r="E26" s="623" t="s">
        <v>274</v>
      </c>
      <c r="F26" s="624">
        <f>F12</f>
        <v>7341662.4450000012</v>
      </c>
      <c r="G26" s="624">
        <f>G12</f>
        <v>8446303.9266666677</v>
      </c>
      <c r="H26" s="624">
        <f>H12</f>
        <v>10262133.115833335</v>
      </c>
      <c r="I26" s="643"/>
      <c r="J26" s="643"/>
      <c r="K26" s="643"/>
      <c r="L26" s="651"/>
    </row>
    <row r="27" spans="2:12" x14ac:dyDescent="0.25">
      <c r="B27" s="650"/>
      <c r="C27" s="621" t="s">
        <v>276</v>
      </c>
      <c r="D27" s="622"/>
      <c r="E27" s="626" t="s">
        <v>274</v>
      </c>
      <c r="F27" s="627">
        <f>F23-F24-F25-F26</f>
        <v>-21049947.495000001</v>
      </c>
      <c r="G27" s="627">
        <f>G23-G24-G25-G26</f>
        <v>-26985432.144166671</v>
      </c>
      <c r="H27" s="627">
        <f>H23-H24-H25-H26</f>
        <v>-40048155.839333341</v>
      </c>
      <c r="I27" s="643"/>
      <c r="J27" s="643"/>
      <c r="K27" s="643"/>
      <c r="L27" s="651"/>
    </row>
    <row r="28" spans="2:12" x14ac:dyDescent="0.25">
      <c r="B28" s="650"/>
      <c r="C28" s="621" t="s">
        <v>277</v>
      </c>
      <c r="D28" s="622"/>
      <c r="E28" s="312" t="s">
        <v>274</v>
      </c>
      <c r="F28" s="624">
        <f>F23*0.03</f>
        <v>0</v>
      </c>
      <c r="G28" s="624">
        <f>G23*0.03</f>
        <v>0</v>
      </c>
      <c r="H28" s="624">
        <f>H23*0.03</f>
        <v>0</v>
      </c>
      <c r="I28" s="643"/>
      <c r="J28" s="643"/>
      <c r="K28" s="643"/>
      <c r="L28" s="651"/>
    </row>
    <row r="29" spans="2:12" x14ac:dyDescent="0.25">
      <c r="B29" s="650"/>
      <c r="C29" s="993" t="s">
        <v>278</v>
      </c>
      <c r="D29" s="994"/>
      <c r="E29" s="312"/>
      <c r="F29" s="624">
        <f>F27-F28</f>
        <v>-21049947.495000001</v>
      </c>
      <c r="G29" s="624">
        <f>G27-G28-G16</f>
        <v>-27133092.710833337</v>
      </c>
      <c r="H29" s="624">
        <f>H27-H28-H16</f>
        <v>-40211040.27266667</v>
      </c>
      <c r="I29" s="643"/>
      <c r="J29" s="643"/>
      <c r="K29" s="643"/>
      <c r="L29" s="651"/>
    </row>
    <row r="30" spans="2:12" x14ac:dyDescent="0.25">
      <c r="B30" s="650"/>
      <c r="C30" s="621" t="s">
        <v>279</v>
      </c>
      <c r="D30" s="622"/>
      <c r="E30" s="312" t="s">
        <v>274</v>
      </c>
      <c r="F30" s="624">
        <v>0</v>
      </c>
      <c r="G30" s="624">
        <v>0</v>
      </c>
      <c r="H30" s="624">
        <f>0.35*G29</f>
        <v>-9496582.4487916678</v>
      </c>
      <c r="I30" s="643"/>
      <c r="J30" s="643"/>
      <c r="K30" s="643"/>
      <c r="L30" s="651"/>
    </row>
    <row r="31" spans="2:12" x14ac:dyDescent="0.25">
      <c r="B31" s="650"/>
      <c r="C31" s="621" t="s">
        <v>280</v>
      </c>
      <c r="D31" s="622"/>
      <c r="E31" s="626" t="s">
        <v>274</v>
      </c>
      <c r="F31" s="627">
        <f>F27-F28-F30</f>
        <v>-21049947.495000001</v>
      </c>
      <c r="G31" s="627">
        <f>G27-G28-G30</f>
        <v>-26985432.144166671</v>
      </c>
      <c r="H31" s="627">
        <f>H27-H28-H30</f>
        <v>-30551573.390541673</v>
      </c>
      <c r="I31" s="643"/>
      <c r="J31" s="643"/>
      <c r="K31" s="643"/>
      <c r="L31" s="651"/>
    </row>
    <row r="32" spans="2:12" x14ac:dyDescent="0.25">
      <c r="B32" s="650"/>
      <c r="C32" s="621" t="s">
        <v>281</v>
      </c>
      <c r="D32" s="622"/>
      <c r="E32" s="624">
        <f>-E20</f>
        <v>-2297572</v>
      </c>
      <c r="F32" s="624">
        <f>-F20</f>
        <v>-22999</v>
      </c>
      <c r="G32" s="624">
        <f>-G20</f>
        <v>-70262</v>
      </c>
      <c r="H32" s="624">
        <f>-H20</f>
        <v>-1306257</v>
      </c>
      <c r="I32" s="643"/>
      <c r="J32" s="643"/>
      <c r="K32" s="643"/>
      <c r="L32" s="651"/>
    </row>
    <row r="33" spans="2:12" x14ac:dyDescent="0.25">
      <c r="B33" s="650"/>
      <c r="C33" s="621" t="s">
        <v>282</v>
      </c>
      <c r="D33" s="622"/>
      <c r="E33" s="627">
        <f>E32</f>
        <v>-2297572</v>
      </c>
      <c r="F33" s="627">
        <f>F31+F32</f>
        <v>-21072946.495000001</v>
      </c>
      <c r="G33" s="627">
        <f>G31+G32</f>
        <v>-27055694.144166671</v>
      </c>
      <c r="H33" s="627">
        <f>H31+H32</f>
        <v>-31857830.390541673</v>
      </c>
      <c r="I33" s="643"/>
      <c r="J33" s="643"/>
      <c r="K33" s="643"/>
      <c r="L33" s="651"/>
    </row>
    <row r="34" spans="2:12" x14ac:dyDescent="0.25">
      <c r="B34" s="650"/>
      <c r="C34" s="133"/>
      <c r="D34" s="133"/>
      <c r="E34" s="133"/>
      <c r="F34" s="133"/>
      <c r="G34" s="133"/>
      <c r="H34" s="133"/>
      <c r="I34" s="643"/>
      <c r="J34" s="643"/>
      <c r="K34" s="643"/>
      <c r="L34" s="651"/>
    </row>
    <row r="35" spans="2:12" x14ac:dyDescent="0.25">
      <c r="B35" s="650"/>
      <c r="C35" s="133"/>
      <c r="D35" s="133"/>
      <c r="E35" s="133"/>
      <c r="F35" s="133"/>
      <c r="G35" s="616" t="s">
        <v>283</v>
      </c>
      <c r="H35" s="611">
        <v>0.62</v>
      </c>
      <c r="I35" s="643"/>
      <c r="J35" s="643"/>
      <c r="K35" s="643"/>
      <c r="L35" s="651"/>
    </row>
    <row r="36" spans="2:12" x14ac:dyDescent="0.25">
      <c r="B36" s="650"/>
      <c r="C36" s="133"/>
      <c r="D36" s="133"/>
      <c r="E36" s="133"/>
      <c r="F36" s="133"/>
      <c r="G36" s="616" t="s">
        <v>284</v>
      </c>
      <c r="H36" s="612"/>
      <c r="I36" s="643"/>
      <c r="J36" s="643"/>
      <c r="K36" s="643"/>
      <c r="L36" s="651"/>
    </row>
    <row r="37" spans="2:12" x14ac:dyDescent="0.25">
      <c r="B37" s="650"/>
      <c r="C37" s="133"/>
      <c r="D37" s="133"/>
      <c r="E37" s="133"/>
      <c r="F37" s="133"/>
      <c r="G37" s="616" t="s">
        <v>285</v>
      </c>
      <c r="H37" s="613"/>
      <c r="I37" s="643"/>
      <c r="J37" s="643"/>
      <c r="K37" s="643"/>
      <c r="L37" s="651"/>
    </row>
    <row r="38" spans="2:12" ht="15.75" thickBot="1" x14ac:dyDescent="0.3">
      <c r="B38" s="516"/>
      <c r="C38" s="517"/>
      <c r="D38" s="517"/>
      <c r="E38" s="517"/>
      <c r="F38" s="517"/>
      <c r="G38" s="517"/>
      <c r="H38" s="517"/>
      <c r="I38" s="517"/>
      <c r="J38" s="517"/>
      <c r="K38" s="517"/>
      <c r="L38" s="518"/>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42"/>
  <sheetViews>
    <sheetView zoomScale="70" zoomScaleNormal="70" workbookViewId="0">
      <pane ySplit="1" topLeftCell="A17" activePane="bottomLeft" state="frozen"/>
      <selection pane="bottomLeft"/>
    </sheetView>
  </sheetViews>
  <sheetFormatPr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703" customFormat="1" ht="58.5" customHeight="1" x14ac:dyDescent="0.25">
      <c r="A1" s="704"/>
      <c r="B1" s="704"/>
      <c r="C1" s="704"/>
      <c r="D1" s="704"/>
      <c r="E1" s="704"/>
      <c r="F1" s="707" t="s">
        <v>12</v>
      </c>
      <c r="G1" s="708"/>
      <c r="H1" s="708"/>
      <c r="I1" s="704"/>
      <c r="J1" s="704"/>
      <c r="K1" s="704"/>
      <c r="L1" s="704"/>
      <c r="M1" s="704"/>
      <c r="N1" s="704"/>
      <c r="O1" s="704"/>
    </row>
    <row r="2" spans="1:15" ht="15.75" thickBot="1" x14ac:dyDescent="0.3"/>
    <row r="3" spans="1:15" ht="21.75" thickBot="1" x14ac:dyDescent="0.4">
      <c r="C3" s="1020" t="s">
        <v>354</v>
      </c>
      <c r="D3" s="1021"/>
      <c r="E3" s="1021"/>
      <c r="F3" s="1021"/>
      <c r="G3" s="1021"/>
      <c r="H3" s="1021"/>
      <c r="I3" s="1021"/>
      <c r="J3" s="1021"/>
      <c r="K3" s="1021"/>
      <c r="L3" s="1021"/>
      <c r="M3" s="1021"/>
      <c r="N3" s="1022"/>
    </row>
    <row r="4" spans="1:15" ht="15.75" thickBot="1" x14ac:dyDescent="0.3"/>
    <row r="5" spans="1:15" ht="15.75" customHeight="1" thickBot="1" x14ac:dyDescent="0.3">
      <c r="C5" s="359" t="s">
        <v>352</v>
      </c>
      <c r="F5" s="133"/>
      <c r="G5" s="133"/>
      <c r="H5" s="133"/>
      <c r="I5" s="1013" t="s">
        <v>36</v>
      </c>
      <c r="J5" s="1014"/>
      <c r="K5" s="1015"/>
    </row>
    <row r="6" spans="1:15" x14ac:dyDescent="0.25">
      <c r="C6" s="998" t="s">
        <v>347</v>
      </c>
      <c r="H6" s="133"/>
      <c r="I6" s="614">
        <v>2019</v>
      </c>
      <c r="J6" s="614">
        <v>2020</v>
      </c>
      <c r="K6" s="614">
        <v>2021</v>
      </c>
    </row>
    <row r="7" spans="1:15" x14ac:dyDescent="0.25">
      <c r="C7" s="996"/>
      <c r="H7" s="133"/>
      <c r="I7" s="609">
        <f>'Escenario 3'!F8</f>
        <v>0.03</v>
      </c>
      <c r="J7" s="609">
        <f>'Escenario 3'!G8</f>
        <v>0.05</v>
      </c>
      <c r="K7" s="609">
        <f>'Escenario 3'!H8</f>
        <v>0.09</v>
      </c>
    </row>
    <row r="8" spans="1:15" ht="15.75" thickBot="1" x14ac:dyDescent="0.3">
      <c r="C8" s="997"/>
      <c r="H8" s="620" t="s">
        <v>336</v>
      </c>
      <c r="I8" s="631">
        <f>'Escenario 3'!F9</f>
        <v>0</v>
      </c>
      <c r="J8" s="631">
        <f>'Escenario 3'!G9</f>
        <v>0</v>
      </c>
      <c r="K8" s="631">
        <f>'Escenario 3'!H9</f>
        <v>0</v>
      </c>
    </row>
    <row r="9" spans="1:15" ht="15.75" thickBot="1" x14ac:dyDescent="0.3">
      <c r="C9" s="359" t="s">
        <v>293</v>
      </c>
      <c r="F9" s="133"/>
      <c r="G9" s="133"/>
      <c r="H9" s="620" t="s">
        <v>273</v>
      </c>
      <c r="I9" s="610">
        <f>'Escenario 3'!F10</f>
        <v>2343935.7000000002</v>
      </c>
      <c r="J9" s="610">
        <f>'Escenario 3'!G10</f>
        <v>2614351.9749999996</v>
      </c>
      <c r="K9" s="610">
        <f>'Escenario 3'!H10</f>
        <v>2971977.4835000001</v>
      </c>
    </row>
    <row r="10" spans="1:15" x14ac:dyDescent="0.25">
      <c r="C10" s="998" t="s">
        <v>348</v>
      </c>
      <c r="F10" s="133"/>
      <c r="G10" s="133"/>
      <c r="H10" s="620" t="s">
        <v>228</v>
      </c>
      <c r="I10" s="610">
        <f>'Escenario 3'!F11</f>
        <v>11364349.35</v>
      </c>
      <c r="J10" s="610">
        <f>'Escenario 3'!G11</f>
        <v>17694195.824999999</v>
      </c>
      <c r="K10" s="610">
        <f>'Escenario 3'!H11</f>
        <v>29793383.600000001</v>
      </c>
    </row>
    <row r="11" spans="1:15" x14ac:dyDescent="0.25">
      <c r="C11" s="996"/>
      <c r="F11" s="133"/>
      <c r="G11" s="133"/>
      <c r="H11" s="620" t="s">
        <v>334</v>
      </c>
      <c r="I11" s="610">
        <f>'Escenario 3'!F12</f>
        <v>7341662.4450000012</v>
      </c>
      <c r="J11" s="610">
        <f>'Escenario 3'!G12</f>
        <v>8446303.9266666677</v>
      </c>
      <c r="K11" s="610">
        <f>'Escenario 3'!H12</f>
        <v>10262133.115833335</v>
      </c>
    </row>
    <row r="12" spans="1:15" ht="15.75" thickBot="1" x14ac:dyDescent="0.3">
      <c r="C12" s="997"/>
      <c r="F12" s="133"/>
      <c r="G12" s="133"/>
      <c r="H12" s="133"/>
      <c r="I12" s="133"/>
      <c r="J12" s="133"/>
      <c r="K12" s="133"/>
    </row>
    <row r="13" spans="1:15" ht="15.75" thickBot="1" x14ac:dyDescent="0.3">
      <c r="C13" s="359" t="s">
        <v>294</v>
      </c>
      <c r="H13" s="133"/>
      <c r="I13" s="630" t="s">
        <v>258</v>
      </c>
      <c r="J13" s="607"/>
      <c r="K13" s="608"/>
    </row>
    <row r="14" spans="1:15" ht="19.5" customHeight="1" thickBot="1" x14ac:dyDescent="0.3">
      <c r="C14" s="635" t="s">
        <v>349</v>
      </c>
      <c r="H14" s="133"/>
      <c r="I14" s="394">
        <v>2019</v>
      </c>
      <c r="J14" s="394">
        <v>2020</v>
      </c>
      <c r="K14" s="394">
        <v>2021</v>
      </c>
    </row>
    <row r="15" spans="1:15" x14ac:dyDescent="0.25">
      <c r="H15" s="632"/>
      <c r="I15" s="610">
        <f>'Escenario 3'!F16</f>
        <v>141277.33333333334</v>
      </c>
      <c r="J15" s="610">
        <f>'Escenario 3'!G16</f>
        <v>147660.56666666665</v>
      </c>
      <c r="K15" s="610">
        <f>'Escenario 3'!H16</f>
        <v>162884.43333333335</v>
      </c>
    </row>
    <row r="16" spans="1:15" ht="15.75" thickBot="1" x14ac:dyDescent="0.3">
      <c r="C16" s="133"/>
      <c r="F16" s="133"/>
      <c r="G16" s="133"/>
      <c r="H16" s="632"/>
      <c r="I16" s="48"/>
      <c r="J16" s="48"/>
      <c r="K16" s="48"/>
    </row>
    <row r="17" spans="3:14" ht="15.75" thickBot="1" x14ac:dyDescent="0.3">
      <c r="C17" s="698" t="s">
        <v>353</v>
      </c>
      <c r="F17" s="133"/>
      <c r="G17" s="133"/>
      <c r="H17" s="630" t="s">
        <v>232</v>
      </c>
      <c r="I17" s="607"/>
      <c r="J17" s="607"/>
      <c r="K17" s="608"/>
    </row>
    <row r="18" spans="3:14" ht="15" customHeight="1" x14ac:dyDescent="0.25">
      <c r="C18" s="1025" t="s">
        <v>362</v>
      </c>
      <c r="F18" s="133"/>
      <c r="G18" s="133"/>
      <c r="H18" s="614" t="s">
        <v>233</v>
      </c>
      <c r="I18" s="614">
        <v>2019</v>
      </c>
      <c r="J18" s="614">
        <v>2020</v>
      </c>
      <c r="K18" s="614">
        <v>2021</v>
      </c>
    </row>
    <row r="19" spans="3:14" ht="30" customHeight="1" x14ac:dyDescent="0.25">
      <c r="C19" s="1026"/>
      <c r="F19" s="133"/>
      <c r="G19" s="133"/>
      <c r="H19" s="610">
        <f>'Escenario 3'!E20</f>
        <v>2297572</v>
      </c>
      <c r="I19" s="610">
        <f>'Escenario 3'!F20</f>
        <v>22999</v>
      </c>
      <c r="J19" s="610">
        <f>'Escenario 3'!G20</f>
        <v>70262</v>
      </c>
      <c r="K19" s="610">
        <f>'Escenario 3'!H20</f>
        <v>1306257</v>
      </c>
    </row>
    <row r="20" spans="3:14" x14ac:dyDescent="0.25">
      <c r="C20" s="1026"/>
      <c r="F20" s="133"/>
      <c r="G20" s="133"/>
      <c r="H20" s="133"/>
      <c r="I20" s="133"/>
      <c r="J20" s="133"/>
      <c r="K20" s="133"/>
    </row>
    <row r="21" spans="3:14" x14ac:dyDescent="0.25">
      <c r="C21" s="1026"/>
      <c r="F21" s="133"/>
      <c r="G21" s="133"/>
      <c r="H21" s="617" t="s">
        <v>287</v>
      </c>
      <c r="I21" s="617">
        <v>2019</v>
      </c>
      <c r="J21" s="617">
        <v>2020</v>
      </c>
      <c r="K21" s="617">
        <v>2021</v>
      </c>
      <c r="M21" s="1002" t="s">
        <v>356</v>
      </c>
      <c r="N21" s="1003"/>
    </row>
    <row r="22" spans="3:14" x14ac:dyDescent="0.25">
      <c r="C22" s="1026"/>
      <c r="F22" s="618" t="s">
        <v>41</v>
      </c>
      <c r="G22" s="619"/>
      <c r="H22" s="623" t="s">
        <v>274</v>
      </c>
      <c r="I22" s="624">
        <f>I8</f>
        <v>0</v>
      </c>
      <c r="J22" s="686">
        <f>J8*M23</f>
        <v>0</v>
      </c>
      <c r="K22" s="686">
        <f>K8*N23</f>
        <v>0</v>
      </c>
      <c r="M22" s="614">
        <v>2020</v>
      </c>
      <c r="N22" s="614">
        <v>2021</v>
      </c>
    </row>
    <row r="23" spans="3:14" x14ac:dyDescent="0.25">
      <c r="C23" s="1026"/>
      <c r="F23" s="1006" t="s">
        <v>275</v>
      </c>
      <c r="G23" s="620" t="s">
        <v>331</v>
      </c>
      <c r="H23" s="623" t="s">
        <v>274</v>
      </c>
      <c r="I23" s="624">
        <f>I9</f>
        <v>2343935.7000000002</v>
      </c>
      <c r="J23" s="624">
        <f>J9</f>
        <v>2614351.9749999996</v>
      </c>
      <c r="K23" s="624">
        <f>K9</f>
        <v>2971977.4835000001</v>
      </c>
      <c r="M23" s="687">
        <v>0.9</v>
      </c>
      <c r="N23" s="687">
        <v>0.92</v>
      </c>
    </row>
    <row r="24" spans="3:14" x14ac:dyDescent="0.25">
      <c r="C24" s="1026"/>
      <c r="F24" s="1007"/>
      <c r="G24" s="620" t="s">
        <v>332</v>
      </c>
      <c r="H24" s="623" t="s">
        <v>274</v>
      </c>
      <c r="I24" s="624">
        <f>I10</f>
        <v>11364349.35</v>
      </c>
      <c r="J24" s="686">
        <f>J10*M23</f>
        <v>15924776.2425</v>
      </c>
      <c r="K24" s="686">
        <f>K10*N23</f>
        <v>27409912.912000004</v>
      </c>
    </row>
    <row r="25" spans="3:14" x14ac:dyDescent="0.25">
      <c r="C25" s="1026"/>
      <c r="F25" s="1008"/>
      <c r="G25" s="620" t="s">
        <v>333</v>
      </c>
      <c r="H25" s="623" t="s">
        <v>274</v>
      </c>
      <c r="I25" s="624">
        <f>I11</f>
        <v>7341662.4450000012</v>
      </c>
      <c r="J25" s="700">
        <f>J11-N30</f>
        <v>7896645.1166666672</v>
      </c>
      <c r="K25" s="701">
        <f>K11-N31</f>
        <v>8465054.0258333348</v>
      </c>
    </row>
    <row r="26" spans="3:14" x14ac:dyDescent="0.25">
      <c r="C26" s="1026"/>
      <c r="F26" s="621" t="s">
        <v>276</v>
      </c>
      <c r="G26" s="622"/>
      <c r="H26" s="626" t="s">
        <v>274</v>
      </c>
      <c r="I26" s="627">
        <f>I22-I23-I24-I25</f>
        <v>-21049947.495000001</v>
      </c>
      <c r="J26" s="627">
        <f>J22-J23-J24-J25</f>
        <v>-26435773.334166668</v>
      </c>
      <c r="K26" s="627">
        <f>K22-K23-K24-K25</f>
        <v>-38846944.421333343</v>
      </c>
    </row>
    <row r="27" spans="3:14" x14ac:dyDescent="0.25">
      <c r="C27" s="1026"/>
      <c r="F27" s="621" t="s">
        <v>277</v>
      </c>
      <c r="G27" s="622"/>
      <c r="H27" s="312" t="s">
        <v>274</v>
      </c>
      <c r="I27" s="624">
        <f>I22*0.03</f>
        <v>0</v>
      </c>
      <c r="J27" s="624">
        <f>J22*0.03</f>
        <v>0</v>
      </c>
      <c r="K27" s="624">
        <f>K22*0.03</f>
        <v>0</v>
      </c>
    </row>
    <row r="28" spans="3:14" x14ac:dyDescent="0.25">
      <c r="C28" s="1026"/>
      <c r="F28" s="993" t="s">
        <v>278</v>
      </c>
      <c r="G28" s="994"/>
      <c r="H28" s="312"/>
      <c r="I28" s="624">
        <f>I26-I27</f>
        <v>-21049947.495000001</v>
      </c>
      <c r="J28" s="624">
        <f>J26-J27-J15</f>
        <v>-26583433.900833335</v>
      </c>
      <c r="K28" s="624">
        <f>K26-K27-K15</f>
        <v>-39009828.854666673</v>
      </c>
      <c r="M28" s="1002" t="s">
        <v>357</v>
      </c>
      <c r="N28" s="1003"/>
    </row>
    <row r="29" spans="3:14" x14ac:dyDescent="0.25">
      <c r="C29" s="1026"/>
      <c r="F29" s="621" t="s">
        <v>279</v>
      </c>
      <c r="G29" s="622"/>
      <c r="H29" s="312" t="s">
        <v>274</v>
      </c>
      <c r="I29" s="624">
        <v>0</v>
      </c>
      <c r="J29" s="624">
        <v>0</v>
      </c>
      <c r="K29" s="624">
        <f>0.35*J28</f>
        <v>-9304201.8652916662</v>
      </c>
      <c r="M29" s="695" t="s">
        <v>358</v>
      </c>
      <c r="N29" s="699">
        <v>1234590</v>
      </c>
    </row>
    <row r="30" spans="3:14" x14ac:dyDescent="0.25">
      <c r="C30" s="1026"/>
      <c r="F30" s="621" t="s">
        <v>280</v>
      </c>
      <c r="G30" s="622"/>
      <c r="H30" s="626" t="s">
        <v>274</v>
      </c>
      <c r="I30" s="627">
        <f>I26-I27-I29</f>
        <v>-21049947.495000001</v>
      </c>
      <c r="J30" s="627">
        <f>J26-J27-J29</f>
        <v>-26435773.334166668</v>
      </c>
      <c r="K30" s="627">
        <f>K26-K27-K29</f>
        <v>-29542742.556041677</v>
      </c>
      <c r="M30" s="696" t="s">
        <v>360</v>
      </c>
      <c r="N30" s="700">
        <f>549658.81</f>
        <v>549658.81000000006</v>
      </c>
    </row>
    <row r="31" spans="3:14" x14ac:dyDescent="0.25">
      <c r="C31" s="1026"/>
      <c r="F31" s="621" t="s">
        <v>281</v>
      </c>
      <c r="G31" s="622"/>
      <c r="H31" s="624">
        <f>-H19</f>
        <v>-2297572</v>
      </c>
      <c r="I31" s="624">
        <f>-I19</f>
        <v>-22999</v>
      </c>
      <c r="J31" s="624">
        <f>-J19</f>
        <v>-70262</v>
      </c>
      <c r="K31" s="699">
        <f>-K19+N29</f>
        <v>-71667</v>
      </c>
      <c r="M31" s="696" t="s">
        <v>359</v>
      </c>
      <c r="N31" s="701">
        <f>634277.41+824488.21+338313.47</f>
        <v>1797079.09</v>
      </c>
    </row>
    <row r="32" spans="3:14" x14ac:dyDescent="0.25">
      <c r="C32" s="1026"/>
      <c r="F32" s="621" t="s">
        <v>282</v>
      </c>
      <c r="G32" s="622"/>
      <c r="H32" s="627">
        <f>H31</f>
        <v>-2297572</v>
      </c>
      <c r="I32" s="627">
        <f>I30+I31</f>
        <v>-21072946.495000001</v>
      </c>
      <c r="J32" s="627">
        <f>J30+J31</f>
        <v>-26506035.334166668</v>
      </c>
      <c r="K32" s="627">
        <f>K30+K31</f>
        <v>-29614409.556041677</v>
      </c>
    </row>
    <row r="33" spans="3:14" ht="15.75" thickBot="1" x14ac:dyDescent="0.3">
      <c r="C33" s="1026"/>
      <c r="F33" s="133"/>
      <c r="G33" s="133"/>
      <c r="H33" s="133"/>
      <c r="I33" s="133"/>
      <c r="J33" s="133"/>
      <c r="K33" s="133"/>
      <c r="N33" s="697"/>
    </row>
    <row r="34" spans="3:14" ht="15.75" thickBot="1" x14ac:dyDescent="0.3">
      <c r="C34" s="1026"/>
      <c r="F34" s="133"/>
      <c r="G34" s="1023" t="s">
        <v>305</v>
      </c>
      <c r="H34" s="1024"/>
      <c r="I34" s="133"/>
      <c r="J34" s="1023" t="s">
        <v>355</v>
      </c>
      <c r="K34" s="1024"/>
    </row>
    <row r="35" spans="3:14" x14ac:dyDescent="0.25">
      <c r="C35" s="1026"/>
      <c r="F35" s="133"/>
      <c r="G35" s="689" t="s">
        <v>283</v>
      </c>
      <c r="H35" s="690">
        <v>0.62</v>
      </c>
      <c r="I35" s="133"/>
      <c r="J35" s="689" t="s">
        <v>283</v>
      </c>
      <c r="K35" s="690">
        <v>0.62</v>
      </c>
    </row>
    <row r="36" spans="3:14" x14ac:dyDescent="0.25">
      <c r="C36" s="1026"/>
      <c r="F36" s="133"/>
      <c r="G36" s="691" t="s">
        <v>284</v>
      </c>
      <c r="H36" s="692"/>
      <c r="I36" s="133"/>
      <c r="J36" s="691" t="s">
        <v>284</v>
      </c>
      <c r="K36" s="692"/>
    </row>
    <row r="37" spans="3:14" ht="15.75" thickBot="1" x14ac:dyDescent="0.3">
      <c r="C37" s="1026"/>
      <c r="G37" s="693" t="s">
        <v>285</v>
      </c>
      <c r="H37" s="694"/>
      <c r="J37" s="693" t="s">
        <v>285</v>
      </c>
      <c r="K37" s="694"/>
    </row>
    <row r="38" spans="3:14" x14ac:dyDescent="0.25">
      <c r="C38" s="1026"/>
    </row>
    <row r="39" spans="3:14" ht="15.75" thickBot="1" x14ac:dyDescent="0.3">
      <c r="C39" s="1027"/>
    </row>
    <row r="40" spans="3:14" ht="15" customHeight="1" x14ac:dyDescent="0.25">
      <c r="G40" s="1028" t="s">
        <v>150</v>
      </c>
      <c r="H40" s="1029"/>
      <c r="I40" s="1029"/>
      <c r="J40" s="1029"/>
      <c r="K40" s="1030"/>
    </row>
    <row r="41" spans="3:14" ht="3" customHeight="1" thickBot="1" x14ac:dyDescent="0.3">
      <c r="G41" s="1031"/>
      <c r="H41" s="1032"/>
      <c r="I41" s="1032"/>
      <c r="J41" s="1032"/>
      <c r="K41" s="1033"/>
    </row>
    <row r="42" spans="3:14" ht="69.75" customHeight="1" thickBot="1" x14ac:dyDescent="0.3">
      <c r="G42" s="1017" t="s">
        <v>363</v>
      </c>
      <c r="H42" s="1018"/>
      <c r="I42" s="1018"/>
      <c r="J42" s="1018"/>
      <c r="K42" s="1019"/>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9"/>
  <sheetViews>
    <sheetView workbookViewId="0">
      <selection activeCell="D6" sqref="D6"/>
    </sheetView>
  </sheetViews>
  <sheetFormatPr defaultColWidth="11.42578125"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717" t="s">
        <v>15</v>
      </c>
      <c r="C12" s="718"/>
      <c r="D12" s="718"/>
      <c r="E12" s="718"/>
      <c r="F12" s="718"/>
      <c r="G12" s="718"/>
      <c r="H12" s="718"/>
      <c r="I12" s="718"/>
      <c r="J12" s="719"/>
    </row>
    <row r="13" spans="1:10" ht="18.75" x14ac:dyDescent="0.25">
      <c r="B13" s="741" t="s">
        <v>35</v>
      </c>
      <c r="C13" s="742"/>
      <c r="D13" s="742"/>
      <c r="E13" s="742"/>
      <c r="F13" s="742"/>
      <c r="G13" s="742"/>
      <c r="H13" s="742"/>
      <c r="I13" s="742"/>
      <c r="J13" s="743"/>
    </row>
    <row r="14" spans="1:10" x14ac:dyDescent="0.25">
      <c r="B14" s="1"/>
      <c r="C14" s="1"/>
      <c r="D14" s="1"/>
      <c r="E14" s="1"/>
      <c r="F14" s="1"/>
      <c r="G14" s="1"/>
      <c r="H14" s="1"/>
      <c r="I14" s="1"/>
      <c r="J14" s="1"/>
    </row>
    <row r="15" spans="1:10" x14ac:dyDescent="0.25">
      <c r="B15" s="21"/>
      <c r="C15" s="26" t="s">
        <v>26</v>
      </c>
      <c r="D15" s="1"/>
      <c r="E15" s="1"/>
      <c r="F15" s="1"/>
      <c r="G15" s="1"/>
      <c r="H15" s="1"/>
      <c r="I15" s="1"/>
      <c r="J15" s="1"/>
    </row>
    <row r="16" spans="1:10" x14ac:dyDescent="0.25">
      <c r="B16" s="42" t="s">
        <v>16</v>
      </c>
      <c r="C16" s="27">
        <v>3072029</v>
      </c>
      <c r="D16" s="1"/>
      <c r="E16" s="1"/>
      <c r="F16" s="1"/>
      <c r="G16" s="1"/>
      <c r="H16" s="1"/>
      <c r="I16" s="1"/>
      <c r="J16" s="1"/>
    </row>
    <row r="17" spans="2:10" x14ac:dyDescent="0.25">
      <c r="B17" s="43" t="s">
        <v>18</v>
      </c>
      <c r="C17" s="28">
        <v>44938712</v>
      </c>
      <c r="D17" s="1"/>
      <c r="E17" s="1"/>
      <c r="F17" s="1"/>
      <c r="G17" s="1"/>
      <c r="H17" s="1"/>
      <c r="I17" s="1"/>
      <c r="J17" s="1"/>
    </row>
    <row r="18" spans="2:10" x14ac:dyDescent="0.25">
      <c r="B18" s="42" t="s">
        <v>24</v>
      </c>
      <c r="C18" s="28">
        <f>ROUND(C17*32/100,0)</f>
        <v>14380388</v>
      </c>
      <c r="D18" s="1"/>
      <c r="E18" s="1"/>
      <c r="F18" s="1"/>
      <c r="G18" s="1"/>
      <c r="H18" s="1"/>
      <c r="I18" s="1"/>
      <c r="J18" s="1"/>
    </row>
    <row r="19" spans="2:10" x14ac:dyDescent="0.25">
      <c r="B19" s="44" t="s">
        <v>27</v>
      </c>
      <c r="C19" s="29">
        <f>C18+C16</f>
        <v>17452417</v>
      </c>
      <c r="D19" s="1" t="s">
        <v>25</v>
      </c>
      <c r="E19" s="1"/>
      <c r="F19" s="1"/>
      <c r="G19" s="1"/>
      <c r="H19" s="1"/>
      <c r="I19" s="1"/>
      <c r="J19" s="1"/>
    </row>
  </sheetData>
  <mergeCells count="2">
    <mergeCell ref="B12:J12"/>
    <mergeCell ref="B13:J13"/>
  </mergeCells>
  <hyperlinks>
    <hyperlink ref="B7" r:id="rId1" xr:uid="{00000000-0004-0000-1200-000000000000}"/>
    <hyperlink ref="B8"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F10" sqref="F10"/>
    </sheetView>
  </sheetViews>
  <sheetFormatPr defaultColWidth="11.42578125" defaultRowHeight="15" x14ac:dyDescent="0.25"/>
  <cols>
    <col min="1" max="1" width="11.42578125" style="703"/>
    <col min="2" max="2" width="13" style="703" bestFit="1" customWidth="1"/>
    <col min="3" max="3" width="11.42578125" style="703"/>
    <col min="4" max="4" width="39.140625" style="703" customWidth="1"/>
    <col min="5" max="16384" width="11.42578125" style="703"/>
  </cols>
  <sheetData>
    <row r="1" spans="4:4" ht="15.75" thickBot="1" x14ac:dyDescent="0.3">
      <c r="D1" s="702"/>
    </row>
    <row r="2" spans="4:4" ht="22.5" thickTop="1" thickBot="1" x14ac:dyDescent="0.4">
      <c r="D2" s="1038" t="s">
        <v>14</v>
      </c>
    </row>
    <row r="3" spans="4:4" ht="16.5" thickTop="1" thickBot="1" x14ac:dyDescent="0.3"/>
    <row r="4" spans="4:4" ht="18.75" x14ac:dyDescent="0.25">
      <c r="D4" s="1035" t="s">
        <v>1</v>
      </c>
    </row>
    <row r="5" spans="4:4" ht="18.75" x14ac:dyDescent="0.25">
      <c r="D5" s="1036" t="s">
        <v>2</v>
      </c>
    </row>
    <row r="6" spans="4:4" ht="18.75" x14ac:dyDescent="0.25">
      <c r="D6" s="1036" t="s">
        <v>3</v>
      </c>
    </row>
    <row r="7" spans="4:4" ht="18.75" x14ac:dyDescent="0.25">
      <c r="D7" s="1036" t="s">
        <v>4</v>
      </c>
    </row>
    <row r="8" spans="4:4" ht="18.75" x14ac:dyDescent="0.25">
      <c r="D8" s="1036" t="s">
        <v>5</v>
      </c>
    </row>
    <row r="9" spans="4:4" ht="18.75" x14ac:dyDescent="0.25">
      <c r="D9" s="1036" t="s">
        <v>6</v>
      </c>
    </row>
    <row r="10" spans="4:4" ht="18.75" x14ac:dyDescent="0.25">
      <c r="D10" s="1036" t="s">
        <v>7</v>
      </c>
    </row>
    <row r="11" spans="4:4" ht="18.75" x14ac:dyDescent="0.25">
      <c r="D11" s="1036" t="s">
        <v>8</v>
      </c>
    </row>
    <row r="12" spans="4:4" ht="18.75" x14ac:dyDescent="0.25">
      <c r="D12" s="1036" t="s">
        <v>9</v>
      </c>
    </row>
    <row r="13" spans="4:4" ht="18.75" x14ac:dyDescent="0.25">
      <c r="D13" s="1036" t="s">
        <v>10</v>
      </c>
    </row>
    <row r="14" spans="4:4" ht="18.75" x14ac:dyDescent="0.25">
      <c r="D14" s="1036" t="s">
        <v>11</v>
      </c>
    </row>
    <row r="15" spans="4:4" ht="18.75" x14ac:dyDescent="0.25">
      <c r="D15" s="1036" t="s">
        <v>329</v>
      </c>
    </row>
    <row r="16" spans="4:4" ht="18.75" x14ac:dyDescent="0.25">
      <c r="D16" s="1036" t="s">
        <v>299</v>
      </c>
    </row>
    <row r="17" spans="4:4" ht="18.75" x14ac:dyDescent="0.25">
      <c r="D17" s="1036" t="s">
        <v>305</v>
      </c>
    </row>
    <row r="18" spans="4:4" ht="19.5" thickBot="1" x14ac:dyDescent="0.3">
      <c r="D18" s="1037"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70"/>
  <sheetViews>
    <sheetView tabSelected="1" zoomScale="80" zoomScaleNormal="80" workbookViewId="0">
      <pane ySplit="1" topLeftCell="A17" activePane="bottomLeft" state="frozen"/>
      <selection pane="bottomLeft" activeCell="E76" sqref="E76"/>
    </sheetView>
  </sheetViews>
  <sheetFormatPr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1040" customFormat="1" ht="58.5" customHeight="1" thickTop="1" thickBot="1" x14ac:dyDescent="0.3">
      <c r="A1" s="1039"/>
      <c r="E1" s="1041" t="s">
        <v>1</v>
      </c>
      <c r="F1" s="1042"/>
      <c r="G1" s="1042"/>
    </row>
    <row r="2" spans="1:11" ht="16.5" thickTop="1" thickBot="1" x14ac:dyDescent="0.3">
      <c r="C2" s="5"/>
    </row>
    <row r="3" spans="1:11" ht="27" thickBot="1" x14ac:dyDescent="0.45">
      <c r="B3" s="1043" t="s">
        <v>101</v>
      </c>
      <c r="C3" s="1044"/>
      <c r="D3" s="1044"/>
      <c r="E3" s="1044"/>
      <c r="F3" s="1044"/>
      <c r="G3" s="1044"/>
      <c r="H3" s="1044"/>
      <c r="I3" s="1044"/>
      <c r="J3" s="1045"/>
    </row>
    <row r="4" spans="1:11" ht="345" customHeight="1" x14ac:dyDescent="0.25">
      <c r="B4" s="1048"/>
      <c r="C4" s="1049"/>
      <c r="D4" s="1049"/>
      <c r="E4" s="1049"/>
      <c r="F4" s="1049"/>
      <c r="G4" s="1049"/>
      <c r="H4" s="1049"/>
      <c r="I4" s="1049"/>
      <c r="J4" s="1050"/>
      <c r="K4" s="4"/>
    </row>
    <row r="6" spans="1:11" ht="15.75" thickBot="1" x14ac:dyDescent="0.3"/>
    <row r="7" spans="1:11" ht="27" thickBot="1" x14ac:dyDescent="0.45">
      <c r="B7" s="1043" t="s">
        <v>102</v>
      </c>
      <c r="C7" s="1044"/>
      <c r="D7" s="1044"/>
      <c r="E7" s="1044"/>
      <c r="F7" s="1044"/>
      <c r="G7" s="1044"/>
      <c r="H7" s="1044"/>
      <c r="I7" s="1044"/>
      <c r="J7" s="1045"/>
    </row>
    <row r="8" spans="1:11" ht="237.75" customHeight="1" x14ac:dyDescent="0.25">
      <c r="B8" s="1048"/>
      <c r="C8" s="1049"/>
      <c r="D8" s="1049"/>
      <c r="E8" s="1049"/>
      <c r="F8" s="1049"/>
      <c r="G8" s="1049"/>
      <c r="H8" s="1049"/>
      <c r="I8" s="1049"/>
      <c r="J8" s="1050"/>
    </row>
    <row r="9" spans="1:11" ht="18.75" x14ac:dyDescent="0.25">
      <c r="B9" s="240"/>
      <c r="C9" s="240"/>
      <c r="D9" s="240"/>
      <c r="E9" s="240"/>
      <c r="F9" s="240"/>
      <c r="G9" s="240"/>
      <c r="H9" s="240"/>
      <c r="I9" s="240"/>
      <c r="J9" s="240"/>
    </row>
    <row r="10" spans="1:11" ht="18.75" x14ac:dyDescent="0.25">
      <c r="B10" s="240"/>
      <c r="C10" s="240"/>
      <c r="D10" s="240"/>
      <c r="E10" s="240"/>
      <c r="F10" s="240"/>
      <c r="G10" s="240"/>
      <c r="H10" s="240"/>
      <c r="I10" s="240"/>
      <c r="J10" s="240"/>
    </row>
    <row r="11" spans="1:11" ht="18.75" x14ac:dyDescent="0.25">
      <c r="B11" s="339" t="s">
        <v>365</v>
      </c>
      <c r="C11" s="339" t="s">
        <v>366</v>
      </c>
      <c r="D11" s="339" t="s">
        <v>39</v>
      </c>
      <c r="E11" s="240"/>
      <c r="F11" s="240"/>
      <c r="G11" s="240"/>
      <c r="H11" s="240"/>
      <c r="I11" s="240"/>
      <c r="J11" s="240"/>
    </row>
    <row r="12" spans="1:11" ht="21" customHeight="1" x14ac:dyDescent="0.25">
      <c r="B12" s="337"/>
      <c r="C12" s="337"/>
      <c r="D12" s="338">
        <f>B12*C12</f>
        <v>0</v>
      </c>
      <c r="E12" s="240"/>
      <c r="F12" s="240"/>
      <c r="G12" s="240"/>
      <c r="H12" s="240"/>
      <c r="I12" s="240"/>
      <c r="J12" s="240"/>
    </row>
    <row r="13" spans="1:11" ht="12" customHeight="1" x14ac:dyDescent="0.25">
      <c r="B13" s="240"/>
      <c r="C13" s="240"/>
      <c r="D13" s="240"/>
      <c r="E13" s="240"/>
      <c r="F13" s="240"/>
      <c r="G13" s="240"/>
      <c r="H13" s="240"/>
      <c r="I13" s="240"/>
      <c r="J13" s="240"/>
    </row>
    <row r="14" spans="1:11" ht="12.75" customHeight="1" thickBot="1" x14ac:dyDescent="0.3"/>
    <row r="15" spans="1:11" ht="27" thickBot="1" x14ac:dyDescent="0.45">
      <c r="B15" s="1043" t="s">
        <v>103</v>
      </c>
      <c r="C15" s="1044"/>
      <c r="D15" s="1044"/>
      <c r="E15" s="1044"/>
      <c r="F15" s="1044"/>
      <c r="G15" s="1044"/>
      <c r="H15" s="1044"/>
      <c r="I15" s="1044"/>
      <c r="J15" s="1045"/>
    </row>
    <row r="16" spans="1:11" ht="140.25" customHeight="1" x14ac:dyDescent="0.25">
      <c r="B16" s="1048" t="s">
        <v>367</v>
      </c>
      <c r="C16" s="1049"/>
      <c r="D16" s="1049"/>
      <c r="E16" s="1049"/>
      <c r="F16" s="1049"/>
      <c r="G16" s="1049"/>
      <c r="H16" s="1049"/>
      <c r="I16" s="1049"/>
      <c r="J16" s="1050"/>
    </row>
    <row r="17" spans="2:14" ht="15.75" x14ac:dyDescent="0.25">
      <c r="B17" s="25"/>
      <c r="C17" s="25"/>
      <c r="D17" s="25"/>
      <c r="E17" s="25"/>
      <c r="F17" s="25"/>
      <c r="G17" s="25"/>
      <c r="H17" s="25"/>
      <c r="I17" s="25"/>
      <c r="J17" s="25"/>
      <c r="K17" s="25"/>
      <c r="L17" s="25"/>
      <c r="M17" s="25"/>
      <c r="N17" s="25"/>
    </row>
    <row r="18" spans="2:14" ht="15.75" x14ac:dyDescent="0.25">
      <c r="E18" s="25"/>
      <c r="F18" s="25"/>
      <c r="G18" s="25"/>
      <c r="H18" s="25"/>
      <c r="I18" s="25"/>
      <c r="J18" s="25"/>
      <c r="K18" s="25"/>
      <c r="L18" s="25"/>
      <c r="M18" s="25"/>
      <c r="N18" s="25"/>
    </row>
    <row r="19" spans="2:14" ht="15.75" x14ac:dyDescent="0.25">
      <c r="E19" s="25"/>
      <c r="F19" s="25"/>
      <c r="G19" s="25"/>
      <c r="H19" s="25"/>
      <c r="I19" s="25"/>
      <c r="J19" s="25"/>
      <c r="K19" s="25"/>
      <c r="L19" s="25"/>
      <c r="M19" s="25"/>
      <c r="N19" s="25"/>
    </row>
    <row r="20" spans="2:14" ht="15.75" x14ac:dyDescent="0.25">
      <c r="D20" s="25"/>
      <c r="E20" s="25"/>
      <c r="F20" s="25"/>
      <c r="G20" s="25"/>
      <c r="H20" s="25"/>
      <c r="I20" s="25"/>
      <c r="J20" s="25"/>
      <c r="K20" s="25"/>
      <c r="L20" s="25"/>
      <c r="M20" s="25"/>
      <c r="N20" s="25"/>
    </row>
    <row r="21" spans="2:14" ht="16.5" thickBot="1" x14ac:dyDescent="0.3">
      <c r="B21" s="25"/>
      <c r="C21" s="25"/>
      <c r="D21" s="25"/>
      <c r="E21" s="25"/>
      <c r="F21" s="25"/>
      <c r="G21" s="25"/>
      <c r="H21" s="25"/>
      <c r="I21" s="25"/>
      <c r="J21" s="25"/>
      <c r="K21" s="25"/>
      <c r="L21" s="25"/>
      <c r="M21" s="25"/>
      <c r="N21" s="25"/>
    </row>
    <row r="22" spans="2:14" ht="26.25" customHeight="1" thickBot="1" x14ac:dyDescent="0.45">
      <c r="B22" s="1043" t="s">
        <v>76</v>
      </c>
      <c r="C22" s="1044"/>
      <c r="D22" s="1045"/>
      <c r="E22" s="25"/>
      <c r="F22" s="25"/>
      <c r="G22" s="25"/>
      <c r="H22" s="25"/>
      <c r="I22" s="25"/>
      <c r="J22" s="25"/>
      <c r="K22" s="25"/>
      <c r="L22" s="25"/>
      <c r="M22" s="25"/>
      <c r="N22" s="25"/>
    </row>
    <row r="23" spans="2:14" ht="18.75" x14ac:dyDescent="0.25">
      <c r="B23" s="34" t="s">
        <v>37</v>
      </c>
      <c r="C23" s="34" t="s">
        <v>38</v>
      </c>
      <c r="D23" s="34" t="s">
        <v>19</v>
      </c>
      <c r="E23" s="25"/>
      <c r="F23" s="25"/>
      <c r="G23" s="25"/>
      <c r="H23" s="25"/>
      <c r="I23" s="25"/>
      <c r="J23" s="25"/>
      <c r="K23" s="25"/>
      <c r="L23" s="25"/>
      <c r="M23" s="25"/>
      <c r="N23" s="25"/>
    </row>
    <row r="24" spans="2:14" ht="15.75" x14ac:dyDescent="0.25">
      <c r="B24" s="31">
        <v>2019</v>
      </c>
      <c r="C24" s="32">
        <v>0.03</v>
      </c>
      <c r="D24" s="33">
        <f>C24*$D$12</f>
        <v>0</v>
      </c>
      <c r="E24" s="25"/>
      <c r="F24" s="25"/>
      <c r="G24" s="25"/>
      <c r="H24" s="25"/>
      <c r="I24" s="25"/>
      <c r="J24" s="25"/>
      <c r="K24" s="25"/>
      <c r="L24" s="25"/>
      <c r="M24" s="25"/>
      <c r="N24" s="25"/>
    </row>
    <row r="25" spans="2:14" ht="15.75" x14ac:dyDescent="0.25">
      <c r="B25" s="31">
        <v>2020</v>
      </c>
      <c r="C25" s="32">
        <v>0.05</v>
      </c>
      <c r="D25" s="33">
        <f>C25*$D$12</f>
        <v>0</v>
      </c>
      <c r="E25" s="25"/>
      <c r="F25" s="25"/>
      <c r="G25" s="25"/>
      <c r="H25" s="25"/>
      <c r="I25" s="25"/>
      <c r="J25" s="25"/>
      <c r="K25" s="25"/>
      <c r="L25" s="25"/>
      <c r="M25" s="25"/>
      <c r="N25" s="25"/>
    </row>
    <row r="26" spans="2:14" ht="15.75" x14ac:dyDescent="0.25">
      <c r="B26" s="31">
        <v>2021</v>
      </c>
      <c r="C26" s="32">
        <v>0.09</v>
      </c>
      <c r="D26" s="33">
        <f>C26*$D$12</f>
        <v>0</v>
      </c>
      <c r="E26" s="25"/>
      <c r="F26" s="25"/>
      <c r="G26" s="25"/>
      <c r="H26" s="25"/>
      <c r="I26" s="25"/>
      <c r="J26" s="25"/>
      <c r="K26" s="25"/>
      <c r="L26" s="25"/>
      <c r="M26" s="25"/>
      <c r="N26" s="25"/>
    </row>
    <row r="27" spans="2:14" ht="15.75" x14ac:dyDescent="0.25">
      <c r="B27" s="25"/>
      <c r="C27" s="174"/>
      <c r="D27" s="175"/>
      <c r="E27" s="25"/>
      <c r="F27" s="25"/>
      <c r="G27" s="25"/>
      <c r="H27" s="25"/>
      <c r="I27" s="25"/>
      <c r="J27" s="25"/>
      <c r="K27" s="25"/>
      <c r="L27" s="25"/>
      <c r="M27" s="25"/>
      <c r="N27" s="25"/>
    </row>
    <row r="28" spans="2:14" ht="15.75" x14ac:dyDescent="0.25">
      <c r="B28" s="25"/>
      <c r="C28" s="174"/>
      <c r="D28" s="175"/>
      <c r="E28" s="25"/>
      <c r="F28" s="25"/>
      <c r="G28" s="25"/>
      <c r="H28" s="25"/>
      <c r="I28" s="25"/>
      <c r="J28" s="25"/>
      <c r="K28" s="25"/>
      <c r="L28" s="25"/>
      <c r="M28" s="25"/>
      <c r="N28" s="25"/>
    </row>
    <row r="29" spans="2:14" ht="15.75" x14ac:dyDescent="0.25">
      <c r="B29" s="25"/>
      <c r="C29" s="174"/>
      <c r="D29" s="175"/>
      <c r="E29" s="25"/>
      <c r="F29" s="25"/>
      <c r="G29" s="25"/>
      <c r="H29" s="25"/>
      <c r="I29" s="25"/>
      <c r="J29" s="25"/>
      <c r="K29" s="25"/>
      <c r="L29" s="25"/>
      <c r="M29" s="25"/>
      <c r="N29" s="25"/>
    </row>
    <row r="30" spans="2:14" ht="15.75" x14ac:dyDescent="0.25">
      <c r="B30" s="25"/>
      <c r="C30" s="174"/>
      <c r="D30" s="175"/>
      <c r="E30" s="25"/>
      <c r="F30" s="25"/>
      <c r="G30" s="25"/>
      <c r="H30" s="25"/>
      <c r="I30" s="25"/>
      <c r="J30" s="25"/>
      <c r="K30" s="25"/>
      <c r="L30" s="25"/>
      <c r="M30" s="25"/>
      <c r="N30" s="25"/>
    </row>
    <row r="31" spans="2:14" ht="15.75" x14ac:dyDescent="0.25">
      <c r="B31" s="25"/>
      <c r="C31" s="174"/>
      <c r="D31" s="175"/>
      <c r="E31" s="25"/>
      <c r="F31" s="25"/>
      <c r="G31" s="25"/>
      <c r="H31" s="25"/>
      <c r="I31" s="25"/>
      <c r="J31" s="25"/>
      <c r="K31" s="25"/>
      <c r="L31" s="25"/>
      <c r="M31" s="25"/>
      <c r="N31" s="25"/>
    </row>
    <row r="32" spans="2:14" ht="16.5" thickBot="1" x14ac:dyDescent="0.3">
      <c r="B32" s="25"/>
      <c r="C32" s="25"/>
      <c r="D32" s="25"/>
      <c r="E32" s="25"/>
      <c r="F32" s="25"/>
      <c r="H32" s="25"/>
      <c r="I32" s="25"/>
      <c r="J32" s="25"/>
      <c r="K32" s="25"/>
      <c r="L32" s="25"/>
      <c r="M32" s="25"/>
      <c r="N32" s="25"/>
    </row>
    <row r="33" spans="1:14" ht="27" thickBot="1" x14ac:dyDescent="0.45">
      <c r="B33" s="1043" t="s">
        <v>104</v>
      </c>
      <c r="C33" s="1044"/>
      <c r="D33" s="1044"/>
      <c r="E33" s="1043"/>
      <c r="F33" s="1045"/>
      <c r="H33" s="187"/>
      <c r="I33" s="187"/>
      <c r="J33" s="187"/>
      <c r="K33" s="187"/>
      <c r="L33" s="187"/>
      <c r="M33" s="187"/>
      <c r="N33" s="187"/>
    </row>
    <row r="34" spans="1:14" ht="27" thickBot="1" x14ac:dyDescent="0.45">
      <c r="A34" s="133"/>
      <c r="B34" s="45"/>
      <c r="C34" s="45"/>
      <c r="D34" s="45"/>
      <c r="E34" s="45"/>
      <c r="F34" s="45"/>
      <c r="G34" s="133"/>
      <c r="H34" s="187"/>
      <c r="I34" s="187"/>
      <c r="J34" s="187"/>
      <c r="K34" s="187"/>
      <c r="L34" s="187"/>
      <c r="M34" s="187"/>
      <c r="N34" s="187"/>
    </row>
    <row r="35" spans="1:14" ht="27" thickBot="1" x14ac:dyDescent="0.45">
      <c r="B35" s="1043" t="s">
        <v>31</v>
      </c>
      <c r="C35" s="1044"/>
      <c r="D35" s="1044"/>
      <c r="E35" s="1051"/>
      <c r="F35" s="1052"/>
    </row>
    <row r="36" spans="1:14" ht="20.25" customHeight="1" x14ac:dyDescent="0.25">
      <c r="B36" s="30"/>
      <c r="C36" s="725" t="s">
        <v>30</v>
      </c>
      <c r="D36" s="726"/>
      <c r="E36" s="726"/>
      <c r="F36" s="727"/>
    </row>
    <row r="37" spans="1:14" ht="15" hidden="1" customHeight="1" x14ac:dyDescent="0.25">
      <c r="B37" s="30"/>
      <c r="C37" s="728"/>
      <c r="D37" s="729"/>
      <c r="E37" s="729"/>
      <c r="F37" s="730"/>
    </row>
    <row r="38" spans="1:14" ht="15.75" thickBot="1" x14ac:dyDescent="0.3">
      <c r="B38" s="30"/>
      <c r="C38" s="731"/>
      <c r="D38" s="732"/>
      <c r="E38" s="732"/>
      <c r="F38" s="733"/>
    </row>
    <row r="39" spans="1:14" ht="16.5" thickBot="1" x14ac:dyDescent="0.3">
      <c r="B39" s="30"/>
      <c r="C39" s="24" t="s">
        <v>368</v>
      </c>
      <c r="D39" s="24" t="s">
        <v>369</v>
      </c>
      <c r="E39" s="23" t="s">
        <v>370</v>
      </c>
      <c r="F39" s="23" t="s">
        <v>371</v>
      </c>
    </row>
    <row r="40" spans="1:14" ht="28.5" customHeight="1" x14ac:dyDescent="0.25">
      <c r="B40" s="738" t="s">
        <v>29</v>
      </c>
      <c r="C40" s="750"/>
      <c r="D40" s="722"/>
      <c r="E40" s="720"/>
      <c r="F40" s="734"/>
    </row>
    <row r="41" spans="1:14" x14ac:dyDescent="0.25">
      <c r="B41" s="739"/>
      <c r="C41" s="751"/>
      <c r="D41" s="723"/>
      <c r="E41" s="737"/>
      <c r="F41" s="735"/>
    </row>
    <row r="42" spans="1:14" ht="15.75" thickBot="1" x14ac:dyDescent="0.3">
      <c r="B42" s="739"/>
      <c r="C42" s="752"/>
      <c r="D42" s="724"/>
      <c r="E42" s="721"/>
      <c r="F42" s="735"/>
    </row>
    <row r="43" spans="1:14" x14ac:dyDescent="0.25">
      <c r="B43" s="739"/>
      <c r="C43" s="750"/>
      <c r="D43" s="722"/>
      <c r="E43" s="720"/>
      <c r="F43" s="735"/>
    </row>
    <row r="44" spans="1:14" x14ac:dyDescent="0.25">
      <c r="B44" s="739"/>
      <c r="C44" s="751"/>
      <c r="D44" s="723"/>
      <c r="E44" s="737"/>
      <c r="F44" s="735"/>
    </row>
    <row r="45" spans="1:14" ht="15.75" thickBot="1" x14ac:dyDescent="0.3">
      <c r="B45" s="739"/>
      <c r="C45" s="752"/>
      <c r="D45" s="724"/>
      <c r="E45" s="721"/>
      <c r="F45" s="735"/>
    </row>
    <row r="46" spans="1:14" x14ac:dyDescent="0.25">
      <c r="B46" s="739"/>
      <c r="C46" s="750"/>
      <c r="D46" s="722"/>
      <c r="E46" s="720"/>
      <c r="F46" s="735"/>
    </row>
    <row r="47" spans="1:14" x14ac:dyDescent="0.25">
      <c r="B47" s="739"/>
      <c r="C47" s="751"/>
      <c r="D47" s="723"/>
      <c r="E47" s="737"/>
      <c r="F47" s="735"/>
    </row>
    <row r="48" spans="1:14" ht="15.75" thickBot="1" x14ac:dyDescent="0.3">
      <c r="B48" s="739"/>
      <c r="C48" s="751"/>
      <c r="D48" s="724"/>
      <c r="E48" s="721"/>
      <c r="F48" s="735"/>
    </row>
    <row r="49" spans="2:6" x14ac:dyDescent="0.25">
      <c r="B49" s="739"/>
      <c r="C49" s="751"/>
      <c r="D49" s="722"/>
      <c r="E49" s="720"/>
      <c r="F49" s="735"/>
    </row>
    <row r="50" spans="2:6" x14ac:dyDescent="0.25">
      <c r="B50" s="739"/>
      <c r="C50" s="751"/>
      <c r="D50" s="723"/>
      <c r="E50" s="737"/>
      <c r="F50" s="735"/>
    </row>
    <row r="51" spans="2:6" ht="15.75" thickBot="1" x14ac:dyDescent="0.3">
      <c r="B51" s="739"/>
      <c r="C51" s="751"/>
      <c r="D51" s="723"/>
      <c r="E51" s="721"/>
      <c r="F51" s="735"/>
    </row>
    <row r="52" spans="2:6" x14ac:dyDescent="0.25">
      <c r="B52" s="739"/>
      <c r="C52" s="751"/>
      <c r="D52" s="723"/>
      <c r="E52" s="720"/>
      <c r="F52" s="735"/>
    </row>
    <row r="53" spans="2:6" ht="15.75" thickBot="1" x14ac:dyDescent="0.3">
      <c r="B53" s="740"/>
      <c r="C53" s="752"/>
      <c r="D53" s="724"/>
      <c r="E53" s="721"/>
      <c r="F53" s="736"/>
    </row>
    <row r="55" spans="2:6" ht="15.75" thickBot="1" x14ac:dyDescent="0.3"/>
    <row r="56" spans="2:6" ht="27" thickBot="1" x14ac:dyDescent="0.45">
      <c r="B56" s="1046" t="s">
        <v>28</v>
      </c>
      <c r="C56" s="1047"/>
      <c r="D56" s="1047"/>
    </row>
    <row r="57" spans="2:6" ht="18" customHeight="1" thickBot="1" x14ac:dyDescent="0.3">
      <c r="B57" s="169" t="s">
        <v>32</v>
      </c>
      <c r="C57" s="142" t="s">
        <v>33</v>
      </c>
      <c r="D57" s="170" t="s">
        <v>40</v>
      </c>
    </row>
    <row r="58" spans="2:6" ht="18" customHeight="1" x14ac:dyDescent="0.25">
      <c r="B58" s="143"/>
      <c r="C58" s="144">
        <v>2800</v>
      </c>
      <c r="D58" s="145"/>
    </row>
    <row r="59" spans="2:6" ht="18" customHeight="1" x14ac:dyDescent="0.25">
      <c r="B59" s="146"/>
      <c r="C59" s="138">
        <v>15500</v>
      </c>
      <c r="D59" s="147"/>
    </row>
    <row r="60" spans="2:6" ht="18" customHeight="1" thickBot="1" x14ac:dyDescent="0.3">
      <c r="B60" s="148"/>
      <c r="C60" s="149">
        <v>23000</v>
      </c>
      <c r="D60" s="150"/>
    </row>
    <row r="61" spans="2:6" ht="18" customHeight="1" x14ac:dyDescent="0.25">
      <c r="B61" s="151"/>
      <c r="C61" s="152">
        <v>500</v>
      </c>
      <c r="D61" s="153"/>
    </row>
    <row r="62" spans="2:6" ht="18" customHeight="1" x14ac:dyDescent="0.25">
      <c r="B62" s="154"/>
      <c r="C62" s="140">
        <v>400</v>
      </c>
      <c r="D62" s="155"/>
    </row>
    <row r="63" spans="2:6" ht="18" customHeight="1" x14ac:dyDescent="0.25">
      <c r="B63" s="156"/>
      <c r="C63" s="139">
        <v>2200</v>
      </c>
      <c r="D63" s="157"/>
    </row>
    <row r="64" spans="2:6" ht="18" customHeight="1" thickBot="1" x14ac:dyDescent="0.3">
      <c r="B64" s="158"/>
      <c r="C64" s="159">
        <v>250</v>
      </c>
      <c r="D64" s="160"/>
    </row>
    <row r="65" spans="2:4" ht="18" customHeight="1" x14ac:dyDescent="0.25">
      <c r="B65" s="161"/>
      <c r="C65" s="162">
        <v>1600</v>
      </c>
      <c r="D65" s="163"/>
    </row>
    <row r="66" spans="2:4" ht="18" customHeight="1" x14ac:dyDescent="0.25">
      <c r="B66" s="164"/>
      <c r="C66" s="141">
        <v>480</v>
      </c>
      <c r="D66" s="165"/>
    </row>
    <row r="67" spans="2:4" ht="18" customHeight="1" x14ac:dyDescent="0.25">
      <c r="B67" s="164"/>
      <c r="C67" s="141">
        <v>1100</v>
      </c>
      <c r="D67" s="165"/>
    </row>
    <row r="68" spans="2:4" ht="18" customHeight="1" x14ac:dyDescent="0.25">
      <c r="B68" s="164"/>
      <c r="C68" s="141">
        <v>250</v>
      </c>
      <c r="D68" s="165"/>
    </row>
    <row r="69" spans="2:4" ht="18" customHeight="1" thickBot="1" x14ac:dyDescent="0.3">
      <c r="B69" s="166"/>
      <c r="C69" s="167">
        <v>1400</v>
      </c>
      <c r="D69" s="168"/>
    </row>
    <row r="70" spans="2:4" ht="18" customHeight="1" thickBot="1" x14ac:dyDescent="0.3">
      <c r="B70" s="171"/>
      <c r="C70" s="172">
        <v>1500</v>
      </c>
      <c r="D70" s="173" t="s">
        <v>77</v>
      </c>
    </row>
  </sheetData>
  <mergeCells count="27">
    <mergeCell ref="B56:D56"/>
    <mergeCell ref="B15:J15"/>
    <mergeCell ref="B16:J16"/>
    <mergeCell ref="C40:C42"/>
    <mergeCell ref="C43:C45"/>
    <mergeCell ref="C46:C53"/>
    <mergeCell ref="D49:D53"/>
    <mergeCell ref="E46:E48"/>
    <mergeCell ref="E49:E51"/>
    <mergeCell ref="B33:D33"/>
    <mergeCell ref="E33:F33"/>
    <mergeCell ref="B35:D35"/>
    <mergeCell ref="E35:F35"/>
    <mergeCell ref="B3:J3"/>
    <mergeCell ref="B22:D22"/>
    <mergeCell ref="E52:E53"/>
    <mergeCell ref="D40:D42"/>
    <mergeCell ref="D43:D45"/>
    <mergeCell ref="D46:D48"/>
    <mergeCell ref="C36:F38"/>
    <mergeCell ref="F40:F53"/>
    <mergeCell ref="E40:E42"/>
    <mergeCell ref="E43:E45"/>
    <mergeCell ref="B40:B53"/>
    <mergeCell ref="B4:J4"/>
    <mergeCell ref="B7:J7"/>
    <mergeCell ref="B8:J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98"/>
  <sheetViews>
    <sheetView zoomScale="55" zoomScaleNormal="55" workbookViewId="0">
      <pane xSplit="2" ySplit="1" topLeftCell="C33" activePane="bottomRight" state="frozen"/>
      <selection pane="topRight" activeCell="C1" sqref="C1"/>
      <selection pane="bottomLeft" activeCell="A2" sqref="A2"/>
      <selection pane="bottomRight" activeCell="B41" sqref="B41:AB41"/>
    </sheetView>
  </sheetViews>
  <sheetFormatPr defaultColWidth="11.42578125" defaultRowHeight="15" x14ac:dyDescent="0.25"/>
  <cols>
    <col min="1" max="1" width="44.5703125" style="1" customWidth="1"/>
    <col min="2" max="2" width="3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49" s="703" customFormat="1" ht="58.5" customHeight="1" x14ac:dyDescent="0.25">
      <c r="A1" s="705"/>
      <c r="B1" s="709" t="s">
        <v>2</v>
      </c>
      <c r="C1" s="705"/>
      <c r="D1" s="705"/>
      <c r="E1" s="705"/>
      <c r="F1" s="705"/>
      <c r="G1" s="710"/>
      <c r="H1" s="710"/>
      <c r="I1" s="710"/>
      <c r="J1" s="710"/>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705"/>
      <c r="AN1" s="705"/>
      <c r="AO1" s="705"/>
      <c r="AP1" s="705"/>
      <c r="AQ1" s="705"/>
    </row>
    <row r="4" spans="1:49" ht="15.75" thickBot="1" x14ac:dyDescent="0.3">
      <c r="A4" s="35"/>
      <c r="B4" s="35"/>
      <c r="C4" s="35"/>
      <c r="D4" s="35"/>
      <c r="E4" s="35"/>
      <c r="F4" s="35"/>
      <c r="G4" s="38"/>
      <c r="H4" s="38"/>
      <c r="I4" s="38"/>
      <c r="J4" s="38"/>
      <c r="K4" s="38"/>
      <c r="L4" s="38"/>
      <c r="M4" s="38"/>
      <c r="N4" s="38"/>
      <c r="O4" s="38"/>
      <c r="P4" s="38"/>
      <c r="Q4" s="38"/>
      <c r="R4" s="38"/>
      <c r="S4" s="38"/>
      <c r="T4" s="38"/>
      <c r="U4" s="38"/>
      <c r="V4" s="38"/>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row>
    <row r="5" spans="1:49" s="133" customFormat="1" ht="27" thickBot="1" x14ac:dyDescent="0.45">
      <c r="A5" s="36"/>
      <c r="B5" s="717" t="s">
        <v>36</v>
      </c>
      <c r="C5" s="718"/>
      <c r="D5" s="719"/>
      <c r="E5" s="1"/>
      <c r="F5" s="1"/>
      <c r="G5" s="717" t="s">
        <v>65</v>
      </c>
      <c r="H5" s="718"/>
      <c r="I5" s="718"/>
      <c r="J5" s="718"/>
      <c r="K5" s="718"/>
      <c r="L5" s="719"/>
      <c r="M5" s="45"/>
      <c r="N5" s="45"/>
      <c r="O5" s="45"/>
      <c r="P5" s="45"/>
      <c r="Q5" s="45"/>
      <c r="R5" s="45"/>
      <c r="S5" s="45"/>
      <c r="T5" s="45"/>
      <c r="U5" s="45"/>
      <c r="AJ5" s="38"/>
      <c r="AK5" s="38"/>
      <c r="AL5" s="38"/>
      <c r="AM5" s="38"/>
      <c r="AN5" s="38"/>
      <c r="AO5" s="38"/>
      <c r="AP5" s="38"/>
      <c r="AQ5" s="38"/>
      <c r="AR5" s="38"/>
      <c r="AS5" s="38"/>
      <c r="AT5" s="38"/>
      <c r="AU5" s="38"/>
      <c r="AV5" s="38"/>
      <c r="AW5" s="38"/>
    </row>
    <row r="6" spans="1:49" s="133" customFormat="1" ht="30" customHeight="1" x14ac:dyDescent="0.25">
      <c r="A6" s="37"/>
      <c r="B6" s="125">
        <v>2019</v>
      </c>
      <c r="C6" s="40">
        <v>2020</v>
      </c>
      <c r="D6" s="126">
        <v>2021</v>
      </c>
      <c r="E6" s="1"/>
      <c r="F6" s="1"/>
      <c r="G6" s="760" t="s">
        <v>80</v>
      </c>
      <c r="H6" s="761"/>
      <c r="I6" s="761"/>
      <c r="J6" s="761"/>
      <c r="K6" s="761"/>
      <c r="L6" s="762"/>
      <c r="M6" s="132"/>
      <c r="N6" s="132"/>
      <c r="O6" s="132"/>
      <c r="P6" s="132"/>
      <c r="Q6" s="132"/>
      <c r="R6" s="132"/>
      <c r="S6" s="132"/>
      <c r="T6" s="132"/>
      <c r="U6" s="132"/>
      <c r="AJ6" s="38"/>
      <c r="AK6" s="38"/>
      <c r="AL6" s="38"/>
      <c r="AM6" s="38"/>
      <c r="AN6" s="38"/>
      <c r="AO6" s="38"/>
      <c r="AP6" s="38"/>
      <c r="AQ6" s="38"/>
      <c r="AR6" s="38"/>
      <c r="AS6" s="38"/>
      <c r="AT6" s="38"/>
      <c r="AU6" s="38"/>
      <c r="AV6" s="38"/>
      <c r="AW6" s="38"/>
    </row>
    <row r="7" spans="1:49" s="133" customFormat="1" x14ac:dyDescent="0.25">
      <c r="A7" s="37"/>
      <c r="B7" s="127">
        <f>Hipótesis!C24</f>
        <v>0.03</v>
      </c>
      <c r="C7" s="46">
        <f>Hipótesis!C25</f>
        <v>0.05</v>
      </c>
      <c r="D7" s="128">
        <f>Hipótesis!C26</f>
        <v>0.09</v>
      </c>
      <c r="E7" s="1"/>
      <c r="F7" s="1"/>
      <c r="G7" s="763"/>
      <c r="H7" s="764"/>
      <c r="I7" s="764"/>
      <c r="J7" s="764"/>
      <c r="K7" s="764"/>
      <c r="L7" s="765"/>
      <c r="M7" s="132"/>
      <c r="N7" s="132"/>
      <c r="O7" s="132"/>
      <c r="P7" s="132"/>
      <c r="Q7" s="132"/>
      <c r="R7" s="132"/>
      <c r="S7" s="132"/>
      <c r="T7" s="132"/>
      <c r="U7" s="132"/>
      <c r="AJ7" s="38"/>
      <c r="AK7" s="38"/>
      <c r="AL7" s="38"/>
      <c r="AM7" s="38"/>
      <c r="AN7" s="38"/>
      <c r="AO7" s="38"/>
      <c r="AP7" s="38"/>
      <c r="AQ7" s="38"/>
      <c r="AR7" s="38"/>
      <c r="AS7" s="38"/>
      <c r="AT7" s="38"/>
      <c r="AU7" s="38"/>
      <c r="AV7" s="38"/>
      <c r="AW7" s="38"/>
    </row>
    <row r="8" spans="1:49" s="133" customFormat="1" ht="15.75" thickBot="1" x14ac:dyDescent="0.3">
      <c r="A8" s="37"/>
      <c r="B8" s="129">
        <f>Hipótesis!D24</f>
        <v>0</v>
      </c>
      <c r="C8" s="130">
        <f>Hipótesis!D25</f>
        <v>0</v>
      </c>
      <c r="D8" s="131">
        <f>Hipótesis!D26</f>
        <v>0</v>
      </c>
      <c r="E8" s="1"/>
      <c r="F8" s="1"/>
      <c r="G8" s="763"/>
      <c r="H8" s="764"/>
      <c r="I8" s="764"/>
      <c r="J8" s="764"/>
      <c r="K8" s="764"/>
      <c r="L8" s="765"/>
      <c r="M8" s="132"/>
      <c r="N8" s="132"/>
      <c r="O8" s="132"/>
      <c r="P8" s="132"/>
      <c r="Q8" s="132"/>
      <c r="R8" s="132"/>
      <c r="S8" s="132"/>
      <c r="T8" s="132"/>
      <c r="U8" s="132"/>
      <c r="AJ8" s="38"/>
      <c r="AK8" s="38"/>
      <c r="AL8" s="38"/>
      <c r="AM8" s="38"/>
      <c r="AN8" s="38"/>
      <c r="AO8" s="38"/>
      <c r="AP8" s="38"/>
      <c r="AQ8" s="38"/>
      <c r="AR8" s="38"/>
      <c r="AS8" s="38"/>
      <c r="AT8" s="38"/>
      <c r="AU8" s="38"/>
      <c r="AV8" s="38"/>
      <c r="AW8" s="38"/>
    </row>
    <row r="9" spans="1:49" s="133" customFormat="1" x14ac:dyDescent="0.25">
      <c r="A9" s="35"/>
      <c r="B9" s="35"/>
      <c r="C9" s="35"/>
      <c r="D9" s="35"/>
      <c r="E9" s="1"/>
      <c r="F9" s="1"/>
      <c r="G9" s="763"/>
      <c r="H9" s="764"/>
      <c r="I9" s="764"/>
      <c r="J9" s="764"/>
      <c r="K9" s="764"/>
      <c r="L9" s="765"/>
      <c r="M9" s="132"/>
      <c r="N9" s="132"/>
      <c r="O9" s="132"/>
      <c r="P9" s="132"/>
      <c r="Q9" s="132"/>
      <c r="R9" s="132"/>
      <c r="S9" s="132"/>
      <c r="T9" s="132"/>
      <c r="U9" s="132"/>
      <c r="AJ9" s="38"/>
      <c r="AK9" s="38"/>
      <c r="AL9" s="38"/>
      <c r="AM9" s="38"/>
      <c r="AN9" s="38"/>
      <c r="AO9" s="38"/>
      <c r="AP9" s="38"/>
      <c r="AQ9" s="38"/>
      <c r="AR9" s="38"/>
      <c r="AS9" s="38"/>
      <c r="AT9" s="38"/>
      <c r="AU9" s="38"/>
      <c r="AV9" s="38"/>
      <c r="AW9" s="38"/>
    </row>
    <row r="10" spans="1:49" s="133" customFormat="1" x14ac:dyDescent="0.25">
      <c r="A10" s="35" t="s">
        <v>57</v>
      </c>
      <c r="B10" s="35"/>
      <c r="C10" s="35"/>
      <c r="D10" s="35"/>
      <c r="E10" s="1"/>
      <c r="F10" s="1"/>
      <c r="G10" s="763"/>
      <c r="H10" s="764"/>
      <c r="I10" s="764"/>
      <c r="J10" s="764"/>
      <c r="K10" s="764"/>
      <c r="L10" s="765"/>
      <c r="M10" s="132"/>
      <c r="N10" s="132"/>
      <c r="O10" s="132"/>
      <c r="P10" s="132"/>
      <c r="Q10" s="132"/>
      <c r="R10" s="132"/>
      <c r="S10" s="132"/>
      <c r="T10" s="132"/>
      <c r="U10" s="132"/>
      <c r="AJ10" s="38"/>
      <c r="AK10" s="38"/>
      <c r="AL10" s="38"/>
      <c r="AM10" s="38"/>
      <c r="AN10" s="38"/>
      <c r="AO10" s="38"/>
      <c r="AP10" s="38"/>
      <c r="AQ10" s="38"/>
      <c r="AR10" s="38"/>
      <c r="AS10" s="38"/>
      <c r="AT10" s="38"/>
      <c r="AU10" s="38"/>
      <c r="AV10" s="38"/>
      <c r="AW10" s="38"/>
    </row>
    <row r="11" spans="1:49" s="133" customFormat="1" x14ac:dyDescent="0.25">
      <c r="A11" s="35"/>
      <c r="B11" s="35"/>
      <c r="C11" s="35"/>
      <c r="D11" s="35"/>
      <c r="E11" s="1"/>
      <c r="F11" s="1"/>
      <c r="G11" s="763"/>
      <c r="H11" s="764"/>
      <c r="I11" s="764"/>
      <c r="J11" s="764"/>
      <c r="K11" s="764"/>
      <c r="L11" s="765"/>
      <c r="M11" s="132"/>
      <c r="N11" s="132"/>
      <c r="O11" s="132"/>
      <c r="P11" s="132"/>
      <c r="Q11" s="132"/>
      <c r="R11" s="132"/>
      <c r="S11" s="132"/>
      <c r="T11" s="132"/>
      <c r="U11" s="132"/>
      <c r="AJ11" s="38"/>
      <c r="AK11" s="38"/>
      <c r="AL11" s="38"/>
      <c r="AM11" s="38"/>
      <c r="AN11" s="38"/>
      <c r="AO11" s="38"/>
      <c r="AP11" s="38"/>
      <c r="AQ11" s="38"/>
      <c r="AR11" s="38"/>
      <c r="AS11" s="38"/>
      <c r="AT11" s="38"/>
      <c r="AU11" s="38"/>
      <c r="AV11" s="38"/>
      <c r="AW11" s="38"/>
    </row>
    <row r="12" spans="1:49" s="133" customFormat="1" ht="93" customHeight="1" thickBot="1" x14ac:dyDescent="0.3">
      <c r="A12" s="35"/>
      <c r="B12" s="35"/>
      <c r="C12" s="35"/>
      <c r="D12" s="35"/>
      <c r="E12" s="35"/>
      <c r="F12" s="35"/>
      <c r="G12" s="766"/>
      <c r="H12" s="767"/>
      <c r="I12" s="767"/>
      <c r="J12" s="767"/>
      <c r="K12" s="767"/>
      <c r="L12" s="768"/>
      <c r="M12" s="132"/>
      <c r="N12" s="132"/>
      <c r="O12" s="132"/>
      <c r="P12" s="132"/>
      <c r="Q12" s="132"/>
      <c r="R12" s="132"/>
      <c r="S12" s="132"/>
      <c r="T12" s="132"/>
      <c r="U12" s="132"/>
      <c r="AJ12" s="38"/>
      <c r="AK12" s="38"/>
      <c r="AL12" s="38"/>
      <c r="AM12" s="38"/>
      <c r="AN12" s="38"/>
      <c r="AO12" s="38"/>
      <c r="AP12" s="38"/>
      <c r="AQ12" s="38"/>
      <c r="AR12" s="38"/>
      <c r="AS12" s="38"/>
      <c r="AT12" s="38"/>
      <c r="AU12" s="38"/>
      <c r="AV12" s="38"/>
      <c r="AW12" s="38"/>
    </row>
    <row r="13" spans="1:49" x14ac:dyDescent="0.25">
      <c r="A13" s="35"/>
      <c r="B13" s="35"/>
      <c r="C13" s="35"/>
      <c r="D13" s="35"/>
      <c r="E13" s="35"/>
      <c r="F13" s="35"/>
      <c r="G13" s="38"/>
      <c r="H13" s="38"/>
      <c r="I13" s="38"/>
      <c r="J13" s="38"/>
      <c r="K13" s="38"/>
      <c r="L13" s="38"/>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row>
    <row r="14" spans="1:49" ht="15.75" thickBot="1" x14ac:dyDescent="0.3">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row>
    <row r="15" spans="1:49" ht="27" thickBot="1" x14ac:dyDescent="0.45">
      <c r="A15" s="805" t="s">
        <v>54</v>
      </c>
      <c r="B15" s="806"/>
      <c r="C15" s="806"/>
      <c r="D15" s="806"/>
      <c r="E15" s="806"/>
      <c r="F15" s="806"/>
      <c r="G15" s="806"/>
      <c r="H15" s="806"/>
      <c r="I15" s="806"/>
      <c r="J15" s="806"/>
      <c r="K15" s="806"/>
      <c r="L15" s="806"/>
      <c r="M15" s="806"/>
      <c r="N15" s="806"/>
      <c r="O15" s="806"/>
      <c r="P15" s="806"/>
      <c r="Q15" s="806"/>
      <c r="R15" s="806"/>
      <c r="S15" s="806"/>
      <c r="T15" s="806"/>
      <c r="U15" s="806"/>
      <c r="V15" s="806"/>
      <c r="W15" s="806"/>
      <c r="X15" s="806"/>
      <c r="Y15" s="806"/>
      <c r="Z15" s="806"/>
      <c r="AA15" s="806"/>
      <c r="AB15" s="807"/>
      <c r="AC15" s="35"/>
      <c r="AD15" s="35"/>
      <c r="AE15" s="35"/>
      <c r="AF15" s="35"/>
      <c r="AG15" s="35"/>
      <c r="AH15" s="35"/>
      <c r="AI15" s="35"/>
      <c r="AJ15" s="35"/>
      <c r="AK15" s="35"/>
      <c r="AL15" s="35"/>
      <c r="AM15" s="35"/>
      <c r="AN15" s="35"/>
      <c r="AO15" s="35"/>
      <c r="AP15" s="35"/>
      <c r="AQ15" s="35"/>
      <c r="AR15" s="35"/>
      <c r="AS15" s="35"/>
      <c r="AT15" s="35"/>
      <c r="AU15" s="35"/>
      <c r="AV15" s="35"/>
      <c r="AW15" s="35"/>
    </row>
    <row r="16" spans="1:49" x14ac:dyDescent="0.25">
      <c r="A16" s="795" t="s">
        <v>32</v>
      </c>
      <c r="B16" s="795" t="s">
        <v>33</v>
      </c>
      <c r="C16" s="789" t="s">
        <v>64</v>
      </c>
      <c r="D16" s="790"/>
      <c r="E16" s="753" t="s">
        <v>42</v>
      </c>
      <c r="F16" s="754"/>
      <c r="G16" s="753" t="s">
        <v>43</v>
      </c>
      <c r="H16" s="754"/>
      <c r="I16" s="753" t="s">
        <v>44</v>
      </c>
      <c r="J16" s="754"/>
      <c r="K16" s="753" t="s">
        <v>45</v>
      </c>
      <c r="L16" s="754"/>
      <c r="M16" s="753" t="s">
        <v>46</v>
      </c>
      <c r="N16" s="754"/>
      <c r="O16" s="753" t="s">
        <v>47</v>
      </c>
      <c r="P16" s="754"/>
      <c r="Q16" s="753" t="s">
        <v>48</v>
      </c>
      <c r="R16" s="754"/>
      <c r="S16" s="753" t="s">
        <v>49</v>
      </c>
      <c r="T16" s="754"/>
      <c r="U16" s="753" t="s">
        <v>50</v>
      </c>
      <c r="V16" s="754"/>
      <c r="W16" s="753" t="s">
        <v>51</v>
      </c>
      <c r="X16" s="754"/>
      <c r="Y16" s="753" t="s">
        <v>52</v>
      </c>
      <c r="Z16" s="754"/>
      <c r="AA16" s="753" t="s">
        <v>53</v>
      </c>
      <c r="AB16" s="754"/>
      <c r="AC16" s="35"/>
      <c r="AD16" s="35"/>
      <c r="AE16" s="35"/>
      <c r="AF16" s="35"/>
      <c r="AG16" s="35"/>
      <c r="AH16" s="35"/>
      <c r="AI16" s="35"/>
      <c r="AJ16" s="35"/>
      <c r="AK16" s="35"/>
      <c r="AL16" s="35"/>
      <c r="AM16" s="35"/>
      <c r="AN16" s="35"/>
      <c r="AO16" s="35"/>
      <c r="AP16" s="35"/>
      <c r="AQ16" s="35"/>
      <c r="AR16" s="35"/>
      <c r="AS16" s="35"/>
      <c r="AT16" s="35"/>
      <c r="AU16" s="35"/>
      <c r="AV16" s="35"/>
      <c r="AW16" s="35"/>
    </row>
    <row r="17" spans="1:49" x14ac:dyDescent="0.25">
      <c r="A17" s="781"/>
      <c r="B17" s="781"/>
      <c r="C17" s="784" t="s">
        <v>63</v>
      </c>
      <c r="D17" s="786" t="s">
        <v>41</v>
      </c>
      <c r="E17" s="755">
        <v>0.08</v>
      </c>
      <c r="F17" s="756"/>
      <c r="G17" s="755">
        <v>0.1</v>
      </c>
      <c r="H17" s="756"/>
      <c r="I17" s="755">
        <v>0.08</v>
      </c>
      <c r="J17" s="756"/>
      <c r="K17" s="755">
        <v>7.0000000000000007E-2</v>
      </c>
      <c r="L17" s="756"/>
      <c r="M17" s="755">
        <v>0.06</v>
      </c>
      <c r="N17" s="756"/>
      <c r="O17" s="755">
        <v>0.04</v>
      </c>
      <c r="P17" s="756"/>
      <c r="Q17" s="755">
        <v>0.09</v>
      </c>
      <c r="R17" s="756"/>
      <c r="S17" s="755">
        <v>0.05</v>
      </c>
      <c r="T17" s="756"/>
      <c r="U17" s="755">
        <v>0.09</v>
      </c>
      <c r="V17" s="756"/>
      <c r="W17" s="755">
        <v>0.1</v>
      </c>
      <c r="X17" s="756"/>
      <c r="Y17" s="755">
        <v>0.11</v>
      </c>
      <c r="Z17" s="756"/>
      <c r="AA17" s="755">
        <v>0.13</v>
      </c>
      <c r="AB17" s="756"/>
      <c r="AC17" s="35"/>
      <c r="AD17" s="35"/>
      <c r="AE17" s="35"/>
      <c r="AF17" s="35"/>
      <c r="AG17" s="35"/>
      <c r="AH17" s="35"/>
      <c r="AI17" s="35"/>
      <c r="AJ17" s="35"/>
      <c r="AK17" s="35"/>
      <c r="AL17" s="35"/>
      <c r="AM17" s="35"/>
      <c r="AN17" s="35"/>
      <c r="AO17" s="35"/>
      <c r="AP17" s="35"/>
      <c r="AQ17" s="35"/>
      <c r="AR17" s="35"/>
      <c r="AS17" s="35"/>
      <c r="AT17" s="35"/>
      <c r="AU17" s="35"/>
      <c r="AV17" s="35"/>
      <c r="AW17" s="35"/>
    </row>
    <row r="18" spans="1:49" ht="15.75" customHeight="1" thickBot="1" x14ac:dyDescent="0.3">
      <c r="A18" s="808"/>
      <c r="B18" s="808"/>
      <c r="C18" s="791"/>
      <c r="D18" s="792"/>
      <c r="E18" s="88" t="s">
        <v>63</v>
      </c>
      <c r="F18" s="89" t="s">
        <v>41</v>
      </c>
      <c r="G18" s="88" t="s">
        <v>63</v>
      </c>
      <c r="H18" s="89" t="s">
        <v>41</v>
      </c>
      <c r="I18" s="88" t="s">
        <v>63</v>
      </c>
      <c r="J18" s="89" t="s">
        <v>41</v>
      </c>
      <c r="K18" s="88" t="s">
        <v>63</v>
      </c>
      <c r="L18" s="89" t="s">
        <v>41</v>
      </c>
      <c r="M18" s="88" t="s">
        <v>63</v>
      </c>
      <c r="N18" s="89" t="s">
        <v>41</v>
      </c>
      <c r="O18" s="88" t="s">
        <v>63</v>
      </c>
      <c r="P18" s="89" t="s">
        <v>41</v>
      </c>
      <c r="Q18" s="88" t="s">
        <v>63</v>
      </c>
      <c r="R18" s="89" t="s">
        <v>41</v>
      </c>
      <c r="S18" s="88" t="s">
        <v>63</v>
      </c>
      <c r="T18" s="89" t="s">
        <v>41</v>
      </c>
      <c r="U18" s="88" t="s">
        <v>63</v>
      </c>
      <c r="V18" s="89" t="s">
        <v>41</v>
      </c>
      <c r="W18" s="88" t="s">
        <v>63</v>
      </c>
      <c r="X18" s="89" t="s">
        <v>41</v>
      </c>
      <c r="Y18" s="88" t="s">
        <v>63</v>
      </c>
      <c r="Z18" s="89" t="s">
        <v>41</v>
      </c>
      <c r="AA18" s="88" t="s">
        <v>63</v>
      </c>
      <c r="AB18" s="89" t="s">
        <v>41</v>
      </c>
      <c r="AC18" s="35"/>
      <c r="AD18" s="35"/>
      <c r="AE18" s="35"/>
      <c r="AF18" s="35"/>
      <c r="AG18" s="35"/>
      <c r="AH18" s="35"/>
      <c r="AI18" s="35"/>
      <c r="AJ18" s="35"/>
      <c r="AK18" s="35"/>
      <c r="AL18" s="35"/>
      <c r="AM18" s="35"/>
      <c r="AN18" s="35"/>
      <c r="AO18" s="35"/>
      <c r="AP18" s="35"/>
      <c r="AQ18" s="35"/>
      <c r="AR18" s="35"/>
      <c r="AS18" s="35"/>
      <c r="AT18" s="35"/>
      <c r="AU18" s="35"/>
      <c r="AV18" s="35"/>
      <c r="AW18" s="35"/>
    </row>
    <row r="19" spans="1:49" ht="15.75" x14ac:dyDescent="0.25">
      <c r="A19" s="59"/>
      <c r="B19" s="60">
        <f>Hipótesis!C58</f>
        <v>2800</v>
      </c>
      <c r="C19" s="61">
        <v>900</v>
      </c>
      <c r="D19" s="62">
        <f>B19*C19</f>
        <v>2520000</v>
      </c>
      <c r="E19" s="90">
        <f>C19*$E$17</f>
        <v>72</v>
      </c>
      <c r="F19" s="62">
        <f>D19*$E$17</f>
        <v>201600</v>
      </c>
      <c r="G19" s="90">
        <f>C19*$G$17</f>
        <v>90</v>
      </c>
      <c r="H19" s="62">
        <f>D19*$G$17</f>
        <v>252000</v>
      </c>
      <c r="I19" s="90">
        <f t="shared" ref="I19:I31" si="0">C19*$I$17</f>
        <v>72</v>
      </c>
      <c r="J19" s="62">
        <f t="shared" ref="J19:J31" si="1">D19*$I$17</f>
        <v>201600</v>
      </c>
      <c r="K19" s="90">
        <f t="shared" ref="K19:K31" si="2">C19*$K$17</f>
        <v>63.000000000000007</v>
      </c>
      <c r="L19" s="62">
        <f t="shared" ref="L19:L31" si="3">D19*$K$17</f>
        <v>176400.00000000003</v>
      </c>
      <c r="M19" s="90">
        <f>C19*$M$17</f>
        <v>54</v>
      </c>
      <c r="N19" s="62">
        <f>D19*$M$17</f>
        <v>151200</v>
      </c>
      <c r="O19" s="90">
        <f t="shared" ref="O19:O31" si="4">C19*$O$17</f>
        <v>36</v>
      </c>
      <c r="P19" s="62">
        <f t="shared" ref="P19:P31" si="5">D19*$O$17</f>
        <v>100800</v>
      </c>
      <c r="Q19" s="90">
        <f t="shared" ref="Q19:Q31" si="6">C19*$Q$17</f>
        <v>81</v>
      </c>
      <c r="R19" s="62">
        <f t="shared" ref="R19:R31" si="7">D19*$Q$17</f>
        <v>226800</v>
      </c>
      <c r="S19" s="90">
        <f t="shared" ref="S19:S31" si="8">C19*$S$17</f>
        <v>45</v>
      </c>
      <c r="T19" s="62">
        <f t="shared" ref="T19:T31" si="9">D19*$S$17</f>
        <v>126000</v>
      </c>
      <c r="U19" s="90">
        <f t="shared" ref="U19:U31" si="10">C19*$U$17</f>
        <v>81</v>
      </c>
      <c r="V19" s="62">
        <f t="shared" ref="V19:V31" si="11">D19*$U$17</f>
        <v>226800</v>
      </c>
      <c r="W19" s="90">
        <f t="shared" ref="W19:W31" si="12">C19*$W$17</f>
        <v>90</v>
      </c>
      <c r="X19" s="62">
        <f t="shared" ref="X19:X31" si="13">D19*$W$17</f>
        <v>252000</v>
      </c>
      <c r="Y19" s="90">
        <f t="shared" ref="Y19:Y31" si="14">C19*$Y$17</f>
        <v>99</v>
      </c>
      <c r="Z19" s="100">
        <f t="shared" ref="Z19:Z31" si="15">D19*$Y$17</f>
        <v>277200</v>
      </c>
      <c r="AA19" s="90">
        <f>C19*$AA$17</f>
        <v>117</v>
      </c>
      <c r="AB19" s="62">
        <f>D19*$AA$17</f>
        <v>327600</v>
      </c>
    </row>
    <row r="20" spans="1:49" ht="15.75" x14ac:dyDescent="0.25">
      <c r="A20" s="63"/>
      <c r="B20" s="50">
        <f>Hipótesis!C59</f>
        <v>15500</v>
      </c>
      <c r="C20" s="53">
        <v>500</v>
      </c>
      <c r="D20" s="54">
        <f t="shared" ref="D20:D31" si="16">B20*C20</f>
        <v>7750000</v>
      </c>
      <c r="E20" s="91">
        <f t="shared" ref="E20:E31" si="17">C20*$E$17</f>
        <v>40</v>
      </c>
      <c r="F20" s="54">
        <f t="shared" ref="F20:F30" si="18">D20*$E$17</f>
        <v>620000</v>
      </c>
      <c r="G20" s="91">
        <f t="shared" ref="G20:G31" si="19">C20*$G$17</f>
        <v>50</v>
      </c>
      <c r="H20" s="54">
        <f t="shared" ref="H20:H31" si="20">D20*$G$17</f>
        <v>775000</v>
      </c>
      <c r="I20" s="91">
        <f t="shared" si="0"/>
        <v>40</v>
      </c>
      <c r="J20" s="54">
        <f t="shared" si="1"/>
        <v>620000</v>
      </c>
      <c r="K20" s="91">
        <f t="shared" si="2"/>
        <v>35</v>
      </c>
      <c r="L20" s="54">
        <f t="shared" si="3"/>
        <v>542500</v>
      </c>
      <c r="M20" s="91">
        <f t="shared" ref="M20:M31" si="21">C20*$M$17</f>
        <v>30</v>
      </c>
      <c r="N20" s="54">
        <f t="shared" ref="N20:N31" si="22">D20*$M$17</f>
        <v>465000</v>
      </c>
      <c r="O20" s="91">
        <f t="shared" si="4"/>
        <v>20</v>
      </c>
      <c r="P20" s="54">
        <f t="shared" si="5"/>
        <v>310000</v>
      </c>
      <c r="Q20" s="91">
        <f t="shared" si="6"/>
        <v>45</v>
      </c>
      <c r="R20" s="54">
        <f t="shared" si="7"/>
        <v>697500</v>
      </c>
      <c r="S20" s="91">
        <f t="shared" si="8"/>
        <v>25</v>
      </c>
      <c r="T20" s="54">
        <f t="shared" si="9"/>
        <v>387500</v>
      </c>
      <c r="U20" s="91">
        <f t="shared" si="10"/>
        <v>45</v>
      </c>
      <c r="V20" s="54">
        <f t="shared" si="11"/>
        <v>697500</v>
      </c>
      <c r="W20" s="91">
        <f t="shared" si="12"/>
        <v>50</v>
      </c>
      <c r="X20" s="54">
        <f t="shared" si="13"/>
        <v>775000</v>
      </c>
      <c r="Y20" s="91">
        <f t="shared" si="14"/>
        <v>55</v>
      </c>
      <c r="Z20" s="101">
        <f t="shared" si="15"/>
        <v>852500</v>
      </c>
      <c r="AA20" s="91">
        <f>C20*$AA$17</f>
        <v>65</v>
      </c>
      <c r="AB20" s="54">
        <f>D20*$AA$17</f>
        <v>1007500</v>
      </c>
    </row>
    <row r="21" spans="1:49" ht="16.5" thickBot="1" x14ac:dyDescent="0.3">
      <c r="A21" s="64"/>
      <c r="B21" s="65">
        <f>Hipótesis!C60</f>
        <v>23000</v>
      </c>
      <c r="C21" s="66">
        <v>120</v>
      </c>
      <c r="D21" s="67">
        <f t="shared" si="16"/>
        <v>2760000</v>
      </c>
      <c r="E21" s="92">
        <f t="shared" si="17"/>
        <v>9.6</v>
      </c>
      <c r="F21" s="67">
        <f t="shared" si="18"/>
        <v>220800</v>
      </c>
      <c r="G21" s="92">
        <f t="shared" si="19"/>
        <v>12</v>
      </c>
      <c r="H21" s="67">
        <f t="shared" si="20"/>
        <v>276000</v>
      </c>
      <c r="I21" s="92">
        <f t="shared" si="0"/>
        <v>9.6</v>
      </c>
      <c r="J21" s="67">
        <f t="shared" si="1"/>
        <v>220800</v>
      </c>
      <c r="K21" s="92">
        <f t="shared" si="2"/>
        <v>8.4</v>
      </c>
      <c r="L21" s="67">
        <f t="shared" si="3"/>
        <v>193200.00000000003</v>
      </c>
      <c r="M21" s="92">
        <f t="shared" si="21"/>
        <v>7.1999999999999993</v>
      </c>
      <c r="N21" s="67">
        <f t="shared" si="22"/>
        <v>165600</v>
      </c>
      <c r="O21" s="92">
        <f t="shared" si="4"/>
        <v>4.8</v>
      </c>
      <c r="P21" s="67">
        <f t="shared" si="5"/>
        <v>110400</v>
      </c>
      <c r="Q21" s="92">
        <f t="shared" si="6"/>
        <v>10.799999999999999</v>
      </c>
      <c r="R21" s="67">
        <f t="shared" si="7"/>
        <v>248400</v>
      </c>
      <c r="S21" s="92">
        <f t="shared" si="8"/>
        <v>6</v>
      </c>
      <c r="T21" s="67">
        <f t="shared" si="9"/>
        <v>138000</v>
      </c>
      <c r="U21" s="92">
        <f t="shared" si="10"/>
        <v>10.799999999999999</v>
      </c>
      <c r="V21" s="67">
        <f t="shared" si="11"/>
        <v>248400</v>
      </c>
      <c r="W21" s="92">
        <f t="shared" si="12"/>
        <v>12</v>
      </c>
      <c r="X21" s="67">
        <f t="shared" si="13"/>
        <v>276000</v>
      </c>
      <c r="Y21" s="92">
        <f t="shared" si="14"/>
        <v>13.2</v>
      </c>
      <c r="Z21" s="102">
        <f t="shared" si="15"/>
        <v>303600</v>
      </c>
      <c r="AA21" s="92">
        <f t="shared" ref="AA21:AA31" si="23">C21*$AA$17</f>
        <v>15.600000000000001</v>
      </c>
      <c r="AB21" s="67">
        <f t="shared" ref="AB21:AB31" si="24">D21*$AA$17</f>
        <v>358800</v>
      </c>
    </row>
    <row r="22" spans="1:49" ht="15.75" x14ac:dyDescent="0.25">
      <c r="A22" s="68"/>
      <c r="B22" s="69">
        <f>Hipótesis!C61</f>
        <v>500</v>
      </c>
      <c r="C22" s="70">
        <v>550</v>
      </c>
      <c r="D22" s="71">
        <f t="shared" si="16"/>
        <v>275000</v>
      </c>
      <c r="E22" s="93">
        <f t="shared" si="17"/>
        <v>44</v>
      </c>
      <c r="F22" s="71">
        <f t="shared" si="18"/>
        <v>22000</v>
      </c>
      <c r="G22" s="93">
        <f t="shared" si="19"/>
        <v>55</v>
      </c>
      <c r="H22" s="71">
        <f t="shared" si="20"/>
        <v>27500</v>
      </c>
      <c r="I22" s="93">
        <f t="shared" si="0"/>
        <v>44</v>
      </c>
      <c r="J22" s="71">
        <f t="shared" si="1"/>
        <v>22000</v>
      </c>
      <c r="K22" s="93">
        <f t="shared" si="2"/>
        <v>38.500000000000007</v>
      </c>
      <c r="L22" s="71">
        <f t="shared" si="3"/>
        <v>19250.000000000004</v>
      </c>
      <c r="M22" s="93">
        <f t="shared" si="21"/>
        <v>33</v>
      </c>
      <c r="N22" s="71">
        <f t="shared" si="22"/>
        <v>16500</v>
      </c>
      <c r="O22" s="93">
        <f t="shared" si="4"/>
        <v>22</v>
      </c>
      <c r="P22" s="71">
        <f t="shared" si="5"/>
        <v>11000</v>
      </c>
      <c r="Q22" s="93">
        <f t="shared" si="6"/>
        <v>49.5</v>
      </c>
      <c r="R22" s="71">
        <f t="shared" si="7"/>
        <v>24750</v>
      </c>
      <c r="S22" s="93">
        <f t="shared" si="8"/>
        <v>27.5</v>
      </c>
      <c r="T22" s="71">
        <f t="shared" si="9"/>
        <v>13750</v>
      </c>
      <c r="U22" s="93">
        <f t="shared" si="10"/>
        <v>49.5</v>
      </c>
      <c r="V22" s="71">
        <f t="shared" si="11"/>
        <v>24750</v>
      </c>
      <c r="W22" s="93">
        <f t="shared" si="12"/>
        <v>55</v>
      </c>
      <c r="X22" s="71">
        <f t="shared" si="13"/>
        <v>27500</v>
      </c>
      <c r="Y22" s="93">
        <f t="shared" si="14"/>
        <v>60.5</v>
      </c>
      <c r="Z22" s="103">
        <f t="shared" si="15"/>
        <v>30250</v>
      </c>
      <c r="AA22" s="93">
        <f t="shared" si="23"/>
        <v>71.5</v>
      </c>
      <c r="AB22" s="71">
        <f t="shared" si="24"/>
        <v>35750</v>
      </c>
    </row>
    <row r="23" spans="1:49" ht="15.75" x14ac:dyDescent="0.25">
      <c r="A23" s="72"/>
      <c r="B23" s="51">
        <f>Hipótesis!C62</f>
        <v>400</v>
      </c>
      <c r="C23" s="55">
        <v>550</v>
      </c>
      <c r="D23" s="56">
        <f t="shared" si="16"/>
        <v>220000</v>
      </c>
      <c r="E23" s="94">
        <f t="shared" si="17"/>
        <v>44</v>
      </c>
      <c r="F23" s="56">
        <f t="shared" si="18"/>
        <v>17600</v>
      </c>
      <c r="G23" s="94">
        <f t="shared" si="19"/>
        <v>55</v>
      </c>
      <c r="H23" s="56">
        <f t="shared" si="20"/>
        <v>22000</v>
      </c>
      <c r="I23" s="94">
        <f t="shared" si="0"/>
        <v>44</v>
      </c>
      <c r="J23" s="56">
        <f t="shared" si="1"/>
        <v>17600</v>
      </c>
      <c r="K23" s="94">
        <f t="shared" si="2"/>
        <v>38.500000000000007</v>
      </c>
      <c r="L23" s="56">
        <f t="shared" si="3"/>
        <v>15400.000000000002</v>
      </c>
      <c r="M23" s="94">
        <f t="shared" si="21"/>
        <v>33</v>
      </c>
      <c r="N23" s="56">
        <f t="shared" si="22"/>
        <v>13200</v>
      </c>
      <c r="O23" s="94">
        <f t="shared" si="4"/>
        <v>22</v>
      </c>
      <c r="P23" s="56">
        <f t="shared" si="5"/>
        <v>8800</v>
      </c>
      <c r="Q23" s="94">
        <f t="shared" si="6"/>
        <v>49.5</v>
      </c>
      <c r="R23" s="56">
        <f t="shared" si="7"/>
        <v>19800</v>
      </c>
      <c r="S23" s="94">
        <f t="shared" si="8"/>
        <v>27.5</v>
      </c>
      <c r="T23" s="56">
        <f t="shared" si="9"/>
        <v>11000</v>
      </c>
      <c r="U23" s="94">
        <f t="shared" si="10"/>
        <v>49.5</v>
      </c>
      <c r="V23" s="56">
        <f t="shared" si="11"/>
        <v>19800</v>
      </c>
      <c r="W23" s="94">
        <f t="shared" si="12"/>
        <v>55</v>
      </c>
      <c r="X23" s="56">
        <f t="shared" si="13"/>
        <v>22000</v>
      </c>
      <c r="Y23" s="94">
        <f t="shared" si="14"/>
        <v>60.5</v>
      </c>
      <c r="Z23" s="104">
        <f t="shared" si="15"/>
        <v>24200</v>
      </c>
      <c r="AA23" s="94">
        <f t="shared" si="23"/>
        <v>71.5</v>
      </c>
      <c r="AB23" s="56">
        <f t="shared" si="24"/>
        <v>28600</v>
      </c>
    </row>
    <row r="24" spans="1:49" ht="15.75" x14ac:dyDescent="0.25">
      <c r="A24" s="73"/>
      <c r="B24" s="51">
        <f>Hipótesis!C63</f>
        <v>2200</v>
      </c>
      <c r="C24" s="55">
        <v>300</v>
      </c>
      <c r="D24" s="56">
        <f t="shared" si="16"/>
        <v>660000</v>
      </c>
      <c r="E24" s="94">
        <f t="shared" si="17"/>
        <v>24</v>
      </c>
      <c r="F24" s="56">
        <f t="shared" si="18"/>
        <v>52800</v>
      </c>
      <c r="G24" s="94">
        <f t="shared" si="19"/>
        <v>30</v>
      </c>
      <c r="H24" s="56">
        <f t="shared" si="20"/>
        <v>66000</v>
      </c>
      <c r="I24" s="94">
        <f t="shared" si="0"/>
        <v>24</v>
      </c>
      <c r="J24" s="56">
        <f t="shared" si="1"/>
        <v>52800</v>
      </c>
      <c r="K24" s="94">
        <f t="shared" si="2"/>
        <v>21.000000000000004</v>
      </c>
      <c r="L24" s="56">
        <f t="shared" si="3"/>
        <v>46200.000000000007</v>
      </c>
      <c r="M24" s="94">
        <f t="shared" si="21"/>
        <v>18</v>
      </c>
      <c r="N24" s="56">
        <f t="shared" si="22"/>
        <v>39600</v>
      </c>
      <c r="O24" s="94">
        <f t="shared" si="4"/>
        <v>12</v>
      </c>
      <c r="P24" s="56">
        <f t="shared" si="5"/>
        <v>26400</v>
      </c>
      <c r="Q24" s="94">
        <f t="shared" si="6"/>
        <v>27</v>
      </c>
      <c r="R24" s="56">
        <f t="shared" si="7"/>
        <v>59400</v>
      </c>
      <c r="S24" s="94">
        <f t="shared" si="8"/>
        <v>15</v>
      </c>
      <c r="T24" s="56">
        <f t="shared" si="9"/>
        <v>33000</v>
      </c>
      <c r="U24" s="94">
        <f t="shared" si="10"/>
        <v>27</v>
      </c>
      <c r="V24" s="56">
        <f t="shared" si="11"/>
        <v>59400</v>
      </c>
      <c r="W24" s="94">
        <f t="shared" si="12"/>
        <v>30</v>
      </c>
      <c r="X24" s="56">
        <f t="shared" si="13"/>
        <v>66000</v>
      </c>
      <c r="Y24" s="94">
        <f t="shared" si="14"/>
        <v>33</v>
      </c>
      <c r="Z24" s="104">
        <f t="shared" si="15"/>
        <v>72600</v>
      </c>
      <c r="AA24" s="94">
        <f t="shared" si="23"/>
        <v>39</v>
      </c>
      <c r="AB24" s="56">
        <f t="shared" si="24"/>
        <v>85800</v>
      </c>
    </row>
    <row r="25" spans="1:49" ht="16.5" thickBot="1" x14ac:dyDescent="0.3">
      <c r="A25" s="74"/>
      <c r="B25" s="75">
        <f>Hipótesis!C64</f>
        <v>250</v>
      </c>
      <c r="C25" s="76">
        <v>1000</v>
      </c>
      <c r="D25" s="77">
        <f t="shared" si="16"/>
        <v>250000</v>
      </c>
      <c r="E25" s="95">
        <f t="shared" si="17"/>
        <v>80</v>
      </c>
      <c r="F25" s="77">
        <f t="shared" si="18"/>
        <v>20000</v>
      </c>
      <c r="G25" s="95">
        <f t="shared" si="19"/>
        <v>100</v>
      </c>
      <c r="H25" s="77">
        <f t="shared" si="20"/>
        <v>25000</v>
      </c>
      <c r="I25" s="95">
        <f t="shared" si="0"/>
        <v>80</v>
      </c>
      <c r="J25" s="77">
        <f t="shared" si="1"/>
        <v>20000</v>
      </c>
      <c r="K25" s="95">
        <f t="shared" si="2"/>
        <v>70</v>
      </c>
      <c r="L25" s="77">
        <f t="shared" si="3"/>
        <v>17500</v>
      </c>
      <c r="M25" s="95">
        <f t="shared" si="21"/>
        <v>60</v>
      </c>
      <c r="N25" s="77">
        <f t="shared" si="22"/>
        <v>15000</v>
      </c>
      <c r="O25" s="95">
        <f t="shared" si="4"/>
        <v>40</v>
      </c>
      <c r="P25" s="77">
        <f t="shared" si="5"/>
        <v>10000</v>
      </c>
      <c r="Q25" s="95">
        <f t="shared" si="6"/>
        <v>90</v>
      </c>
      <c r="R25" s="77">
        <f t="shared" si="7"/>
        <v>22500</v>
      </c>
      <c r="S25" s="95">
        <f t="shared" si="8"/>
        <v>50</v>
      </c>
      <c r="T25" s="77">
        <f t="shared" si="9"/>
        <v>12500</v>
      </c>
      <c r="U25" s="95">
        <f t="shared" si="10"/>
        <v>90</v>
      </c>
      <c r="V25" s="77">
        <f t="shared" si="11"/>
        <v>22500</v>
      </c>
      <c r="W25" s="95">
        <f t="shared" si="12"/>
        <v>100</v>
      </c>
      <c r="X25" s="77">
        <f t="shared" si="13"/>
        <v>25000</v>
      </c>
      <c r="Y25" s="95">
        <f t="shared" si="14"/>
        <v>110</v>
      </c>
      <c r="Z25" s="105">
        <f t="shared" si="15"/>
        <v>27500</v>
      </c>
      <c r="AA25" s="95">
        <f t="shared" si="23"/>
        <v>130</v>
      </c>
      <c r="AB25" s="77">
        <f t="shared" si="24"/>
        <v>32500</v>
      </c>
    </row>
    <row r="26" spans="1:49" ht="15.75" x14ac:dyDescent="0.25">
      <c r="A26" s="78"/>
      <c r="B26" s="79">
        <f>Hipótesis!C65</f>
        <v>1600</v>
      </c>
      <c r="C26" s="80">
        <v>770</v>
      </c>
      <c r="D26" s="81">
        <f t="shared" si="16"/>
        <v>1232000</v>
      </c>
      <c r="E26" s="96">
        <f t="shared" si="17"/>
        <v>61.6</v>
      </c>
      <c r="F26" s="81">
        <f t="shared" si="18"/>
        <v>98560</v>
      </c>
      <c r="G26" s="96">
        <f t="shared" si="19"/>
        <v>77</v>
      </c>
      <c r="H26" s="81">
        <f t="shared" si="20"/>
        <v>123200</v>
      </c>
      <c r="I26" s="96">
        <f t="shared" si="0"/>
        <v>61.6</v>
      </c>
      <c r="J26" s="81">
        <f t="shared" si="1"/>
        <v>98560</v>
      </c>
      <c r="K26" s="96">
        <f t="shared" si="2"/>
        <v>53.900000000000006</v>
      </c>
      <c r="L26" s="81">
        <f t="shared" si="3"/>
        <v>86240.000000000015</v>
      </c>
      <c r="M26" s="96">
        <f t="shared" si="21"/>
        <v>46.199999999999996</v>
      </c>
      <c r="N26" s="81">
        <f t="shared" si="22"/>
        <v>73920</v>
      </c>
      <c r="O26" s="96">
        <f t="shared" si="4"/>
        <v>30.8</v>
      </c>
      <c r="P26" s="81">
        <f t="shared" si="5"/>
        <v>49280</v>
      </c>
      <c r="Q26" s="96">
        <f t="shared" si="6"/>
        <v>69.3</v>
      </c>
      <c r="R26" s="81">
        <f t="shared" si="7"/>
        <v>110880</v>
      </c>
      <c r="S26" s="96">
        <f t="shared" si="8"/>
        <v>38.5</v>
      </c>
      <c r="T26" s="81">
        <f t="shared" si="9"/>
        <v>61600</v>
      </c>
      <c r="U26" s="96">
        <f t="shared" si="10"/>
        <v>69.3</v>
      </c>
      <c r="V26" s="81">
        <f t="shared" si="11"/>
        <v>110880</v>
      </c>
      <c r="W26" s="96">
        <f t="shared" si="12"/>
        <v>77</v>
      </c>
      <c r="X26" s="81">
        <f t="shared" si="13"/>
        <v>123200</v>
      </c>
      <c r="Y26" s="96">
        <f t="shared" si="14"/>
        <v>84.7</v>
      </c>
      <c r="Z26" s="106">
        <f t="shared" si="15"/>
        <v>135520</v>
      </c>
      <c r="AA26" s="96">
        <f t="shared" si="23"/>
        <v>100.10000000000001</v>
      </c>
      <c r="AB26" s="81">
        <f t="shared" si="24"/>
        <v>160160</v>
      </c>
    </row>
    <row r="27" spans="1:49" ht="15.75" x14ac:dyDescent="0.25">
      <c r="A27" s="82"/>
      <c r="B27" s="52">
        <f>Hipótesis!C66</f>
        <v>480</v>
      </c>
      <c r="C27" s="57">
        <v>505</v>
      </c>
      <c r="D27" s="58">
        <f t="shared" si="16"/>
        <v>242400</v>
      </c>
      <c r="E27" s="97">
        <f t="shared" si="17"/>
        <v>40.4</v>
      </c>
      <c r="F27" s="58">
        <f t="shared" si="18"/>
        <v>19392</v>
      </c>
      <c r="G27" s="97">
        <f t="shared" si="19"/>
        <v>50.5</v>
      </c>
      <c r="H27" s="58">
        <f t="shared" si="20"/>
        <v>24240</v>
      </c>
      <c r="I27" s="97">
        <f t="shared" si="0"/>
        <v>40.4</v>
      </c>
      <c r="J27" s="58">
        <f t="shared" si="1"/>
        <v>19392</v>
      </c>
      <c r="K27" s="97">
        <f t="shared" si="2"/>
        <v>35.35</v>
      </c>
      <c r="L27" s="58">
        <f t="shared" si="3"/>
        <v>16968</v>
      </c>
      <c r="M27" s="97">
        <f t="shared" si="21"/>
        <v>30.299999999999997</v>
      </c>
      <c r="N27" s="58">
        <f t="shared" si="22"/>
        <v>14544</v>
      </c>
      <c r="O27" s="97">
        <f t="shared" si="4"/>
        <v>20.2</v>
      </c>
      <c r="P27" s="58">
        <f t="shared" si="5"/>
        <v>9696</v>
      </c>
      <c r="Q27" s="97">
        <f t="shared" si="6"/>
        <v>45.449999999999996</v>
      </c>
      <c r="R27" s="58">
        <f t="shared" si="7"/>
        <v>21816</v>
      </c>
      <c r="S27" s="97">
        <f t="shared" si="8"/>
        <v>25.25</v>
      </c>
      <c r="T27" s="58">
        <f t="shared" si="9"/>
        <v>12120</v>
      </c>
      <c r="U27" s="97">
        <f t="shared" si="10"/>
        <v>45.449999999999996</v>
      </c>
      <c r="V27" s="58">
        <f t="shared" si="11"/>
        <v>21816</v>
      </c>
      <c r="W27" s="97">
        <f t="shared" si="12"/>
        <v>50.5</v>
      </c>
      <c r="X27" s="58">
        <f t="shared" si="13"/>
        <v>24240</v>
      </c>
      <c r="Y27" s="97">
        <f t="shared" si="14"/>
        <v>55.55</v>
      </c>
      <c r="Z27" s="107">
        <f t="shared" si="15"/>
        <v>26664</v>
      </c>
      <c r="AA27" s="97">
        <f t="shared" si="23"/>
        <v>65.650000000000006</v>
      </c>
      <c r="AB27" s="58">
        <f t="shared" si="24"/>
        <v>31512</v>
      </c>
    </row>
    <row r="28" spans="1:49" ht="15.75" x14ac:dyDescent="0.25">
      <c r="A28" s="82"/>
      <c r="B28" s="52">
        <f>Hipótesis!C67</f>
        <v>1100</v>
      </c>
      <c r="C28" s="57">
        <v>650</v>
      </c>
      <c r="D28" s="58">
        <f t="shared" si="16"/>
        <v>715000</v>
      </c>
      <c r="E28" s="97">
        <f t="shared" si="17"/>
        <v>52</v>
      </c>
      <c r="F28" s="58">
        <f t="shared" si="18"/>
        <v>57200</v>
      </c>
      <c r="G28" s="97">
        <f t="shared" si="19"/>
        <v>65</v>
      </c>
      <c r="H28" s="58">
        <f t="shared" si="20"/>
        <v>71500</v>
      </c>
      <c r="I28" s="97">
        <f t="shared" si="0"/>
        <v>52</v>
      </c>
      <c r="J28" s="58">
        <f t="shared" si="1"/>
        <v>57200</v>
      </c>
      <c r="K28" s="97">
        <f t="shared" si="2"/>
        <v>45.500000000000007</v>
      </c>
      <c r="L28" s="58">
        <f t="shared" si="3"/>
        <v>50050.000000000007</v>
      </c>
      <c r="M28" s="97">
        <f t="shared" si="21"/>
        <v>39</v>
      </c>
      <c r="N28" s="58">
        <f t="shared" si="22"/>
        <v>42900</v>
      </c>
      <c r="O28" s="97">
        <f t="shared" si="4"/>
        <v>26</v>
      </c>
      <c r="P28" s="58">
        <f t="shared" si="5"/>
        <v>28600</v>
      </c>
      <c r="Q28" s="97">
        <f t="shared" si="6"/>
        <v>58.5</v>
      </c>
      <c r="R28" s="58">
        <f t="shared" si="7"/>
        <v>64350</v>
      </c>
      <c r="S28" s="97">
        <f t="shared" si="8"/>
        <v>32.5</v>
      </c>
      <c r="T28" s="58">
        <f t="shared" si="9"/>
        <v>35750</v>
      </c>
      <c r="U28" s="97">
        <f t="shared" si="10"/>
        <v>58.5</v>
      </c>
      <c r="V28" s="58">
        <f t="shared" si="11"/>
        <v>64350</v>
      </c>
      <c r="W28" s="97">
        <f t="shared" si="12"/>
        <v>65</v>
      </c>
      <c r="X28" s="58">
        <f t="shared" si="13"/>
        <v>71500</v>
      </c>
      <c r="Y28" s="97">
        <f t="shared" si="14"/>
        <v>71.5</v>
      </c>
      <c r="Z28" s="107">
        <f t="shared" si="15"/>
        <v>78650</v>
      </c>
      <c r="AA28" s="97">
        <f t="shared" si="23"/>
        <v>84.5</v>
      </c>
      <c r="AB28" s="58">
        <f t="shared" si="24"/>
        <v>92950</v>
      </c>
    </row>
    <row r="29" spans="1:49" ht="15.75" x14ac:dyDescent="0.25">
      <c r="A29" s="82"/>
      <c r="B29" s="52">
        <f>Hipótesis!C68</f>
        <v>250</v>
      </c>
      <c r="C29" s="57">
        <v>653</v>
      </c>
      <c r="D29" s="58">
        <f t="shared" si="16"/>
        <v>163250</v>
      </c>
      <c r="E29" s="97">
        <f t="shared" si="17"/>
        <v>52.24</v>
      </c>
      <c r="F29" s="58">
        <f t="shared" si="18"/>
        <v>13060</v>
      </c>
      <c r="G29" s="97">
        <f t="shared" si="19"/>
        <v>65.3</v>
      </c>
      <c r="H29" s="58">
        <f t="shared" si="20"/>
        <v>16325</v>
      </c>
      <c r="I29" s="97">
        <f t="shared" si="0"/>
        <v>52.24</v>
      </c>
      <c r="J29" s="58">
        <f t="shared" si="1"/>
        <v>13060</v>
      </c>
      <c r="K29" s="97">
        <f t="shared" si="2"/>
        <v>45.71</v>
      </c>
      <c r="L29" s="58">
        <f t="shared" si="3"/>
        <v>11427.500000000002</v>
      </c>
      <c r="M29" s="97">
        <f t="shared" si="21"/>
        <v>39.18</v>
      </c>
      <c r="N29" s="58">
        <f t="shared" si="22"/>
        <v>9795</v>
      </c>
      <c r="O29" s="97">
        <f t="shared" si="4"/>
        <v>26.12</v>
      </c>
      <c r="P29" s="58">
        <f t="shared" si="5"/>
        <v>6530</v>
      </c>
      <c r="Q29" s="97">
        <f t="shared" si="6"/>
        <v>58.769999999999996</v>
      </c>
      <c r="R29" s="58">
        <f t="shared" si="7"/>
        <v>14692.5</v>
      </c>
      <c r="S29" s="97">
        <f t="shared" si="8"/>
        <v>32.65</v>
      </c>
      <c r="T29" s="58">
        <f t="shared" si="9"/>
        <v>8162.5</v>
      </c>
      <c r="U29" s="97">
        <f t="shared" si="10"/>
        <v>58.769999999999996</v>
      </c>
      <c r="V29" s="58">
        <f t="shared" si="11"/>
        <v>14692.5</v>
      </c>
      <c r="W29" s="97">
        <f t="shared" si="12"/>
        <v>65.3</v>
      </c>
      <c r="X29" s="58">
        <f t="shared" si="13"/>
        <v>16325</v>
      </c>
      <c r="Y29" s="97">
        <f t="shared" si="14"/>
        <v>71.83</v>
      </c>
      <c r="Z29" s="107">
        <f t="shared" si="15"/>
        <v>17957.5</v>
      </c>
      <c r="AA29" s="97">
        <f t="shared" si="23"/>
        <v>84.89</v>
      </c>
      <c r="AB29" s="58">
        <f t="shared" si="24"/>
        <v>21222.5</v>
      </c>
    </row>
    <row r="30" spans="1:49" ht="16.5" thickBot="1" x14ac:dyDescent="0.3">
      <c r="A30" s="83"/>
      <c r="B30" s="84">
        <f>Hipótesis!C69</f>
        <v>1400</v>
      </c>
      <c r="C30" s="85">
        <v>1000</v>
      </c>
      <c r="D30" s="86">
        <f t="shared" si="16"/>
        <v>1400000</v>
      </c>
      <c r="E30" s="98">
        <f t="shared" si="17"/>
        <v>80</v>
      </c>
      <c r="F30" s="86">
        <f t="shared" si="18"/>
        <v>112000</v>
      </c>
      <c r="G30" s="98">
        <f t="shared" si="19"/>
        <v>100</v>
      </c>
      <c r="H30" s="86">
        <f t="shared" si="20"/>
        <v>140000</v>
      </c>
      <c r="I30" s="98">
        <f t="shared" si="0"/>
        <v>80</v>
      </c>
      <c r="J30" s="86">
        <f t="shared" si="1"/>
        <v>112000</v>
      </c>
      <c r="K30" s="98">
        <f t="shared" si="2"/>
        <v>70</v>
      </c>
      <c r="L30" s="86">
        <f t="shared" si="3"/>
        <v>98000.000000000015</v>
      </c>
      <c r="M30" s="98">
        <f t="shared" si="21"/>
        <v>60</v>
      </c>
      <c r="N30" s="86">
        <f t="shared" si="22"/>
        <v>84000</v>
      </c>
      <c r="O30" s="98">
        <f t="shared" si="4"/>
        <v>40</v>
      </c>
      <c r="P30" s="86">
        <f t="shared" si="5"/>
        <v>56000</v>
      </c>
      <c r="Q30" s="98">
        <f t="shared" si="6"/>
        <v>90</v>
      </c>
      <c r="R30" s="86">
        <f t="shared" si="7"/>
        <v>126000</v>
      </c>
      <c r="S30" s="98">
        <f t="shared" si="8"/>
        <v>50</v>
      </c>
      <c r="T30" s="86">
        <f t="shared" si="9"/>
        <v>70000</v>
      </c>
      <c r="U30" s="98">
        <f t="shared" si="10"/>
        <v>90</v>
      </c>
      <c r="V30" s="86">
        <f t="shared" si="11"/>
        <v>126000</v>
      </c>
      <c r="W30" s="98">
        <f t="shared" si="12"/>
        <v>100</v>
      </c>
      <c r="X30" s="86">
        <f t="shared" si="13"/>
        <v>140000</v>
      </c>
      <c r="Y30" s="98">
        <f t="shared" si="14"/>
        <v>110</v>
      </c>
      <c r="Z30" s="108">
        <f t="shared" si="15"/>
        <v>154000</v>
      </c>
      <c r="AA30" s="98">
        <f t="shared" si="23"/>
        <v>130</v>
      </c>
      <c r="AB30" s="86">
        <f t="shared" si="24"/>
        <v>182000</v>
      </c>
    </row>
    <row r="31" spans="1:49" ht="16.5" thickBot="1" x14ac:dyDescent="0.3">
      <c r="A31" s="278"/>
      <c r="B31" s="279">
        <f>Hipótesis!C70</f>
        <v>1500</v>
      </c>
      <c r="C31" s="281">
        <v>1000</v>
      </c>
      <c r="D31" s="282">
        <f t="shared" si="16"/>
        <v>1500000</v>
      </c>
      <c r="E31" s="99">
        <f t="shared" si="17"/>
        <v>80</v>
      </c>
      <c r="F31" s="87">
        <f>D31*$E$17</f>
        <v>120000</v>
      </c>
      <c r="G31" s="99">
        <f t="shared" si="19"/>
        <v>100</v>
      </c>
      <c r="H31" s="87">
        <f t="shared" si="20"/>
        <v>150000</v>
      </c>
      <c r="I31" s="99">
        <f t="shared" si="0"/>
        <v>80</v>
      </c>
      <c r="J31" s="87">
        <f t="shared" si="1"/>
        <v>120000</v>
      </c>
      <c r="K31" s="99">
        <f t="shared" si="2"/>
        <v>70</v>
      </c>
      <c r="L31" s="87">
        <f t="shared" si="3"/>
        <v>105000.00000000001</v>
      </c>
      <c r="M31" s="99">
        <f t="shared" si="21"/>
        <v>60</v>
      </c>
      <c r="N31" s="87">
        <f t="shared" si="22"/>
        <v>90000</v>
      </c>
      <c r="O31" s="99">
        <f t="shared" si="4"/>
        <v>40</v>
      </c>
      <c r="P31" s="87">
        <f t="shared" si="5"/>
        <v>60000</v>
      </c>
      <c r="Q31" s="99">
        <f t="shared" si="6"/>
        <v>90</v>
      </c>
      <c r="R31" s="87">
        <f t="shared" si="7"/>
        <v>135000</v>
      </c>
      <c r="S31" s="99">
        <f t="shared" si="8"/>
        <v>50</v>
      </c>
      <c r="T31" s="87">
        <f t="shared" si="9"/>
        <v>75000</v>
      </c>
      <c r="U31" s="99">
        <f t="shared" si="10"/>
        <v>90</v>
      </c>
      <c r="V31" s="87">
        <f t="shared" si="11"/>
        <v>135000</v>
      </c>
      <c r="W31" s="99">
        <f t="shared" si="12"/>
        <v>100</v>
      </c>
      <c r="X31" s="87">
        <f t="shared" si="13"/>
        <v>150000</v>
      </c>
      <c r="Y31" s="99">
        <f t="shared" si="14"/>
        <v>110</v>
      </c>
      <c r="Z31" s="109">
        <f t="shared" si="15"/>
        <v>165000</v>
      </c>
      <c r="AA31" s="99">
        <f t="shared" si="23"/>
        <v>130</v>
      </c>
      <c r="AB31" s="87">
        <f t="shared" si="24"/>
        <v>195000</v>
      </c>
    </row>
    <row r="32" spans="1:49" ht="16.5" thickBot="1" x14ac:dyDescent="0.3">
      <c r="A32" s="854" t="s">
        <v>109</v>
      </c>
      <c r="B32" s="855"/>
      <c r="C32" s="283"/>
      <c r="D32" s="284">
        <f>SUM(D19:D31)</f>
        <v>19687650</v>
      </c>
      <c r="E32" s="242"/>
      <c r="F32" s="243">
        <f t="shared" ref="F32:AB32" si="25">SUM(F19:F31)</f>
        <v>1575012</v>
      </c>
      <c r="G32" s="242"/>
      <c r="H32" s="243">
        <f t="shared" si="25"/>
        <v>1968765</v>
      </c>
      <c r="I32" s="242"/>
      <c r="J32" s="243">
        <f t="shared" si="25"/>
        <v>1575012</v>
      </c>
      <c r="K32" s="242"/>
      <c r="L32" s="243">
        <f t="shared" si="25"/>
        <v>1378135.5</v>
      </c>
      <c r="M32" s="242"/>
      <c r="N32" s="243">
        <f t="shared" si="25"/>
        <v>1181259</v>
      </c>
      <c r="O32" s="242"/>
      <c r="P32" s="243">
        <f t="shared" si="25"/>
        <v>787506</v>
      </c>
      <c r="Q32" s="242"/>
      <c r="R32" s="243">
        <f t="shared" si="25"/>
        <v>1771888.5</v>
      </c>
      <c r="S32" s="242"/>
      <c r="T32" s="243">
        <f t="shared" si="25"/>
        <v>984382.5</v>
      </c>
      <c r="U32" s="242"/>
      <c r="V32" s="243">
        <f t="shared" si="25"/>
        <v>1771888.5</v>
      </c>
      <c r="W32" s="242"/>
      <c r="X32" s="243">
        <f t="shared" si="25"/>
        <v>1968765</v>
      </c>
      <c r="Y32" s="242"/>
      <c r="Z32" s="243">
        <f t="shared" si="25"/>
        <v>2165641.5</v>
      </c>
      <c r="AA32" s="242"/>
      <c r="AB32" s="243">
        <f t="shared" si="25"/>
        <v>2559394.5</v>
      </c>
      <c r="AC32" s="49"/>
    </row>
    <row r="33" spans="1:28" ht="15.75" x14ac:dyDescent="0.25">
      <c r="A33" s="848"/>
      <c r="B33" s="849"/>
      <c r="C33" s="268">
        <f>C19</f>
        <v>900</v>
      </c>
      <c r="D33" s="251"/>
      <c r="E33" s="261">
        <f>E19</f>
        <v>72</v>
      </c>
      <c r="F33" s="250"/>
      <c r="G33" s="261">
        <f>G19</f>
        <v>90</v>
      </c>
      <c r="H33" s="250"/>
      <c r="I33" s="261">
        <f>I19</f>
        <v>72</v>
      </c>
      <c r="J33" s="250"/>
      <c r="K33" s="261">
        <f>K19</f>
        <v>63.000000000000007</v>
      </c>
      <c r="L33" s="250"/>
      <c r="M33" s="261">
        <f>M19</f>
        <v>54</v>
      </c>
      <c r="N33" s="250"/>
      <c r="O33" s="261">
        <f>O19</f>
        <v>36</v>
      </c>
      <c r="P33" s="250"/>
      <c r="Q33" s="261">
        <f>Q19</f>
        <v>81</v>
      </c>
      <c r="R33" s="250"/>
      <c r="S33" s="261">
        <f>S19</f>
        <v>45</v>
      </c>
      <c r="T33" s="250"/>
      <c r="U33" s="261">
        <f>U19</f>
        <v>81</v>
      </c>
      <c r="V33" s="250"/>
      <c r="W33" s="261">
        <f>W19</f>
        <v>90</v>
      </c>
      <c r="X33" s="250"/>
      <c r="Y33" s="261">
        <f>Y19</f>
        <v>99</v>
      </c>
      <c r="Z33" s="250"/>
      <c r="AA33" s="261">
        <f>AA19</f>
        <v>117</v>
      </c>
      <c r="AB33" s="251"/>
    </row>
    <row r="34" spans="1:28" ht="15.75" x14ac:dyDescent="0.25">
      <c r="A34" s="848"/>
      <c r="B34" s="849"/>
      <c r="C34" s="269">
        <f>C20</f>
        <v>500</v>
      </c>
      <c r="D34" s="252"/>
      <c r="E34" s="262">
        <f>E20</f>
        <v>40</v>
      </c>
      <c r="F34" s="245"/>
      <c r="G34" s="262">
        <f>G20</f>
        <v>50</v>
      </c>
      <c r="H34" s="245"/>
      <c r="I34" s="262">
        <f>I20</f>
        <v>40</v>
      </c>
      <c r="J34" s="245"/>
      <c r="K34" s="262">
        <f>K20</f>
        <v>35</v>
      </c>
      <c r="L34" s="245"/>
      <c r="M34" s="262">
        <f>M20</f>
        <v>30</v>
      </c>
      <c r="N34" s="245"/>
      <c r="O34" s="262">
        <f>O20</f>
        <v>20</v>
      </c>
      <c r="P34" s="245"/>
      <c r="Q34" s="262">
        <f>Q20</f>
        <v>45</v>
      </c>
      <c r="R34" s="245"/>
      <c r="S34" s="262">
        <f>S20</f>
        <v>25</v>
      </c>
      <c r="T34" s="245"/>
      <c r="U34" s="262">
        <f>U20</f>
        <v>45</v>
      </c>
      <c r="V34" s="245"/>
      <c r="W34" s="262">
        <f>W20</f>
        <v>50</v>
      </c>
      <c r="X34" s="245"/>
      <c r="Y34" s="262">
        <f>Y20</f>
        <v>55</v>
      </c>
      <c r="Z34" s="245"/>
      <c r="AA34" s="262">
        <f>AA20</f>
        <v>65</v>
      </c>
      <c r="AB34" s="252"/>
    </row>
    <row r="35" spans="1:28" ht="16.5" thickBot="1" x14ac:dyDescent="0.3">
      <c r="A35" s="846"/>
      <c r="B35" s="847"/>
      <c r="C35" s="270">
        <f>C21</f>
        <v>120</v>
      </c>
      <c r="D35" s="254"/>
      <c r="E35" s="263">
        <f>E21</f>
        <v>9.6</v>
      </c>
      <c r="F35" s="253"/>
      <c r="G35" s="263">
        <f>G21</f>
        <v>12</v>
      </c>
      <c r="H35" s="253"/>
      <c r="I35" s="263">
        <f>I21</f>
        <v>9.6</v>
      </c>
      <c r="J35" s="253"/>
      <c r="K35" s="263">
        <f>K21</f>
        <v>8.4</v>
      </c>
      <c r="L35" s="253"/>
      <c r="M35" s="263">
        <f>M21</f>
        <v>7.1999999999999993</v>
      </c>
      <c r="N35" s="253"/>
      <c r="O35" s="263">
        <f>O21</f>
        <v>4.8</v>
      </c>
      <c r="P35" s="253"/>
      <c r="Q35" s="263">
        <f>Q21</f>
        <v>10.799999999999999</v>
      </c>
      <c r="R35" s="253"/>
      <c r="S35" s="263">
        <f>S21</f>
        <v>6</v>
      </c>
      <c r="T35" s="253"/>
      <c r="U35" s="263">
        <f>U21</f>
        <v>10.799999999999999</v>
      </c>
      <c r="V35" s="253"/>
      <c r="W35" s="263">
        <f>W21</f>
        <v>12</v>
      </c>
      <c r="X35" s="253"/>
      <c r="Y35" s="263">
        <f>Y21</f>
        <v>13.2</v>
      </c>
      <c r="Z35" s="253"/>
      <c r="AA35" s="263">
        <f>AA21</f>
        <v>15.600000000000001</v>
      </c>
      <c r="AB35" s="254"/>
    </row>
    <row r="36" spans="1:28" ht="16.5" thickBot="1" x14ac:dyDescent="0.3">
      <c r="A36" s="856"/>
      <c r="B36" s="857"/>
      <c r="C36" s="280">
        <f>SUM(C22:C25)</f>
        <v>2400</v>
      </c>
      <c r="D36" s="249"/>
      <c r="E36" s="264">
        <f>SUM(E22:E25)</f>
        <v>192</v>
      </c>
      <c r="F36" s="255"/>
      <c r="G36" s="264">
        <f>SUM(G22:G25)</f>
        <v>240</v>
      </c>
      <c r="H36" s="255"/>
      <c r="I36" s="264">
        <f>SUM(I22:I25)</f>
        <v>192</v>
      </c>
      <c r="J36" s="255"/>
      <c r="K36" s="264">
        <f>SUM(K22:K25)</f>
        <v>168</v>
      </c>
      <c r="L36" s="255"/>
      <c r="M36" s="264">
        <f>SUM(M22:M25)</f>
        <v>144</v>
      </c>
      <c r="N36" s="255"/>
      <c r="O36" s="264">
        <f>SUM(O22:O25)</f>
        <v>96</v>
      </c>
      <c r="P36" s="255"/>
      <c r="Q36" s="264">
        <f>SUM(Q22:Q25)</f>
        <v>216</v>
      </c>
      <c r="R36" s="255"/>
      <c r="S36" s="264">
        <f>SUM(S22:S25)</f>
        <v>120</v>
      </c>
      <c r="T36" s="255"/>
      <c r="U36" s="264">
        <f>SUM(U22:U25)</f>
        <v>216</v>
      </c>
      <c r="V36" s="255"/>
      <c r="W36" s="264">
        <f>SUM(W22:W25)</f>
        <v>240</v>
      </c>
      <c r="X36" s="255"/>
      <c r="Y36" s="264">
        <f>SUM(Y22:Y25)</f>
        <v>264</v>
      </c>
      <c r="Z36" s="255"/>
      <c r="AA36" s="264">
        <f>SUM(AA22:AA25)</f>
        <v>312</v>
      </c>
      <c r="AB36" s="258"/>
    </row>
    <row r="37" spans="1:28" ht="16.5" thickBot="1" x14ac:dyDescent="0.3">
      <c r="A37" s="858"/>
      <c r="B37" s="859"/>
      <c r="C37" s="285">
        <f>SUM(C26:C30)</f>
        <v>3578</v>
      </c>
      <c r="D37" s="286"/>
      <c r="E37" s="265">
        <f>SUM(E26:E30)</f>
        <v>286.24</v>
      </c>
      <c r="F37" s="256"/>
      <c r="G37" s="265">
        <f>SUM(G26:G30)</f>
        <v>357.8</v>
      </c>
      <c r="H37" s="256"/>
      <c r="I37" s="265">
        <f>SUM(I26:I30)</f>
        <v>286.24</v>
      </c>
      <c r="J37" s="256"/>
      <c r="K37" s="265">
        <f>SUM(K26:K30)</f>
        <v>250.46</v>
      </c>
      <c r="L37" s="256"/>
      <c r="M37" s="265">
        <f>SUM(M26:M30)</f>
        <v>214.68</v>
      </c>
      <c r="N37" s="256"/>
      <c r="O37" s="265">
        <f>SUM(O26:O30)</f>
        <v>143.12</v>
      </c>
      <c r="P37" s="256"/>
      <c r="Q37" s="265">
        <f>SUM(Q26:Q30)</f>
        <v>322.02</v>
      </c>
      <c r="R37" s="256"/>
      <c r="S37" s="265">
        <f>SUM(S26:S30)</f>
        <v>178.9</v>
      </c>
      <c r="T37" s="256"/>
      <c r="U37" s="265">
        <f>SUM(U26:U30)</f>
        <v>322.02</v>
      </c>
      <c r="V37" s="256"/>
      <c r="W37" s="265">
        <f>SUM(W26:W30)</f>
        <v>357.8</v>
      </c>
      <c r="X37" s="256"/>
      <c r="Y37" s="265">
        <f>SUM(Y26:Y30)</f>
        <v>393.58</v>
      </c>
      <c r="Z37" s="256"/>
      <c r="AA37" s="265">
        <f>SUM(AA26:AA30)</f>
        <v>465.14</v>
      </c>
      <c r="AB37" s="259"/>
    </row>
    <row r="38" spans="1:28" ht="16.5" thickBot="1" x14ac:dyDescent="0.3">
      <c r="A38" s="860"/>
      <c r="B38" s="861"/>
      <c r="C38" s="273">
        <f>C31</f>
        <v>1000</v>
      </c>
      <c r="D38" s="247"/>
      <c r="E38" s="266">
        <f>E31</f>
        <v>80</v>
      </c>
      <c r="F38" s="257"/>
      <c r="G38" s="266">
        <f>G31</f>
        <v>100</v>
      </c>
      <c r="H38" s="257"/>
      <c r="I38" s="266">
        <f>I31</f>
        <v>80</v>
      </c>
      <c r="J38" s="257"/>
      <c r="K38" s="266">
        <f>K31</f>
        <v>70</v>
      </c>
      <c r="L38" s="257"/>
      <c r="M38" s="266">
        <f>M31</f>
        <v>60</v>
      </c>
      <c r="N38" s="257"/>
      <c r="O38" s="266">
        <f>O31</f>
        <v>40</v>
      </c>
      <c r="P38" s="257"/>
      <c r="Q38" s="266">
        <f>Q31</f>
        <v>90</v>
      </c>
      <c r="R38" s="257"/>
      <c r="S38" s="266">
        <f>S31</f>
        <v>50</v>
      </c>
      <c r="T38" s="257"/>
      <c r="U38" s="266">
        <f>U31</f>
        <v>90</v>
      </c>
      <c r="V38" s="257"/>
      <c r="W38" s="266">
        <f>W31</f>
        <v>100</v>
      </c>
      <c r="X38" s="257"/>
      <c r="Y38" s="266">
        <f>Y31</f>
        <v>110</v>
      </c>
      <c r="Z38" s="257"/>
      <c r="AA38" s="266">
        <f>AA31</f>
        <v>130</v>
      </c>
      <c r="AB38" s="260"/>
    </row>
    <row r="39" spans="1:28" ht="15.75" thickBot="1" x14ac:dyDescent="0.3">
      <c r="D39" s="41"/>
      <c r="I39" s="47"/>
      <c r="J39" s="47"/>
      <c r="K39" s="47"/>
      <c r="L39" s="47"/>
      <c r="N39" s="47"/>
      <c r="O39" s="47"/>
      <c r="P39" s="47"/>
      <c r="Q39" s="47"/>
      <c r="R39" s="47"/>
      <c r="S39" s="47"/>
      <c r="T39" s="47"/>
      <c r="U39" s="47"/>
      <c r="V39" s="47"/>
      <c r="W39" s="47"/>
      <c r="X39" s="47"/>
      <c r="Y39" s="47"/>
      <c r="Z39" s="47"/>
      <c r="AB39" s="47"/>
    </row>
    <row r="40" spans="1:28" ht="27" thickBot="1" x14ac:dyDescent="0.45">
      <c r="A40" s="769" t="s">
        <v>73</v>
      </c>
      <c r="B40" s="770"/>
      <c r="C40" s="770"/>
      <c r="D40" s="770"/>
      <c r="E40" s="770"/>
      <c r="F40" s="770"/>
      <c r="G40" s="770"/>
      <c r="H40" s="770"/>
      <c r="I40" s="770"/>
      <c r="J40" s="770"/>
      <c r="K40" s="770"/>
      <c r="L40" s="770"/>
      <c r="M40" s="770"/>
      <c r="N40" s="770"/>
      <c r="O40" s="770"/>
      <c r="P40" s="770"/>
      <c r="Q40" s="770"/>
      <c r="R40" s="770"/>
      <c r="S40" s="770"/>
      <c r="T40" s="770"/>
      <c r="U40" s="770"/>
      <c r="V40" s="770"/>
      <c r="W40" s="770"/>
      <c r="X40" s="770"/>
      <c r="Y40" s="770"/>
      <c r="Z40" s="770"/>
      <c r="AA40" s="770"/>
      <c r="AB40" s="771"/>
    </row>
    <row r="41" spans="1:28" ht="184.5" customHeight="1" thickBot="1" x14ac:dyDescent="0.3">
      <c r="A41" s="197" t="s">
        <v>78</v>
      </c>
      <c r="B41" s="757" t="s">
        <v>253</v>
      </c>
      <c r="C41" s="758"/>
      <c r="D41" s="758"/>
      <c r="E41" s="758"/>
      <c r="F41" s="758"/>
      <c r="G41" s="758"/>
      <c r="H41" s="758"/>
      <c r="I41" s="758"/>
      <c r="J41" s="758"/>
      <c r="K41" s="758"/>
      <c r="L41" s="758"/>
      <c r="M41" s="758"/>
      <c r="N41" s="758"/>
      <c r="O41" s="758"/>
      <c r="P41" s="758"/>
      <c r="Q41" s="758"/>
      <c r="R41" s="758"/>
      <c r="S41" s="758"/>
      <c r="T41" s="758"/>
      <c r="U41" s="758"/>
      <c r="V41" s="758"/>
      <c r="W41" s="758"/>
      <c r="X41" s="758"/>
      <c r="Y41" s="758"/>
      <c r="Z41" s="758"/>
      <c r="AA41" s="758"/>
      <c r="AB41" s="759"/>
    </row>
    <row r="42" spans="1:28" ht="21.75" thickBot="1" x14ac:dyDescent="0.4">
      <c r="A42" s="817" t="s">
        <v>67</v>
      </c>
      <c r="B42" s="818"/>
      <c r="C42" s="796" t="s">
        <v>68</v>
      </c>
      <c r="D42" s="797"/>
      <c r="E42" s="815" t="s">
        <v>69</v>
      </c>
      <c r="F42" s="815"/>
      <c r="G42" s="815"/>
      <c r="H42" s="815"/>
      <c r="I42" s="815"/>
      <c r="J42" s="815"/>
      <c r="K42" s="815"/>
      <c r="L42" s="815"/>
      <c r="M42" s="815"/>
      <c r="N42" s="815"/>
      <c r="O42" s="815"/>
      <c r="P42" s="815"/>
      <c r="Q42" s="815"/>
      <c r="R42" s="815"/>
      <c r="S42" s="815"/>
      <c r="T42" s="815"/>
      <c r="U42" s="815"/>
      <c r="V42" s="815"/>
      <c r="W42" s="815"/>
      <c r="X42" s="815"/>
      <c r="Y42" s="815"/>
      <c r="Z42" s="815"/>
      <c r="AA42" s="815"/>
      <c r="AB42" s="816"/>
    </row>
    <row r="43" spans="1:28" ht="15.75" thickBot="1" x14ac:dyDescent="0.3">
      <c r="A43" s="772"/>
      <c r="B43" s="773"/>
      <c r="C43" s="181" t="s">
        <v>63</v>
      </c>
      <c r="D43" s="182" t="s">
        <v>67</v>
      </c>
      <c r="E43" s="774" t="s">
        <v>42</v>
      </c>
      <c r="F43" s="775"/>
      <c r="G43" s="776" t="s">
        <v>43</v>
      </c>
      <c r="H43" s="775"/>
      <c r="I43" s="776" t="s">
        <v>44</v>
      </c>
      <c r="J43" s="775"/>
      <c r="K43" s="776" t="s">
        <v>45</v>
      </c>
      <c r="L43" s="775"/>
      <c r="M43" s="776" t="s">
        <v>46</v>
      </c>
      <c r="N43" s="775"/>
      <c r="O43" s="776" t="s">
        <v>47</v>
      </c>
      <c r="P43" s="775"/>
      <c r="Q43" s="776" t="s">
        <v>48</v>
      </c>
      <c r="R43" s="775"/>
      <c r="S43" s="776" t="s">
        <v>49</v>
      </c>
      <c r="T43" s="775"/>
      <c r="U43" s="776" t="s">
        <v>50</v>
      </c>
      <c r="V43" s="775"/>
      <c r="W43" s="776" t="s">
        <v>51</v>
      </c>
      <c r="X43" s="775"/>
      <c r="Y43" s="776" t="s">
        <v>52</v>
      </c>
      <c r="Z43" s="775"/>
      <c r="AA43" s="776" t="s">
        <v>53</v>
      </c>
      <c r="AB43" s="775"/>
    </row>
    <row r="44" spans="1:28" x14ac:dyDescent="0.25">
      <c r="A44" s="819" t="s">
        <v>66</v>
      </c>
      <c r="B44" s="820"/>
      <c r="C44" s="183">
        <v>1</v>
      </c>
      <c r="D44" s="184"/>
      <c r="E44" s="804"/>
      <c r="F44" s="794"/>
      <c r="G44" s="794"/>
      <c r="H44" s="794"/>
      <c r="I44" s="794"/>
      <c r="J44" s="794"/>
      <c r="K44" s="794"/>
      <c r="L44" s="794"/>
      <c r="M44" s="794"/>
      <c r="N44" s="794"/>
      <c r="O44" s="794"/>
      <c r="P44" s="794"/>
      <c r="Q44" s="794"/>
      <c r="R44" s="794"/>
      <c r="S44" s="794"/>
      <c r="T44" s="794"/>
      <c r="U44" s="794"/>
      <c r="V44" s="794"/>
      <c r="W44" s="794"/>
      <c r="X44" s="794"/>
      <c r="Y44" s="794"/>
      <c r="Z44" s="794"/>
      <c r="AA44" s="794" t="s">
        <v>70</v>
      </c>
      <c r="AB44" s="812"/>
    </row>
    <row r="45" spans="1:28" x14ac:dyDescent="0.25">
      <c r="A45" s="821"/>
      <c r="B45" s="822"/>
      <c r="C45" s="188">
        <v>1</v>
      </c>
      <c r="D45" s="189"/>
      <c r="E45" s="809"/>
      <c r="F45" s="793"/>
      <c r="G45" s="793"/>
      <c r="H45" s="793"/>
      <c r="I45" s="793"/>
      <c r="J45" s="793"/>
      <c r="K45" s="793"/>
      <c r="L45" s="793"/>
      <c r="M45" s="793"/>
      <c r="N45" s="793"/>
      <c r="O45" s="793"/>
      <c r="P45" s="793"/>
      <c r="Q45" s="793"/>
      <c r="R45" s="793"/>
      <c r="S45" s="793"/>
      <c r="T45" s="793"/>
      <c r="U45" s="793"/>
      <c r="V45" s="793"/>
      <c r="W45" s="793"/>
      <c r="X45" s="793"/>
      <c r="Y45" s="793"/>
      <c r="Z45" s="793"/>
      <c r="AA45" s="793" t="s">
        <v>70</v>
      </c>
      <c r="AB45" s="813"/>
    </row>
    <row r="46" spans="1:28" x14ac:dyDescent="0.25">
      <c r="A46" s="821"/>
      <c r="B46" s="822"/>
      <c r="C46" s="185">
        <v>0</v>
      </c>
      <c r="D46" s="186"/>
      <c r="E46" s="809"/>
      <c r="F46" s="793"/>
      <c r="G46" s="793"/>
      <c r="H46" s="793"/>
      <c r="I46" s="793"/>
      <c r="J46" s="793"/>
      <c r="K46" s="793"/>
      <c r="L46" s="793"/>
      <c r="M46" s="793"/>
      <c r="N46" s="793"/>
      <c r="O46" s="793"/>
      <c r="P46" s="793"/>
      <c r="Q46" s="793"/>
      <c r="R46" s="793"/>
      <c r="S46" s="793"/>
      <c r="T46" s="793"/>
      <c r="U46" s="793"/>
      <c r="V46" s="793"/>
      <c r="W46" s="793"/>
      <c r="X46" s="793"/>
      <c r="Y46" s="793"/>
      <c r="Z46" s="793"/>
      <c r="AA46" s="793" t="s">
        <v>70</v>
      </c>
      <c r="AB46" s="813"/>
    </row>
    <row r="47" spans="1:28" x14ac:dyDescent="0.25">
      <c r="A47" s="821"/>
      <c r="B47" s="822"/>
      <c r="C47" s="180">
        <v>0</v>
      </c>
      <c r="D47" s="176"/>
      <c r="E47" s="809"/>
      <c r="F47" s="793"/>
      <c r="G47" s="793"/>
      <c r="H47" s="793"/>
      <c r="I47" s="793"/>
      <c r="J47" s="793"/>
      <c r="K47" s="793"/>
      <c r="L47" s="793"/>
      <c r="M47" s="793"/>
      <c r="N47" s="793"/>
      <c r="O47" s="793"/>
      <c r="P47" s="793"/>
      <c r="Q47" s="793"/>
      <c r="R47" s="793"/>
      <c r="S47" s="793"/>
      <c r="T47" s="793"/>
      <c r="U47" s="793"/>
      <c r="V47" s="793"/>
      <c r="W47" s="793"/>
      <c r="X47" s="793"/>
      <c r="Y47" s="793"/>
      <c r="Z47" s="793"/>
      <c r="AA47" s="793" t="s">
        <v>70</v>
      </c>
      <c r="AB47" s="813"/>
    </row>
    <row r="48" spans="1:28" x14ac:dyDescent="0.25">
      <c r="A48" s="821"/>
      <c r="B48" s="822"/>
      <c r="C48" s="180">
        <v>0</v>
      </c>
      <c r="D48" s="176"/>
      <c r="E48" s="809"/>
      <c r="F48" s="793"/>
      <c r="G48" s="793"/>
      <c r="H48" s="793"/>
      <c r="I48" s="793"/>
      <c r="J48" s="793"/>
      <c r="K48" s="793"/>
      <c r="L48" s="793"/>
      <c r="M48" s="793"/>
      <c r="N48" s="793"/>
      <c r="O48" s="793"/>
      <c r="P48" s="793"/>
      <c r="Q48" s="793"/>
      <c r="R48" s="793"/>
      <c r="S48" s="793"/>
      <c r="T48" s="793"/>
      <c r="U48" s="793"/>
      <c r="V48" s="793"/>
      <c r="W48" s="793"/>
      <c r="X48" s="793"/>
      <c r="Y48" s="793"/>
      <c r="Z48" s="793"/>
      <c r="AA48" s="793" t="s">
        <v>70</v>
      </c>
      <c r="AB48" s="813"/>
    </row>
    <row r="49" spans="1:28" x14ac:dyDescent="0.25">
      <c r="A49" s="821"/>
      <c r="B49" s="822"/>
      <c r="C49" s="180">
        <v>0</v>
      </c>
      <c r="D49" s="176"/>
      <c r="E49" s="809"/>
      <c r="F49" s="793"/>
      <c r="G49" s="793"/>
      <c r="H49" s="793"/>
      <c r="I49" s="793"/>
      <c r="J49" s="793"/>
      <c r="K49" s="793"/>
      <c r="L49" s="793"/>
      <c r="M49" s="793"/>
      <c r="N49" s="793"/>
      <c r="O49" s="793"/>
      <c r="P49" s="793"/>
      <c r="Q49" s="793"/>
      <c r="R49" s="793"/>
      <c r="S49" s="793"/>
      <c r="T49" s="793"/>
      <c r="U49" s="793"/>
      <c r="V49" s="793"/>
      <c r="W49" s="793"/>
      <c r="X49" s="793"/>
      <c r="Y49" s="793"/>
      <c r="Z49" s="793"/>
      <c r="AA49" s="793" t="s">
        <v>70</v>
      </c>
      <c r="AB49" s="813"/>
    </row>
    <row r="50" spans="1:28" x14ac:dyDescent="0.25">
      <c r="A50" s="821"/>
      <c r="B50" s="822"/>
      <c r="C50" s="180">
        <v>0</v>
      </c>
      <c r="D50" s="176"/>
      <c r="E50" s="809"/>
      <c r="F50" s="793"/>
      <c r="G50" s="793"/>
      <c r="H50" s="793"/>
      <c r="I50" s="793"/>
      <c r="J50" s="793"/>
      <c r="K50" s="793"/>
      <c r="L50" s="793"/>
      <c r="M50" s="793"/>
      <c r="N50" s="793"/>
      <c r="O50" s="793"/>
      <c r="P50" s="793"/>
      <c r="Q50" s="793"/>
      <c r="R50" s="793"/>
      <c r="S50" s="793"/>
      <c r="T50" s="793"/>
      <c r="U50" s="793"/>
      <c r="V50" s="793"/>
      <c r="W50" s="793"/>
      <c r="X50" s="793"/>
      <c r="Y50" s="793"/>
      <c r="Z50" s="793"/>
      <c r="AA50" s="793" t="s">
        <v>70</v>
      </c>
      <c r="AB50" s="813"/>
    </row>
    <row r="51" spans="1:28" x14ac:dyDescent="0.25">
      <c r="A51" s="821"/>
      <c r="B51" s="822"/>
      <c r="C51" s="188">
        <v>1</v>
      </c>
      <c r="D51" s="189"/>
      <c r="E51" s="809"/>
      <c r="F51" s="793"/>
      <c r="G51" s="793"/>
      <c r="H51" s="793"/>
      <c r="I51" s="793"/>
      <c r="J51" s="793"/>
      <c r="K51" s="793"/>
      <c r="L51" s="793"/>
      <c r="M51" s="793"/>
      <c r="N51" s="793"/>
      <c r="O51" s="793"/>
      <c r="P51" s="793"/>
      <c r="Q51" s="793"/>
      <c r="R51" s="793"/>
      <c r="S51" s="793"/>
      <c r="T51" s="793"/>
      <c r="U51" s="793"/>
      <c r="V51" s="793"/>
      <c r="W51" s="793"/>
      <c r="X51" s="793"/>
      <c r="Y51" s="793"/>
      <c r="Z51" s="793"/>
      <c r="AA51" s="793" t="s">
        <v>70</v>
      </c>
      <c r="AB51" s="813"/>
    </row>
    <row r="52" spans="1:28" x14ac:dyDescent="0.25">
      <c r="A52" s="821"/>
      <c r="B52" s="822"/>
      <c r="C52" s="180">
        <v>0</v>
      </c>
      <c r="D52" s="176"/>
      <c r="E52" s="809"/>
      <c r="F52" s="793"/>
      <c r="G52" s="793"/>
      <c r="H52" s="793"/>
      <c r="I52" s="793"/>
      <c r="J52" s="793"/>
      <c r="K52" s="793"/>
      <c r="L52" s="793"/>
      <c r="M52" s="793"/>
      <c r="N52" s="793"/>
      <c r="O52" s="793"/>
      <c r="P52" s="793"/>
      <c r="Q52" s="793"/>
      <c r="R52" s="793"/>
      <c r="S52" s="793"/>
      <c r="T52" s="793"/>
      <c r="U52" s="793"/>
      <c r="V52" s="793"/>
      <c r="W52" s="793"/>
      <c r="X52" s="793"/>
      <c r="Y52" s="793"/>
      <c r="Z52" s="793"/>
      <c r="AA52" s="793" t="s">
        <v>70</v>
      </c>
      <c r="AB52" s="813"/>
    </row>
    <row r="53" spans="1:28" x14ac:dyDescent="0.25">
      <c r="A53" s="821"/>
      <c r="B53" s="822"/>
      <c r="C53" s="188">
        <v>1</v>
      </c>
      <c r="D53" s="189"/>
      <c r="E53" s="809"/>
      <c r="F53" s="793"/>
      <c r="G53" s="793"/>
      <c r="H53" s="793"/>
      <c r="I53" s="793"/>
      <c r="J53" s="793"/>
      <c r="K53" s="793"/>
      <c r="L53" s="793"/>
      <c r="M53" s="793"/>
      <c r="N53" s="793"/>
      <c r="O53" s="793"/>
      <c r="P53" s="793"/>
      <c r="Q53" s="793"/>
      <c r="R53" s="793"/>
      <c r="S53" s="793"/>
      <c r="T53" s="793"/>
      <c r="U53" s="793"/>
      <c r="V53" s="793"/>
      <c r="W53" s="793"/>
      <c r="X53" s="793"/>
      <c r="Y53" s="793"/>
      <c r="Z53" s="793"/>
      <c r="AA53" s="793" t="s">
        <v>70</v>
      </c>
      <c r="AB53" s="813"/>
    </row>
    <row r="54" spans="1:28" x14ac:dyDescent="0.25">
      <c r="A54" s="821"/>
      <c r="B54" s="822"/>
      <c r="C54" s="188">
        <v>1</v>
      </c>
      <c r="D54" s="189"/>
      <c r="E54" s="809"/>
      <c r="F54" s="793"/>
      <c r="G54" s="793"/>
      <c r="H54" s="793"/>
      <c r="I54" s="793"/>
      <c r="J54" s="793"/>
      <c r="K54" s="793"/>
      <c r="L54" s="793"/>
      <c r="M54" s="793"/>
      <c r="N54" s="793"/>
      <c r="O54" s="793"/>
      <c r="P54" s="793"/>
      <c r="Q54" s="793"/>
      <c r="R54" s="793"/>
      <c r="S54" s="793"/>
      <c r="T54" s="793"/>
      <c r="U54" s="793"/>
      <c r="V54" s="793"/>
      <c r="W54" s="793"/>
      <c r="X54" s="793"/>
      <c r="Y54" s="793"/>
      <c r="Z54" s="793"/>
      <c r="AA54" s="793" t="s">
        <v>70</v>
      </c>
      <c r="AB54" s="813"/>
    </row>
    <row r="55" spans="1:28" x14ac:dyDescent="0.25">
      <c r="A55" s="821"/>
      <c r="B55" s="822"/>
      <c r="C55" s="180">
        <v>0</v>
      </c>
      <c r="D55" s="176"/>
      <c r="E55" s="809"/>
      <c r="F55" s="793"/>
      <c r="G55" s="793"/>
      <c r="H55" s="793"/>
      <c r="I55" s="793"/>
      <c r="J55" s="793"/>
      <c r="K55" s="793"/>
      <c r="L55" s="793"/>
      <c r="M55" s="793"/>
      <c r="N55" s="793"/>
      <c r="O55" s="793"/>
      <c r="P55" s="793"/>
      <c r="Q55" s="793"/>
      <c r="R55" s="793"/>
      <c r="S55" s="793"/>
      <c r="T55" s="793"/>
      <c r="U55" s="793"/>
      <c r="V55" s="793"/>
      <c r="W55" s="793"/>
      <c r="X55" s="793"/>
      <c r="Y55" s="814" t="s">
        <v>83</v>
      </c>
      <c r="Z55" s="814"/>
      <c r="AA55" s="793" t="s">
        <v>70</v>
      </c>
      <c r="AB55" s="813"/>
    </row>
    <row r="56" spans="1:28" x14ac:dyDescent="0.25">
      <c r="A56" s="821"/>
      <c r="B56" s="822"/>
      <c r="C56" s="180">
        <v>0</v>
      </c>
      <c r="D56" s="176"/>
      <c r="E56" s="809"/>
      <c r="F56" s="793"/>
      <c r="G56" s="793"/>
      <c r="H56" s="793"/>
      <c r="I56" s="793"/>
      <c r="J56" s="793"/>
      <c r="K56" s="793"/>
      <c r="L56" s="793"/>
      <c r="M56" s="793"/>
      <c r="N56" s="793"/>
      <c r="O56" s="793"/>
      <c r="P56" s="793"/>
      <c r="Q56" s="793"/>
      <c r="R56" s="793"/>
      <c r="S56" s="793"/>
      <c r="T56" s="793"/>
      <c r="U56" s="793"/>
      <c r="V56" s="793"/>
      <c r="W56" s="793"/>
      <c r="X56" s="793"/>
      <c r="Y56" s="793"/>
      <c r="Z56" s="793"/>
      <c r="AA56" s="793" t="s">
        <v>70</v>
      </c>
      <c r="AB56" s="813"/>
    </row>
    <row r="57" spans="1:28" x14ac:dyDescent="0.25">
      <c r="A57" s="821"/>
      <c r="B57" s="822"/>
      <c r="C57" s="188">
        <v>1</v>
      </c>
      <c r="D57" s="189"/>
      <c r="E57" s="809"/>
      <c r="F57" s="793"/>
      <c r="G57" s="793"/>
      <c r="H57" s="793"/>
      <c r="I57" s="793"/>
      <c r="J57" s="793"/>
      <c r="K57" s="793"/>
      <c r="L57" s="793"/>
      <c r="M57" s="793"/>
      <c r="N57" s="793"/>
      <c r="O57" s="793"/>
      <c r="P57" s="793"/>
      <c r="Q57" s="793"/>
      <c r="R57" s="793"/>
      <c r="S57" s="793"/>
      <c r="T57" s="793"/>
      <c r="U57" s="793"/>
      <c r="V57" s="793"/>
      <c r="W57" s="793"/>
      <c r="X57" s="793"/>
      <c r="Y57" s="793"/>
      <c r="Z57" s="793"/>
      <c r="AA57" s="793" t="s">
        <v>70</v>
      </c>
      <c r="AB57" s="813"/>
    </row>
    <row r="58" spans="1:28" x14ac:dyDescent="0.25">
      <c r="A58" s="821"/>
      <c r="B58" s="822"/>
      <c r="C58" s="188">
        <v>1</v>
      </c>
      <c r="D58" s="189"/>
      <c r="E58" s="809"/>
      <c r="F58" s="793"/>
      <c r="G58" s="793"/>
      <c r="H58" s="793"/>
      <c r="I58" s="793"/>
      <c r="J58" s="793"/>
      <c r="K58" s="793"/>
      <c r="L58" s="793"/>
      <c r="M58" s="793"/>
      <c r="N58" s="793"/>
      <c r="O58" s="793"/>
      <c r="P58" s="793"/>
      <c r="Q58" s="793"/>
      <c r="R58" s="793"/>
      <c r="S58" s="793"/>
      <c r="T58" s="793"/>
      <c r="U58" s="793"/>
      <c r="V58" s="793"/>
      <c r="W58" s="793"/>
      <c r="X58" s="793"/>
      <c r="Y58" s="793"/>
      <c r="Z58" s="793"/>
      <c r="AA58" s="793" t="s">
        <v>70</v>
      </c>
      <c r="AB58" s="813"/>
    </row>
    <row r="59" spans="1:28" ht="30" customHeight="1" x14ac:dyDescent="0.25">
      <c r="A59" s="821"/>
      <c r="B59" s="822"/>
      <c r="C59" s="180">
        <v>0</v>
      </c>
      <c r="D59" s="176"/>
      <c r="E59" s="809"/>
      <c r="F59" s="793"/>
      <c r="G59" s="793"/>
      <c r="H59" s="793"/>
      <c r="I59" s="793"/>
      <c r="J59" s="793"/>
      <c r="K59" s="793"/>
      <c r="L59" s="793"/>
      <c r="M59" s="793"/>
      <c r="N59" s="793"/>
      <c r="O59" s="793"/>
      <c r="P59" s="793"/>
      <c r="Q59" s="793"/>
      <c r="R59" s="793"/>
      <c r="S59" s="793"/>
      <c r="T59" s="793"/>
      <c r="U59" s="793"/>
      <c r="V59" s="793"/>
      <c r="W59" s="793"/>
      <c r="X59" s="793"/>
      <c r="Y59" s="793"/>
      <c r="Z59" s="793"/>
      <c r="AA59" s="793" t="s">
        <v>70</v>
      </c>
      <c r="AB59" s="813"/>
    </row>
    <row r="60" spans="1:28" x14ac:dyDescent="0.25">
      <c r="A60" s="821"/>
      <c r="B60" s="822"/>
      <c r="C60" s="188">
        <v>2</v>
      </c>
      <c r="D60" s="189"/>
      <c r="E60" s="809"/>
      <c r="F60" s="793"/>
      <c r="G60" s="793"/>
      <c r="H60" s="793"/>
      <c r="I60" s="793"/>
      <c r="J60" s="793"/>
      <c r="K60" s="793"/>
      <c r="L60" s="793"/>
      <c r="M60" s="793"/>
      <c r="N60" s="793"/>
      <c r="O60" s="793"/>
      <c r="P60" s="793"/>
      <c r="Q60" s="793"/>
      <c r="R60" s="793"/>
      <c r="S60" s="793"/>
      <c r="T60" s="793"/>
      <c r="U60" s="793"/>
      <c r="V60" s="793"/>
      <c r="W60" s="793"/>
      <c r="X60" s="793"/>
      <c r="Y60" s="793"/>
      <c r="Z60" s="793"/>
      <c r="AA60" s="793" t="s">
        <v>70</v>
      </c>
      <c r="AB60" s="813"/>
    </row>
    <row r="61" spans="1:28" ht="29.25" customHeight="1" thickBot="1" x14ac:dyDescent="0.3">
      <c r="A61" s="823"/>
      <c r="B61" s="824"/>
      <c r="C61" s="190">
        <v>2</v>
      </c>
      <c r="D61" s="191"/>
      <c r="E61" s="810"/>
      <c r="F61" s="811"/>
      <c r="G61" s="811"/>
      <c r="H61" s="811"/>
      <c r="I61" s="811"/>
      <c r="J61" s="811"/>
      <c r="K61" s="811"/>
      <c r="L61" s="811"/>
      <c r="M61" s="811"/>
      <c r="N61" s="811"/>
      <c r="O61" s="811"/>
      <c r="P61" s="811"/>
      <c r="Q61" s="811"/>
      <c r="R61" s="811"/>
      <c r="S61" s="811"/>
      <c r="T61" s="811"/>
      <c r="U61" s="811"/>
      <c r="V61" s="811"/>
      <c r="W61" s="811"/>
      <c r="X61" s="811"/>
      <c r="Y61" s="811"/>
      <c r="Z61" s="811"/>
      <c r="AA61" s="811" t="s">
        <v>70</v>
      </c>
      <c r="AB61" s="825"/>
    </row>
    <row r="62" spans="1:28" x14ac:dyDescent="0.25">
      <c r="A62" s="798" t="s">
        <v>71</v>
      </c>
      <c r="B62" s="799"/>
      <c r="C62" s="183">
        <v>6</v>
      </c>
      <c r="D62" s="192"/>
      <c r="E62" s="804"/>
      <c r="F62" s="794"/>
      <c r="G62" s="794"/>
      <c r="H62" s="794"/>
      <c r="I62" s="794"/>
      <c r="J62" s="794"/>
      <c r="K62" s="794"/>
      <c r="L62" s="794"/>
      <c r="M62" s="794"/>
      <c r="N62" s="794"/>
      <c r="O62" s="794"/>
      <c r="P62" s="794"/>
      <c r="Q62" s="794"/>
      <c r="R62" s="794"/>
      <c r="S62" s="794"/>
      <c r="T62" s="794"/>
      <c r="U62" s="793"/>
      <c r="V62" s="793"/>
      <c r="W62" s="794"/>
      <c r="X62" s="794"/>
      <c r="Y62" s="814" t="s">
        <v>81</v>
      </c>
      <c r="Z62" s="814"/>
      <c r="AA62" s="794" t="s">
        <v>70</v>
      </c>
      <c r="AB62" s="812"/>
    </row>
    <row r="63" spans="1:28" x14ac:dyDescent="0.25">
      <c r="A63" s="800"/>
      <c r="B63" s="801"/>
      <c r="C63" s="188">
        <v>2</v>
      </c>
      <c r="D63" s="189"/>
      <c r="E63" s="809"/>
      <c r="F63" s="793"/>
      <c r="G63" s="793"/>
      <c r="H63" s="793"/>
      <c r="I63" s="793"/>
      <c r="J63" s="793"/>
      <c r="K63" s="793"/>
      <c r="L63" s="793"/>
      <c r="M63" s="793"/>
      <c r="N63" s="793"/>
      <c r="O63" s="793"/>
      <c r="P63" s="793"/>
      <c r="Q63" s="793"/>
      <c r="R63" s="793"/>
      <c r="S63" s="793"/>
      <c r="T63" s="793"/>
      <c r="U63" s="793"/>
      <c r="V63" s="793"/>
      <c r="W63" s="793"/>
      <c r="X63" s="793"/>
      <c r="Y63" s="793"/>
      <c r="Z63" s="793"/>
      <c r="AA63" s="793" t="s">
        <v>70</v>
      </c>
      <c r="AB63" s="813"/>
    </row>
    <row r="64" spans="1:28" x14ac:dyDescent="0.25">
      <c r="A64" s="800"/>
      <c r="B64" s="801"/>
      <c r="C64" s="188">
        <v>8</v>
      </c>
      <c r="D64" s="189"/>
      <c r="E64" s="809"/>
      <c r="F64" s="793"/>
      <c r="G64" s="793"/>
      <c r="H64" s="793"/>
      <c r="I64" s="793"/>
      <c r="J64" s="793"/>
      <c r="K64" s="793"/>
      <c r="L64" s="793"/>
      <c r="M64" s="793"/>
      <c r="N64" s="793"/>
      <c r="O64" s="793"/>
      <c r="P64" s="793"/>
      <c r="Q64" s="793"/>
      <c r="R64" s="793"/>
      <c r="S64" s="793"/>
      <c r="T64" s="793"/>
      <c r="U64" s="793"/>
      <c r="V64" s="793"/>
      <c r="W64" s="793"/>
      <c r="X64" s="793"/>
      <c r="Y64" s="814" t="s">
        <v>82</v>
      </c>
      <c r="Z64" s="814"/>
      <c r="AA64" s="793" t="s">
        <v>70</v>
      </c>
      <c r="AB64" s="813"/>
    </row>
    <row r="65" spans="1:43" x14ac:dyDescent="0.25">
      <c r="A65" s="800"/>
      <c r="B65" s="801"/>
      <c r="C65" s="188">
        <v>2</v>
      </c>
      <c r="D65" s="189"/>
      <c r="E65" s="809"/>
      <c r="F65" s="793"/>
      <c r="G65" s="793"/>
      <c r="H65" s="793"/>
      <c r="I65" s="793"/>
      <c r="J65" s="793"/>
      <c r="K65" s="793"/>
      <c r="L65" s="793"/>
      <c r="M65" s="793"/>
      <c r="N65" s="793"/>
      <c r="O65" s="793"/>
      <c r="P65" s="793"/>
      <c r="Q65" s="793"/>
      <c r="R65" s="793"/>
      <c r="S65" s="793"/>
      <c r="T65" s="793"/>
      <c r="U65" s="793"/>
      <c r="V65" s="793"/>
      <c r="W65" s="793"/>
      <c r="X65" s="793"/>
      <c r="Y65" s="793"/>
      <c r="Z65" s="793"/>
      <c r="AA65" s="793" t="s">
        <v>70</v>
      </c>
      <c r="AB65" s="813"/>
    </row>
    <row r="66" spans="1:43" x14ac:dyDescent="0.25">
      <c r="A66" s="800"/>
      <c r="B66" s="801"/>
      <c r="C66" s="188">
        <v>6</v>
      </c>
      <c r="D66" s="189"/>
      <c r="E66" s="809"/>
      <c r="F66" s="793"/>
      <c r="G66" s="793"/>
      <c r="H66" s="793"/>
      <c r="I66" s="793"/>
      <c r="J66" s="793"/>
      <c r="K66" s="793"/>
      <c r="L66" s="793"/>
      <c r="M66" s="793"/>
      <c r="N66" s="793"/>
      <c r="O66" s="793"/>
      <c r="P66" s="793"/>
      <c r="Q66" s="793"/>
      <c r="R66" s="793"/>
      <c r="S66" s="793"/>
      <c r="T66" s="793"/>
      <c r="U66" s="793"/>
      <c r="V66" s="793"/>
      <c r="W66" s="793"/>
      <c r="X66" s="793"/>
      <c r="Y66" s="793"/>
      <c r="Z66" s="793"/>
      <c r="AA66" s="793" t="s">
        <v>70</v>
      </c>
      <c r="AB66" s="813"/>
    </row>
    <row r="67" spans="1:43" x14ac:dyDescent="0.25">
      <c r="A67" s="800"/>
      <c r="B67" s="801"/>
      <c r="C67" s="188">
        <v>1</v>
      </c>
      <c r="D67" s="189"/>
      <c r="E67" s="809"/>
      <c r="F67" s="793"/>
      <c r="G67" s="793"/>
      <c r="H67" s="793"/>
      <c r="I67" s="793"/>
      <c r="J67" s="793"/>
      <c r="K67" s="793"/>
      <c r="L67" s="793"/>
      <c r="M67" s="793"/>
      <c r="N67" s="793"/>
      <c r="O67" s="793"/>
      <c r="P67" s="793"/>
      <c r="Q67" s="793"/>
      <c r="R67" s="793"/>
      <c r="S67" s="793"/>
      <c r="T67" s="793"/>
      <c r="U67" s="793"/>
      <c r="V67" s="793"/>
      <c r="W67" s="793"/>
      <c r="X67" s="793"/>
      <c r="Y67" s="793"/>
      <c r="Z67" s="793"/>
      <c r="AA67" s="793" t="s">
        <v>70</v>
      </c>
      <c r="AB67" s="813"/>
    </row>
    <row r="68" spans="1:43" ht="36.75" customHeight="1" x14ac:dyDescent="0.25">
      <c r="A68" s="800"/>
      <c r="B68" s="801"/>
      <c r="C68" s="193" t="s">
        <v>79</v>
      </c>
      <c r="D68" s="194"/>
      <c r="E68" s="809"/>
      <c r="F68" s="793"/>
      <c r="G68" s="793"/>
      <c r="H68" s="793"/>
      <c r="I68" s="793"/>
      <c r="J68" s="793"/>
      <c r="K68" s="793"/>
      <c r="L68" s="793"/>
      <c r="M68" s="793"/>
      <c r="N68" s="793"/>
      <c r="O68" s="793"/>
      <c r="P68" s="793"/>
      <c r="Q68" s="793"/>
      <c r="R68" s="793"/>
      <c r="S68" s="793"/>
      <c r="T68" s="793"/>
      <c r="U68" s="793"/>
      <c r="V68" s="793"/>
      <c r="W68" s="793"/>
      <c r="X68" s="793"/>
      <c r="Y68" s="814" t="s">
        <v>84</v>
      </c>
      <c r="Z68" s="814"/>
      <c r="AA68" s="793" t="s">
        <v>70</v>
      </c>
      <c r="AB68" s="813"/>
    </row>
    <row r="69" spans="1:43" x14ac:dyDescent="0.25">
      <c r="A69" s="800"/>
      <c r="B69" s="801"/>
      <c r="C69" s="188">
        <v>9</v>
      </c>
      <c r="D69" s="189"/>
      <c r="E69" s="809"/>
      <c r="F69" s="793"/>
      <c r="G69" s="793"/>
      <c r="H69" s="793"/>
      <c r="I69" s="793"/>
      <c r="J69" s="793"/>
      <c r="K69" s="793"/>
      <c r="L69" s="793"/>
      <c r="M69" s="793"/>
      <c r="N69" s="793"/>
      <c r="O69" s="793"/>
      <c r="P69" s="793"/>
      <c r="Q69" s="793"/>
      <c r="R69" s="793"/>
      <c r="S69" s="793"/>
      <c r="T69" s="793"/>
      <c r="U69" s="793"/>
      <c r="V69" s="793"/>
      <c r="W69" s="793"/>
      <c r="X69" s="793"/>
      <c r="Y69" s="814" t="s">
        <v>85</v>
      </c>
      <c r="Z69" s="814"/>
      <c r="AA69" s="793" t="s">
        <v>70</v>
      </c>
      <c r="AB69" s="813"/>
    </row>
    <row r="70" spans="1:43" x14ac:dyDescent="0.25">
      <c r="A70" s="800"/>
      <c r="B70" s="801"/>
      <c r="C70" s="188">
        <v>5</v>
      </c>
      <c r="D70" s="189"/>
      <c r="E70" s="809"/>
      <c r="F70" s="793"/>
      <c r="G70" s="793"/>
      <c r="H70" s="793"/>
      <c r="I70" s="793"/>
      <c r="J70" s="793"/>
      <c r="K70" s="793"/>
      <c r="L70" s="793"/>
      <c r="M70" s="793"/>
      <c r="N70" s="793"/>
      <c r="O70" s="793"/>
      <c r="P70" s="793"/>
      <c r="Q70" s="793"/>
      <c r="R70" s="793"/>
      <c r="S70" s="793"/>
      <c r="T70" s="793"/>
      <c r="U70" s="793"/>
      <c r="V70" s="793"/>
      <c r="W70" s="793"/>
      <c r="X70" s="793"/>
      <c r="Y70" s="793"/>
      <c r="Z70" s="793"/>
      <c r="AA70" s="793" t="s">
        <v>70</v>
      </c>
      <c r="AB70" s="813"/>
    </row>
    <row r="71" spans="1:43" x14ac:dyDescent="0.25">
      <c r="A71" s="800"/>
      <c r="B71" s="801"/>
      <c r="C71" s="188">
        <v>5</v>
      </c>
      <c r="D71" s="189"/>
      <c r="E71" s="809"/>
      <c r="F71" s="793"/>
      <c r="G71" s="793"/>
      <c r="H71" s="793"/>
      <c r="I71" s="793"/>
      <c r="J71" s="793"/>
      <c r="K71" s="793"/>
      <c r="L71" s="793"/>
      <c r="M71" s="793"/>
      <c r="N71" s="793"/>
      <c r="O71" s="793"/>
      <c r="P71" s="793"/>
      <c r="Q71" s="793"/>
      <c r="R71" s="793"/>
      <c r="S71" s="793"/>
      <c r="T71" s="793"/>
      <c r="U71" s="793"/>
      <c r="V71" s="793"/>
      <c r="W71" s="793"/>
      <c r="X71" s="793"/>
      <c r="Y71" s="793"/>
      <c r="Z71" s="793"/>
      <c r="AA71" s="793" t="s">
        <v>70</v>
      </c>
      <c r="AB71" s="813"/>
    </row>
    <row r="72" spans="1:43" ht="15.75" thickBot="1" x14ac:dyDescent="0.3">
      <c r="A72" s="800"/>
      <c r="B72" s="801"/>
      <c r="C72" s="188">
        <v>2</v>
      </c>
      <c r="D72" s="189"/>
      <c r="E72" s="809"/>
      <c r="F72" s="793"/>
      <c r="G72" s="793"/>
      <c r="H72" s="793"/>
      <c r="I72" s="793"/>
      <c r="J72" s="793"/>
      <c r="K72" s="793"/>
      <c r="L72" s="793"/>
      <c r="M72" s="793"/>
      <c r="N72" s="793"/>
      <c r="O72" s="793"/>
      <c r="P72" s="793"/>
      <c r="Q72" s="793"/>
      <c r="R72" s="793"/>
      <c r="S72" s="793"/>
      <c r="T72" s="793"/>
      <c r="U72" s="793"/>
      <c r="V72" s="793"/>
      <c r="W72" s="793"/>
      <c r="X72" s="793"/>
      <c r="Y72" s="793"/>
      <c r="Z72" s="793"/>
      <c r="AA72" s="793" t="s">
        <v>70</v>
      </c>
      <c r="AB72" s="813"/>
    </row>
    <row r="73" spans="1:43" x14ac:dyDescent="0.25">
      <c r="A73" s="798" t="s">
        <v>72</v>
      </c>
      <c r="B73" s="799"/>
      <c r="C73" s="183">
        <v>1</v>
      </c>
      <c r="D73" s="195"/>
      <c r="E73" s="804"/>
      <c r="F73" s="794"/>
      <c r="G73" s="794"/>
      <c r="H73" s="794"/>
      <c r="I73" s="794"/>
      <c r="J73" s="794"/>
      <c r="K73" s="794"/>
      <c r="L73" s="794"/>
      <c r="M73" s="794"/>
      <c r="N73" s="794"/>
      <c r="O73" s="794"/>
      <c r="P73" s="794"/>
      <c r="Q73" s="794"/>
      <c r="R73" s="794"/>
      <c r="S73" s="794"/>
      <c r="T73" s="794"/>
      <c r="U73" s="794"/>
      <c r="V73" s="794"/>
      <c r="W73" s="794"/>
      <c r="X73" s="794"/>
      <c r="Y73" s="794"/>
      <c r="Z73" s="794"/>
      <c r="AA73" s="794" t="s">
        <v>70</v>
      </c>
      <c r="AB73" s="812"/>
    </row>
    <row r="74" spans="1:43" ht="15.75" thickBot="1" x14ac:dyDescent="0.3">
      <c r="A74" s="802"/>
      <c r="B74" s="803"/>
      <c r="C74" s="190">
        <v>1</v>
      </c>
      <c r="D74" s="196"/>
      <c r="E74" s="810"/>
      <c r="F74" s="811"/>
      <c r="G74" s="811"/>
      <c r="H74" s="811"/>
      <c r="I74" s="811"/>
      <c r="J74" s="811"/>
      <c r="K74" s="811"/>
      <c r="L74" s="811"/>
      <c r="M74" s="811"/>
      <c r="N74" s="811"/>
      <c r="O74" s="811"/>
      <c r="P74" s="811"/>
      <c r="Q74" s="811"/>
      <c r="R74" s="811"/>
      <c r="S74" s="811"/>
      <c r="T74" s="811"/>
      <c r="U74" s="811"/>
      <c r="V74" s="811"/>
      <c r="W74" s="811"/>
      <c r="X74" s="811"/>
      <c r="Y74" s="811"/>
      <c r="Z74" s="811"/>
      <c r="AA74" s="811" t="s">
        <v>70</v>
      </c>
      <c r="AB74" s="825"/>
    </row>
    <row r="75" spans="1:43" ht="18.75" customHeight="1" x14ac:dyDescent="0.25">
      <c r="A75" s="177"/>
      <c r="B75" s="177"/>
      <c r="C75" s="133"/>
      <c r="D75" s="48"/>
      <c r="E75" s="179"/>
      <c r="F75" s="179"/>
      <c r="G75" s="179"/>
      <c r="H75" s="179"/>
      <c r="I75" s="179"/>
      <c r="J75" s="179"/>
      <c r="K75" s="179"/>
      <c r="L75" s="179"/>
      <c r="M75" s="179"/>
      <c r="N75" s="179"/>
      <c r="O75" s="179"/>
      <c r="P75" s="179"/>
      <c r="Q75" s="179"/>
      <c r="R75" s="179"/>
      <c r="S75" s="179"/>
      <c r="T75" s="179"/>
      <c r="U75" s="179"/>
      <c r="V75" s="179"/>
      <c r="W75" s="179"/>
      <c r="X75" s="179"/>
      <c r="Y75" s="179"/>
      <c r="Z75" s="179"/>
      <c r="AA75" s="179"/>
      <c r="AB75" s="179"/>
    </row>
    <row r="76" spans="1:43" ht="6.75" customHeight="1" x14ac:dyDescent="0.25">
      <c r="A76" s="234"/>
      <c r="B76" s="234"/>
      <c r="C76" s="235"/>
      <c r="D76" s="236"/>
      <c r="E76" s="237"/>
      <c r="F76" s="237"/>
      <c r="G76" s="237"/>
      <c r="H76" s="237"/>
      <c r="I76" s="237"/>
      <c r="J76" s="237"/>
      <c r="K76" s="237"/>
      <c r="L76" s="237"/>
      <c r="M76" s="237"/>
      <c r="N76" s="237"/>
      <c r="O76" s="237"/>
      <c r="P76" s="237"/>
      <c r="Q76" s="237"/>
      <c r="R76" s="237"/>
      <c r="S76" s="237"/>
      <c r="T76" s="237"/>
      <c r="U76" s="237"/>
      <c r="V76" s="237"/>
      <c r="W76" s="237"/>
      <c r="X76" s="237"/>
      <c r="Y76" s="237"/>
      <c r="Z76" s="237"/>
      <c r="AA76" s="237"/>
      <c r="AB76" s="237"/>
      <c r="AC76" s="238"/>
      <c r="AD76" s="238"/>
      <c r="AE76" s="238"/>
      <c r="AF76" s="238"/>
      <c r="AG76" s="238"/>
      <c r="AH76" s="238"/>
      <c r="AI76" s="238"/>
      <c r="AJ76" s="238"/>
      <c r="AK76" s="238"/>
      <c r="AL76" s="238"/>
      <c r="AM76" s="238"/>
      <c r="AN76" s="238"/>
      <c r="AO76" s="238"/>
      <c r="AP76" s="238"/>
      <c r="AQ76" s="238"/>
    </row>
    <row r="77" spans="1:43" ht="15.75" thickBot="1" x14ac:dyDescent="0.3"/>
    <row r="78" spans="1:43" ht="27" thickBot="1" x14ac:dyDescent="0.45">
      <c r="A78" s="805" t="s">
        <v>55</v>
      </c>
      <c r="B78" s="806"/>
      <c r="C78" s="806"/>
      <c r="D78" s="806"/>
      <c r="E78" s="806"/>
      <c r="F78" s="806"/>
      <c r="G78" s="806"/>
      <c r="H78" s="806"/>
      <c r="I78" s="806"/>
      <c r="J78" s="806"/>
      <c r="K78" s="806"/>
      <c r="L78" s="806"/>
      <c r="M78" s="806"/>
      <c r="N78" s="806"/>
      <c r="O78" s="806"/>
      <c r="P78" s="806"/>
      <c r="Q78" s="806"/>
      <c r="R78" s="806"/>
      <c r="S78" s="806"/>
      <c r="T78" s="806"/>
      <c r="U78" s="806"/>
      <c r="V78" s="806"/>
      <c r="W78" s="806"/>
      <c r="X78" s="806"/>
      <c r="Y78" s="806"/>
      <c r="Z78" s="806"/>
      <c r="AA78" s="806"/>
      <c r="AB78" s="807"/>
    </row>
    <row r="79" spans="1:43" x14ac:dyDescent="0.25">
      <c r="A79" s="789" t="s">
        <v>32</v>
      </c>
      <c r="B79" s="795" t="s">
        <v>33</v>
      </c>
      <c r="C79" s="789" t="s">
        <v>64</v>
      </c>
      <c r="D79" s="790"/>
      <c r="E79" s="753" t="s">
        <v>42</v>
      </c>
      <c r="F79" s="754"/>
      <c r="G79" s="753" t="s">
        <v>43</v>
      </c>
      <c r="H79" s="754"/>
      <c r="I79" s="753" t="s">
        <v>44</v>
      </c>
      <c r="J79" s="754"/>
      <c r="K79" s="753" t="s">
        <v>45</v>
      </c>
      <c r="L79" s="754"/>
      <c r="M79" s="753" t="s">
        <v>46</v>
      </c>
      <c r="N79" s="754"/>
      <c r="O79" s="753" t="s">
        <v>47</v>
      </c>
      <c r="P79" s="754"/>
      <c r="Q79" s="753" t="s">
        <v>48</v>
      </c>
      <c r="R79" s="754"/>
      <c r="S79" s="753" t="s">
        <v>49</v>
      </c>
      <c r="T79" s="754"/>
      <c r="U79" s="753" t="s">
        <v>50</v>
      </c>
      <c r="V79" s="754"/>
      <c r="W79" s="753" t="s">
        <v>51</v>
      </c>
      <c r="X79" s="754"/>
      <c r="Y79" s="753" t="s">
        <v>52</v>
      </c>
      <c r="Z79" s="754"/>
      <c r="AA79" s="753" t="s">
        <v>53</v>
      </c>
      <c r="AB79" s="754"/>
    </row>
    <row r="80" spans="1:43" x14ac:dyDescent="0.25">
      <c r="A80" s="778"/>
      <c r="B80" s="781"/>
      <c r="C80" s="784" t="s">
        <v>63</v>
      </c>
      <c r="D80" s="786" t="s">
        <v>41</v>
      </c>
      <c r="E80" s="755">
        <v>0.11</v>
      </c>
      <c r="F80" s="756"/>
      <c r="G80" s="755">
        <v>0.1</v>
      </c>
      <c r="H80" s="756"/>
      <c r="I80" s="755">
        <v>7.0000000000000007E-2</v>
      </c>
      <c r="J80" s="756"/>
      <c r="K80" s="755">
        <v>0.06</v>
      </c>
      <c r="L80" s="756"/>
      <c r="M80" s="755">
        <v>0.06</v>
      </c>
      <c r="N80" s="756"/>
      <c r="O80" s="755">
        <v>0.04</v>
      </c>
      <c r="P80" s="756"/>
      <c r="Q80" s="755">
        <v>0.09</v>
      </c>
      <c r="R80" s="756"/>
      <c r="S80" s="755">
        <v>0.05</v>
      </c>
      <c r="T80" s="756"/>
      <c r="U80" s="755">
        <v>0.09</v>
      </c>
      <c r="V80" s="756"/>
      <c r="W80" s="755">
        <v>0.1</v>
      </c>
      <c r="X80" s="756"/>
      <c r="Y80" s="755">
        <v>0.11</v>
      </c>
      <c r="Z80" s="756"/>
      <c r="AA80" s="755">
        <v>0.12</v>
      </c>
      <c r="AB80" s="756"/>
    </row>
    <row r="81" spans="1:28" ht="15.75" thickBot="1" x14ac:dyDescent="0.3">
      <c r="A81" s="779"/>
      <c r="B81" s="782"/>
      <c r="C81" s="785"/>
      <c r="D81" s="787"/>
      <c r="E81" s="110" t="s">
        <v>63</v>
      </c>
      <c r="F81" s="111" t="s">
        <v>41</v>
      </c>
      <c r="G81" s="110" t="s">
        <v>63</v>
      </c>
      <c r="H81" s="111" t="s">
        <v>41</v>
      </c>
      <c r="I81" s="110" t="s">
        <v>63</v>
      </c>
      <c r="J81" s="111" t="s">
        <v>41</v>
      </c>
      <c r="K81" s="110" t="s">
        <v>63</v>
      </c>
      <c r="L81" s="111" t="s">
        <v>41</v>
      </c>
      <c r="M81" s="110" t="s">
        <v>63</v>
      </c>
      <c r="N81" s="111" t="s">
        <v>41</v>
      </c>
      <c r="O81" s="110" t="s">
        <v>63</v>
      </c>
      <c r="P81" s="111" t="s">
        <v>41</v>
      </c>
      <c r="Q81" s="110" t="s">
        <v>63</v>
      </c>
      <c r="R81" s="111" t="s">
        <v>41</v>
      </c>
      <c r="S81" s="88" t="s">
        <v>63</v>
      </c>
      <c r="T81" s="89" t="s">
        <v>41</v>
      </c>
      <c r="U81" s="88" t="s">
        <v>63</v>
      </c>
      <c r="V81" s="89" t="s">
        <v>41</v>
      </c>
      <c r="W81" s="88" t="s">
        <v>63</v>
      </c>
      <c r="X81" s="89" t="s">
        <v>41</v>
      </c>
      <c r="Y81" s="88" t="s">
        <v>63</v>
      </c>
      <c r="Z81" s="89" t="s">
        <v>41</v>
      </c>
      <c r="AA81" s="88" t="s">
        <v>63</v>
      </c>
      <c r="AB81" s="89" t="s">
        <v>41</v>
      </c>
    </row>
    <row r="82" spans="1:28" ht="15.75" x14ac:dyDescent="0.25">
      <c r="A82" s="59"/>
      <c r="B82" s="60">
        <f>Hipótesis!C58</f>
        <v>2800</v>
      </c>
      <c r="C82" s="116">
        <v>1200</v>
      </c>
      <c r="D82" s="62">
        <f>B82*C82</f>
        <v>3360000</v>
      </c>
      <c r="E82" s="90">
        <f>C82*$E$80</f>
        <v>132</v>
      </c>
      <c r="F82" s="62">
        <f>D82*$E$17</f>
        <v>268800</v>
      </c>
      <c r="G82" s="90">
        <f>C82*$G$80</f>
        <v>120</v>
      </c>
      <c r="H82" s="62">
        <f>D82*$G$17</f>
        <v>336000</v>
      </c>
      <c r="I82" s="90">
        <f>C82*$I$80</f>
        <v>84.000000000000014</v>
      </c>
      <c r="J82" s="62">
        <f t="shared" ref="J82:J94" si="26">D82*$I$17</f>
        <v>268800</v>
      </c>
      <c r="K82" s="90">
        <f>C82*$K$80</f>
        <v>72</v>
      </c>
      <c r="L82" s="62">
        <f t="shared" ref="L82:L94" si="27">D82*$K$17</f>
        <v>235200.00000000003</v>
      </c>
      <c r="M82" s="90">
        <f>C82*$M$80</f>
        <v>72</v>
      </c>
      <c r="N82" s="62">
        <f>D82*$M$17</f>
        <v>201600</v>
      </c>
      <c r="O82" s="90">
        <f>C82*$O$80</f>
        <v>48</v>
      </c>
      <c r="P82" s="62">
        <f t="shared" ref="P82:P94" si="28">D82*$O$17</f>
        <v>134400</v>
      </c>
      <c r="Q82" s="90">
        <f>C82*$Q$80</f>
        <v>108</v>
      </c>
      <c r="R82" s="62">
        <f t="shared" ref="R82:R94" si="29">D82*$Q$17</f>
        <v>302400</v>
      </c>
      <c r="S82" s="90">
        <f>C82*$S$80</f>
        <v>60</v>
      </c>
      <c r="T82" s="62">
        <f t="shared" ref="T82:T94" si="30">D82*$S$17</f>
        <v>168000</v>
      </c>
      <c r="U82" s="90">
        <f>C82*$U$80</f>
        <v>108</v>
      </c>
      <c r="V82" s="62">
        <f t="shared" ref="V82:V94" si="31">D82*$U$17</f>
        <v>302400</v>
      </c>
      <c r="W82" s="90">
        <f>C82*$W$80</f>
        <v>120</v>
      </c>
      <c r="X82" s="62">
        <f t="shared" ref="X82:X94" si="32">D82*$W$17</f>
        <v>336000</v>
      </c>
      <c r="Y82" s="90">
        <f>C82*$Y$80</f>
        <v>132</v>
      </c>
      <c r="Z82" s="100">
        <f t="shared" ref="Z82:Z94" si="33">D82*$Y$17</f>
        <v>369600</v>
      </c>
      <c r="AA82" s="90">
        <f>C82*$AA$80</f>
        <v>144</v>
      </c>
      <c r="AB82" s="62">
        <f>D82*$AA$17</f>
        <v>436800</v>
      </c>
    </row>
    <row r="83" spans="1:28" ht="15.75" x14ac:dyDescent="0.25">
      <c r="A83" s="63"/>
      <c r="B83" s="50">
        <f>Hipótesis!C59</f>
        <v>15500</v>
      </c>
      <c r="C83" s="112">
        <v>845</v>
      </c>
      <c r="D83" s="54">
        <f t="shared" ref="D83:D94" si="34">B83*C83</f>
        <v>13097500</v>
      </c>
      <c r="E83" s="91">
        <f t="shared" ref="E83:E93" si="35">C83*$E$80</f>
        <v>92.95</v>
      </c>
      <c r="F83" s="54">
        <f t="shared" ref="F83:F93" si="36">D83*$E$17</f>
        <v>1047800</v>
      </c>
      <c r="G83" s="91">
        <f t="shared" ref="G83:G94" si="37">C83*$G$80</f>
        <v>84.5</v>
      </c>
      <c r="H83" s="54">
        <f t="shared" ref="H83:H94" si="38">D83*$G$17</f>
        <v>1309750</v>
      </c>
      <c r="I83" s="91">
        <f t="shared" ref="I83:I94" si="39">C83*$I$80</f>
        <v>59.150000000000006</v>
      </c>
      <c r="J83" s="54">
        <f t="shared" si="26"/>
        <v>1047800</v>
      </c>
      <c r="K83" s="91">
        <f t="shared" ref="K83:K94" si="40">C83*$K$80</f>
        <v>50.699999999999996</v>
      </c>
      <c r="L83" s="54">
        <f t="shared" si="27"/>
        <v>916825.00000000012</v>
      </c>
      <c r="M83" s="91">
        <f t="shared" ref="M83:M94" si="41">C83*$M$80</f>
        <v>50.699999999999996</v>
      </c>
      <c r="N83" s="54">
        <f t="shared" ref="N83:N94" si="42">D83*$M$17</f>
        <v>785850</v>
      </c>
      <c r="O83" s="91">
        <f t="shared" ref="O83:O94" si="43">C83*$O$80</f>
        <v>33.799999999999997</v>
      </c>
      <c r="P83" s="54">
        <f t="shared" si="28"/>
        <v>523900</v>
      </c>
      <c r="Q83" s="91">
        <f t="shared" ref="Q83:Q94" si="44">C83*$Q$80</f>
        <v>76.05</v>
      </c>
      <c r="R83" s="54">
        <f t="shared" si="29"/>
        <v>1178775</v>
      </c>
      <c r="S83" s="91">
        <f t="shared" ref="S83:S94" si="45">C83*$S$80</f>
        <v>42.25</v>
      </c>
      <c r="T83" s="54">
        <f t="shared" si="30"/>
        <v>654875</v>
      </c>
      <c r="U83" s="91">
        <f t="shared" ref="U83:U94" si="46">C83*$U$80</f>
        <v>76.05</v>
      </c>
      <c r="V83" s="54">
        <f t="shared" si="31"/>
        <v>1178775</v>
      </c>
      <c r="W83" s="91">
        <f t="shared" ref="W83:W94" si="47">C83*$W$80</f>
        <v>84.5</v>
      </c>
      <c r="X83" s="54">
        <f t="shared" si="32"/>
        <v>1309750</v>
      </c>
      <c r="Y83" s="91">
        <f t="shared" ref="Y83:Y94" si="48">C83*$Y$80</f>
        <v>92.95</v>
      </c>
      <c r="Z83" s="101">
        <f t="shared" si="33"/>
        <v>1440725</v>
      </c>
      <c r="AA83" s="91">
        <f t="shared" ref="AA83:AA94" si="49">C83*$AA$80</f>
        <v>101.39999999999999</v>
      </c>
      <c r="AB83" s="54">
        <f>D83*$AA$17</f>
        <v>1702675</v>
      </c>
    </row>
    <row r="84" spans="1:28" ht="16.5" thickBot="1" x14ac:dyDescent="0.3">
      <c r="A84" s="64"/>
      <c r="B84" s="65">
        <f>Hipótesis!C60</f>
        <v>23000</v>
      </c>
      <c r="C84" s="117">
        <v>245</v>
      </c>
      <c r="D84" s="67">
        <f t="shared" si="34"/>
        <v>5635000</v>
      </c>
      <c r="E84" s="92">
        <f t="shared" si="35"/>
        <v>26.95</v>
      </c>
      <c r="F84" s="67">
        <f t="shared" si="36"/>
        <v>450800</v>
      </c>
      <c r="G84" s="92">
        <f t="shared" si="37"/>
        <v>24.5</v>
      </c>
      <c r="H84" s="67">
        <f t="shared" si="38"/>
        <v>563500</v>
      </c>
      <c r="I84" s="92">
        <f t="shared" si="39"/>
        <v>17.150000000000002</v>
      </c>
      <c r="J84" s="67">
        <f t="shared" si="26"/>
        <v>450800</v>
      </c>
      <c r="K84" s="92">
        <f t="shared" si="40"/>
        <v>14.7</v>
      </c>
      <c r="L84" s="67">
        <f t="shared" si="27"/>
        <v>394450.00000000006</v>
      </c>
      <c r="M84" s="92">
        <f t="shared" si="41"/>
        <v>14.7</v>
      </c>
      <c r="N84" s="67">
        <f t="shared" si="42"/>
        <v>338100</v>
      </c>
      <c r="O84" s="92">
        <f t="shared" si="43"/>
        <v>9.8000000000000007</v>
      </c>
      <c r="P84" s="67">
        <f t="shared" si="28"/>
        <v>225400</v>
      </c>
      <c r="Q84" s="92">
        <f t="shared" si="44"/>
        <v>22.05</v>
      </c>
      <c r="R84" s="67">
        <f t="shared" si="29"/>
        <v>507150</v>
      </c>
      <c r="S84" s="92">
        <f t="shared" si="45"/>
        <v>12.25</v>
      </c>
      <c r="T84" s="67">
        <f t="shared" si="30"/>
        <v>281750</v>
      </c>
      <c r="U84" s="92">
        <f t="shared" si="46"/>
        <v>22.05</v>
      </c>
      <c r="V84" s="67">
        <f t="shared" si="31"/>
        <v>507150</v>
      </c>
      <c r="W84" s="92">
        <f t="shared" si="47"/>
        <v>24.5</v>
      </c>
      <c r="X84" s="67">
        <f t="shared" si="32"/>
        <v>563500</v>
      </c>
      <c r="Y84" s="92">
        <f t="shared" si="48"/>
        <v>26.95</v>
      </c>
      <c r="Z84" s="102">
        <f t="shared" si="33"/>
        <v>619850</v>
      </c>
      <c r="AA84" s="92">
        <f t="shared" si="49"/>
        <v>29.4</v>
      </c>
      <c r="AB84" s="67">
        <f t="shared" ref="AB84:AB94" si="50">D84*$AA$17</f>
        <v>732550</v>
      </c>
    </row>
    <row r="85" spans="1:28" ht="15.75" x14ac:dyDescent="0.25">
      <c r="A85" s="68"/>
      <c r="B85" s="69">
        <f>Hipótesis!C61</f>
        <v>500</v>
      </c>
      <c r="C85" s="118">
        <v>1800</v>
      </c>
      <c r="D85" s="71">
        <f t="shared" si="34"/>
        <v>900000</v>
      </c>
      <c r="E85" s="93">
        <f t="shared" si="35"/>
        <v>198</v>
      </c>
      <c r="F85" s="71">
        <f t="shared" si="36"/>
        <v>72000</v>
      </c>
      <c r="G85" s="93">
        <f t="shared" si="37"/>
        <v>180</v>
      </c>
      <c r="H85" s="71">
        <f t="shared" si="38"/>
        <v>90000</v>
      </c>
      <c r="I85" s="93">
        <f t="shared" si="39"/>
        <v>126.00000000000001</v>
      </c>
      <c r="J85" s="71">
        <f t="shared" si="26"/>
        <v>72000</v>
      </c>
      <c r="K85" s="93">
        <f t="shared" si="40"/>
        <v>108</v>
      </c>
      <c r="L85" s="71">
        <f t="shared" si="27"/>
        <v>63000.000000000007</v>
      </c>
      <c r="M85" s="93">
        <f t="shared" si="41"/>
        <v>108</v>
      </c>
      <c r="N85" s="71">
        <f t="shared" si="42"/>
        <v>54000</v>
      </c>
      <c r="O85" s="93">
        <f t="shared" si="43"/>
        <v>72</v>
      </c>
      <c r="P85" s="71">
        <f t="shared" si="28"/>
        <v>36000</v>
      </c>
      <c r="Q85" s="93">
        <f t="shared" si="44"/>
        <v>162</v>
      </c>
      <c r="R85" s="71">
        <f t="shared" si="29"/>
        <v>81000</v>
      </c>
      <c r="S85" s="93">
        <f t="shared" si="45"/>
        <v>90</v>
      </c>
      <c r="T85" s="71">
        <f t="shared" si="30"/>
        <v>45000</v>
      </c>
      <c r="U85" s="93">
        <f t="shared" si="46"/>
        <v>162</v>
      </c>
      <c r="V85" s="71">
        <f t="shared" si="31"/>
        <v>81000</v>
      </c>
      <c r="W85" s="93">
        <f t="shared" si="47"/>
        <v>180</v>
      </c>
      <c r="X85" s="71">
        <f t="shared" si="32"/>
        <v>90000</v>
      </c>
      <c r="Y85" s="93">
        <f t="shared" si="48"/>
        <v>198</v>
      </c>
      <c r="Z85" s="103">
        <f t="shared" si="33"/>
        <v>99000</v>
      </c>
      <c r="AA85" s="93">
        <f t="shared" si="49"/>
        <v>216</v>
      </c>
      <c r="AB85" s="71">
        <f t="shared" si="50"/>
        <v>117000</v>
      </c>
    </row>
    <row r="86" spans="1:28" ht="15.75" x14ac:dyDescent="0.25">
      <c r="A86" s="72"/>
      <c r="B86" s="51">
        <f>Hipótesis!C62</f>
        <v>400</v>
      </c>
      <c r="C86" s="113">
        <v>1800</v>
      </c>
      <c r="D86" s="56">
        <f t="shared" si="34"/>
        <v>720000</v>
      </c>
      <c r="E86" s="94">
        <f t="shared" si="35"/>
        <v>198</v>
      </c>
      <c r="F86" s="56">
        <f t="shared" si="36"/>
        <v>57600</v>
      </c>
      <c r="G86" s="94">
        <f t="shared" si="37"/>
        <v>180</v>
      </c>
      <c r="H86" s="56">
        <f t="shared" si="38"/>
        <v>72000</v>
      </c>
      <c r="I86" s="94">
        <f t="shared" si="39"/>
        <v>126.00000000000001</v>
      </c>
      <c r="J86" s="56">
        <f t="shared" si="26"/>
        <v>57600</v>
      </c>
      <c r="K86" s="94">
        <f t="shared" si="40"/>
        <v>108</v>
      </c>
      <c r="L86" s="56">
        <f t="shared" si="27"/>
        <v>50400.000000000007</v>
      </c>
      <c r="M86" s="94">
        <f t="shared" si="41"/>
        <v>108</v>
      </c>
      <c r="N86" s="56">
        <f t="shared" si="42"/>
        <v>43200</v>
      </c>
      <c r="O86" s="94">
        <f t="shared" si="43"/>
        <v>72</v>
      </c>
      <c r="P86" s="56">
        <f t="shared" si="28"/>
        <v>28800</v>
      </c>
      <c r="Q86" s="94">
        <f t="shared" si="44"/>
        <v>162</v>
      </c>
      <c r="R86" s="56">
        <f t="shared" si="29"/>
        <v>64800</v>
      </c>
      <c r="S86" s="94">
        <f t="shared" si="45"/>
        <v>90</v>
      </c>
      <c r="T86" s="56">
        <f t="shared" si="30"/>
        <v>36000</v>
      </c>
      <c r="U86" s="94">
        <f t="shared" si="46"/>
        <v>162</v>
      </c>
      <c r="V86" s="56">
        <f t="shared" si="31"/>
        <v>64800</v>
      </c>
      <c r="W86" s="94">
        <f t="shared" si="47"/>
        <v>180</v>
      </c>
      <c r="X86" s="56">
        <f t="shared" si="32"/>
        <v>72000</v>
      </c>
      <c r="Y86" s="94">
        <f t="shared" si="48"/>
        <v>198</v>
      </c>
      <c r="Z86" s="104">
        <f t="shared" si="33"/>
        <v>79200</v>
      </c>
      <c r="AA86" s="94">
        <f t="shared" si="49"/>
        <v>216</v>
      </c>
      <c r="AB86" s="56">
        <f t="shared" si="50"/>
        <v>93600</v>
      </c>
    </row>
    <row r="87" spans="1:28" ht="15.75" x14ac:dyDescent="0.25">
      <c r="A87" s="73"/>
      <c r="B87" s="51">
        <f>Hipótesis!C63</f>
        <v>2200</v>
      </c>
      <c r="C87" s="113">
        <v>750</v>
      </c>
      <c r="D87" s="56">
        <f t="shared" si="34"/>
        <v>1650000</v>
      </c>
      <c r="E87" s="94">
        <f t="shared" si="35"/>
        <v>82.5</v>
      </c>
      <c r="F87" s="56">
        <f t="shared" si="36"/>
        <v>132000</v>
      </c>
      <c r="G87" s="94">
        <f t="shared" si="37"/>
        <v>75</v>
      </c>
      <c r="H87" s="56">
        <f t="shared" si="38"/>
        <v>165000</v>
      </c>
      <c r="I87" s="94">
        <f t="shared" si="39"/>
        <v>52.500000000000007</v>
      </c>
      <c r="J87" s="56">
        <f t="shared" si="26"/>
        <v>132000</v>
      </c>
      <c r="K87" s="94">
        <f t="shared" si="40"/>
        <v>45</v>
      </c>
      <c r="L87" s="56">
        <f t="shared" si="27"/>
        <v>115500.00000000001</v>
      </c>
      <c r="M87" s="94">
        <f t="shared" si="41"/>
        <v>45</v>
      </c>
      <c r="N87" s="56">
        <f t="shared" si="42"/>
        <v>99000</v>
      </c>
      <c r="O87" s="94">
        <f t="shared" si="43"/>
        <v>30</v>
      </c>
      <c r="P87" s="56">
        <f t="shared" si="28"/>
        <v>66000</v>
      </c>
      <c r="Q87" s="94">
        <f t="shared" si="44"/>
        <v>67.5</v>
      </c>
      <c r="R87" s="56">
        <f t="shared" si="29"/>
        <v>148500</v>
      </c>
      <c r="S87" s="94">
        <f t="shared" si="45"/>
        <v>37.5</v>
      </c>
      <c r="T87" s="56">
        <f t="shared" si="30"/>
        <v>82500</v>
      </c>
      <c r="U87" s="94">
        <f t="shared" si="46"/>
        <v>67.5</v>
      </c>
      <c r="V87" s="56">
        <f t="shared" si="31"/>
        <v>148500</v>
      </c>
      <c r="W87" s="94">
        <f t="shared" si="47"/>
        <v>75</v>
      </c>
      <c r="X87" s="56">
        <f t="shared" si="32"/>
        <v>165000</v>
      </c>
      <c r="Y87" s="94">
        <f t="shared" si="48"/>
        <v>82.5</v>
      </c>
      <c r="Z87" s="104">
        <f t="shared" si="33"/>
        <v>181500</v>
      </c>
      <c r="AA87" s="94">
        <f t="shared" si="49"/>
        <v>90</v>
      </c>
      <c r="AB87" s="56">
        <f t="shared" si="50"/>
        <v>214500</v>
      </c>
    </row>
    <row r="88" spans="1:28" ht="16.5" thickBot="1" x14ac:dyDescent="0.3">
      <c r="A88" s="74"/>
      <c r="B88" s="75">
        <f>Hipótesis!C64</f>
        <v>250</v>
      </c>
      <c r="C88" s="115">
        <v>1600</v>
      </c>
      <c r="D88" s="77">
        <f t="shared" si="34"/>
        <v>400000</v>
      </c>
      <c r="E88" s="95">
        <f t="shared" si="35"/>
        <v>176</v>
      </c>
      <c r="F88" s="77">
        <f t="shared" si="36"/>
        <v>32000</v>
      </c>
      <c r="G88" s="95">
        <f t="shared" si="37"/>
        <v>160</v>
      </c>
      <c r="H88" s="77">
        <f t="shared" si="38"/>
        <v>40000</v>
      </c>
      <c r="I88" s="95">
        <f t="shared" si="39"/>
        <v>112.00000000000001</v>
      </c>
      <c r="J88" s="77">
        <f t="shared" si="26"/>
        <v>32000</v>
      </c>
      <c r="K88" s="95">
        <f t="shared" si="40"/>
        <v>96</v>
      </c>
      <c r="L88" s="77">
        <f t="shared" si="27"/>
        <v>28000.000000000004</v>
      </c>
      <c r="M88" s="95">
        <f t="shared" si="41"/>
        <v>96</v>
      </c>
      <c r="N88" s="77">
        <f t="shared" si="42"/>
        <v>24000</v>
      </c>
      <c r="O88" s="95">
        <f t="shared" si="43"/>
        <v>64</v>
      </c>
      <c r="P88" s="77">
        <f t="shared" si="28"/>
        <v>16000</v>
      </c>
      <c r="Q88" s="95">
        <f t="shared" si="44"/>
        <v>144</v>
      </c>
      <c r="R88" s="77">
        <f t="shared" si="29"/>
        <v>36000</v>
      </c>
      <c r="S88" s="95">
        <f t="shared" si="45"/>
        <v>80</v>
      </c>
      <c r="T88" s="77">
        <f t="shared" si="30"/>
        <v>20000</v>
      </c>
      <c r="U88" s="95">
        <f t="shared" si="46"/>
        <v>144</v>
      </c>
      <c r="V88" s="77">
        <f t="shared" si="31"/>
        <v>36000</v>
      </c>
      <c r="W88" s="95">
        <f t="shared" si="47"/>
        <v>160</v>
      </c>
      <c r="X88" s="77">
        <f t="shared" si="32"/>
        <v>40000</v>
      </c>
      <c r="Y88" s="95">
        <f t="shared" si="48"/>
        <v>176</v>
      </c>
      <c r="Z88" s="105">
        <f t="shared" si="33"/>
        <v>44000</v>
      </c>
      <c r="AA88" s="95">
        <f t="shared" si="49"/>
        <v>192</v>
      </c>
      <c r="AB88" s="77">
        <f t="shared" si="50"/>
        <v>52000</v>
      </c>
    </row>
    <row r="89" spans="1:28" ht="15.75" x14ac:dyDescent="0.25">
      <c r="A89" s="78"/>
      <c r="B89" s="79">
        <f>Hipótesis!C65</f>
        <v>1600</v>
      </c>
      <c r="C89" s="123">
        <v>900</v>
      </c>
      <c r="D89" s="81">
        <f t="shared" si="34"/>
        <v>1440000</v>
      </c>
      <c r="E89" s="96">
        <f t="shared" si="35"/>
        <v>99</v>
      </c>
      <c r="F89" s="81">
        <f t="shared" si="36"/>
        <v>115200</v>
      </c>
      <c r="G89" s="96">
        <f t="shared" si="37"/>
        <v>90</v>
      </c>
      <c r="H89" s="81">
        <f t="shared" si="38"/>
        <v>144000</v>
      </c>
      <c r="I89" s="96">
        <f t="shared" si="39"/>
        <v>63.000000000000007</v>
      </c>
      <c r="J89" s="81">
        <f t="shared" si="26"/>
        <v>115200</v>
      </c>
      <c r="K89" s="96">
        <f t="shared" si="40"/>
        <v>54</v>
      </c>
      <c r="L89" s="81">
        <f t="shared" si="27"/>
        <v>100800.00000000001</v>
      </c>
      <c r="M89" s="96">
        <f t="shared" si="41"/>
        <v>54</v>
      </c>
      <c r="N89" s="81">
        <f t="shared" si="42"/>
        <v>86400</v>
      </c>
      <c r="O89" s="96">
        <f t="shared" si="43"/>
        <v>36</v>
      </c>
      <c r="P89" s="81">
        <f t="shared" si="28"/>
        <v>57600</v>
      </c>
      <c r="Q89" s="96">
        <f t="shared" si="44"/>
        <v>81</v>
      </c>
      <c r="R89" s="81">
        <f t="shared" si="29"/>
        <v>129600</v>
      </c>
      <c r="S89" s="96">
        <f t="shared" si="45"/>
        <v>45</v>
      </c>
      <c r="T89" s="81">
        <f t="shared" si="30"/>
        <v>72000</v>
      </c>
      <c r="U89" s="96">
        <f t="shared" si="46"/>
        <v>81</v>
      </c>
      <c r="V89" s="81">
        <f t="shared" si="31"/>
        <v>129600</v>
      </c>
      <c r="W89" s="96">
        <f t="shared" si="47"/>
        <v>90</v>
      </c>
      <c r="X89" s="81">
        <f t="shared" si="32"/>
        <v>144000</v>
      </c>
      <c r="Y89" s="96">
        <f t="shared" si="48"/>
        <v>99</v>
      </c>
      <c r="Z89" s="106">
        <f t="shared" si="33"/>
        <v>158400</v>
      </c>
      <c r="AA89" s="96">
        <f t="shared" si="49"/>
        <v>108</v>
      </c>
      <c r="AB89" s="81">
        <f t="shared" si="50"/>
        <v>187200</v>
      </c>
    </row>
    <row r="90" spans="1:28" ht="15.75" x14ac:dyDescent="0.25">
      <c r="A90" s="82"/>
      <c r="B90" s="52">
        <f>Hipótesis!C66</f>
        <v>480</v>
      </c>
      <c r="C90" s="114">
        <v>730</v>
      </c>
      <c r="D90" s="58">
        <f t="shared" si="34"/>
        <v>350400</v>
      </c>
      <c r="E90" s="97">
        <f t="shared" si="35"/>
        <v>80.3</v>
      </c>
      <c r="F90" s="58">
        <f t="shared" si="36"/>
        <v>28032</v>
      </c>
      <c r="G90" s="97">
        <f t="shared" si="37"/>
        <v>73</v>
      </c>
      <c r="H90" s="58">
        <f t="shared" si="38"/>
        <v>35040</v>
      </c>
      <c r="I90" s="97">
        <f t="shared" si="39"/>
        <v>51.1</v>
      </c>
      <c r="J90" s="58">
        <f t="shared" si="26"/>
        <v>28032</v>
      </c>
      <c r="K90" s="97">
        <f t="shared" si="40"/>
        <v>43.8</v>
      </c>
      <c r="L90" s="58">
        <f t="shared" si="27"/>
        <v>24528.000000000004</v>
      </c>
      <c r="M90" s="97">
        <f t="shared" si="41"/>
        <v>43.8</v>
      </c>
      <c r="N90" s="58">
        <f t="shared" si="42"/>
        <v>21024</v>
      </c>
      <c r="O90" s="97">
        <f t="shared" si="43"/>
        <v>29.2</v>
      </c>
      <c r="P90" s="58">
        <f t="shared" si="28"/>
        <v>14016</v>
      </c>
      <c r="Q90" s="97">
        <f t="shared" si="44"/>
        <v>65.7</v>
      </c>
      <c r="R90" s="58">
        <f t="shared" si="29"/>
        <v>31536</v>
      </c>
      <c r="S90" s="97">
        <f t="shared" si="45"/>
        <v>36.5</v>
      </c>
      <c r="T90" s="58">
        <f t="shared" si="30"/>
        <v>17520</v>
      </c>
      <c r="U90" s="97">
        <f t="shared" si="46"/>
        <v>65.7</v>
      </c>
      <c r="V90" s="58">
        <f t="shared" si="31"/>
        <v>31536</v>
      </c>
      <c r="W90" s="97">
        <f t="shared" si="47"/>
        <v>73</v>
      </c>
      <c r="X90" s="58">
        <f t="shared" si="32"/>
        <v>35040</v>
      </c>
      <c r="Y90" s="97">
        <f t="shared" si="48"/>
        <v>80.3</v>
      </c>
      <c r="Z90" s="107">
        <f t="shared" si="33"/>
        <v>38544</v>
      </c>
      <c r="AA90" s="97">
        <f t="shared" si="49"/>
        <v>87.6</v>
      </c>
      <c r="AB90" s="58">
        <f t="shared" si="50"/>
        <v>45552</v>
      </c>
    </row>
    <row r="91" spans="1:28" ht="15.75" x14ac:dyDescent="0.25">
      <c r="A91" s="82"/>
      <c r="B91" s="52">
        <f>Hipótesis!C67</f>
        <v>1100</v>
      </c>
      <c r="C91" s="114">
        <v>730</v>
      </c>
      <c r="D91" s="58">
        <f t="shared" si="34"/>
        <v>803000</v>
      </c>
      <c r="E91" s="97">
        <f t="shared" si="35"/>
        <v>80.3</v>
      </c>
      <c r="F91" s="58">
        <f t="shared" si="36"/>
        <v>64240</v>
      </c>
      <c r="G91" s="97">
        <f t="shared" si="37"/>
        <v>73</v>
      </c>
      <c r="H91" s="58">
        <f t="shared" si="38"/>
        <v>80300</v>
      </c>
      <c r="I91" s="97">
        <f t="shared" si="39"/>
        <v>51.1</v>
      </c>
      <c r="J91" s="58">
        <f t="shared" si="26"/>
        <v>64240</v>
      </c>
      <c r="K91" s="97">
        <f t="shared" si="40"/>
        <v>43.8</v>
      </c>
      <c r="L91" s="58">
        <f t="shared" si="27"/>
        <v>56210.000000000007</v>
      </c>
      <c r="M91" s="97">
        <f t="shared" si="41"/>
        <v>43.8</v>
      </c>
      <c r="N91" s="58">
        <f t="shared" si="42"/>
        <v>48180</v>
      </c>
      <c r="O91" s="97">
        <f t="shared" si="43"/>
        <v>29.2</v>
      </c>
      <c r="P91" s="58">
        <f t="shared" si="28"/>
        <v>32120</v>
      </c>
      <c r="Q91" s="97">
        <f t="shared" si="44"/>
        <v>65.7</v>
      </c>
      <c r="R91" s="58">
        <f t="shared" si="29"/>
        <v>72270</v>
      </c>
      <c r="S91" s="97">
        <f t="shared" si="45"/>
        <v>36.5</v>
      </c>
      <c r="T91" s="58">
        <f t="shared" si="30"/>
        <v>40150</v>
      </c>
      <c r="U91" s="97">
        <f t="shared" si="46"/>
        <v>65.7</v>
      </c>
      <c r="V91" s="58">
        <f t="shared" si="31"/>
        <v>72270</v>
      </c>
      <c r="W91" s="97">
        <f t="shared" si="47"/>
        <v>73</v>
      </c>
      <c r="X91" s="58">
        <f t="shared" si="32"/>
        <v>80300</v>
      </c>
      <c r="Y91" s="97">
        <f t="shared" si="48"/>
        <v>80.3</v>
      </c>
      <c r="Z91" s="107">
        <f t="shared" si="33"/>
        <v>88330</v>
      </c>
      <c r="AA91" s="97">
        <f t="shared" si="49"/>
        <v>87.6</v>
      </c>
      <c r="AB91" s="58">
        <f t="shared" si="50"/>
        <v>104390</v>
      </c>
    </row>
    <row r="92" spans="1:28" ht="15.75" x14ac:dyDescent="0.25">
      <c r="A92" s="82"/>
      <c r="B92" s="52">
        <f>Hipótesis!C68</f>
        <v>250</v>
      </c>
      <c r="C92" s="114">
        <v>745</v>
      </c>
      <c r="D92" s="58">
        <f t="shared" si="34"/>
        <v>186250</v>
      </c>
      <c r="E92" s="97">
        <f t="shared" si="35"/>
        <v>81.95</v>
      </c>
      <c r="F92" s="58">
        <f t="shared" si="36"/>
        <v>14900</v>
      </c>
      <c r="G92" s="97">
        <f t="shared" si="37"/>
        <v>74.5</v>
      </c>
      <c r="H92" s="58">
        <f t="shared" si="38"/>
        <v>18625</v>
      </c>
      <c r="I92" s="97">
        <f t="shared" si="39"/>
        <v>52.150000000000006</v>
      </c>
      <c r="J92" s="58">
        <f t="shared" si="26"/>
        <v>14900</v>
      </c>
      <c r="K92" s="97">
        <f t="shared" si="40"/>
        <v>44.699999999999996</v>
      </c>
      <c r="L92" s="58">
        <f t="shared" si="27"/>
        <v>13037.500000000002</v>
      </c>
      <c r="M92" s="97">
        <f t="shared" si="41"/>
        <v>44.699999999999996</v>
      </c>
      <c r="N92" s="58">
        <f t="shared" si="42"/>
        <v>11175</v>
      </c>
      <c r="O92" s="97">
        <f t="shared" si="43"/>
        <v>29.8</v>
      </c>
      <c r="P92" s="58">
        <f t="shared" si="28"/>
        <v>7450</v>
      </c>
      <c r="Q92" s="97">
        <f t="shared" si="44"/>
        <v>67.05</v>
      </c>
      <c r="R92" s="58">
        <f t="shared" si="29"/>
        <v>16762.5</v>
      </c>
      <c r="S92" s="97">
        <f t="shared" si="45"/>
        <v>37.25</v>
      </c>
      <c r="T92" s="58">
        <f t="shared" si="30"/>
        <v>9312.5</v>
      </c>
      <c r="U92" s="97">
        <f t="shared" si="46"/>
        <v>67.05</v>
      </c>
      <c r="V92" s="58">
        <f t="shared" si="31"/>
        <v>16762.5</v>
      </c>
      <c r="W92" s="97">
        <f t="shared" si="47"/>
        <v>74.5</v>
      </c>
      <c r="X92" s="58">
        <f t="shared" si="32"/>
        <v>18625</v>
      </c>
      <c r="Y92" s="97">
        <f t="shared" si="48"/>
        <v>81.95</v>
      </c>
      <c r="Z92" s="107">
        <f t="shared" si="33"/>
        <v>20487.5</v>
      </c>
      <c r="AA92" s="97">
        <f t="shared" si="49"/>
        <v>89.399999999999991</v>
      </c>
      <c r="AB92" s="58">
        <f t="shared" si="50"/>
        <v>24212.5</v>
      </c>
    </row>
    <row r="93" spans="1:28" ht="16.5" thickBot="1" x14ac:dyDescent="0.3">
      <c r="A93" s="83"/>
      <c r="B93" s="84">
        <f>Hipótesis!C69</f>
        <v>1400</v>
      </c>
      <c r="C93" s="124">
        <v>1550</v>
      </c>
      <c r="D93" s="86">
        <f t="shared" si="34"/>
        <v>2170000</v>
      </c>
      <c r="E93" s="98">
        <f t="shared" si="35"/>
        <v>170.5</v>
      </c>
      <c r="F93" s="86">
        <f t="shared" si="36"/>
        <v>173600</v>
      </c>
      <c r="G93" s="98">
        <f t="shared" si="37"/>
        <v>155</v>
      </c>
      <c r="H93" s="86">
        <f t="shared" si="38"/>
        <v>217000</v>
      </c>
      <c r="I93" s="98">
        <f t="shared" si="39"/>
        <v>108.50000000000001</v>
      </c>
      <c r="J93" s="86">
        <f t="shared" si="26"/>
        <v>173600</v>
      </c>
      <c r="K93" s="98">
        <f t="shared" si="40"/>
        <v>93</v>
      </c>
      <c r="L93" s="86">
        <f t="shared" si="27"/>
        <v>151900</v>
      </c>
      <c r="M93" s="98">
        <f t="shared" si="41"/>
        <v>93</v>
      </c>
      <c r="N93" s="86">
        <f t="shared" si="42"/>
        <v>130200</v>
      </c>
      <c r="O93" s="98">
        <f t="shared" si="43"/>
        <v>62</v>
      </c>
      <c r="P93" s="86">
        <f t="shared" si="28"/>
        <v>86800</v>
      </c>
      <c r="Q93" s="98">
        <f t="shared" si="44"/>
        <v>139.5</v>
      </c>
      <c r="R93" s="86">
        <f t="shared" si="29"/>
        <v>195300</v>
      </c>
      <c r="S93" s="98">
        <f t="shared" si="45"/>
        <v>77.5</v>
      </c>
      <c r="T93" s="86">
        <f t="shared" si="30"/>
        <v>108500</v>
      </c>
      <c r="U93" s="98">
        <f t="shared" si="46"/>
        <v>139.5</v>
      </c>
      <c r="V93" s="86">
        <f t="shared" si="31"/>
        <v>195300</v>
      </c>
      <c r="W93" s="98">
        <f t="shared" si="47"/>
        <v>155</v>
      </c>
      <c r="X93" s="86">
        <f t="shared" si="32"/>
        <v>217000</v>
      </c>
      <c r="Y93" s="98">
        <f t="shared" si="48"/>
        <v>170.5</v>
      </c>
      <c r="Z93" s="108">
        <f t="shared" si="33"/>
        <v>238700</v>
      </c>
      <c r="AA93" s="98">
        <f t="shared" si="49"/>
        <v>186</v>
      </c>
      <c r="AB93" s="86">
        <f t="shared" si="50"/>
        <v>282100</v>
      </c>
    </row>
    <row r="94" spans="1:28" ht="16.5" thickBot="1" x14ac:dyDescent="0.3">
      <c r="A94" s="276"/>
      <c r="B94" s="277">
        <f>Hipótesis!C70</f>
        <v>1500</v>
      </c>
      <c r="C94" s="119">
        <v>1400</v>
      </c>
      <c r="D94" s="120">
        <f t="shared" si="34"/>
        <v>2100000</v>
      </c>
      <c r="E94" s="121">
        <f>C94*$E$17</f>
        <v>112</v>
      </c>
      <c r="F94" s="120">
        <f>D94*$E$17</f>
        <v>168000</v>
      </c>
      <c r="G94" s="121">
        <f t="shared" si="37"/>
        <v>140</v>
      </c>
      <c r="H94" s="120">
        <f t="shared" si="38"/>
        <v>210000</v>
      </c>
      <c r="I94" s="121">
        <f t="shared" si="39"/>
        <v>98.000000000000014</v>
      </c>
      <c r="J94" s="120">
        <f t="shared" si="26"/>
        <v>168000</v>
      </c>
      <c r="K94" s="121">
        <f t="shared" si="40"/>
        <v>84</v>
      </c>
      <c r="L94" s="120">
        <f t="shared" si="27"/>
        <v>147000</v>
      </c>
      <c r="M94" s="121">
        <f t="shared" si="41"/>
        <v>84</v>
      </c>
      <c r="N94" s="120">
        <f t="shared" si="42"/>
        <v>126000</v>
      </c>
      <c r="O94" s="121">
        <f t="shared" si="43"/>
        <v>56</v>
      </c>
      <c r="P94" s="120">
        <f t="shared" si="28"/>
        <v>84000</v>
      </c>
      <c r="Q94" s="121">
        <f t="shared" si="44"/>
        <v>126</v>
      </c>
      <c r="R94" s="120">
        <f t="shared" si="29"/>
        <v>189000</v>
      </c>
      <c r="S94" s="121">
        <f t="shared" si="45"/>
        <v>70</v>
      </c>
      <c r="T94" s="120">
        <f t="shared" si="30"/>
        <v>105000</v>
      </c>
      <c r="U94" s="121">
        <f t="shared" si="46"/>
        <v>126</v>
      </c>
      <c r="V94" s="120">
        <f t="shared" si="31"/>
        <v>189000</v>
      </c>
      <c r="W94" s="121">
        <f t="shared" si="47"/>
        <v>140</v>
      </c>
      <c r="X94" s="120">
        <f t="shared" si="32"/>
        <v>210000</v>
      </c>
      <c r="Y94" s="121">
        <f t="shared" si="48"/>
        <v>154</v>
      </c>
      <c r="Z94" s="122">
        <f t="shared" si="33"/>
        <v>231000</v>
      </c>
      <c r="AA94" s="121">
        <f t="shared" si="49"/>
        <v>168</v>
      </c>
      <c r="AB94" s="120">
        <f t="shared" si="50"/>
        <v>273000</v>
      </c>
    </row>
    <row r="95" spans="1:28" ht="16.5" thickBot="1" x14ac:dyDescent="0.3">
      <c r="A95" s="852" t="s">
        <v>109</v>
      </c>
      <c r="B95" s="853"/>
      <c r="C95" s="238"/>
      <c r="D95" s="241">
        <f>SUM(D82:D94)</f>
        <v>32812150</v>
      </c>
      <c r="E95" s="242"/>
      <c r="F95" s="243">
        <f>SUM(F82:F94)</f>
        <v>2624972</v>
      </c>
      <c r="G95" s="242"/>
      <c r="H95" s="243">
        <f>SUM(H82:H94)</f>
        <v>3281215</v>
      </c>
      <c r="I95" s="242"/>
      <c r="J95" s="243">
        <f>SUM(J82:J94)</f>
        <v>2624972</v>
      </c>
      <c r="K95" s="242"/>
      <c r="L95" s="243">
        <f>SUM(L82:L94)</f>
        <v>2296850.5</v>
      </c>
      <c r="M95" s="242"/>
      <c r="N95" s="243">
        <f>SUM(N82:N94)</f>
        <v>1968729</v>
      </c>
      <c r="O95" s="242"/>
      <c r="P95" s="243">
        <f>SUM(P82:P94)</f>
        <v>1312486</v>
      </c>
      <c r="Q95" s="242"/>
      <c r="R95" s="243">
        <f>SUM(R82:R94)</f>
        <v>2953093.5</v>
      </c>
      <c r="S95" s="242"/>
      <c r="T95" s="243">
        <f>SUM(T82:T94)</f>
        <v>1640607.5</v>
      </c>
      <c r="U95" s="242"/>
      <c r="V95" s="243">
        <f>SUM(V82:V94)</f>
        <v>2953093.5</v>
      </c>
      <c r="W95" s="242"/>
      <c r="X95" s="243">
        <f>SUM(X82:X94)</f>
        <v>3281215</v>
      </c>
      <c r="Y95" s="242"/>
      <c r="Z95" s="243">
        <f>SUM(Z82:Z94)</f>
        <v>3609336.5</v>
      </c>
      <c r="AA95" s="242"/>
      <c r="AB95" s="243">
        <f>SUM(AB82:AB94)</f>
        <v>4265579.5</v>
      </c>
    </row>
    <row r="96" spans="1:28" ht="15.75" x14ac:dyDescent="0.25">
      <c r="A96" s="850"/>
      <c r="B96" s="851"/>
      <c r="C96" s="268">
        <f>C82</f>
        <v>1200</v>
      </c>
      <c r="D96" s="250"/>
      <c r="E96" s="261">
        <f>E82</f>
        <v>132</v>
      </c>
      <c r="F96" s="250"/>
      <c r="G96" s="261">
        <f>G82</f>
        <v>120</v>
      </c>
      <c r="H96" s="250"/>
      <c r="I96" s="261">
        <f>I82</f>
        <v>84.000000000000014</v>
      </c>
      <c r="J96" s="250"/>
      <c r="K96" s="261">
        <f>K82</f>
        <v>72</v>
      </c>
      <c r="L96" s="250"/>
      <c r="M96" s="261">
        <f>M82</f>
        <v>72</v>
      </c>
      <c r="N96" s="250"/>
      <c r="O96" s="261">
        <f>O82</f>
        <v>48</v>
      </c>
      <c r="P96" s="250"/>
      <c r="Q96" s="261">
        <f>Q82</f>
        <v>108</v>
      </c>
      <c r="R96" s="250"/>
      <c r="S96" s="261">
        <f>S82</f>
        <v>60</v>
      </c>
      <c r="T96" s="250"/>
      <c r="U96" s="261">
        <f>U82</f>
        <v>108</v>
      </c>
      <c r="V96" s="250"/>
      <c r="W96" s="261">
        <f>W82</f>
        <v>120</v>
      </c>
      <c r="X96" s="250"/>
      <c r="Y96" s="261">
        <f>Y82</f>
        <v>132</v>
      </c>
      <c r="Z96" s="250"/>
      <c r="AA96" s="261">
        <f>AA82</f>
        <v>144</v>
      </c>
      <c r="AB96" s="251"/>
    </row>
    <row r="97" spans="1:28" ht="15.75" x14ac:dyDescent="0.25">
      <c r="A97" s="848"/>
      <c r="B97" s="849"/>
      <c r="C97" s="269">
        <f>C83</f>
        <v>845</v>
      </c>
      <c r="D97" s="245"/>
      <c r="E97" s="262">
        <f>E83</f>
        <v>92.95</v>
      </c>
      <c r="F97" s="245"/>
      <c r="G97" s="262">
        <f>G83</f>
        <v>84.5</v>
      </c>
      <c r="H97" s="245"/>
      <c r="I97" s="262">
        <f>I83</f>
        <v>59.150000000000006</v>
      </c>
      <c r="J97" s="245"/>
      <c r="K97" s="262">
        <f>K83</f>
        <v>50.699999999999996</v>
      </c>
      <c r="L97" s="245"/>
      <c r="M97" s="262">
        <f>M83</f>
        <v>50.699999999999996</v>
      </c>
      <c r="N97" s="245"/>
      <c r="O97" s="262">
        <f>O83</f>
        <v>33.799999999999997</v>
      </c>
      <c r="P97" s="245"/>
      <c r="Q97" s="262">
        <f>Q83</f>
        <v>76.05</v>
      </c>
      <c r="R97" s="245"/>
      <c r="S97" s="262">
        <f>S83</f>
        <v>42.25</v>
      </c>
      <c r="T97" s="245"/>
      <c r="U97" s="262">
        <f>U83</f>
        <v>76.05</v>
      </c>
      <c r="V97" s="245"/>
      <c r="W97" s="262">
        <f>W83</f>
        <v>84.5</v>
      </c>
      <c r="X97" s="245"/>
      <c r="Y97" s="262">
        <f>Y83</f>
        <v>92.95</v>
      </c>
      <c r="Z97" s="245"/>
      <c r="AA97" s="262">
        <f>AA83</f>
        <v>101.39999999999999</v>
      </c>
      <c r="AB97" s="252"/>
    </row>
    <row r="98" spans="1:28" ht="16.5" thickBot="1" x14ac:dyDescent="0.3">
      <c r="A98" s="846"/>
      <c r="B98" s="847"/>
      <c r="C98" s="270">
        <f>C84</f>
        <v>245</v>
      </c>
      <c r="D98" s="253"/>
      <c r="E98" s="263">
        <f>E84</f>
        <v>26.95</v>
      </c>
      <c r="F98" s="253"/>
      <c r="G98" s="263">
        <f>G84</f>
        <v>24.5</v>
      </c>
      <c r="H98" s="253"/>
      <c r="I98" s="263">
        <f>I84</f>
        <v>17.150000000000002</v>
      </c>
      <c r="J98" s="253"/>
      <c r="K98" s="263">
        <f>K84</f>
        <v>14.7</v>
      </c>
      <c r="L98" s="253"/>
      <c r="M98" s="263">
        <f>M84</f>
        <v>14.7</v>
      </c>
      <c r="N98" s="253"/>
      <c r="O98" s="263">
        <f>O84</f>
        <v>9.8000000000000007</v>
      </c>
      <c r="P98" s="253"/>
      <c r="Q98" s="263">
        <f>Q84</f>
        <v>22.05</v>
      </c>
      <c r="R98" s="253"/>
      <c r="S98" s="263">
        <f>S84</f>
        <v>12.25</v>
      </c>
      <c r="T98" s="253"/>
      <c r="U98" s="263">
        <f>U84</f>
        <v>22.05</v>
      </c>
      <c r="V98" s="253"/>
      <c r="W98" s="263">
        <f>W84</f>
        <v>24.5</v>
      </c>
      <c r="X98" s="253"/>
      <c r="Y98" s="263">
        <f>Y84</f>
        <v>26.95</v>
      </c>
      <c r="Z98" s="253"/>
      <c r="AA98" s="263">
        <f>AA84</f>
        <v>29.4</v>
      </c>
      <c r="AB98" s="254"/>
    </row>
    <row r="99" spans="1:28" ht="16.5" thickBot="1" x14ac:dyDescent="0.3">
      <c r="A99" s="872"/>
      <c r="B99" s="873"/>
      <c r="C99" s="271">
        <f>SUM(C85:C88)</f>
        <v>5950</v>
      </c>
      <c r="D99" s="249"/>
      <c r="E99" s="264">
        <f>SUM(E85:E88)</f>
        <v>654.5</v>
      </c>
      <c r="F99" s="255"/>
      <c r="G99" s="264">
        <f>SUM(G85:G88)</f>
        <v>595</v>
      </c>
      <c r="H99" s="255"/>
      <c r="I99" s="264">
        <f>SUM(I85:I88)</f>
        <v>416.50000000000006</v>
      </c>
      <c r="J99" s="255"/>
      <c r="K99" s="264">
        <f>SUM(K85:K88)</f>
        <v>357</v>
      </c>
      <c r="L99" s="255"/>
      <c r="M99" s="264">
        <f>SUM(M85:M88)</f>
        <v>357</v>
      </c>
      <c r="N99" s="255"/>
      <c r="O99" s="264">
        <f>SUM(O85:O88)</f>
        <v>238</v>
      </c>
      <c r="P99" s="255"/>
      <c r="Q99" s="264">
        <f>SUM(Q85:Q88)</f>
        <v>535.5</v>
      </c>
      <c r="R99" s="255"/>
      <c r="S99" s="264">
        <f>SUM(S85:S88)</f>
        <v>297.5</v>
      </c>
      <c r="T99" s="255"/>
      <c r="U99" s="264">
        <f>SUM(U85:U88)</f>
        <v>535.5</v>
      </c>
      <c r="V99" s="255"/>
      <c r="W99" s="264">
        <f>SUM(W85:W88)</f>
        <v>595</v>
      </c>
      <c r="X99" s="255"/>
      <c r="Y99" s="264">
        <f>SUM(Y85:Y88)</f>
        <v>654.5</v>
      </c>
      <c r="Z99" s="255"/>
      <c r="AA99" s="264">
        <f>SUM(AA85:AA88)</f>
        <v>714</v>
      </c>
      <c r="AB99" s="258"/>
    </row>
    <row r="100" spans="1:28" ht="16.5" thickBot="1" x14ac:dyDescent="0.3">
      <c r="A100" s="866"/>
      <c r="B100" s="867"/>
      <c r="C100" s="272">
        <f>SUM(C89:C93)</f>
        <v>4655</v>
      </c>
      <c r="D100" s="248"/>
      <c r="E100" s="265">
        <f>SUM(E89:E93)</f>
        <v>512.04999999999995</v>
      </c>
      <c r="F100" s="256"/>
      <c r="G100" s="265">
        <f>SUM(G89:G93)</f>
        <v>465.5</v>
      </c>
      <c r="H100" s="256"/>
      <c r="I100" s="265">
        <f>SUM(I89:I93)</f>
        <v>325.85000000000002</v>
      </c>
      <c r="J100" s="256"/>
      <c r="K100" s="265">
        <f>SUM(K89:K93)</f>
        <v>279.29999999999995</v>
      </c>
      <c r="L100" s="256"/>
      <c r="M100" s="265">
        <f>SUM(M89:M93)</f>
        <v>279.29999999999995</v>
      </c>
      <c r="N100" s="256"/>
      <c r="O100" s="265">
        <f>SUM(O89:O93)</f>
        <v>186.2</v>
      </c>
      <c r="P100" s="256"/>
      <c r="Q100" s="265">
        <f>SUM(Q89:Q93)</f>
        <v>418.95</v>
      </c>
      <c r="R100" s="256"/>
      <c r="S100" s="265">
        <f>SUM(S89:S93)</f>
        <v>232.75</v>
      </c>
      <c r="T100" s="256"/>
      <c r="U100" s="265">
        <f>SUM(U89:U93)</f>
        <v>418.95</v>
      </c>
      <c r="V100" s="256"/>
      <c r="W100" s="265">
        <f>SUM(W89:W93)</f>
        <v>465.5</v>
      </c>
      <c r="X100" s="256"/>
      <c r="Y100" s="265">
        <f>SUM(Y89:Y93)</f>
        <v>512.04999999999995</v>
      </c>
      <c r="Z100" s="256"/>
      <c r="AA100" s="265">
        <f>SUM(AA89:AA93)</f>
        <v>558.59999999999991</v>
      </c>
      <c r="AB100" s="259"/>
    </row>
    <row r="101" spans="1:28" ht="16.5" thickBot="1" x14ac:dyDescent="0.3">
      <c r="A101" s="870"/>
      <c r="B101" s="871"/>
      <c r="C101" s="273">
        <f>C94</f>
        <v>1400</v>
      </c>
      <c r="D101" s="246"/>
      <c r="E101" s="266">
        <f>E94</f>
        <v>112</v>
      </c>
      <c r="F101" s="257"/>
      <c r="G101" s="266">
        <f>G94</f>
        <v>140</v>
      </c>
      <c r="H101" s="257"/>
      <c r="I101" s="266">
        <f>I94</f>
        <v>98.000000000000014</v>
      </c>
      <c r="J101" s="257"/>
      <c r="K101" s="266">
        <f>K94</f>
        <v>84</v>
      </c>
      <c r="L101" s="257"/>
      <c r="M101" s="266">
        <f>M94</f>
        <v>84</v>
      </c>
      <c r="N101" s="257"/>
      <c r="O101" s="266">
        <f>O94</f>
        <v>56</v>
      </c>
      <c r="P101" s="257"/>
      <c r="Q101" s="266">
        <f>Q94</f>
        <v>126</v>
      </c>
      <c r="R101" s="257"/>
      <c r="S101" s="266">
        <f>S94</f>
        <v>70</v>
      </c>
      <c r="T101" s="257"/>
      <c r="U101" s="266">
        <f>U94</f>
        <v>126</v>
      </c>
      <c r="V101" s="257"/>
      <c r="W101" s="266">
        <f>W94</f>
        <v>140</v>
      </c>
      <c r="X101" s="257"/>
      <c r="Y101" s="266">
        <f>Y94</f>
        <v>154</v>
      </c>
      <c r="Z101" s="257"/>
      <c r="AA101" s="266">
        <f>AA94</f>
        <v>168</v>
      </c>
      <c r="AB101" s="260"/>
    </row>
    <row r="102" spans="1:28" ht="15.75" thickBot="1" x14ac:dyDescent="0.3">
      <c r="D102" s="41"/>
    </row>
    <row r="103" spans="1:28" ht="27" thickBot="1" x14ac:dyDescent="0.45">
      <c r="A103" s="769" t="s">
        <v>74</v>
      </c>
      <c r="B103" s="770"/>
      <c r="C103" s="770"/>
      <c r="D103" s="770"/>
      <c r="E103" s="770"/>
      <c r="F103" s="770"/>
      <c r="G103" s="770"/>
      <c r="H103" s="770"/>
      <c r="I103" s="770"/>
      <c r="J103" s="770"/>
      <c r="K103" s="770"/>
      <c r="L103" s="770"/>
      <c r="M103" s="770"/>
      <c r="N103" s="770"/>
      <c r="O103" s="770"/>
      <c r="P103" s="770"/>
      <c r="Q103" s="770"/>
      <c r="R103" s="770"/>
      <c r="S103" s="770"/>
      <c r="T103" s="770"/>
      <c r="U103" s="770"/>
      <c r="V103" s="770"/>
      <c r="W103" s="770"/>
      <c r="X103" s="770"/>
      <c r="Y103" s="770"/>
      <c r="Z103" s="770"/>
      <c r="AA103" s="770"/>
      <c r="AB103" s="771"/>
    </row>
    <row r="104" spans="1:28" ht="107.25" customHeight="1" thickBot="1" x14ac:dyDescent="0.3">
      <c r="A104" s="197" t="s">
        <v>78</v>
      </c>
      <c r="B104" s="757" t="s">
        <v>361</v>
      </c>
      <c r="C104" s="758"/>
      <c r="D104" s="758"/>
      <c r="E104" s="758"/>
      <c r="F104" s="758"/>
      <c r="G104" s="758"/>
      <c r="H104" s="758"/>
      <c r="I104" s="758"/>
      <c r="J104" s="758"/>
      <c r="K104" s="758"/>
      <c r="L104" s="758"/>
      <c r="M104" s="758"/>
      <c r="N104" s="758"/>
      <c r="O104" s="758"/>
      <c r="P104" s="758"/>
      <c r="Q104" s="758"/>
      <c r="R104" s="758"/>
      <c r="S104" s="758"/>
      <c r="T104" s="758"/>
      <c r="U104" s="758"/>
      <c r="V104" s="758"/>
      <c r="W104" s="758"/>
      <c r="X104" s="758"/>
      <c r="Y104" s="758"/>
      <c r="Z104" s="758"/>
      <c r="AA104" s="758"/>
      <c r="AB104" s="759"/>
    </row>
    <row r="105" spans="1:28" ht="21.75" thickBot="1" x14ac:dyDescent="0.3">
      <c r="A105" s="772"/>
      <c r="B105" s="773"/>
      <c r="C105" s="837" t="s">
        <v>67</v>
      </c>
      <c r="D105" s="838"/>
      <c r="E105" s="774" t="s">
        <v>42</v>
      </c>
      <c r="F105" s="775"/>
      <c r="G105" s="776" t="s">
        <v>43</v>
      </c>
      <c r="H105" s="775"/>
      <c r="I105" s="776" t="s">
        <v>44</v>
      </c>
      <c r="J105" s="775"/>
      <c r="K105" s="776" t="s">
        <v>45</v>
      </c>
      <c r="L105" s="775"/>
      <c r="M105" s="776" t="s">
        <v>46</v>
      </c>
      <c r="N105" s="775"/>
      <c r="O105" s="776" t="s">
        <v>47</v>
      </c>
      <c r="P105" s="775"/>
      <c r="Q105" s="776" t="s">
        <v>48</v>
      </c>
      <c r="R105" s="775"/>
      <c r="S105" s="776" t="s">
        <v>49</v>
      </c>
      <c r="T105" s="775"/>
      <c r="U105" s="776" t="s">
        <v>50</v>
      </c>
      <c r="V105" s="775"/>
      <c r="W105" s="776" t="s">
        <v>51</v>
      </c>
      <c r="X105" s="775"/>
      <c r="Y105" s="776" t="s">
        <v>52</v>
      </c>
      <c r="Z105" s="775"/>
      <c r="AA105" s="776" t="s">
        <v>53</v>
      </c>
      <c r="AB105" s="775"/>
    </row>
    <row r="106" spans="1:28" x14ac:dyDescent="0.25">
      <c r="A106" s="819" t="s">
        <v>66</v>
      </c>
      <c r="B106" s="820"/>
      <c r="C106" s="835"/>
      <c r="D106" s="836"/>
      <c r="E106" s="826" t="s">
        <v>70</v>
      </c>
      <c r="F106" s="804"/>
      <c r="G106" s="827" t="s">
        <v>70</v>
      </c>
      <c r="H106" s="804"/>
      <c r="I106" s="827" t="s">
        <v>70</v>
      </c>
      <c r="J106" s="804"/>
      <c r="K106" s="827" t="s">
        <v>70</v>
      </c>
      <c r="L106" s="804"/>
      <c r="M106" s="827" t="s">
        <v>70</v>
      </c>
      <c r="N106" s="804"/>
      <c r="O106" s="827" t="s">
        <v>70</v>
      </c>
      <c r="P106" s="804"/>
      <c r="Q106" s="827" t="s">
        <v>70</v>
      </c>
      <c r="R106" s="804"/>
      <c r="S106" s="827" t="s">
        <v>70</v>
      </c>
      <c r="T106" s="804"/>
      <c r="U106" s="794" t="s">
        <v>70</v>
      </c>
      <c r="V106" s="794"/>
      <c r="W106" s="794" t="s">
        <v>70</v>
      </c>
      <c r="X106" s="794"/>
      <c r="Y106" s="794" t="s">
        <v>70</v>
      </c>
      <c r="Z106" s="794"/>
      <c r="AA106" s="794" t="s">
        <v>70</v>
      </c>
      <c r="AB106" s="812"/>
    </row>
    <row r="107" spans="1:28" x14ac:dyDescent="0.25">
      <c r="A107" s="821"/>
      <c r="B107" s="822"/>
      <c r="C107" s="831"/>
      <c r="D107" s="832"/>
      <c r="E107" s="809" t="s">
        <v>70</v>
      </c>
      <c r="F107" s="793"/>
      <c r="G107" s="793" t="s">
        <v>70</v>
      </c>
      <c r="H107" s="793"/>
      <c r="I107" s="793" t="s">
        <v>70</v>
      </c>
      <c r="J107" s="793"/>
      <c r="K107" s="793" t="s">
        <v>70</v>
      </c>
      <c r="L107" s="793"/>
      <c r="M107" s="793" t="s">
        <v>70</v>
      </c>
      <c r="N107" s="793"/>
      <c r="O107" s="793" t="s">
        <v>70</v>
      </c>
      <c r="P107" s="793"/>
      <c r="Q107" s="793" t="s">
        <v>70</v>
      </c>
      <c r="R107" s="793"/>
      <c r="S107" s="793" t="s">
        <v>70</v>
      </c>
      <c r="T107" s="793"/>
      <c r="U107" s="793" t="s">
        <v>70</v>
      </c>
      <c r="V107" s="793"/>
      <c r="W107" s="793" t="s">
        <v>70</v>
      </c>
      <c r="X107" s="793"/>
      <c r="Y107" s="793" t="s">
        <v>70</v>
      </c>
      <c r="Z107" s="793"/>
      <c r="AA107" s="793" t="s">
        <v>70</v>
      </c>
      <c r="AB107" s="813"/>
    </row>
    <row r="108" spans="1:28" x14ac:dyDescent="0.25">
      <c r="A108" s="821"/>
      <c r="B108" s="822"/>
      <c r="C108" s="831"/>
      <c r="D108" s="832"/>
      <c r="E108" s="809" t="s">
        <v>70</v>
      </c>
      <c r="F108" s="793"/>
      <c r="G108" s="793" t="s">
        <v>70</v>
      </c>
      <c r="H108" s="793"/>
      <c r="I108" s="793" t="s">
        <v>70</v>
      </c>
      <c r="J108" s="793"/>
      <c r="K108" s="793" t="s">
        <v>70</v>
      </c>
      <c r="L108" s="793"/>
      <c r="M108" s="793" t="s">
        <v>70</v>
      </c>
      <c r="N108" s="793"/>
      <c r="O108" s="793" t="s">
        <v>70</v>
      </c>
      <c r="P108" s="793"/>
      <c r="Q108" s="793" t="s">
        <v>70</v>
      </c>
      <c r="R108" s="793"/>
      <c r="S108" s="793" t="s">
        <v>70</v>
      </c>
      <c r="T108" s="793"/>
      <c r="U108" s="793" t="s">
        <v>70</v>
      </c>
      <c r="V108" s="793"/>
      <c r="W108" s="793" t="s">
        <v>70</v>
      </c>
      <c r="X108" s="793"/>
      <c r="Y108" s="793" t="s">
        <v>70</v>
      </c>
      <c r="Z108" s="793"/>
      <c r="AA108" s="793" t="s">
        <v>70</v>
      </c>
      <c r="AB108" s="813"/>
    </row>
    <row r="109" spans="1:28" x14ac:dyDescent="0.25">
      <c r="A109" s="821"/>
      <c r="B109" s="822"/>
      <c r="C109" s="831"/>
      <c r="D109" s="832"/>
      <c r="E109" s="809" t="s">
        <v>70</v>
      </c>
      <c r="F109" s="793"/>
      <c r="G109" s="793" t="s">
        <v>70</v>
      </c>
      <c r="H109" s="793"/>
      <c r="I109" s="793" t="s">
        <v>70</v>
      </c>
      <c r="J109" s="793"/>
      <c r="K109" s="793" t="s">
        <v>70</v>
      </c>
      <c r="L109" s="793"/>
      <c r="M109" s="793" t="s">
        <v>70</v>
      </c>
      <c r="N109" s="793"/>
      <c r="O109" s="793" t="s">
        <v>70</v>
      </c>
      <c r="P109" s="793"/>
      <c r="Q109" s="793" t="s">
        <v>70</v>
      </c>
      <c r="R109" s="793"/>
      <c r="S109" s="793" t="s">
        <v>70</v>
      </c>
      <c r="T109" s="793"/>
      <c r="U109" s="793" t="s">
        <v>70</v>
      </c>
      <c r="V109" s="793"/>
      <c r="W109" s="793" t="s">
        <v>70</v>
      </c>
      <c r="X109" s="793"/>
      <c r="Y109" s="793" t="s">
        <v>70</v>
      </c>
      <c r="Z109" s="793"/>
      <c r="AA109" s="793" t="s">
        <v>70</v>
      </c>
      <c r="AB109" s="813"/>
    </row>
    <row r="110" spans="1:28" x14ac:dyDescent="0.25">
      <c r="A110" s="821"/>
      <c r="B110" s="822"/>
      <c r="C110" s="831"/>
      <c r="D110" s="832"/>
      <c r="E110" s="809" t="s">
        <v>70</v>
      </c>
      <c r="F110" s="793"/>
      <c r="G110" s="793" t="s">
        <v>70</v>
      </c>
      <c r="H110" s="793"/>
      <c r="I110" s="793" t="s">
        <v>70</v>
      </c>
      <c r="J110" s="793"/>
      <c r="K110" s="793" t="s">
        <v>70</v>
      </c>
      <c r="L110" s="793"/>
      <c r="M110" s="793" t="s">
        <v>70</v>
      </c>
      <c r="N110" s="793"/>
      <c r="O110" s="793" t="s">
        <v>70</v>
      </c>
      <c r="P110" s="793"/>
      <c r="Q110" s="793" t="s">
        <v>70</v>
      </c>
      <c r="R110" s="793"/>
      <c r="S110" s="793" t="s">
        <v>70</v>
      </c>
      <c r="T110" s="793"/>
      <c r="U110" s="793" t="s">
        <v>70</v>
      </c>
      <c r="V110" s="793"/>
      <c r="W110" s="793" t="s">
        <v>70</v>
      </c>
      <c r="X110" s="793"/>
      <c r="Y110" s="793" t="s">
        <v>70</v>
      </c>
      <c r="Z110" s="793"/>
      <c r="AA110" s="793" t="s">
        <v>70</v>
      </c>
      <c r="AB110" s="813"/>
    </row>
    <row r="111" spans="1:28" x14ac:dyDescent="0.25">
      <c r="A111" s="821"/>
      <c r="B111" s="822"/>
      <c r="C111" s="831"/>
      <c r="D111" s="832"/>
      <c r="E111" s="809" t="s">
        <v>70</v>
      </c>
      <c r="F111" s="793"/>
      <c r="G111" s="793" t="s">
        <v>70</v>
      </c>
      <c r="H111" s="793"/>
      <c r="I111" s="793" t="s">
        <v>70</v>
      </c>
      <c r="J111" s="793"/>
      <c r="K111" s="793" t="s">
        <v>70</v>
      </c>
      <c r="L111" s="793"/>
      <c r="M111" s="793" t="s">
        <v>70</v>
      </c>
      <c r="N111" s="793"/>
      <c r="O111" s="793" t="s">
        <v>70</v>
      </c>
      <c r="P111" s="793"/>
      <c r="Q111" s="793" t="s">
        <v>70</v>
      </c>
      <c r="R111" s="793"/>
      <c r="S111" s="793" t="s">
        <v>70</v>
      </c>
      <c r="T111" s="793"/>
      <c r="U111" s="793" t="s">
        <v>70</v>
      </c>
      <c r="V111" s="793"/>
      <c r="W111" s="793" t="s">
        <v>70</v>
      </c>
      <c r="X111" s="793"/>
      <c r="Y111" s="793" t="s">
        <v>70</v>
      </c>
      <c r="Z111" s="793"/>
      <c r="AA111" s="793" t="s">
        <v>70</v>
      </c>
      <c r="AB111" s="813"/>
    </row>
    <row r="112" spans="1:28" x14ac:dyDescent="0.25">
      <c r="A112" s="821"/>
      <c r="B112" s="822"/>
      <c r="C112" s="833"/>
      <c r="D112" s="834"/>
      <c r="E112" s="809" t="s">
        <v>70</v>
      </c>
      <c r="F112" s="793"/>
      <c r="G112" s="793" t="s">
        <v>70</v>
      </c>
      <c r="H112" s="793"/>
      <c r="I112" s="793" t="s">
        <v>70</v>
      </c>
      <c r="J112" s="793"/>
      <c r="K112" s="793" t="s">
        <v>70</v>
      </c>
      <c r="L112" s="793"/>
      <c r="M112" s="814" t="s">
        <v>92</v>
      </c>
      <c r="N112" s="828"/>
      <c r="O112" s="793" t="s">
        <v>70</v>
      </c>
      <c r="P112" s="793"/>
      <c r="Q112" s="793" t="s">
        <v>70</v>
      </c>
      <c r="R112" s="793"/>
      <c r="S112" s="793" t="s">
        <v>70</v>
      </c>
      <c r="T112" s="793"/>
      <c r="U112" s="793" t="s">
        <v>70</v>
      </c>
      <c r="V112" s="793"/>
      <c r="W112" s="793" t="s">
        <v>70</v>
      </c>
      <c r="X112" s="793"/>
      <c r="Y112" s="793" t="s">
        <v>70</v>
      </c>
      <c r="Z112" s="793"/>
      <c r="AA112" s="793" t="s">
        <v>70</v>
      </c>
      <c r="AB112" s="813"/>
    </row>
    <row r="113" spans="1:28" x14ac:dyDescent="0.25">
      <c r="A113" s="821"/>
      <c r="B113" s="822"/>
      <c r="C113" s="833"/>
      <c r="D113" s="834"/>
      <c r="E113" s="809" t="s">
        <v>70</v>
      </c>
      <c r="F113" s="793"/>
      <c r="G113" s="793" t="s">
        <v>70</v>
      </c>
      <c r="H113" s="793"/>
      <c r="I113" s="793" t="s">
        <v>70</v>
      </c>
      <c r="J113" s="793"/>
      <c r="K113" s="793" t="s">
        <v>70</v>
      </c>
      <c r="L113" s="793"/>
      <c r="M113" s="793" t="s">
        <v>70</v>
      </c>
      <c r="N113" s="793"/>
      <c r="O113" s="793" t="s">
        <v>70</v>
      </c>
      <c r="P113" s="793"/>
      <c r="Q113" s="793" t="s">
        <v>70</v>
      </c>
      <c r="R113" s="793"/>
      <c r="S113" s="793" t="s">
        <v>70</v>
      </c>
      <c r="T113" s="793"/>
      <c r="U113" s="793" t="s">
        <v>70</v>
      </c>
      <c r="V113" s="793"/>
      <c r="W113" s="793" t="s">
        <v>70</v>
      </c>
      <c r="X113" s="793"/>
      <c r="Y113" s="793" t="s">
        <v>70</v>
      </c>
      <c r="Z113" s="793"/>
      <c r="AA113" s="814" t="s">
        <v>86</v>
      </c>
      <c r="AB113" s="828"/>
    </row>
    <row r="114" spans="1:28" x14ac:dyDescent="0.25">
      <c r="A114" s="821"/>
      <c r="B114" s="822"/>
      <c r="C114" s="831"/>
      <c r="D114" s="832"/>
      <c r="E114" s="809" t="s">
        <v>70</v>
      </c>
      <c r="F114" s="793"/>
      <c r="G114" s="793" t="s">
        <v>70</v>
      </c>
      <c r="H114" s="793"/>
      <c r="I114" s="793" t="s">
        <v>70</v>
      </c>
      <c r="J114" s="793"/>
      <c r="K114" s="793" t="s">
        <v>70</v>
      </c>
      <c r="L114" s="793"/>
      <c r="M114" s="793" t="s">
        <v>70</v>
      </c>
      <c r="N114" s="793"/>
      <c r="O114" s="793" t="s">
        <v>70</v>
      </c>
      <c r="P114" s="793"/>
      <c r="Q114" s="793" t="s">
        <v>70</v>
      </c>
      <c r="R114" s="793"/>
      <c r="S114" s="793" t="s">
        <v>70</v>
      </c>
      <c r="T114" s="793"/>
      <c r="U114" s="793" t="s">
        <v>70</v>
      </c>
      <c r="V114" s="793"/>
      <c r="W114" s="793" t="s">
        <v>70</v>
      </c>
      <c r="X114" s="793"/>
      <c r="Y114" s="793" t="s">
        <v>70</v>
      </c>
      <c r="Z114" s="793"/>
      <c r="AA114" s="793" t="s">
        <v>70</v>
      </c>
      <c r="AB114" s="813"/>
    </row>
    <row r="115" spans="1:28" x14ac:dyDescent="0.25">
      <c r="A115" s="821"/>
      <c r="B115" s="822"/>
      <c r="C115" s="831"/>
      <c r="D115" s="832"/>
      <c r="E115" s="809" t="s">
        <v>70</v>
      </c>
      <c r="F115" s="793"/>
      <c r="G115" s="793" t="s">
        <v>70</v>
      </c>
      <c r="H115" s="793"/>
      <c r="I115" s="793" t="s">
        <v>70</v>
      </c>
      <c r="J115" s="793"/>
      <c r="K115" s="793" t="s">
        <v>70</v>
      </c>
      <c r="L115" s="793"/>
      <c r="M115" s="793" t="s">
        <v>70</v>
      </c>
      <c r="N115" s="793"/>
      <c r="O115" s="793" t="s">
        <v>70</v>
      </c>
      <c r="P115" s="793"/>
      <c r="Q115" s="793" t="s">
        <v>70</v>
      </c>
      <c r="R115" s="793"/>
      <c r="S115" s="793" t="s">
        <v>70</v>
      </c>
      <c r="T115" s="793"/>
      <c r="U115" s="793" t="s">
        <v>70</v>
      </c>
      <c r="V115" s="793"/>
      <c r="W115" s="793" t="s">
        <v>70</v>
      </c>
      <c r="X115" s="793"/>
      <c r="Y115" s="793" t="s">
        <v>70</v>
      </c>
      <c r="Z115" s="793"/>
      <c r="AA115" s="793" t="s">
        <v>70</v>
      </c>
      <c r="AB115" s="813"/>
    </row>
    <row r="116" spans="1:28" x14ac:dyDescent="0.25">
      <c r="A116" s="821"/>
      <c r="B116" s="822"/>
      <c r="C116" s="831"/>
      <c r="D116" s="832"/>
      <c r="E116" s="809" t="s">
        <v>70</v>
      </c>
      <c r="F116" s="793"/>
      <c r="G116" s="793" t="s">
        <v>70</v>
      </c>
      <c r="H116" s="793"/>
      <c r="I116" s="793" t="s">
        <v>70</v>
      </c>
      <c r="J116" s="793"/>
      <c r="K116" s="793" t="s">
        <v>70</v>
      </c>
      <c r="L116" s="793"/>
      <c r="M116" s="793" t="s">
        <v>70</v>
      </c>
      <c r="N116" s="793"/>
      <c r="O116" s="793" t="s">
        <v>70</v>
      </c>
      <c r="P116" s="793"/>
      <c r="Q116" s="793" t="s">
        <v>70</v>
      </c>
      <c r="R116" s="793"/>
      <c r="S116" s="793" t="s">
        <v>70</v>
      </c>
      <c r="T116" s="793"/>
      <c r="U116" s="793" t="s">
        <v>70</v>
      </c>
      <c r="V116" s="793"/>
      <c r="W116" s="793" t="s">
        <v>70</v>
      </c>
      <c r="X116" s="793"/>
      <c r="Y116" s="793" t="s">
        <v>70</v>
      </c>
      <c r="Z116" s="793"/>
      <c r="AA116" s="793" t="s">
        <v>70</v>
      </c>
      <c r="AB116" s="813"/>
    </row>
    <row r="117" spans="1:28" x14ac:dyDescent="0.25">
      <c r="A117" s="821"/>
      <c r="B117" s="822"/>
      <c r="C117" s="831"/>
      <c r="D117" s="832"/>
      <c r="E117" s="809" t="s">
        <v>70</v>
      </c>
      <c r="F117" s="793"/>
      <c r="G117" s="793" t="s">
        <v>70</v>
      </c>
      <c r="H117" s="793"/>
      <c r="I117" s="793" t="s">
        <v>70</v>
      </c>
      <c r="J117" s="793"/>
      <c r="K117" s="793" t="s">
        <v>70</v>
      </c>
      <c r="L117" s="793"/>
      <c r="M117" s="793" t="s">
        <v>70</v>
      </c>
      <c r="N117" s="793"/>
      <c r="O117" s="793" t="s">
        <v>70</v>
      </c>
      <c r="P117" s="793"/>
      <c r="Q117" s="793" t="s">
        <v>70</v>
      </c>
      <c r="R117" s="793"/>
      <c r="S117" s="793" t="s">
        <v>70</v>
      </c>
      <c r="T117" s="793"/>
      <c r="U117" s="793" t="s">
        <v>70</v>
      </c>
      <c r="V117" s="793"/>
      <c r="W117" s="793" t="s">
        <v>70</v>
      </c>
      <c r="X117" s="793"/>
      <c r="Y117" s="793" t="s">
        <v>70</v>
      </c>
      <c r="Z117" s="793"/>
      <c r="AA117" s="793" t="s">
        <v>70</v>
      </c>
      <c r="AB117" s="813"/>
    </row>
    <row r="118" spans="1:28" x14ac:dyDescent="0.25">
      <c r="A118" s="821"/>
      <c r="B118" s="822"/>
      <c r="C118" s="831"/>
      <c r="D118" s="832"/>
      <c r="E118" s="809" t="s">
        <v>70</v>
      </c>
      <c r="F118" s="793"/>
      <c r="G118" s="793" t="s">
        <v>70</v>
      </c>
      <c r="H118" s="793"/>
      <c r="I118" s="793" t="s">
        <v>70</v>
      </c>
      <c r="J118" s="793"/>
      <c r="K118" s="793" t="s">
        <v>70</v>
      </c>
      <c r="L118" s="793"/>
      <c r="M118" s="793" t="s">
        <v>70</v>
      </c>
      <c r="N118" s="793"/>
      <c r="O118" s="793" t="s">
        <v>70</v>
      </c>
      <c r="P118" s="793"/>
      <c r="Q118" s="793" t="s">
        <v>70</v>
      </c>
      <c r="R118" s="793"/>
      <c r="S118" s="793" t="s">
        <v>70</v>
      </c>
      <c r="T118" s="793"/>
      <c r="U118" s="793" t="s">
        <v>70</v>
      </c>
      <c r="V118" s="793"/>
      <c r="W118" s="793" t="s">
        <v>70</v>
      </c>
      <c r="X118" s="793"/>
      <c r="Y118" s="793" t="s">
        <v>70</v>
      </c>
      <c r="Z118" s="793"/>
      <c r="AA118" s="793" t="s">
        <v>70</v>
      </c>
      <c r="AB118" s="813"/>
    </row>
    <row r="119" spans="1:28" x14ac:dyDescent="0.25">
      <c r="A119" s="821"/>
      <c r="B119" s="822"/>
      <c r="C119" s="831"/>
      <c r="D119" s="832"/>
      <c r="E119" s="809" t="s">
        <v>70</v>
      </c>
      <c r="F119" s="793"/>
      <c r="G119" s="793" t="s">
        <v>70</v>
      </c>
      <c r="H119" s="793"/>
      <c r="I119" s="793" t="s">
        <v>70</v>
      </c>
      <c r="J119" s="793"/>
      <c r="K119" s="793" t="s">
        <v>70</v>
      </c>
      <c r="L119" s="793"/>
      <c r="M119" s="793" t="s">
        <v>70</v>
      </c>
      <c r="N119" s="793"/>
      <c r="O119" s="793" t="s">
        <v>70</v>
      </c>
      <c r="P119" s="793"/>
      <c r="Q119" s="793" t="s">
        <v>70</v>
      </c>
      <c r="R119" s="793"/>
      <c r="S119" s="793" t="s">
        <v>70</v>
      </c>
      <c r="T119" s="793"/>
      <c r="U119" s="793" t="s">
        <v>70</v>
      </c>
      <c r="V119" s="793"/>
      <c r="W119" s="793" t="s">
        <v>70</v>
      </c>
      <c r="X119" s="793"/>
      <c r="Y119" s="793" t="s">
        <v>70</v>
      </c>
      <c r="Z119" s="793"/>
      <c r="AA119" s="793" t="s">
        <v>70</v>
      </c>
      <c r="AB119" s="813"/>
    </row>
    <row r="120" spans="1:28" x14ac:dyDescent="0.25">
      <c r="A120" s="821"/>
      <c r="B120" s="822"/>
      <c r="C120" s="831"/>
      <c r="D120" s="832"/>
      <c r="E120" s="809" t="s">
        <v>70</v>
      </c>
      <c r="F120" s="793"/>
      <c r="G120" s="793" t="s">
        <v>70</v>
      </c>
      <c r="H120" s="793"/>
      <c r="I120" s="793" t="s">
        <v>70</v>
      </c>
      <c r="J120" s="793"/>
      <c r="K120" s="793" t="s">
        <v>70</v>
      </c>
      <c r="L120" s="793"/>
      <c r="M120" s="793" t="s">
        <v>70</v>
      </c>
      <c r="N120" s="793"/>
      <c r="O120" s="793" t="s">
        <v>70</v>
      </c>
      <c r="P120" s="793"/>
      <c r="Q120" s="793" t="s">
        <v>70</v>
      </c>
      <c r="R120" s="793"/>
      <c r="S120" s="793" t="s">
        <v>70</v>
      </c>
      <c r="T120" s="793"/>
      <c r="U120" s="793" t="s">
        <v>70</v>
      </c>
      <c r="V120" s="793"/>
      <c r="W120" s="793" t="s">
        <v>70</v>
      </c>
      <c r="X120" s="793"/>
      <c r="Y120" s="793" t="s">
        <v>70</v>
      </c>
      <c r="Z120" s="793"/>
      <c r="AA120" s="793" t="s">
        <v>70</v>
      </c>
      <c r="AB120" s="813"/>
    </row>
    <row r="121" spans="1:28" x14ac:dyDescent="0.25">
      <c r="A121" s="821"/>
      <c r="B121" s="822"/>
      <c r="C121" s="833"/>
      <c r="D121" s="834"/>
      <c r="E121" s="809" t="s">
        <v>70</v>
      </c>
      <c r="F121" s="793"/>
      <c r="G121" s="793" t="s">
        <v>70</v>
      </c>
      <c r="H121" s="793"/>
      <c r="I121" s="793" t="s">
        <v>70</v>
      </c>
      <c r="J121" s="793"/>
      <c r="K121" s="793" t="s">
        <v>70</v>
      </c>
      <c r="L121" s="793"/>
      <c r="M121" s="793" t="s">
        <v>70</v>
      </c>
      <c r="N121" s="793"/>
      <c r="O121" s="793" t="s">
        <v>70</v>
      </c>
      <c r="P121" s="793"/>
      <c r="Q121" s="793" t="s">
        <v>70</v>
      </c>
      <c r="R121" s="793"/>
      <c r="S121" s="793" t="s">
        <v>70</v>
      </c>
      <c r="T121" s="793"/>
      <c r="U121" s="793" t="s">
        <v>70</v>
      </c>
      <c r="V121" s="793"/>
      <c r="W121" s="793" t="s">
        <v>70</v>
      </c>
      <c r="X121" s="793"/>
      <c r="Y121" s="793" t="s">
        <v>70</v>
      </c>
      <c r="Z121" s="793"/>
      <c r="AA121" s="814" t="s">
        <v>96</v>
      </c>
      <c r="AB121" s="814"/>
    </row>
    <row r="122" spans="1:28" x14ac:dyDescent="0.25">
      <c r="A122" s="821"/>
      <c r="B122" s="822"/>
      <c r="C122" s="831"/>
      <c r="D122" s="832"/>
      <c r="E122" s="809" t="s">
        <v>70</v>
      </c>
      <c r="F122" s="793"/>
      <c r="G122" s="793" t="s">
        <v>70</v>
      </c>
      <c r="H122" s="793"/>
      <c r="I122" s="793" t="s">
        <v>70</v>
      </c>
      <c r="J122" s="793"/>
      <c r="K122" s="793" t="s">
        <v>70</v>
      </c>
      <c r="L122" s="793"/>
      <c r="M122" s="793" t="s">
        <v>70</v>
      </c>
      <c r="N122" s="793"/>
      <c r="O122" s="793" t="s">
        <v>70</v>
      </c>
      <c r="P122" s="793"/>
      <c r="Q122" s="793" t="s">
        <v>70</v>
      </c>
      <c r="R122" s="793"/>
      <c r="S122" s="793" t="s">
        <v>70</v>
      </c>
      <c r="T122" s="793"/>
      <c r="U122" s="793" t="s">
        <v>70</v>
      </c>
      <c r="V122" s="793"/>
      <c r="W122" s="793" t="s">
        <v>70</v>
      </c>
      <c r="X122" s="793"/>
      <c r="Y122" s="793" t="s">
        <v>70</v>
      </c>
      <c r="Z122" s="793"/>
      <c r="AA122" s="793" t="s">
        <v>70</v>
      </c>
      <c r="AB122" s="813"/>
    </row>
    <row r="123" spans="1:28" ht="15.75" thickBot="1" x14ac:dyDescent="0.3">
      <c r="A123" s="823"/>
      <c r="B123" s="824"/>
      <c r="C123" s="841"/>
      <c r="D123" s="842"/>
      <c r="E123" s="810" t="s">
        <v>70</v>
      </c>
      <c r="F123" s="811"/>
      <c r="G123" s="811" t="s">
        <v>70</v>
      </c>
      <c r="H123" s="811"/>
      <c r="I123" s="811" t="s">
        <v>70</v>
      </c>
      <c r="J123" s="811"/>
      <c r="K123" s="811" t="s">
        <v>70</v>
      </c>
      <c r="L123" s="811"/>
      <c r="M123" s="811" t="s">
        <v>70</v>
      </c>
      <c r="N123" s="811"/>
      <c r="O123" s="811" t="s">
        <v>70</v>
      </c>
      <c r="P123" s="811"/>
      <c r="Q123" s="811" t="s">
        <v>70</v>
      </c>
      <c r="R123" s="811"/>
      <c r="S123" s="811" t="s">
        <v>70</v>
      </c>
      <c r="T123" s="811"/>
      <c r="U123" s="811" t="s">
        <v>70</v>
      </c>
      <c r="V123" s="811"/>
      <c r="W123" s="811" t="s">
        <v>70</v>
      </c>
      <c r="X123" s="811"/>
      <c r="Y123" s="811" t="s">
        <v>70</v>
      </c>
      <c r="Z123" s="811"/>
      <c r="AA123" s="811" t="s">
        <v>70</v>
      </c>
      <c r="AB123" s="825"/>
    </row>
    <row r="124" spans="1:28" x14ac:dyDescent="0.25">
      <c r="A124" s="798" t="s">
        <v>71</v>
      </c>
      <c r="B124" s="799"/>
      <c r="C124" s="843"/>
      <c r="D124" s="844"/>
      <c r="E124" s="809" t="s">
        <v>70</v>
      </c>
      <c r="F124" s="793"/>
      <c r="G124" s="794" t="s">
        <v>70</v>
      </c>
      <c r="H124" s="794"/>
      <c r="I124" s="794" t="s">
        <v>70</v>
      </c>
      <c r="J124" s="794"/>
      <c r="K124" s="794" t="s">
        <v>70</v>
      </c>
      <c r="L124" s="794"/>
      <c r="M124" s="814" t="s">
        <v>87</v>
      </c>
      <c r="N124" s="814"/>
      <c r="O124" s="794" t="s">
        <v>70</v>
      </c>
      <c r="P124" s="794"/>
      <c r="Q124" s="794" t="s">
        <v>70</v>
      </c>
      <c r="R124" s="794"/>
      <c r="S124" s="794" t="s">
        <v>70</v>
      </c>
      <c r="T124" s="794"/>
      <c r="U124" s="794" t="s">
        <v>70</v>
      </c>
      <c r="V124" s="794"/>
      <c r="W124" s="794" t="s">
        <v>70</v>
      </c>
      <c r="X124" s="794"/>
      <c r="Y124" s="794" t="s">
        <v>70</v>
      </c>
      <c r="Z124" s="794"/>
      <c r="AA124" s="794" t="s">
        <v>70</v>
      </c>
      <c r="AB124" s="812"/>
    </row>
    <row r="125" spans="1:28" x14ac:dyDescent="0.25">
      <c r="A125" s="800"/>
      <c r="B125" s="801"/>
      <c r="C125" s="833"/>
      <c r="D125" s="834"/>
      <c r="E125" s="809" t="s">
        <v>70</v>
      </c>
      <c r="F125" s="793"/>
      <c r="G125" s="793" t="s">
        <v>70</v>
      </c>
      <c r="H125" s="793"/>
      <c r="I125" s="793" t="s">
        <v>70</v>
      </c>
      <c r="J125" s="793"/>
      <c r="K125" s="793" t="s">
        <v>70</v>
      </c>
      <c r="L125" s="793"/>
      <c r="M125" s="793" t="s">
        <v>70</v>
      </c>
      <c r="N125" s="793"/>
      <c r="O125" s="793" t="s">
        <v>70</v>
      </c>
      <c r="P125" s="793"/>
      <c r="Q125" s="793" t="s">
        <v>70</v>
      </c>
      <c r="R125" s="793"/>
      <c r="S125" s="793" t="s">
        <v>70</v>
      </c>
      <c r="T125" s="793"/>
      <c r="U125" s="793" t="s">
        <v>70</v>
      </c>
      <c r="V125" s="793"/>
      <c r="W125" s="793" t="s">
        <v>70</v>
      </c>
      <c r="X125" s="793"/>
      <c r="Y125" s="793" t="s">
        <v>70</v>
      </c>
      <c r="Z125" s="793"/>
      <c r="AA125" s="814" t="s">
        <v>99</v>
      </c>
      <c r="AB125" s="814"/>
    </row>
    <row r="126" spans="1:28" x14ac:dyDescent="0.25">
      <c r="A126" s="800"/>
      <c r="B126" s="801"/>
      <c r="C126" s="833"/>
      <c r="D126" s="834"/>
      <c r="E126" s="809" t="s">
        <v>70</v>
      </c>
      <c r="F126" s="793"/>
      <c r="G126" s="793" t="s">
        <v>70</v>
      </c>
      <c r="H126" s="793"/>
      <c r="I126" s="793" t="s">
        <v>70</v>
      </c>
      <c r="J126" s="793"/>
      <c r="K126" s="793" t="s">
        <v>70</v>
      </c>
      <c r="L126" s="793"/>
      <c r="M126" s="814" t="s">
        <v>88</v>
      </c>
      <c r="N126" s="814"/>
      <c r="O126" s="793" t="s">
        <v>70</v>
      </c>
      <c r="P126" s="793"/>
      <c r="Q126" s="793" t="s">
        <v>70</v>
      </c>
      <c r="R126" s="793"/>
      <c r="S126" s="793" t="s">
        <v>70</v>
      </c>
      <c r="T126" s="793"/>
      <c r="U126" s="793" t="s">
        <v>70</v>
      </c>
      <c r="V126" s="793"/>
      <c r="W126" s="793" t="s">
        <v>70</v>
      </c>
      <c r="X126" s="793"/>
      <c r="Y126" s="793" t="s">
        <v>70</v>
      </c>
      <c r="Z126" s="793"/>
      <c r="AA126" s="793" t="s">
        <v>70</v>
      </c>
      <c r="AB126" s="813"/>
    </row>
    <row r="127" spans="1:28" x14ac:dyDescent="0.25">
      <c r="A127" s="800"/>
      <c r="B127" s="801"/>
      <c r="C127" s="831"/>
      <c r="D127" s="832"/>
      <c r="E127" s="809" t="s">
        <v>70</v>
      </c>
      <c r="F127" s="793"/>
      <c r="G127" s="793" t="s">
        <v>70</v>
      </c>
      <c r="H127" s="793"/>
      <c r="I127" s="793" t="s">
        <v>70</v>
      </c>
      <c r="J127" s="793"/>
      <c r="K127" s="793" t="s">
        <v>70</v>
      </c>
      <c r="L127" s="793"/>
      <c r="M127" s="793" t="s">
        <v>70</v>
      </c>
      <c r="N127" s="793"/>
      <c r="O127" s="793" t="s">
        <v>70</v>
      </c>
      <c r="P127" s="793"/>
      <c r="Q127" s="793" t="s">
        <v>70</v>
      </c>
      <c r="R127" s="793"/>
      <c r="S127" s="793" t="s">
        <v>70</v>
      </c>
      <c r="T127" s="793"/>
      <c r="U127" s="793" t="s">
        <v>70</v>
      </c>
      <c r="V127" s="793"/>
      <c r="W127" s="793" t="s">
        <v>70</v>
      </c>
      <c r="X127" s="793"/>
      <c r="Y127" s="793" t="s">
        <v>70</v>
      </c>
      <c r="Z127" s="793"/>
      <c r="AA127" s="793" t="s">
        <v>70</v>
      </c>
      <c r="AB127" s="813"/>
    </row>
    <row r="128" spans="1:28" x14ac:dyDescent="0.25">
      <c r="A128" s="800"/>
      <c r="B128" s="801"/>
      <c r="C128" s="833"/>
      <c r="D128" s="834"/>
      <c r="E128" s="809" t="s">
        <v>70</v>
      </c>
      <c r="F128" s="793"/>
      <c r="G128" s="793" t="s">
        <v>70</v>
      </c>
      <c r="H128" s="793"/>
      <c r="I128" s="793" t="s">
        <v>70</v>
      </c>
      <c r="J128" s="793"/>
      <c r="K128" s="793" t="s">
        <v>70</v>
      </c>
      <c r="L128" s="793"/>
      <c r="M128" s="814" t="s">
        <v>89</v>
      </c>
      <c r="N128" s="814"/>
      <c r="O128" s="793" t="s">
        <v>70</v>
      </c>
      <c r="P128" s="793"/>
      <c r="Q128" s="793" t="s">
        <v>70</v>
      </c>
      <c r="R128" s="793"/>
      <c r="S128" s="793" t="s">
        <v>70</v>
      </c>
      <c r="T128" s="793"/>
      <c r="U128" s="793" t="s">
        <v>70</v>
      </c>
      <c r="V128" s="793"/>
      <c r="W128" s="793" t="s">
        <v>70</v>
      </c>
      <c r="X128" s="793"/>
      <c r="Y128" s="793" t="s">
        <v>70</v>
      </c>
      <c r="Z128" s="793"/>
      <c r="AA128" s="793" t="s">
        <v>70</v>
      </c>
      <c r="AB128" s="813"/>
    </row>
    <row r="129" spans="1:43" x14ac:dyDescent="0.25">
      <c r="A129" s="800"/>
      <c r="B129" s="801"/>
      <c r="C129" s="831"/>
      <c r="D129" s="832"/>
      <c r="E129" s="809" t="s">
        <v>70</v>
      </c>
      <c r="F129" s="793"/>
      <c r="G129" s="793" t="s">
        <v>70</v>
      </c>
      <c r="H129" s="793"/>
      <c r="I129" s="793" t="s">
        <v>70</v>
      </c>
      <c r="J129" s="793"/>
      <c r="K129" s="793" t="s">
        <v>70</v>
      </c>
      <c r="L129" s="793"/>
      <c r="M129" s="793" t="s">
        <v>70</v>
      </c>
      <c r="N129" s="793"/>
      <c r="O129" s="793" t="s">
        <v>70</v>
      </c>
      <c r="P129" s="793"/>
      <c r="Q129" s="793" t="s">
        <v>70</v>
      </c>
      <c r="R129" s="793"/>
      <c r="S129" s="793" t="s">
        <v>70</v>
      </c>
      <c r="T129" s="793"/>
      <c r="U129" s="793" t="s">
        <v>70</v>
      </c>
      <c r="V129" s="793"/>
      <c r="W129" s="793" t="s">
        <v>70</v>
      </c>
      <c r="X129" s="793"/>
      <c r="Y129" s="793" t="s">
        <v>70</v>
      </c>
      <c r="Z129" s="793"/>
      <c r="AA129" s="829" t="s">
        <v>70</v>
      </c>
      <c r="AB129" s="830"/>
    </row>
    <row r="130" spans="1:43" x14ac:dyDescent="0.25">
      <c r="A130" s="800"/>
      <c r="B130" s="801"/>
      <c r="C130" s="833"/>
      <c r="D130" s="834"/>
      <c r="E130" s="809" t="s">
        <v>70</v>
      </c>
      <c r="F130" s="793"/>
      <c r="G130" s="793" t="s">
        <v>70</v>
      </c>
      <c r="H130" s="793"/>
      <c r="I130" s="793" t="s">
        <v>70</v>
      </c>
      <c r="J130" s="793"/>
      <c r="K130" s="793" t="s">
        <v>70</v>
      </c>
      <c r="L130" s="793"/>
      <c r="M130" s="814" t="s">
        <v>90</v>
      </c>
      <c r="N130" s="814"/>
      <c r="O130" s="793" t="s">
        <v>70</v>
      </c>
      <c r="P130" s="793"/>
      <c r="Q130" s="793" t="s">
        <v>70</v>
      </c>
      <c r="R130" s="793"/>
      <c r="S130" s="793" t="s">
        <v>70</v>
      </c>
      <c r="T130" s="793"/>
      <c r="U130" s="793" t="s">
        <v>70</v>
      </c>
      <c r="V130" s="793"/>
      <c r="W130" s="793" t="s">
        <v>70</v>
      </c>
      <c r="X130" s="793"/>
      <c r="Y130" s="793" t="s">
        <v>70</v>
      </c>
      <c r="Z130" s="793"/>
      <c r="AA130" s="814" t="s">
        <v>149</v>
      </c>
      <c r="AB130" s="828"/>
    </row>
    <row r="131" spans="1:43" x14ac:dyDescent="0.25">
      <c r="A131" s="800"/>
      <c r="B131" s="801"/>
      <c r="C131" s="833"/>
      <c r="D131" s="834"/>
      <c r="E131" s="809" t="s">
        <v>70</v>
      </c>
      <c r="F131" s="793"/>
      <c r="G131" s="793" t="s">
        <v>70</v>
      </c>
      <c r="H131" s="793"/>
      <c r="I131" s="793" t="s">
        <v>70</v>
      </c>
      <c r="J131" s="793"/>
      <c r="K131" s="793" t="s">
        <v>70</v>
      </c>
      <c r="L131" s="793"/>
      <c r="M131" s="814" t="s">
        <v>91</v>
      </c>
      <c r="N131" s="814"/>
      <c r="O131" s="793" t="s">
        <v>70</v>
      </c>
      <c r="P131" s="793"/>
      <c r="Q131" s="793" t="s">
        <v>70</v>
      </c>
      <c r="R131" s="793"/>
      <c r="S131" s="793" t="s">
        <v>70</v>
      </c>
      <c r="T131" s="793"/>
      <c r="U131" s="793" t="s">
        <v>70</v>
      </c>
      <c r="V131" s="793"/>
      <c r="W131" s="793" t="s">
        <v>70</v>
      </c>
      <c r="X131" s="793"/>
      <c r="Y131" s="793" t="s">
        <v>70</v>
      </c>
      <c r="Z131" s="793"/>
      <c r="AA131" s="793" t="s">
        <v>70</v>
      </c>
      <c r="AB131" s="813"/>
    </row>
    <row r="132" spans="1:43" x14ac:dyDescent="0.25">
      <c r="A132" s="800"/>
      <c r="B132" s="801"/>
      <c r="C132" s="833"/>
      <c r="D132" s="834"/>
      <c r="E132" s="809" t="s">
        <v>70</v>
      </c>
      <c r="F132" s="793"/>
      <c r="G132" s="793" t="s">
        <v>70</v>
      </c>
      <c r="H132" s="793"/>
      <c r="I132" s="793" t="s">
        <v>70</v>
      </c>
      <c r="J132" s="793"/>
      <c r="K132" s="793" t="s">
        <v>70</v>
      </c>
      <c r="L132" s="793"/>
      <c r="M132" s="793" t="s">
        <v>70</v>
      </c>
      <c r="N132" s="793"/>
      <c r="O132" s="793" t="s">
        <v>70</v>
      </c>
      <c r="P132" s="793"/>
      <c r="Q132" s="814" t="s">
        <v>257</v>
      </c>
      <c r="R132" s="814"/>
      <c r="S132" s="793" t="s">
        <v>70</v>
      </c>
      <c r="T132" s="793"/>
      <c r="U132" s="793" t="s">
        <v>70</v>
      </c>
      <c r="V132" s="793"/>
      <c r="W132" s="793" t="s">
        <v>70</v>
      </c>
      <c r="X132" s="793"/>
      <c r="Y132" s="793" t="s">
        <v>70</v>
      </c>
      <c r="Z132" s="793"/>
      <c r="AA132" s="793" t="s">
        <v>70</v>
      </c>
      <c r="AB132" s="813"/>
    </row>
    <row r="133" spans="1:43" x14ac:dyDescent="0.25">
      <c r="A133" s="800"/>
      <c r="B133" s="801"/>
      <c r="C133" s="833"/>
      <c r="D133" s="834"/>
      <c r="E133" s="809" t="s">
        <v>70</v>
      </c>
      <c r="F133" s="793"/>
      <c r="G133" s="793" t="s">
        <v>70</v>
      </c>
      <c r="H133" s="793"/>
      <c r="I133" s="793" t="s">
        <v>70</v>
      </c>
      <c r="J133" s="793"/>
      <c r="K133" s="793" t="s">
        <v>70</v>
      </c>
      <c r="L133" s="793"/>
      <c r="M133" s="793" t="s">
        <v>70</v>
      </c>
      <c r="N133" s="793"/>
      <c r="O133" s="793" t="s">
        <v>70</v>
      </c>
      <c r="P133" s="793"/>
      <c r="Q133" s="814" t="s">
        <v>256</v>
      </c>
      <c r="R133" s="814"/>
      <c r="S133" s="793" t="s">
        <v>70</v>
      </c>
      <c r="T133" s="793"/>
      <c r="U133" s="793" t="s">
        <v>70</v>
      </c>
      <c r="V133" s="793"/>
      <c r="W133" s="793" t="s">
        <v>70</v>
      </c>
      <c r="X133" s="793"/>
      <c r="Y133" s="793" t="s">
        <v>70</v>
      </c>
      <c r="Z133" s="793"/>
      <c r="AA133" s="793" t="s">
        <v>70</v>
      </c>
      <c r="AB133" s="813"/>
    </row>
    <row r="134" spans="1:43" ht="15.75" thickBot="1" x14ac:dyDescent="0.3">
      <c r="A134" s="800"/>
      <c r="B134" s="801"/>
      <c r="C134" s="831"/>
      <c r="D134" s="832"/>
      <c r="E134" s="809" t="s">
        <v>70</v>
      </c>
      <c r="F134" s="793"/>
      <c r="G134" s="793" t="s">
        <v>70</v>
      </c>
      <c r="H134" s="793"/>
      <c r="I134" s="793" t="s">
        <v>70</v>
      </c>
      <c r="J134" s="793"/>
      <c r="K134" s="793" t="s">
        <v>70</v>
      </c>
      <c r="L134" s="793"/>
      <c r="M134" s="793" t="s">
        <v>70</v>
      </c>
      <c r="N134" s="793"/>
      <c r="O134" s="793" t="s">
        <v>70</v>
      </c>
      <c r="P134" s="793"/>
      <c r="Q134" s="793" t="s">
        <v>70</v>
      </c>
      <c r="R134" s="793"/>
      <c r="S134" s="793" t="s">
        <v>70</v>
      </c>
      <c r="T134" s="793"/>
      <c r="U134" s="793" t="s">
        <v>70</v>
      </c>
      <c r="V134" s="793"/>
      <c r="W134" s="793" t="s">
        <v>70</v>
      </c>
      <c r="X134" s="793"/>
      <c r="Y134" s="793" t="s">
        <v>70</v>
      </c>
      <c r="Z134" s="793"/>
      <c r="AA134" s="793" t="s">
        <v>70</v>
      </c>
      <c r="AB134" s="813"/>
    </row>
    <row r="135" spans="1:43" x14ac:dyDescent="0.25">
      <c r="A135" s="798" t="s">
        <v>72</v>
      </c>
      <c r="B135" s="799"/>
      <c r="C135" s="839"/>
      <c r="D135" s="840"/>
      <c r="E135" s="804" t="s">
        <v>70</v>
      </c>
      <c r="F135" s="794"/>
      <c r="G135" s="794" t="s">
        <v>70</v>
      </c>
      <c r="H135" s="794"/>
      <c r="I135" s="794" t="s">
        <v>70</v>
      </c>
      <c r="J135" s="794"/>
      <c r="K135" s="794" t="s">
        <v>70</v>
      </c>
      <c r="L135" s="794"/>
      <c r="M135" s="794" t="s">
        <v>70</v>
      </c>
      <c r="N135" s="794"/>
      <c r="O135" s="794" t="s">
        <v>70</v>
      </c>
      <c r="P135" s="794"/>
      <c r="Q135" s="794" t="s">
        <v>70</v>
      </c>
      <c r="R135" s="794"/>
      <c r="S135" s="794" t="s">
        <v>70</v>
      </c>
      <c r="T135" s="794"/>
      <c r="U135" s="794" t="s">
        <v>70</v>
      </c>
      <c r="V135" s="794"/>
      <c r="W135" s="794" t="s">
        <v>70</v>
      </c>
      <c r="X135" s="794"/>
      <c r="Y135" s="794" t="s">
        <v>70</v>
      </c>
      <c r="Z135" s="794"/>
      <c r="AA135" s="794" t="s">
        <v>70</v>
      </c>
      <c r="AB135" s="812"/>
    </row>
    <row r="136" spans="1:43" ht="15.75" thickBot="1" x14ac:dyDescent="0.3">
      <c r="A136" s="802"/>
      <c r="B136" s="803"/>
      <c r="C136" s="841"/>
      <c r="D136" s="842"/>
      <c r="E136" s="810" t="s">
        <v>70</v>
      </c>
      <c r="F136" s="811"/>
      <c r="G136" s="811" t="s">
        <v>70</v>
      </c>
      <c r="H136" s="811"/>
      <c r="I136" s="811" t="s">
        <v>70</v>
      </c>
      <c r="J136" s="811"/>
      <c r="K136" s="811" t="s">
        <v>70</v>
      </c>
      <c r="L136" s="811"/>
      <c r="M136" s="811" t="s">
        <v>70</v>
      </c>
      <c r="N136" s="811"/>
      <c r="O136" s="811" t="s">
        <v>70</v>
      </c>
      <c r="P136" s="811"/>
      <c r="Q136" s="811" t="s">
        <v>70</v>
      </c>
      <c r="R136" s="811"/>
      <c r="S136" s="811" t="s">
        <v>70</v>
      </c>
      <c r="T136" s="811"/>
      <c r="U136" s="811" t="s">
        <v>70</v>
      </c>
      <c r="V136" s="811"/>
      <c r="W136" s="811" t="s">
        <v>70</v>
      </c>
      <c r="X136" s="811"/>
      <c r="Y136" s="811" t="s">
        <v>70</v>
      </c>
      <c r="Z136" s="811"/>
      <c r="AA136" s="811" t="s">
        <v>70</v>
      </c>
      <c r="AB136" s="825"/>
    </row>
    <row r="137" spans="1:43" ht="26.25" x14ac:dyDescent="0.25">
      <c r="A137" s="177"/>
      <c r="B137" s="177"/>
      <c r="C137" s="178"/>
      <c r="D137" s="48"/>
      <c r="E137" s="179"/>
      <c r="F137" s="179"/>
      <c r="G137" s="179"/>
      <c r="H137" s="179"/>
      <c r="I137" s="179"/>
      <c r="J137" s="179"/>
      <c r="K137" s="179"/>
      <c r="L137" s="179"/>
      <c r="M137" s="179"/>
      <c r="N137" s="179"/>
      <c r="O137" s="179"/>
      <c r="P137" s="179"/>
      <c r="Q137" s="179"/>
      <c r="R137" s="179"/>
      <c r="S137" s="179"/>
      <c r="T137" s="179"/>
      <c r="U137" s="179"/>
      <c r="V137" s="179"/>
      <c r="W137" s="179"/>
      <c r="X137" s="179"/>
      <c r="Y137" s="179"/>
      <c r="Z137" s="179"/>
      <c r="AA137" s="179"/>
      <c r="AB137" s="179"/>
      <c r="AC137" s="133"/>
    </row>
    <row r="138" spans="1:43" ht="6.75" customHeight="1" x14ac:dyDescent="0.25">
      <c r="A138" s="234"/>
      <c r="B138" s="234"/>
      <c r="C138" s="239"/>
      <c r="D138" s="236"/>
      <c r="E138" s="237"/>
      <c r="F138" s="237"/>
      <c r="G138" s="237"/>
      <c r="H138" s="237"/>
      <c r="I138" s="237"/>
      <c r="J138" s="237"/>
      <c r="K138" s="237"/>
      <c r="L138" s="237"/>
      <c r="M138" s="237"/>
      <c r="N138" s="237"/>
      <c r="O138" s="237"/>
      <c r="P138" s="237"/>
      <c r="Q138" s="237"/>
      <c r="R138" s="237"/>
      <c r="S138" s="237"/>
      <c r="T138" s="237"/>
      <c r="U138" s="237"/>
      <c r="V138" s="237"/>
      <c r="W138" s="237"/>
      <c r="X138" s="237"/>
      <c r="Y138" s="237"/>
      <c r="Z138" s="237"/>
      <c r="AA138" s="237"/>
      <c r="AB138" s="237"/>
      <c r="AC138" s="235"/>
      <c r="AD138" s="238"/>
      <c r="AE138" s="238"/>
      <c r="AF138" s="238"/>
      <c r="AG138" s="238"/>
      <c r="AH138" s="238"/>
      <c r="AI138" s="238"/>
      <c r="AJ138" s="238"/>
      <c r="AK138" s="238"/>
      <c r="AL138" s="238"/>
      <c r="AM138" s="238"/>
      <c r="AN138" s="238"/>
      <c r="AO138" s="238"/>
      <c r="AP138" s="238"/>
      <c r="AQ138" s="238"/>
    </row>
    <row r="139" spans="1:43" ht="15" customHeight="1" thickBot="1" x14ac:dyDescent="0.3">
      <c r="A139" s="177"/>
      <c r="B139" s="177"/>
      <c r="C139" s="178"/>
      <c r="D139" s="48"/>
      <c r="E139" s="179"/>
      <c r="F139" s="179"/>
      <c r="G139" s="179"/>
      <c r="H139" s="179"/>
      <c r="I139" s="179"/>
      <c r="J139" s="179"/>
      <c r="K139" s="179"/>
      <c r="L139" s="179"/>
      <c r="M139" s="179"/>
      <c r="N139" s="179"/>
      <c r="O139" s="179"/>
      <c r="P139" s="179"/>
      <c r="Q139" s="179"/>
      <c r="R139" s="179"/>
      <c r="S139" s="179"/>
      <c r="T139" s="179"/>
      <c r="U139" s="179"/>
      <c r="V139" s="179"/>
      <c r="W139" s="179"/>
      <c r="X139" s="179"/>
      <c r="Y139" s="179"/>
      <c r="Z139" s="179"/>
      <c r="AA139" s="179"/>
      <c r="AB139" s="179"/>
      <c r="AC139" s="133"/>
    </row>
    <row r="140" spans="1:43" ht="27" thickBot="1" x14ac:dyDescent="0.45">
      <c r="A140" s="717" t="s">
        <v>56</v>
      </c>
      <c r="B140" s="718"/>
      <c r="C140" s="718"/>
      <c r="D140" s="718"/>
      <c r="E140" s="718"/>
      <c r="F140" s="718"/>
      <c r="G140" s="718"/>
      <c r="H140" s="718"/>
      <c r="I140" s="718"/>
      <c r="J140" s="718"/>
      <c r="K140" s="718"/>
      <c r="L140" s="718"/>
      <c r="M140" s="718"/>
      <c r="N140" s="718"/>
      <c r="O140" s="718"/>
      <c r="P140" s="718"/>
      <c r="Q140" s="718"/>
      <c r="R140" s="718"/>
      <c r="S140" s="718"/>
      <c r="T140" s="718"/>
      <c r="U140" s="718"/>
      <c r="V140" s="718"/>
      <c r="W140" s="718"/>
      <c r="X140" s="718"/>
      <c r="Y140" s="718"/>
      <c r="Z140" s="718"/>
      <c r="AA140" s="718"/>
      <c r="AB140" s="719"/>
    </row>
    <row r="141" spans="1:43" x14ac:dyDescent="0.25">
      <c r="A141" s="777" t="s">
        <v>32</v>
      </c>
      <c r="B141" s="780" t="s">
        <v>33</v>
      </c>
      <c r="C141" s="777" t="s">
        <v>64</v>
      </c>
      <c r="D141" s="783"/>
      <c r="E141" s="788" t="s">
        <v>42</v>
      </c>
      <c r="F141" s="754"/>
      <c r="G141" s="753" t="s">
        <v>43</v>
      </c>
      <c r="H141" s="754"/>
      <c r="I141" s="753" t="s">
        <v>44</v>
      </c>
      <c r="J141" s="754"/>
      <c r="K141" s="753" t="s">
        <v>45</v>
      </c>
      <c r="L141" s="754"/>
      <c r="M141" s="753" t="s">
        <v>46</v>
      </c>
      <c r="N141" s="754"/>
      <c r="O141" s="753" t="s">
        <v>47</v>
      </c>
      <c r="P141" s="754"/>
      <c r="Q141" s="753" t="s">
        <v>48</v>
      </c>
      <c r="R141" s="754"/>
      <c r="S141" s="753" t="s">
        <v>49</v>
      </c>
      <c r="T141" s="754"/>
      <c r="U141" s="753" t="s">
        <v>50</v>
      </c>
      <c r="V141" s="754"/>
      <c r="W141" s="753" t="s">
        <v>51</v>
      </c>
      <c r="X141" s="754"/>
      <c r="Y141" s="753" t="s">
        <v>52</v>
      </c>
      <c r="Z141" s="754"/>
      <c r="AA141" s="753" t="s">
        <v>53</v>
      </c>
      <c r="AB141" s="754"/>
    </row>
    <row r="142" spans="1:43" x14ac:dyDescent="0.25">
      <c r="A142" s="778"/>
      <c r="B142" s="781"/>
      <c r="C142" s="784" t="s">
        <v>63</v>
      </c>
      <c r="D142" s="786" t="s">
        <v>41</v>
      </c>
      <c r="E142" s="755">
        <v>0.11</v>
      </c>
      <c r="F142" s="756"/>
      <c r="G142" s="755">
        <v>0.09</v>
      </c>
      <c r="H142" s="756"/>
      <c r="I142" s="755">
        <v>0.08</v>
      </c>
      <c r="J142" s="756"/>
      <c r="K142" s="755">
        <v>0.06</v>
      </c>
      <c r="L142" s="756"/>
      <c r="M142" s="755">
        <v>0.06</v>
      </c>
      <c r="N142" s="756"/>
      <c r="O142" s="755">
        <v>0.05</v>
      </c>
      <c r="P142" s="756"/>
      <c r="Q142" s="755">
        <v>0.1</v>
      </c>
      <c r="R142" s="756"/>
      <c r="S142" s="755">
        <v>0.05</v>
      </c>
      <c r="T142" s="756"/>
      <c r="U142" s="755">
        <v>0.08</v>
      </c>
      <c r="V142" s="756"/>
      <c r="W142" s="755">
        <v>0.1</v>
      </c>
      <c r="X142" s="756"/>
      <c r="Y142" s="755">
        <v>0.1</v>
      </c>
      <c r="Z142" s="756"/>
      <c r="AA142" s="755">
        <v>0.12</v>
      </c>
      <c r="AB142" s="756"/>
    </row>
    <row r="143" spans="1:43" ht="15.75" thickBot="1" x14ac:dyDescent="0.3">
      <c r="A143" s="779"/>
      <c r="B143" s="782"/>
      <c r="C143" s="785"/>
      <c r="D143" s="787"/>
      <c r="E143" s="110" t="s">
        <v>63</v>
      </c>
      <c r="F143" s="111" t="s">
        <v>41</v>
      </c>
      <c r="G143" s="110" t="s">
        <v>63</v>
      </c>
      <c r="H143" s="111" t="s">
        <v>41</v>
      </c>
      <c r="I143" s="110" t="s">
        <v>63</v>
      </c>
      <c r="J143" s="111" t="s">
        <v>41</v>
      </c>
      <c r="K143" s="110" t="s">
        <v>63</v>
      </c>
      <c r="L143" s="111" t="s">
        <v>41</v>
      </c>
      <c r="M143" s="110" t="s">
        <v>63</v>
      </c>
      <c r="N143" s="111" t="s">
        <v>41</v>
      </c>
      <c r="O143" s="110" t="s">
        <v>63</v>
      </c>
      <c r="P143" s="111" t="s">
        <v>41</v>
      </c>
      <c r="Q143" s="110" t="s">
        <v>63</v>
      </c>
      <c r="R143" s="111" t="s">
        <v>41</v>
      </c>
      <c r="S143" s="88" t="s">
        <v>63</v>
      </c>
      <c r="T143" s="89" t="s">
        <v>41</v>
      </c>
      <c r="U143" s="88" t="s">
        <v>63</v>
      </c>
      <c r="V143" s="89" t="s">
        <v>41</v>
      </c>
      <c r="W143" s="88" t="s">
        <v>63</v>
      </c>
      <c r="X143" s="89" t="s">
        <v>41</v>
      </c>
      <c r="Y143" s="88" t="s">
        <v>63</v>
      </c>
      <c r="Z143" s="89" t="s">
        <v>41</v>
      </c>
      <c r="AA143" s="88" t="s">
        <v>63</v>
      </c>
      <c r="AB143" s="89" t="s">
        <v>41</v>
      </c>
    </row>
    <row r="144" spans="1:43" ht="15.75" x14ac:dyDescent="0.25">
      <c r="A144" s="59"/>
      <c r="B144" s="60">
        <f>Hipótesis!C58</f>
        <v>2800</v>
      </c>
      <c r="C144" s="61">
        <v>1850</v>
      </c>
      <c r="D144" s="62">
        <f>B144*C144</f>
        <v>5180000</v>
      </c>
      <c r="E144" s="90">
        <f>C144*$E$142</f>
        <v>203.5</v>
      </c>
      <c r="F144" s="62">
        <f>D144*$E$17</f>
        <v>414400</v>
      </c>
      <c r="G144" s="90">
        <f>C144*$G$142</f>
        <v>166.5</v>
      </c>
      <c r="H144" s="62">
        <f>D144*$G$17</f>
        <v>518000</v>
      </c>
      <c r="I144" s="90">
        <f>C144*$I$142</f>
        <v>148</v>
      </c>
      <c r="J144" s="62">
        <f t="shared" ref="J144:J156" si="51">D144*$I$17</f>
        <v>414400</v>
      </c>
      <c r="K144" s="90">
        <f>C144*$K$142</f>
        <v>111</v>
      </c>
      <c r="L144" s="62">
        <f t="shared" ref="L144:L156" si="52">D144*$K$17</f>
        <v>362600.00000000006</v>
      </c>
      <c r="M144" s="90">
        <f>C144*$M$142</f>
        <v>111</v>
      </c>
      <c r="N144" s="62">
        <f>D144*$M$17</f>
        <v>310800</v>
      </c>
      <c r="O144" s="90">
        <f>C144*$O$142</f>
        <v>92.5</v>
      </c>
      <c r="P144" s="62">
        <f t="shared" ref="P144:P156" si="53">D144*$O$17</f>
        <v>207200</v>
      </c>
      <c r="Q144" s="90">
        <f>C144*$Q$142</f>
        <v>185</v>
      </c>
      <c r="R144" s="62">
        <f t="shared" ref="R144:R156" si="54">D144*$Q$17</f>
        <v>466200</v>
      </c>
      <c r="S144" s="90">
        <f>C144*$S$142</f>
        <v>92.5</v>
      </c>
      <c r="T144" s="62">
        <f t="shared" ref="T144:T156" si="55">D144*$S$17</f>
        <v>259000</v>
      </c>
      <c r="U144" s="90">
        <f>C144*$U$142</f>
        <v>148</v>
      </c>
      <c r="V144" s="62">
        <f t="shared" ref="V144:V156" si="56">D144*$U$17</f>
        <v>466200</v>
      </c>
      <c r="W144" s="90">
        <f>C144*$W$142</f>
        <v>185</v>
      </c>
      <c r="X144" s="62">
        <f t="shared" ref="X144:X156" si="57">D144*$W$17</f>
        <v>518000</v>
      </c>
      <c r="Y144" s="90">
        <f>C144*$Y$142</f>
        <v>185</v>
      </c>
      <c r="Z144" s="100">
        <f t="shared" ref="Z144:Z156" si="58">D144*$Y$17</f>
        <v>569800</v>
      </c>
      <c r="AA144" s="90">
        <f>C144*$AA$142</f>
        <v>222</v>
      </c>
      <c r="AB144" s="62">
        <f>D144*$AA$17</f>
        <v>673400</v>
      </c>
    </row>
    <row r="145" spans="1:28" ht="15.75" x14ac:dyDescent="0.25">
      <c r="A145" s="63"/>
      <c r="B145" s="50">
        <f>Hipótesis!C59</f>
        <v>15500</v>
      </c>
      <c r="C145" s="53">
        <v>1450</v>
      </c>
      <c r="D145" s="54">
        <f t="shared" ref="D145:D156" si="59">B145*C145</f>
        <v>22475000</v>
      </c>
      <c r="E145" s="91">
        <f t="shared" ref="E145:E156" si="60">C145*$E$142</f>
        <v>159.5</v>
      </c>
      <c r="F145" s="54">
        <f t="shared" ref="F145:F155" si="61">D145*$E$17</f>
        <v>1798000</v>
      </c>
      <c r="G145" s="91">
        <f t="shared" ref="G145:G156" si="62">C145*$G$142</f>
        <v>130.5</v>
      </c>
      <c r="H145" s="54">
        <f t="shared" ref="H145:H156" si="63">D145*$G$17</f>
        <v>2247500</v>
      </c>
      <c r="I145" s="91">
        <f t="shared" ref="I145:I156" si="64">C145*$I$142</f>
        <v>116</v>
      </c>
      <c r="J145" s="54">
        <f t="shared" si="51"/>
        <v>1798000</v>
      </c>
      <c r="K145" s="91">
        <f t="shared" ref="K145:K156" si="65">C145*$K$142</f>
        <v>87</v>
      </c>
      <c r="L145" s="54">
        <f t="shared" si="52"/>
        <v>1573250.0000000002</v>
      </c>
      <c r="M145" s="91">
        <f t="shared" ref="M145:M156" si="66">C145*$M$142</f>
        <v>87</v>
      </c>
      <c r="N145" s="54">
        <f t="shared" ref="N145:N156" si="67">D145*$M$17</f>
        <v>1348500</v>
      </c>
      <c r="O145" s="91">
        <f t="shared" ref="O145:O156" si="68">C145*$O$142</f>
        <v>72.5</v>
      </c>
      <c r="P145" s="54">
        <f t="shared" si="53"/>
        <v>899000</v>
      </c>
      <c r="Q145" s="91">
        <f t="shared" ref="Q145:Q156" si="69">C145*$Q$142</f>
        <v>145</v>
      </c>
      <c r="R145" s="54">
        <f t="shared" si="54"/>
        <v>2022750</v>
      </c>
      <c r="S145" s="91">
        <f t="shared" ref="S145:S156" si="70">C145*$S$142</f>
        <v>72.5</v>
      </c>
      <c r="T145" s="54">
        <f t="shared" si="55"/>
        <v>1123750</v>
      </c>
      <c r="U145" s="91">
        <f t="shared" ref="U145:U156" si="71">C145*$U$142</f>
        <v>116</v>
      </c>
      <c r="V145" s="54">
        <f t="shared" si="56"/>
        <v>2022750</v>
      </c>
      <c r="W145" s="91">
        <f t="shared" ref="W145:W156" si="72">C145*$W$142</f>
        <v>145</v>
      </c>
      <c r="X145" s="54">
        <f t="shared" si="57"/>
        <v>2247500</v>
      </c>
      <c r="Y145" s="91">
        <f t="shared" ref="Y145:Y156" si="73">C145*$Y$142</f>
        <v>145</v>
      </c>
      <c r="Z145" s="101">
        <f t="shared" si="58"/>
        <v>2472250</v>
      </c>
      <c r="AA145" s="91">
        <f t="shared" ref="AA145:AA156" si="74">C145*$AA$142</f>
        <v>174</v>
      </c>
      <c r="AB145" s="54">
        <f>D145*$AA$17</f>
        <v>2921750</v>
      </c>
    </row>
    <row r="146" spans="1:28" ht="16.5" thickBot="1" x14ac:dyDescent="0.3">
      <c r="A146" s="64"/>
      <c r="B146" s="65">
        <f>Hipótesis!C60</f>
        <v>23000</v>
      </c>
      <c r="C146" s="66">
        <v>630</v>
      </c>
      <c r="D146" s="67">
        <f t="shared" si="59"/>
        <v>14490000</v>
      </c>
      <c r="E146" s="92">
        <f t="shared" si="60"/>
        <v>69.3</v>
      </c>
      <c r="F146" s="67">
        <f t="shared" si="61"/>
        <v>1159200</v>
      </c>
      <c r="G146" s="92">
        <f t="shared" si="62"/>
        <v>56.699999999999996</v>
      </c>
      <c r="H146" s="67">
        <f t="shared" si="63"/>
        <v>1449000</v>
      </c>
      <c r="I146" s="92">
        <f t="shared" si="64"/>
        <v>50.4</v>
      </c>
      <c r="J146" s="67">
        <f t="shared" si="51"/>
        <v>1159200</v>
      </c>
      <c r="K146" s="92">
        <f t="shared" si="65"/>
        <v>37.799999999999997</v>
      </c>
      <c r="L146" s="67">
        <f t="shared" si="52"/>
        <v>1014300.0000000001</v>
      </c>
      <c r="M146" s="92">
        <f t="shared" si="66"/>
        <v>37.799999999999997</v>
      </c>
      <c r="N146" s="67">
        <f t="shared" si="67"/>
        <v>869400</v>
      </c>
      <c r="O146" s="92">
        <f t="shared" si="68"/>
        <v>31.5</v>
      </c>
      <c r="P146" s="67">
        <f t="shared" si="53"/>
        <v>579600</v>
      </c>
      <c r="Q146" s="92">
        <f t="shared" si="69"/>
        <v>63</v>
      </c>
      <c r="R146" s="67">
        <f t="shared" si="54"/>
        <v>1304100</v>
      </c>
      <c r="S146" s="92">
        <f t="shared" si="70"/>
        <v>31.5</v>
      </c>
      <c r="T146" s="67">
        <f t="shared" si="55"/>
        <v>724500</v>
      </c>
      <c r="U146" s="92">
        <f t="shared" si="71"/>
        <v>50.4</v>
      </c>
      <c r="V146" s="67">
        <f t="shared" si="56"/>
        <v>1304100</v>
      </c>
      <c r="W146" s="92">
        <f t="shared" si="72"/>
        <v>63</v>
      </c>
      <c r="X146" s="67">
        <f t="shared" si="57"/>
        <v>1449000</v>
      </c>
      <c r="Y146" s="92">
        <f t="shared" si="73"/>
        <v>63</v>
      </c>
      <c r="Z146" s="102">
        <f t="shared" si="58"/>
        <v>1593900</v>
      </c>
      <c r="AA146" s="92">
        <f t="shared" si="74"/>
        <v>75.599999999999994</v>
      </c>
      <c r="AB146" s="67">
        <f t="shared" ref="AB146:AB156" si="75">D146*$AA$17</f>
        <v>1883700</v>
      </c>
    </row>
    <row r="147" spans="1:28" ht="15.75" x14ac:dyDescent="0.25">
      <c r="A147" s="68"/>
      <c r="B147" s="69">
        <f>Hipótesis!C61</f>
        <v>500</v>
      </c>
      <c r="C147" s="70">
        <v>3793</v>
      </c>
      <c r="D147" s="71">
        <f t="shared" si="59"/>
        <v>1896500</v>
      </c>
      <c r="E147" s="93">
        <f t="shared" si="60"/>
        <v>417.23</v>
      </c>
      <c r="F147" s="71">
        <f t="shared" si="61"/>
        <v>151720</v>
      </c>
      <c r="G147" s="93">
        <f t="shared" si="62"/>
        <v>341.37</v>
      </c>
      <c r="H147" s="71">
        <f t="shared" si="63"/>
        <v>189650</v>
      </c>
      <c r="I147" s="93">
        <f t="shared" si="64"/>
        <v>303.44</v>
      </c>
      <c r="J147" s="71">
        <f t="shared" si="51"/>
        <v>151720</v>
      </c>
      <c r="K147" s="93">
        <f t="shared" si="65"/>
        <v>227.57999999999998</v>
      </c>
      <c r="L147" s="71">
        <f t="shared" si="52"/>
        <v>132755</v>
      </c>
      <c r="M147" s="93">
        <f t="shared" si="66"/>
        <v>227.57999999999998</v>
      </c>
      <c r="N147" s="71">
        <f t="shared" si="67"/>
        <v>113790</v>
      </c>
      <c r="O147" s="93">
        <f t="shared" si="68"/>
        <v>189.65</v>
      </c>
      <c r="P147" s="71">
        <f t="shared" si="53"/>
        <v>75860</v>
      </c>
      <c r="Q147" s="93">
        <f t="shared" si="69"/>
        <v>379.3</v>
      </c>
      <c r="R147" s="71">
        <f t="shared" si="54"/>
        <v>170685</v>
      </c>
      <c r="S147" s="93">
        <f t="shared" si="70"/>
        <v>189.65</v>
      </c>
      <c r="T147" s="71">
        <f t="shared" si="55"/>
        <v>94825</v>
      </c>
      <c r="U147" s="93">
        <f t="shared" si="71"/>
        <v>303.44</v>
      </c>
      <c r="V147" s="71">
        <f t="shared" si="56"/>
        <v>170685</v>
      </c>
      <c r="W147" s="93">
        <f t="shared" si="72"/>
        <v>379.3</v>
      </c>
      <c r="X147" s="71">
        <f t="shared" si="57"/>
        <v>189650</v>
      </c>
      <c r="Y147" s="93">
        <f t="shared" si="73"/>
        <v>379.3</v>
      </c>
      <c r="Z147" s="103">
        <f t="shared" si="58"/>
        <v>208615</v>
      </c>
      <c r="AA147" s="93">
        <f t="shared" si="74"/>
        <v>455.15999999999997</v>
      </c>
      <c r="AB147" s="71">
        <f t="shared" si="75"/>
        <v>246545</v>
      </c>
    </row>
    <row r="148" spans="1:28" ht="15.75" x14ac:dyDescent="0.25">
      <c r="A148" s="72"/>
      <c r="B148" s="51">
        <f>Hipótesis!C62</f>
        <v>400</v>
      </c>
      <c r="C148" s="55">
        <v>3760</v>
      </c>
      <c r="D148" s="56">
        <f t="shared" si="59"/>
        <v>1504000</v>
      </c>
      <c r="E148" s="94">
        <f t="shared" si="60"/>
        <v>413.6</v>
      </c>
      <c r="F148" s="56">
        <f t="shared" si="61"/>
        <v>120320</v>
      </c>
      <c r="G148" s="94">
        <f t="shared" si="62"/>
        <v>338.4</v>
      </c>
      <c r="H148" s="56">
        <f t="shared" si="63"/>
        <v>150400</v>
      </c>
      <c r="I148" s="94">
        <f t="shared" si="64"/>
        <v>300.8</v>
      </c>
      <c r="J148" s="56">
        <f t="shared" si="51"/>
        <v>120320</v>
      </c>
      <c r="K148" s="94">
        <f t="shared" si="65"/>
        <v>225.6</v>
      </c>
      <c r="L148" s="56">
        <f t="shared" si="52"/>
        <v>105280.00000000001</v>
      </c>
      <c r="M148" s="94">
        <f t="shared" si="66"/>
        <v>225.6</v>
      </c>
      <c r="N148" s="56">
        <f t="shared" si="67"/>
        <v>90240</v>
      </c>
      <c r="O148" s="94">
        <f t="shared" si="68"/>
        <v>188</v>
      </c>
      <c r="P148" s="56">
        <f t="shared" si="53"/>
        <v>60160</v>
      </c>
      <c r="Q148" s="94">
        <f t="shared" si="69"/>
        <v>376</v>
      </c>
      <c r="R148" s="56">
        <f t="shared" si="54"/>
        <v>135360</v>
      </c>
      <c r="S148" s="94">
        <f t="shared" si="70"/>
        <v>188</v>
      </c>
      <c r="T148" s="56">
        <f t="shared" si="55"/>
        <v>75200</v>
      </c>
      <c r="U148" s="94">
        <f t="shared" si="71"/>
        <v>300.8</v>
      </c>
      <c r="V148" s="56">
        <f t="shared" si="56"/>
        <v>135360</v>
      </c>
      <c r="W148" s="94">
        <f t="shared" si="72"/>
        <v>376</v>
      </c>
      <c r="X148" s="56">
        <f t="shared" si="57"/>
        <v>150400</v>
      </c>
      <c r="Y148" s="94">
        <f t="shared" si="73"/>
        <v>376</v>
      </c>
      <c r="Z148" s="104">
        <f t="shared" si="58"/>
        <v>165440</v>
      </c>
      <c r="AA148" s="94">
        <f t="shared" si="74"/>
        <v>451.2</v>
      </c>
      <c r="AB148" s="56">
        <f t="shared" si="75"/>
        <v>195520</v>
      </c>
    </row>
    <row r="149" spans="1:28" ht="15.75" x14ac:dyDescent="0.25">
      <c r="A149" s="73"/>
      <c r="B149" s="51">
        <f>Hipótesis!C63</f>
        <v>2200</v>
      </c>
      <c r="C149" s="55">
        <v>1700</v>
      </c>
      <c r="D149" s="56">
        <f t="shared" si="59"/>
        <v>3740000</v>
      </c>
      <c r="E149" s="94">
        <f t="shared" si="60"/>
        <v>187</v>
      </c>
      <c r="F149" s="56">
        <f t="shared" si="61"/>
        <v>299200</v>
      </c>
      <c r="G149" s="94">
        <f t="shared" si="62"/>
        <v>153</v>
      </c>
      <c r="H149" s="56">
        <f t="shared" si="63"/>
        <v>374000</v>
      </c>
      <c r="I149" s="94">
        <f t="shared" si="64"/>
        <v>136</v>
      </c>
      <c r="J149" s="56">
        <f t="shared" si="51"/>
        <v>299200</v>
      </c>
      <c r="K149" s="94">
        <f t="shared" si="65"/>
        <v>102</v>
      </c>
      <c r="L149" s="56">
        <f t="shared" si="52"/>
        <v>261800.00000000003</v>
      </c>
      <c r="M149" s="94">
        <f t="shared" si="66"/>
        <v>102</v>
      </c>
      <c r="N149" s="56">
        <f t="shared" si="67"/>
        <v>224400</v>
      </c>
      <c r="O149" s="94">
        <f t="shared" si="68"/>
        <v>85</v>
      </c>
      <c r="P149" s="56">
        <f t="shared" si="53"/>
        <v>149600</v>
      </c>
      <c r="Q149" s="94">
        <f t="shared" si="69"/>
        <v>170</v>
      </c>
      <c r="R149" s="56">
        <f t="shared" si="54"/>
        <v>336600</v>
      </c>
      <c r="S149" s="94">
        <f t="shared" si="70"/>
        <v>85</v>
      </c>
      <c r="T149" s="56">
        <f t="shared" si="55"/>
        <v>187000</v>
      </c>
      <c r="U149" s="94">
        <f t="shared" si="71"/>
        <v>136</v>
      </c>
      <c r="V149" s="56">
        <f t="shared" si="56"/>
        <v>336600</v>
      </c>
      <c r="W149" s="94">
        <f t="shared" si="72"/>
        <v>170</v>
      </c>
      <c r="X149" s="56">
        <f t="shared" si="57"/>
        <v>374000</v>
      </c>
      <c r="Y149" s="94">
        <f t="shared" si="73"/>
        <v>170</v>
      </c>
      <c r="Z149" s="104">
        <f t="shared" si="58"/>
        <v>411400</v>
      </c>
      <c r="AA149" s="94">
        <f t="shared" si="74"/>
        <v>204</v>
      </c>
      <c r="AB149" s="56">
        <f t="shared" si="75"/>
        <v>486200</v>
      </c>
    </row>
    <row r="150" spans="1:28" ht="16.5" thickBot="1" x14ac:dyDescent="0.3">
      <c r="A150" s="74"/>
      <c r="B150" s="75">
        <f>Hipótesis!C64</f>
        <v>250</v>
      </c>
      <c r="C150" s="76">
        <v>3200</v>
      </c>
      <c r="D150" s="77">
        <f t="shared" si="59"/>
        <v>800000</v>
      </c>
      <c r="E150" s="95">
        <f t="shared" si="60"/>
        <v>352</v>
      </c>
      <c r="F150" s="77">
        <f t="shared" si="61"/>
        <v>64000</v>
      </c>
      <c r="G150" s="95">
        <f t="shared" si="62"/>
        <v>288</v>
      </c>
      <c r="H150" s="77">
        <f t="shared" si="63"/>
        <v>80000</v>
      </c>
      <c r="I150" s="95">
        <f t="shared" si="64"/>
        <v>256</v>
      </c>
      <c r="J150" s="77">
        <f t="shared" si="51"/>
        <v>64000</v>
      </c>
      <c r="K150" s="95">
        <f t="shared" si="65"/>
        <v>192</v>
      </c>
      <c r="L150" s="77">
        <f t="shared" si="52"/>
        <v>56000.000000000007</v>
      </c>
      <c r="M150" s="95">
        <f t="shared" si="66"/>
        <v>192</v>
      </c>
      <c r="N150" s="77">
        <f t="shared" si="67"/>
        <v>48000</v>
      </c>
      <c r="O150" s="95">
        <f t="shared" si="68"/>
        <v>160</v>
      </c>
      <c r="P150" s="77">
        <f t="shared" si="53"/>
        <v>32000</v>
      </c>
      <c r="Q150" s="95">
        <f t="shared" si="69"/>
        <v>320</v>
      </c>
      <c r="R150" s="77">
        <f t="shared" si="54"/>
        <v>72000</v>
      </c>
      <c r="S150" s="95">
        <f t="shared" si="70"/>
        <v>160</v>
      </c>
      <c r="T150" s="77">
        <f t="shared" si="55"/>
        <v>40000</v>
      </c>
      <c r="U150" s="95">
        <f t="shared" si="71"/>
        <v>256</v>
      </c>
      <c r="V150" s="77">
        <f t="shared" si="56"/>
        <v>72000</v>
      </c>
      <c r="W150" s="95">
        <f t="shared" si="72"/>
        <v>320</v>
      </c>
      <c r="X150" s="77">
        <f t="shared" si="57"/>
        <v>80000</v>
      </c>
      <c r="Y150" s="95">
        <f t="shared" si="73"/>
        <v>320</v>
      </c>
      <c r="Z150" s="105">
        <f t="shared" si="58"/>
        <v>88000</v>
      </c>
      <c r="AA150" s="95">
        <f t="shared" si="74"/>
        <v>384</v>
      </c>
      <c r="AB150" s="77">
        <f t="shared" si="75"/>
        <v>104000</v>
      </c>
    </row>
    <row r="151" spans="1:28" ht="15.75" x14ac:dyDescent="0.25">
      <c r="A151" s="78"/>
      <c r="B151" s="79">
        <f>Hipótesis!C65</f>
        <v>1600</v>
      </c>
      <c r="C151" s="80">
        <v>1000</v>
      </c>
      <c r="D151" s="81">
        <f t="shared" si="59"/>
        <v>1600000</v>
      </c>
      <c r="E151" s="96">
        <f t="shared" si="60"/>
        <v>110</v>
      </c>
      <c r="F151" s="81">
        <f t="shared" si="61"/>
        <v>128000</v>
      </c>
      <c r="G151" s="96">
        <f t="shared" si="62"/>
        <v>90</v>
      </c>
      <c r="H151" s="81">
        <f t="shared" si="63"/>
        <v>160000</v>
      </c>
      <c r="I151" s="96">
        <f t="shared" si="64"/>
        <v>80</v>
      </c>
      <c r="J151" s="81">
        <f t="shared" si="51"/>
        <v>128000</v>
      </c>
      <c r="K151" s="96">
        <f t="shared" si="65"/>
        <v>60</v>
      </c>
      <c r="L151" s="81">
        <f t="shared" si="52"/>
        <v>112000.00000000001</v>
      </c>
      <c r="M151" s="96">
        <f t="shared" si="66"/>
        <v>60</v>
      </c>
      <c r="N151" s="81">
        <f t="shared" si="67"/>
        <v>96000</v>
      </c>
      <c r="O151" s="96">
        <f t="shared" si="68"/>
        <v>50</v>
      </c>
      <c r="P151" s="81">
        <f t="shared" si="53"/>
        <v>64000</v>
      </c>
      <c r="Q151" s="96">
        <f t="shared" si="69"/>
        <v>100</v>
      </c>
      <c r="R151" s="81">
        <f t="shared" si="54"/>
        <v>144000</v>
      </c>
      <c r="S151" s="96">
        <f t="shared" si="70"/>
        <v>50</v>
      </c>
      <c r="T151" s="81">
        <f t="shared" si="55"/>
        <v>80000</v>
      </c>
      <c r="U151" s="96">
        <f t="shared" si="71"/>
        <v>80</v>
      </c>
      <c r="V151" s="81">
        <f t="shared" si="56"/>
        <v>144000</v>
      </c>
      <c r="W151" s="96">
        <f t="shared" si="72"/>
        <v>100</v>
      </c>
      <c r="X151" s="81">
        <f t="shared" si="57"/>
        <v>160000</v>
      </c>
      <c r="Y151" s="96">
        <f t="shared" si="73"/>
        <v>100</v>
      </c>
      <c r="Z151" s="106">
        <f t="shared" si="58"/>
        <v>176000</v>
      </c>
      <c r="AA151" s="96">
        <f t="shared" si="74"/>
        <v>120</v>
      </c>
      <c r="AB151" s="81">
        <f t="shared" si="75"/>
        <v>208000</v>
      </c>
    </row>
    <row r="152" spans="1:28" ht="15.75" x14ac:dyDescent="0.25">
      <c r="A152" s="82"/>
      <c r="B152" s="52">
        <f>Hipótesis!C66</f>
        <v>480</v>
      </c>
      <c r="C152" s="57">
        <v>900</v>
      </c>
      <c r="D152" s="58">
        <f t="shared" si="59"/>
        <v>432000</v>
      </c>
      <c r="E152" s="97">
        <f t="shared" si="60"/>
        <v>99</v>
      </c>
      <c r="F152" s="58">
        <f t="shared" si="61"/>
        <v>34560</v>
      </c>
      <c r="G152" s="97">
        <f t="shared" si="62"/>
        <v>81</v>
      </c>
      <c r="H152" s="58">
        <f t="shared" si="63"/>
        <v>43200</v>
      </c>
      <c r="I152" s="97">
        <f t="shared" si="64"/>
        <v>72</v>
      </c>
      <c r="J152" s="58">
        <f t="shared" si="51"/>
        <v>34560</v>
      </c>
      <c r="K152" s="97">
        <f t="shared" si="65"/>
        <v>54</v>
      </c>
      <c r="L152" s="58">
        <f t="shared" si="52"/>
        <v>30240.000000000004</v>
      </c>
      <c r="M152" s="97">
        <f t="shared" si="66"/>
        <v>54</v>
      </c>
      <c r="N152" s="58">
        <f t="shared" si="67"/>
        <v>25920</v>
      </c>
      <c r="O152" s="97">
        <f t="shared" si="68"/>
        <v>45</v>
      </c>
      <c r="P152" s="58">
        <f t="shared" si="53"/>
        <v>17280</v>
      </c>
      <c r="Q152" s="97">
        <f t="shared" si="69"/>
        <v>90</v>
      </c>
      <c r="R152" s="58">
        <f t="shared" si="54"/>
        <v>38880</v>
      </c>
      <c r="S152" s="97">
        <f t="shared" si="70"/>
        <v>45</v>
      </c>
      <c r="T152" s="58">
        <f t="shared" si="55"/>
        <v>21600</v>
      </c>
      <c r="U152" s="97">
        <f t="shared" si="71"/>
        <v>72</v>
      </c>
      <c r="V152" s="58">
        <f t="shared" si="56"/>
        <v>38880</v>
      </c>
      <c r="W152" s="97">
        <f t="shared" si="72"/>
        <v>90</v>
      </c>
      <c r="X152" s="58">
        <f t="shared" si="57"/>
        <v>43200</v>
      </c>
      <c r="Y152" s="97">
        <f t="shared" si="73"/>
        <v>90</v>
      </c>
      <c r="Z152" s="107">
        <f t="shared" si="58"/>
        <v>47520</v>
      </c>
      <c r="AA152" s="97">
        <f t="shared" si="74"/>
        <v>108</v>
      </c>
      <c r="AB152" s="58">
        <f t="shared" si="75"/>
        <v>56160</v>
      </c>
    </row>
    <row r="153" spans="1:28" ht="15.75" x14ac:dyDescent="0.25">
      <c r="A153" s="82"/>
      <c r="B153" s="52">
        <f>Hipótesis!C67</f>
        <v>1100</v>
      </c>
      <c r="C153" s="57">
        <v>900</v>
      </c>
      <c r="D153" s="58">
        <f t="shared" si="59"/>
        <v>990000</v>
      </c>
      <c r="E153" s="97">
        <f t="shared" si="60"/>
        <v>99</v>
      </c>
      <c r="F153" s="58">
        <f t="shared" si="61"/>
        <v>79200</v>
      </c>
      <c r="G153" s="97">
        <f t="shared" si="62"/>
        <v>81</v>
      </c>
      <c r="H153" s="58">
        <f t="shared" si="63"/>
        <v>99000</v>
      </c>
      <c r="I153" s="97">
        <f t="shared" si="64"/>
        <v>72</v>
      </c>
      <c r="J153" s="58">
        <f t="shared" si="51"/>
        <v>79200</v>
      </c>
      <c r="K153" s="97">
        <f t="shared" si="65"/>
        <v>54</v>
      </c>
      <c r="L153" s="58">
        <f t="shared" si="52"/>
        <v>69300</v>
      </c>
      <c r="M153" s="97">
        <f t="shared" si="66"/>
        <v>54</v>
      </c>
      <c r="N153" s="58">
        <f t="shared" si="67"/>
        <v>59400</v>
      </c>
      <c r="O153" s="97">
        <f t="shared" si="68"/>
        <v>45</v>
      </c>
      <c r="P153" s="58">
        <f t="shared" si="53"/>
        <v>39600</v>
      </c>
      <c r="Q153" s="97">
        <f t="shared" si="69"/>
        <v>90</v>
      </c>
      <c r="R153" s="58">
        <f t="shared" si="54"/>
        <v>89100</v>
      </c>
      <c r="S153" s="97">
        <f t="shared" si="70"/>
        <v>45</v>
      </c>
      <c r="T153" s="58">
        <f t="shared" si="55"/>
        <v>49500</v>
      </c>
      <c r="U153" s="97">
        <f t="shared" si="71"/>
        <v>72</v>
      </c>
      <c r="V153" s="58">
        <f t="shared" si="56"/>
        <v>89100</v>
      </c>
      <c r="W153" s="97">
        <f t="shared" si="72"/>
        <v>90</v>
      </c>
      <c r="X153" s="58">
        <f t="shared" si="57"/>
        <v>99000</v>
      </c>
      <c r="Y153" s="97">
        <f t="shared" si="73"/>
        <v>90</v>
      </c>
      <c r="Z153" s="107">
        <f t="shared" si="58"/>
        <v>108900</v>
      </c>
      <c r="AA153" s="97">
        <f t="shared" si="74"/>
        <v>108</v>
      </c>
      <c r="AB153" s="58">
        <f t="shared" si="75"/>
        <v>128700</v>
      </c>
    </row>
    <row r="154" spans="1:28" ht="15.75" x14ac:dyDescent="0.25">
      <c r="A154" s="82"/>
      <c r="B154" s="52">
        <f>Hipótesis!C68</f>
        <v>250</v>
      </c>
      <c r="C154" s="57">
        <v>900</v>
      </c>
      <c r="D154" s="58">
        <f t="shared" si="59"/>
        <v>225000</v>
      </c>
      <c r="E154" s="97">
        <f t="shared" si="60"/>
        <v>99</v>
      </c>
      <c r="F154" s="58">
        <f t="shared" si="61"/>
        <v>18000</v>
      </c>
      <c r="G154" s="97">
        <f t="shared" si="62"/>
        <v>81</v>
      </c>
      <c r="H154" s="58">
        <f t="shared" si="63"/>
        <v>22500</v>
      </c>
      <c r="I154" s="97">
        <f t="shared" si="64"/>
        <v>72</v>
      </c>
      <c r="J154" s="58">
        <f t="shared" si="51"/>
        <v>18000</v>
      </c>
      <c r="K154" s="97">
        <f t="shared" si="65"/>
        <v>54</v>
      </c>
      <c r="L154" s="58">
        <f t="shared" si="52"/>
        <v>15750.000000000002</v>
      </c>
      <c r="M154" s="97">
        <f t="shared" si="66"/>
        <v>54</v>
      </c>
      <c r="N154" s="58">
        <f t="shared" si="67"/>
        <v>13500</v>
      </c>
      <c r="O154" s="97">
        <f t="shared" si="68"/>
        <v>45</v>
      </c>
      <c r="P154" s="58">
        <f t="shared" si="53"/>
        <v>9000</v>
      </c>
      <c r="Q154" s="97">
        <f t="shared" si="69"/>
        <v>90</v>
      </c>
      <c r="R154" s="58">
        <f t="shared" si="54"/>
        <v>20250</v>
      </c>
      <c r="S154" s="97">
        <f t="shared" si="70"/>
        <v>45</v>
      </c>
      <c r="T154" s="58">
        <f t="shared" si="55"/>
        <v>11250</v>
      </c>
      <c r="U154" s="97">
        <f t="shared" si="71"/>
        <v>72</v>
      </c>
      <c r="V154" s="58">
        <f t="shared" si="56"/>
        <v>20250</v>
      </c>
      <c r="W154" s="97">
        <f t="shared" si="72"/>
        <v>90</v>
      </c>
      <c r="X154" s="58">
        <f t="shared" si="57"/>
        <v>22500</v>
      </c>
      <c r="Y154" s="97">
        <f t="shared" si="73"/>
        <v>90</v>
      </c>
      <c r="Z154" s="107">
        <f t="shared" si="58"/>
        <v>24750</v>
      </c>
      <c r="AA154" s="97">
        <f t="shared" si="74"/>
        <v>108</v>
      </c>
      <c r="AB154" s="58">
        <f t="shared" si="75"/>
        <v>29250</v>
      </c>
    </row>
    <row r="155" spans="1:28" ht="16.5" thickBot="1" x14ac:dyDescent="0.3">
      <c r="A155" s="83"/>
      <c r="B155" s="84">
        <f>Hipótesis!C69</f>
        <v>1400</v>
      </c>
      <c r="C155" s="85">
        <v>1950</v>
      </c>
      <c r="D155" s="86">
        <f t="shared" si="59"/>
        <v>2730000</v>
      </c>
      <c r="E155" s="98">
        <f t="shared" si="60"/>
        <v>214.5</v>
      </c>
      <c r="F155" s="86">
        <f t="shared" si="61"/>
        <v>218400</v>
      </c>
      <c r="G155" s="98">
        <f t="shared" si="62"/>
        <v>175.5</v>
      </c>
      <c r="H155" s="86">
        <f t="shared" si="63"/>
        <v>273000</v>
      </c>
      <c r="I155" s="98">
        <f t="shared" si="64"/>
        <v>156</v>
      </c>
      <c r="J155" s="86">
        <f t="shared" si="51"/>
        <v>218400</v>
      </c>
      <c r="K155" s="98">
        <f t="shared" si="65"/>
        <v>117</v>
      </c>
      <c r="L155" s="86">
        <f t="shared" si="52"/>
        <v>191100.00000000003</v>
      </c>
      <c r="M155" s="98">
        <f t="shared" si="66"/>
        <v>117</v>
      </c>
      <c r="N155" s="86">
        <f t="shared" si="67"/>
        <v>163800</v>
      </c>
      <c r="O155" s="98">
        <f t="shared" si="68"/>
        <v>97.5</v>
      </c>
      <c r="P155" s="86">
        <f t="shared" si="53"/>
        <v>109200</v>
      </c>
      <c r="Q155" s="98">
        <f t="shared" si="69"/>
        <v>195</v>
      </c>
      <c r="R155" s="86">
        <f t="shared" si="54"/>
        <v>245700</v>
      </c>
      <c r="S155" s="98">
        <f t="shared" si="70"/>
        <v>97.5</v>
      </c>
      <c r="T155" s="86">
        <f t="shared" si="55"/>
        <v>136500</v>
      </c>
      <c r="U155" s="98">
        <f t="shared" si="71"/>
        <v>156</v>
      </c>
      <c r="V155" s="86">
        <f t="shared" si="56"/>
        <v>245700</v>
      </c>
      <c r="W155" s="98">
        <f t="shared" si="72"/>
        <v>195</v>
      </c>
      <c r="X155" s="86">
        <f t="shared" si="57"/>
        <v>273000</v>
      </c>
      <c r="Y155" s="98">
        <f t="shared" si="73"/>
        <v>195</v>
      </c>
      <c r="Z155" s="108">
        <f t="shared" si="58"/>
        <v>300300</v>
      </c>
      <c r="AA155" s="98">
        <f t="shared" si="74"/>
        <v>234</v>
      </c>
      <c r="AB155" s="86">
        <f t="shared" si="75"/>
        <v>354900</v>
      </c>
    </row>
    <row r="156" spans="1:28" ht="16.5" thickBot="1" x14ac:dyDescent="0.3">
      <c r="A156" s="274"/>
      <c r="B156" s="275">
        <f>Hipótesis!C70</f>
        <v>1500</v>
      </c>
      <c r="C156" s="134">
        <v>2000</v>
      </c>
      <c r="D156" s="135">
        <f t="shared" si="59"/>
        <v>3000000</v>
      </c>
      <c r="E156" s="136">
        <f t="shared" si="60"/>
        <v>220</v>
      </c>
      <c r="F156" s="135">
        <f>D156*$E$17</f>
        <v>240000</v>
      </c>
      <c r="G156" s="136">
        <f t="shared" si="62"/>
        <v>180</v>
      </c>
      <c r="H156" s="135">
        <f t="shared" si="63"/>
        <v>300000</v>
      </c>
      <c r="I156" s="136">
        <f t="shared" si="64"/>
        <v>160</v>
      </c>
      <c r="J156" s="135">
        <f t="shared" si="51"/>
        <v>240000</v>
      </c>
      <c r="K156" s="136">
        <f t="shared" si="65"/>
        <v>120</v>
      </c>
      <c r="L156" s="135">
        <f t="shared" si="52"/>
        <v>210000.00000000003</v>
      </c>
      <c r="M156" s="136">
        <f t="shared" si="66"/>
        <v>120</v>
      </c>
      <c r="N156" s="135">
        <f t="shared" si="67"/>
        <v>180000</v>
      </c>
      <c r="O156" s="136">
        <f t="shared" si="68"/>
        <v>100</v>
      </c>
      <c r="P156" s="135">
        <f t="shared" si="53"/>
        <v>120000</v>
      </c>
      <c r="Q156" s="136">
        <f t="shared" si="69"/>
        <v>200</v>
      </c>
      <c r="R156" s="135">
        <f t="shared" si="54"/>
        <v>270000</v>
      </c>
      <c r="S156" s="136">
        <f t="shared" si="70"/>
        <v>100</v>
      </c>
      <c r="T156" s="135">
        <f t="shared" si="55"/>
        <v>150000</v>
      </c>
      <c r="U156" s="136">
        <f t="shared" si="71"/>
        <v>160</v>
      </c>
      <c r="V156" s="135">
        <f t="shared" si="56"/>
        <v>270000</v>
      </c>
      <c r="W156" s="136">
        <f t="shared" si="72"/>
        <v>200</v>
      </c>
      <c r="X156" s="135">
        <f t="shared" si="57"/>
        <v>300000</v>
      </c>
      <c r="Y156" s="136">
        <f t="shared" si="73"/>
        <v>200</v>
      </c>
      <c r="Z156" s="137">
        <f t="shared" si="58"/>
        <v>330000</v>
      </c>
      <c r="AA156" s="136">
        <f t="shared" si="74"/>
        <v>240</v>
      </c>
      <c r="AB156" s="135">
        <f t="shared" si="75"/>
        <v>390000</v>
      </c>
    </row>
    <row r="157" spans="1:28" ht="15.75" thickBot="1" x14ac:dyDescent="0.3">
      <c r="A157" s="862" t="s">
        <v>109</v>
      </c>
      <c r="B157" s="863"/>
      <c r="C157" s="238"/>
      <c r="D157" s="241">
        <f>SUM(D144:D156)</f>
        <v>59062500</v>
      </c>
      <c r="E157" s="242"/>
      <c r="F157" s="243">
        <f>SUM(F144:F156)</f>
        <v>4725000</v>
      </c>
      <c r="G157" s="242"/>
      <c r="H157" s="243">
        <f>SUM(H144:H156)</f>
        <v>5906250</v>
      </c>
      <c r="I157" s="242"/>
      <c r="J157" s="243">
        <f>SUM(J144:J156)</f>
        <v>4725000</v>
      </c>
      <c r="K157" s="242"/>
      <c r="L157" s="243">
        <f>SUM(L144:L156)</f>
        <v>4134375.0000000005</v>
      </c>
      <c r="M157" s="242"/>
      <c r="N157" s="243">
        <f>SUM(N144:N156)</f>
        <v>3543750</v>
      </c>
      <c r="O157" s="242"/>
      <c r="P157" s="243">
        <f>SUM(P144:P156)</f>
        <v>2362500</v>
      </c>
      <c r="Q157" s="242"/>
      <c r="R157" s="243">
        <f>SUM(R144:R156)</f>
        <v>5315625</v>
      </c>
      <c r="S157" s="242"/>
      <c r="T157" s="243">
        <f>SUM(T144:T156)</f>
        <v>2953125</v>
      </c>
      <c r="U157" s="242"/>
      <c r="V157" s="243">
        <f>SUM(V144:V156)</f>
        <v>5315625</v>
      </c>
      <c r="W157" s="242"/>
      <c r="X157" s="243">
        <f>SUM(X144:X156)</f>
        <v>5906250</v>
      </c>
      <c r="Y157" s="242"/>
      <c r="Z157" s="243">
        <f>SUM(Z144:Z156)</f>
        <v>6496875</v>
      </c>
      <c r="AA157" s="242"/>
      <c r="AB157" s="243">
        <f>SUM(AB144:AB156)</f>
        <v>7678125</v>
      </c>
    </row>
    <row r="158" spans="1:28" ht="15.75" x14ac:dyDescent="0.25">
      <c r="A158" s="850" t="s">
        <v>372</v>
      </c>
      <c r="B158" s="851"/>
      <c r="C158" s="268">
        <f>C144</f>
        <v>1850</v>
      </c>
      <c r="D158" s="250"/>
      <c r="E158" s="261">
        <f>E144</f>
        <v>203.5</v>
      </c>
      <c r="F158" s="250"/>
      <c r="G158" s="261">
        <f>G144</f>
        <v>166.5</v>
      </c>
      <c r="H158" s="250"/>
      <c r="I158" s="261">
        <f>I144</f>
        <v>148</v>
      </c>
      <c r="J158" s="250"/>
      <c r="K158" s="261">
        <f>K144</f>
        <v>111</v>
      </c>
      <c r="L158" s="250"/>
      <c r="M158" s="261">
        <f>M144</f>
        <v>111</v>
      </c>
      <c r="N158" s="250"/>
      <c r="O158" s="261">
        <f>O144</f>
        <v>92.5</v>
      </c>
      <c r="P158" s="250"/>
      <c r="Q158" s="261">
        <f>Q144</f>
        <v>185</v>
      </c>
      <c r="R158" s="250"/>
      <c r="S158" s="261">
        <f>S144</f>
        <v>92.5</v>
      </c>
      <c r="T158" s="250"/>
      <c r="U158" s="261">
        <f>U144</f>
        <v>148</v>
      </c>
      <c r="V158" s="250"/>
      <c r="W158" s="261">
        <f>W144</f>
        <v>185</v>
      </c>
      <c r="X158" s="250"/>
      <c r="Y158" s="261">
        <f>Y144</f>
        <v>185</v>
      </c>
      <c r="Z158" s="250"/>
      <c r="AA158" s="261">
        <f>AA144</f>
        <v>222</v>
      </c>
      <c r="AB158" s="251"/>
    </row>
    <row r="159" spans="1:28" ht="15.75" x14ac:dyDescent="0.25">
      <c r="A159" s="848" t="s">
        <v>105</v>
      </c>
      <c r="B159" s="849"/>
      <c r="C159" s="269">
        <f>C145</f>
        <v>1450</v>
      </c>
      <c r="D159" s="245"/>
      <c r="E159" s="262">
        <f>E145</f>
        <v>159.5</v>
      </c>
      <c r="F159" s="245"/>
      <c r="G159" s="262">
        <f>G145</f>
        <v>130.5</v>
      </c>
      <c r="H159" s="245"/>
      <c r="I159" s="262">
        <f>I145</f>
        <v>116</v>
      </c>
      <c r="J159" s="245"/>
      <c r="K159" s="262">
        <f>K145</f>
        <v>87</v>
      </c>
      <c r="L159" s="245"/>
      <c r="M159" s="262">
        <f>M145</f>
        <v>87</v>
      </c>
      <c r="N159" s="245"/>
      <c r="O159" s="262">
        <f>O145</f>
        <v>72.5</v>
      </c>
      <c r="P159" s="245"/>
      <c r="Q159" s="262">
        <f>Q145</f>
        <v>145</v>
      </c>
      <c r="R159" s="245"/>
      <c r="S159" s="262">
        <f>S145</f>
        <v>72.5</v>
      </c>
      <c r="T159" s="245"/>
      <c r="U159" s="262">
        <f>U145</f>
        <v>116</v>
      </c>
      <c r="V159" s="245"/>
      <c r="W159" s="262">
        <f>W145</f>
        <v>145</v>
      </c>
      <c r="X159" s="245"/>
      <c r="Y159" s="262">
        <f>Y145</f>
        <v>145</v>
      </c>
      <c r="Z159" s="245"/>
      <c r="AA159" s="262">
        <f>AA145</f>
        <v>174</v>
      </c>
      <c r="AB159" s="252"/>
    </row>
    <row r="160" spans="1:28" ht="16.5" thickBot="1" x14ac:dyDescent="0.3">
      <c r="A160" s="846" t="s">
        <v>106</v>
      </c>
      <c r="B160" s="847"/>
      <c r="C160" s="270">
        <f>C146</f>
        <v>630</v>
      </c>
      <c r="D160" s="253"/>
      <c r="E160" s="263">
        <f>E146</f>
        <v>69.3</v>
      </c>
      <c r="F160" s="253"/>
      <c r="G160" s="263">
        <f>G146</f>
        <v>56.699999999999996</v>
      </c>
      <c r="H160" s="253"/>
      <c r="I160" s="263">
        <f>I146</f>
        <v>50.4</v>
      </c>
      <c r="J160" s="253"/>
      <c r="K160" s="263">
        <f>K146</f>
        <v>37.799999999999997</v>
      </c>
      <c r="L160" s="253"/>
      <c r="M160" s="263">
        <f>M146</f>
        <v>37.799999999999997</v>
      </c>
      <c r="N160" s="253"/>
      <c r="O160" s="263">
        <f>O146</f>
        <v>31.5</v>
      </c>
      <c r="P160" s="253"/>
      <c r="Q160" s="263">
        <f>Q146</f>
        <v>63</v>
      </c>
      <c r="R160" s="253"/>
      <c r="S160" s="263">
        <f>S146</f>
        <v>31.5</v>
      </c>
      <c r="T160" s="253"/>
      <c r="U160" s="263">
        <f>U146</f>
        <v>50.4</v>
      </c>
      <c r="V160" s="253"/>
      <c r="W160" s="263">
        <f>W146</f>
        <v>63</v>
      </c>
      <c r="X160" s="253"/>
      <c r="Y160" s="263">
        <f>Y146</f>
        <v>63</v>
      </c>
      <c r="Z160" s="253"/>
      <c r="AA160" s="263">
        <f>AA146</f>
        <v>75.599999999999994</v>
      </c>
      <c r="AB160" s="254"/>
    </row>
    <row r="161" spans="1:28" ht="16.5" thickBot="1" x14ac:dyDescent="0.3">
      <c r="A161" s="864" t="s">
        <v>107</v>
      </c>
      <c r="B161" s="865"/>
      <c r="C161" s="271">
        <f>SUM(C147:C150)</f>
        <v>12453</v>
      </c>
      <c r="D161" s="249"/>
      <c r="E161" s="264">
        <f>SUM(E147:E150)</f>
        <v>1369.83</v>
      </c>
      <c r="F161" s="255"/>
      <c r="G161" s="264">
        <f>SUM(G147:G150)</f>
        <v>1120.77</v>
      </c>
      <c r="H161" s="255"/>
      <c r="I161" s="264">
        <f>SUM(I147:I150)</f>
        <v>996.24</v>
      </c>
      <c r="J161" s="255"/>
      <c r="K161" s="264">
        <f>SUM(K147:K150)</f>
        <v>747.18</v>
      </c>
      <c r="L161" s="255"/>
      <c r="M161" s="264">
        <f>SUM(M147:M150)</f>
        <v>747.18</v>
      </c>
      <c r="N161" s="255"/>
      <c r="O161" s="264">
        <f>SUM(O147:O150)</f>
        <v>622.65</v>
      </c>
      <c r="P161" s="255"/>
      <c r="Q161" s="264">
        <f>SUM(Q147:Q150)</f>
        <v>1245.3</v>
      </c>
      <c r="R161" s="255"/>
      <c r="S161" s="264">
        <f>SUM(S147:S150)</f>
        <v>622.65</v>
      </c>
      <c r="T161" s="255"/>
      <c r="U161" s="264">
        <f>SUM(U147:U150)</f>
        <v>996.24</v>
      </c>
      <c r="V161" s="255"/>
      <c r="W161" s="264">
        <f>SUM(W147:W150)</f>
        <v>1245.3</v>
      </c>
      <c r="X161" s="255"/>
      <c r="Y161" s="264">
        <f>SUM(Y147:Y150)</f>
        <v>1245.3</v>
      </c>
      <c r="Z161" s="255"/>
      <c r="AA161" s="264">
        <f>SUM(AA147:AA150)</f>
        <v>1494.36</v>
      </c>
      <c r="AB161" s="258"/>
    </row>
    <row r="162" spans="1:28" ht="16.5" thickBot="1" x14ac:dyDescent="0.3">
      <c r="A162" s="866" t="s">
        <v>108</v>
      </c>
      <c r="B162" s="867"/>
      <c r="C162" s="272">
        <f>SUM(C151:C155)</f>
        <v>5650</v>
      </c>
      <c r="D162" s="248"/>
      <c r="E162" s="265">
        <f>SUM(E151:E155)</f>
        <v>621.5</v>
      </c>
      <c r="F162" s="256"/>
      <c r="G162" s="265">
        <f>SUM(G151:G155)</f>
        <v>508.5</v>
      </c>
      <c r="H162" s="256"/>
      <c r="I162" s="265">
        <f>SUM(I151:I155)</f>
        <v>452</v>
      </c>
      <c r="J162" s="256"/>
      <c r="K162" s="265">
        <f>SUM(K151:K155)</f>
        <v>339</v>
      </c>
      <c r="L162" s="256"/>
      <c r="M162" s="265">
        <f>SUM(M151:M155)</f>
        <v>339</v>
      </c>
      <c r="N162" s="256"/>
      <c r="O162" s="265">
        <f>SUM(O151:O155)</f>
        <v>282.5</v>
      </c>
      <c r="P162" s="256"/>
      <c r="Q162" s="265">
        <f>SUM(Q151:Q155)</f>
        <v>565</v>
      </c>
      <c r="R162" s="256"/>
      <c r="S162" s="265">
        <f>SUM(S151:S155)</f>
        <v>282.5</v>
      </c>
      <c r="T162" s="256"/>
      <c r="U162" s="265">
        <f>SUM(U151:U155)</f>
        <v>452</v>
      </c>
      <c r="V162" s="256"/>
      <c r="W162" s="265">
        <f>SUM(W151:W155)</f>
        <v>565</v>
      </c>
      <c r="X162" s="256"/>
      <c r="Y162" s="265">
        <f>SUM(Y151:Y155)</f>
        <v>565</v>
      </c>
      <c r="Z162" s="256"/>
      <c r="AA162" s="265">
        <f>SUM(AA151:AA155)</f>
        <v>678</v>
      </c>
      <c r="AB162" s="259"/>
    </row>
    <row r="163" spans="1:28" ht="16.5" thickBot="1" x14ac:dyDescent="0.3">
      <c r="A163" s="868" t="s">
        <v>110</v>
      </c>
      <c r="B163" s="869"/>
      <c r="C163" s="273">
        <f>C156</f>
        <v>2000</v>
      </c>
      <c r="D163" s="246"/>
      <c r="E163" s="266">
        <f>E156</f>
        <v>220</v>
      </c>
      <c r="F163" s="257"/>
      <c r="G163" s="266">
        <f>G156</f>
        <v>180</v>
      </c>
      <c r="H163" s="257"/>
      <c r="I163" s="266">
        <f>I156</f>
        <v>160</v>
      </c>
      <c r="J163" s="257"/>
      <c r="K163" s="266">
        <f>K156</f>
        <v>120</v>
      </c>
      <c r="L163" s="257"/>
      <c r="M163" s="266">
        <f>M156</f>
        <v>120</v>
      </c>
      <c r="N163" s="257"/>
      <c r="O163" s="266">
        <f>O156</f>
        <v>100</v>
      </c>
      <c r="P163" s="257"/>
      <c r="Q163" s="266">
        <f>Q156</f>
        <v>200</v>
      </c>
      <c r="R163" s="257"/>
      <c r="S163" s="266">
        <f>S156</f>
        <v>100</v>
      </c>
      <c r="T163" s="257"/>
      <c r="U163" s="266">
        <f>U156</f>
        <v>160</v>
      </c>
      <c r="V163" s="257"/>
      <c r="W163" s="266">
        <f>W156</f>
        <v>200</v>
      </c>
      <c r="X163" s="257"/>
      <c r="Y163" s="266">
        <f>Y156</f>
        <v>200</v>
      </c>
      <c r="Z163" s="257"/>
      <c r="AA163" s="266">
        <f>AA156</f>
        <v>240</v>
      </c>
      <c r="AB163" s="260"/>
    </row>
    <row r="164" spans="1:28" ht="15.75" thickBot="1" x14ac:dyDescent="0.3">
      <c r="D164" s="592"/>
      <c r="E164" s="49"/>
      <c r="F164" s="49"/>
    </row>
    <row r="165" spans="1:28" ht="27" thickBot="1" x14ac:dyDescent="0.45">
      <c r="A165" s="769" t="s">
        <v>75</v>
      </c>
      <c r="B165" s="770"/>
      <c r="C165" s="770"/>
      <c r="D165" s="770"/>
      <c r="E165" s="770"/>
      <c r="F165" s="770"/>
      <c r="G165" s="770"/>
      <c r="H165" s="770"/>
      <c r="I165" s="770"/>
      <c r="J165" s="770"/>
      <c r="K165" s="770"/>
      <c r="L165" s="770"/>
      <c r="M165" s="770"/>
      <c r="N165" s="770"/>
      <c r="O165" s="770"/>
      <c r="P165" s="770"/>
      <c r="Q165" s="770"/>
      <c r="R165" s="770"/>
      <c r="S165" s="770"/>
      <c r="T165" s="770"/>
      <c r="U165" s="770"/>
      <c r="V165" s="770"/>
      <c r="W165" s="770"/>
      <c r="X165" s="770"/>
      <c r="Y165" s="770"/>
      <c r="Z165" s="770"/>
      <c r="AA165" s="770"/>
      <c r="AB165" s="771"/>
    </row>
    <row r="166" spans="1:28" ht="87.75" customHeight="1" thickBot="1" x14ac:dyDescent="0.3">
      <c r="A166" s="197" t="s">
        <v>78</v>
      </c>
      <c r="B166" s="757" t="s">
        <v>266</v>
      </c>
      <c r="C166" s="758"/>
      <c r="D166" s="758"/>
      <c r="E166" s="758"/>
      <c r="F166" s="758"/>
      <c r="G166" s="758"/>
      <c r="H166" s="758"/>
      <c r="I166" s="758"/>
      <c r="J166" s="758"/>
      <c r="K166" s="758"/>
      <c r="L166" s="758"/>
      <c r="M166" s="758"/>
      <c r="N166" s="758"/>
      <c r="O166" s="758"/>
      <c r="P166" s="758"/>
      <c r="Q166" s="758"/>
      <c r="R166" s="758"/>
      <c r="S166" s="758"/>
      <c r="T166" s="758"/>
      <c r="U166" s="758"/>
      <c r="V166" s="758"/>
      <c r="W166" s="758"/>
      <c r="X166" s="758"/>
      <c r="Y166" s="758"/>
      <c r="Z166" s="758"/>
      <c r="AA166" s="758"/>
      <c r="AB166" s="759"/>
    </row>
    <row r="167" spans="1:28" ht="21.75" thickBot="1" x14ac:dyDescent="0.3">
      <c r="A167" s="772"/>
      <c r="B167" s="773"/>
      <c r="C167" s="837" t="s">
        <v>67</v>
      </c>
      <c r="D167" s="838"/>
      <c r="E167" s="774" t="s">
        <v>42</v>
      </c>
      <c r="F167" s="775"/>
      <c r="G167" s="776" t="s">
        <v>43</v>
      </c>
      <c r="H167" s="775"/>
      <c r="I167" s="776" t="s">
        <v>44</v>
      </c>
      <c r="J167" s="775"/>
      <c r="K167" s="776" t="s">
        <v>45</v>
      </c>
      <c r="L167" s="775"/>
      <c r="M167" s="776" t="s">
        <v>46</v>
      </c>
      <c r="N167" s="775"/>
      <c r="O167" s="776" t="s">
        <v>47</v>
      </c>
      <c r="P167" s="775"/>
      <c r="Q167" s="776" t="s">
        <v>48</v>
      </c>
      <c r="R167" s="775"/>
      <c r="S167" s="776" t="s">
        <v>49</v>
      </c>
      <c r="T167" s="775"/>
      <c r="U167" s="776" t="s">
        <v>50</v>
      </c>
      <c r="V167" s="775"/>
      <c r="W167" s="776" t="s">
        <v>51</v>
      </c>
      <c r="X167" s="775"/>
      <c r="Y167" s="776" t="s">
        <v>52</v>
      </c>
      <c r="Z167" s="775"/>
      <c r="AA167" s="776" t="s">
        <v>53</v>
      </c>
      <c r="AB167" s="775"/>
    </row>
    <row r="168" spans="1:28" x14ac:dyDescent="0.25">
      <c r="A168" s="819" t="s">
        <v>66</v>
      </c>
      <c r="B168" s="820"/>
      <c r="C168" s="835"/>
      <c r="D168" s="836"/>
      <c r="E168" s="826" t="s">
        <v>70</v>
      </c>
      <c r="F168" s="804"/>
      <c r="G168" s="827" t="s">
        <v>70</v>
      </c>
      <c r="H168" s="804"/>
      <c r="I168" s="827" t="s">
        <v>70</v>
      </c>
      <c r="J168" s="804"/>
      <c r="K168" s="827" t="s">
        <v>70</v>
      </c>
      <c r="L168" s="804"/>
      <c r="M168" s="827" t="s">
        <v>70</v>
      </c>
      <c r="N168" s="804"/>
      <c r="O168" s="827" t="s">
        <v>70</v>
      </c>
      <c r="P168" s="804"/>
      <c r="Q168" s="827" t="s">
        <v>70</v>
      </c>
      <c r="R168" s="804"/>
      <c r="S168" s="827" t="s">
        <v>70</v>
      </c>
      <c r="T168" s="804"/>
      <c r="U168" s="794" t="s">
        <v>70</v>
      </c>
      <c r="V168" s="794"/>
      <c r="W168" s="794" t="s">
        <v>70</v>
      </c>
      <c r="X168" s="794"/>
      <c r="Y168" s="794" t="s">
        <v>70</v>
      </c>
      <c r="Z168" s="794"/>
      <c r="AA168" s="794" t="s">
        <v>70</v>
      </c>
      <c r="AB168" s="812"/>
    </row>
    <row r="169" spans="1:28" x14ac:dyDescent="0.25">
      <c r="A169" s="821"/>
      <c r="B169" s="822"/>
      <c r="C169" s="831"/>
      <c r="D169" s="832"/>
      <c r="E169" s="809" t="s">
        <v>70</v>
      </c>
      <c r="F169" s="793"/>
      <c r="G169" s="793" t="s">
        <v>70</v>
      </c>
      <c r="H169" s="793"/>
      <c r="I169" s="793" t="s">
        <v>70</v>
      </c>
      <c r="J169" s="793"/>
      <c r="K169" s="793" t="s">
        <v>70</v>
      </c>
      <c r="L169" s="793"/>
      <c r="M169" s="793" t="s">
        <v>70</v>
      </c>
      <c r="N169" s="793"/>
      <c r="O169" s="793" t="s">
        <v>70</v>
      </c>
      <c r="P169" s="793"/>
      <c r="Q169" s="793" t="s">
        <v>70</v>
      </c>
      <c r="R169" s="793"/>
      <c r="S169" s="793" t="s">
        <v>70</v>
      </c>
      <c r="T169" s="793"/>
      <c r="U169" s="793" t="s">
        <v>70</v>
      </c>
      <c r="V169" s="793"/>
      <c r="W169" s="793" t="s">
        <v>70</v>
      </c>
      <c r="X169" s="793"/>
      <c r="Y169" s="793" t="s">
        <v>70</v>
      </c>
      <c r="Z169" s="793"/>
      <c r="AA169" s="793" t="s">
        <v>70</v>
      </c>
      <c r="AB169" s="813"/>
    </row>
    <row r="170" spans="1:28" x14ac:dyDescent="0.25">
      <c r="A170" s="821"/>
      <c r="B170" s="822"/>
      <c r="C170" s="831"/>
      <c r="D170" s="832"/>
      <c r="E170" s="809" t="s">
        <v>70</v>
      </c>
      <c r="F170" s="793"/>
      <c r="G170" s="793" t="s">
        <v>70</v>
      </c>
      <c r="H170" s="793"/>
      <c r="I170" s="793" t="s">
        <v>70</v>
      </c>
      <c r="J170" s="793"/>
      <c r="K170" s="793" t="s">
        <v>70</v>
      </c>
      <c r="L170" s="793"/>
      <c r="M170" s="793" t="s">
        <v>70</v>
      </c>
      <c r="N170" s="793"/>
      <c r="O170" s="793" t="s">
        <v>70</v>
      </c>
      <c r="P170" s="793"/>
      <c r="Q170" s="793" t="s">
        <v>70</v>
      </c>
      <c r="R170" s="793"/>
      <c r="S170" s="793" t="s">
        <v>70</v>
      </c>
      <c r="T170" s="793"/>
      <c r="U170" s="793" t="s">
        <v>70</v>
      </c>
      <c r="V170" s="793"/>
      <c r="W170" s="793" t="s">
        <v>70</v>
      </c>
      <c r="X170" s="793"/>
      <c r="Y170" s="793" t="s">
        <v>70</v>
      </c>
      <c r="Z170" s="793"/>
      <c r="AA170" s="793" t="s">
        <v>70</v>
      </c>
      <c r="AB170" s="813"/>
    </row>
    <row r="171" spans="1:28" x14ac:dyDescent="0.25">
      <c r="A171" s="821"/>
      <c r="B171" s="822"/>
      <c r="C171" s="831"/>
      <c r="D171" s="832"/>
      <c r="E171" s="809" t="s">
        <v>70</v>
      </c>
      <c r="F171" s="793"/>
      <c r="G171" s="793" t="s">
        <v>70</v>
      </c>
      <c r="H171" s="793"/>
      <c r="I171" s="793" t="s">
        <v>70</v>
      </c>
      <c r="J171" s="793"/>
      <c r="K171" s="793" t="s">
        <v>70</v>
      </c>
      <c r="L171" s="793"/>
      <c r="M171" s="793" t="s">
        <v>70</v>
      </c>
      <c r="N171" s="793"/>
      <c r="O171" s="793" t="s">
        <v>70</v>
      </c>
      <c r="P171" s="793"/>
      <c r="Q171" s="793" t="s">
        <v>70</v>
      </c>
      <c r="R171" s="793"/>
      <c r="S171" s="793" t="s">
        <v>70</v>
      </c>
      <c r="T171" s="793"/>
      <c r="U171" s="793" t="s">
        <v>70</v>
      </c>
      <c r="V171" s="793"/>
      <c r="W171" s="793" t="s">
        <v>70</v>
      </c>
      <c r="X171" s="793"/>
      <c r="Y171" s="793" t="s">
        <v>70</v>
      </c>
      <c r="Z171" s="793"/>
      <c r="AA171" s="793" t="s">
        <v>70</v>
      </c>
      <c r="AB171" s="813"/>
    </row>
    <row r="172" spans="1:28" x14ac:dyDescent="0.25">
      <c r="A172" s="821"/>
      <c r="B172" s="822"/>
      <c r="C172" s="831"/>
      <c r="D172" s="832"/>
      <c r="E172" s="809" t="s">
        <v>70</v>
      </c>
      <c r="F172" s="793"/>
      <c r="G172" s="793" t="s">
        <v>70</v>
      </c>
      <c r="H172" s="793"/>
      <c r="I172" s="793" t="s">
        <v>70</v>
      </c>
      <c r="J172" s="793"/>
      <c r="K172" s="793" t="s">
        <v>70</v>
      </c>
      <c r="L172" s="793"/>
      <c r="M172" s="793" t="s">
        <v>70</v>
      </c>
      <c r="N172" s="793"/>
      <c r="O172" s="793" t="s">
        <v>70</v>
      </c>
      <c r="P172" s="793"/>
      <c r="Q172" s="793" t="s">
        <v>70</v>
      </c>
      <c r="R172" s="793"/>
      <c r="S172" s="793" t="s">
        <v>70</v>
      </c>
      <c r="T172" s="793"/>
      <c r="U172" s="793" t="s">
        <v>70</v>
      </c>
      <c r="V172" s="793"/>
      <c r="W172" s="793" t="s">
        <v>70</v>
      </c>
      <c r="X172" s="793"/>
      <c r="Y172" s="793" t="s">
        <v>70</v>
      </c>
      <c r="Z172" s="793"/>
      <c r="AA172" s="793" t="s">
        <v>70</v>
      </c>
      <c r="AB172" s="813"/>
    </row>
    <row r="173" spans="1:28" x14ac:dyDescent="0.25">
      <c r="A173" s="821"/>
      <c r="B173" s="822"/>
      <c r="C173" s="831"/>
      <c r="D173" s="832"/>
      <c r="E173" s="809" t="s">
        <v>70</v>
      </c>
      <c r="F173" s="793"/>
      <c r="G173" s="793" t="s">
        <v>70</v>
      </c>
      <c r="H173" s="793"/>
      <c r="I173" s="793" t="s">
        <v>70</v>
      </c>
      <c r="J173" s="793"/>
      <c r="K173" s="793" t="s">
        <v>70</v>
      </c>
      <c r="L173" s="793"/>
      <c r="M173" s="793" t="s">
        <v>70</v>
      </c>
      <c r="N173" s="793"/>
      <c r="O173" s="793" t="s">
        <v>70</v>
      </c>
      <c r="P173" s="793"/>
      <c r="Q173" s="793" t="s">
        <v>70</v>
      </c>
      <c r="R173" s="793"/>
      <c r="S173" s="793" t="s">
        <v>70</v>
      </c>
      <c r="T173" s="793"/>
      <c r="U173" s="793" t="s">
        <v>70</v>
      </c>
      <c r="V173" s="793"/>
      <c r="W173" s="793" t="s">
        <v>70</v>
      </c>
      <c r="X173" s="793"/>
      <c r="Y173" s="793" t="s">
        <v>70</v>
      </c>
      <c r="Z173" s="793"/>
      <c r="AA173" s="793" t="s">
        <v>70</v>
      </c>
      <c r="AB173" s="813"/>
    </row>
    <row r="174" spans="1:28" x14ac:dyDescent="0.25">
      <c r="A174" s="821"/>
      <c r="B174" s="822"/>
      <c r="C174" s="831"/>
      <c r="D174" s="832"/>
      <c r="E174" s="809" t="s">
        <v>70</v>
      </c>
      <c r="F174" s="793"/>
      <c r="G174" s="793" t="s">
        <v>70</v>
      </c>
      <c r="H174" s="793"/>
      <c r="I174" s="793" t="s">
        <v>70</v>
      </c>
      <c r="J174" s="793"/>
      <c r="K174" s="793" t="s">
        <v>70</v>
      </c>
      <c r="L174" s="793"/>
      <c r="M174" s="793" t="s">
        <v>70</v>
      </c>
      <c r="N174" s="793"/>
      <c r="O174" s="793" t="s">
        <v>70</v>
      </c>
      <c r="P174" s="793"/>
      <c r="Q174" s="793" t="s">
        <v>70</v>
      </c>
      <c r="R174" s="793"/>
      <c r="S174" s="793" t="s">
        <v>70</v>
      </c>
      <c r="T174" s="793"/>
      <c r="U174" s="793" t="s">
        <v>70</v>
      </c>
      <c r="V174" s="793"/>
      <c r="W174" s="793" t="s">
        <v>70</v>
      </c>
      <c r="X174" s="793"/>
      <c r="Y174" s="793" t="s">
        <v>70</v>
      </c>
      <c r="Z174" s="793"/>
      <c r="AA174" s="793" t="s">
        <v>70</v>
      </c>
      <c r="AB174" s="813"/>
    </row>
    <row r="175" spans="1:28" x14ac:dyDescent="0.25">
      <c r="A175" s="821"/>
      <c r="B175" s="822"/>
      <c r="C175" s="831"/>
      <c r="D175" s="832"/>
      <c r="E175" s="809" t="s">
        <v>70</v>
      </c>
      <c r="F175" s="793"/>
      <c r="G175" s="793" t="s">
        <v>70</v>
      </c>
      <c r="H175" s="793"/>
      <c r="I175" s="793" t="s">
        <v>70</v>
      </c>
      <c r="J175" s="793"/>
      <c r="K175" s="793" t="s">
        <v>70</v>
      </c>
      <c r="L175" s="793"/>
      <c r="M175" s="793" t="s">
        <v>70</v>
      </c>
      <c r="N175" s="793"/>
      <c r="O175" s="793" t="s">
        <v>70</v>
      </c>
      <c r="P175" s="793"/>
      <c r="Q175" s="793" t="s">
        <v>70</v>
      </c>
      <c r="R175" s="793"/>
      <c r="S175" s="793" t="s">
        <v>70</v>
      </c>
      <c r="T175" s="793"/>
      <c r="U175" s="793" t="s">
        <v>70</v>
      </c>
      <c r="V175" s="793"/>
      <c r="W175" s="793" t="s">
        <v>70</v>
      </c>
      <c r="X175" s="793"/>
      <c r="Y175" s="793" t="s">
        <v>70</v>
      </c>
      <c r="Z175" s="793"/>
      <c r="AA175" s="793" t="s">
        <v>70</v>
      </c>
      <c r="AB175" s="813"/>
    </row>
    <row r="176" spans="1:28" x14ac:dyDescent="0.25">
      <c r="A176" s="821"/>
      <c r="B176" s="822"/>
      <c r="C176" s="831"/>
      <c r="D176" s="832"/>
      <c r="E176" s="809" t="s">
        <v>70</v>
      </c>
      <c r="F176" s="793"/>
      <c r="G176" s="793" t="s">
        <v>70</v>
      </c>
      <c r="H176" s="793"/>
      <c r="I176" s="793" t="s">
        <v>70</v>
      </c>
      <c r="J176" s="793"/>
      <c r="K176" s="793" t="s">
        <v>70</v>
      </c>
      <c r="L176" s="793"/>
      <c r="M176" s="793" t="s">
        <v>70</v>
      </c>
      <c r="N176" s="793"/>
      <c r="O176" s="793" t="s">
        <v>70</v>
      </c>
      <c r="P176" s="793"/>
      <c r="Q176" s="793" t="s">
        <v>70</v>
      </c>
      <c r="R176" s="793"/>
      <c r="S176" s="793" t="s">
        <v>70</v>
      </c>
      <c r="T176" s="793"/>
      <c r="U176" s="793" t="s">
        <v>70</v>
      </c>
      <c r="V176" s="793"/>
      <c r="W176" s="793" t="s">
        <v>70</v>
      </c>
      <c r="X176" s="793"/>
      <c r="Y176" s="793" t="s">
        <v>70</v>
      </c>
      <c r="Z176" s="793"/>
      <c r="AA176" s="793" t="s">
        <v>70</v>
      </c>
      <c r="AB176" s="813"/>
    </row>
    <row r="177" spans="1:28" x14ac:dyDescent="0.25">
      <c r="A177" s="821"/>
      <c r="B177" s="822"/>
      <c r="C177" s="831"/>
      <c r="D177" s="832"/>
      <c r="E177" s="809" t="s">
        <v>70</v>
      </c>
      <c r="F177" s="793"/>
      <c r="G177" s="793" t="s">
        <v>70</v>
      </c>
      <c r="H177" s="793"/>
      <c r="I177" s="793" t="s">
        <v>70</v>
      </c>
      <c r="J177" s="793"/>
      <c r="K177" s="793" t="s">
        <v>70</v>
      </c>
      <c r="L177" s="793"/>
      <c r="M177" s="793" t="s">
        <v>70</v>
      </c>
      <c r="N177" s="793"/>
      <c r="O177" s="793" t="s">
        <v>70</v>
      </c>
      <c r="P177" s="793"/>
      <c r="Q177" s="793" t="s">
        <v>70</v>
      </c>
      <c r="R177" s="793"/>
      <c r="S177" s="793" t="s">
        <v>70</v>
      </c>
      <c r="T177" s="793"/>
      <c r="U177" s="793" t="s">
        <v>70</v>
      </c>
      <c r="V177" s="793"/>
      <c r="W177" s="793" t="s">
        <v>70</v>
      </c>
      <c r="X177" s="793"/>
      <c r="Y177" s="793" t="s">
        <v>70</v>
      </c>
      <c r="Z177" s="793"/>
      <c r="AA177" s="793" t="s">
        <v>70</v>
      </c>
      <c r="AB177" s="813"/>
    </row>
    <row r="178" spans="1:28" x14ac:dyDescent="0.25">
      <c r="A178" s="821"/>
      <c r="B178" s="822"/>
      <c r="C178" s="831"/>
      <c r="D178" s="832"/>
      <c r="E178" s="809" t="s">
        <v>70</v>
      </c>
      <c r="F178" s="793"/>
      <c r="G178" s="793" t="s">
        <v>70</v>
      </c>
      <c r="H178" s="793"/>
      <c r="I178" s="793" t="s">
        <v>70</v>
      </c>
      <c r="J178" s="793"/>
      <c r="K178" s="793" t="s">
        <v>70</v>
      </c>
      <c r="L178" s="793"/>
      <c r="M178" s="793" t="s">
        <v>70</v>
      </c>
      <c r="N178" s="793"/>
      <c r="O178" s="793" t="s">
        <v>70</v>
      </c>
      <c r="P178" s="793"/>
      <c r="Q178" s="793" t="s">
        <v>70</v>
      </c>
      <c r="R178" s="793"/>
      <c r="S178" s="793" t="s">
        <v>70</v>
      </c>
      <c r="T178" s="793"/>
      <c r="U178" s="793" t="s">
        <v>70</v>
      </c>
      <c r="V178" s="793"/>
      <c r="W178" s="793" t="s">
        <v>70</v>
      </c>
      <c r="X178" s="793"/>
      <c r="Y178" s="793" t="s">
        <v>70</v>
      </c>
      <c r="Z178" s="793"/>
      <c r="AA178" s="793" t="s">
        <v>70</v>
      </c>
      <c r="AB178" s="813"/>
    </row>
    <row r="179" spans="1:28" x14ac:dyDescent="0.25">
      <c r="A179" s="821"/>
      <c r="B179" s="822"/>
      <c r="C179" s="831"/>
      <c r="D179" s="832"/>
      <c r="E179" s="809" t="s">
        <v>70</v>
      </c>
      <c r="F179" s="793"/>
      <c r="G179" s="793" t="s">
        <v>70</v>
      </c>
      <c r="H179" s="793"/>
      <c r="I179" s="793" t="s">
        <v>70</v>
      </c>
      <c r="J179" s="793"/>
      <c r="K179" s="793" t="s">
        <v>70</v>
      </c>
      <c r="L179" s="793"/>
      <c r="M179" s="793" t="s">
        <v>70</v>
      </c>
      <c r="N179" s="793"/>
      <c r="O179" s="793" t="s">
        <v>70</v>
      </c>
      <c r="P179" s="793"/>
      <c r="Q179" s="793" t="s">
        <v>70</v>
      </c>
      <c r="R179" s="793"/>
      <c r="S179" s="793" t="s">
        <v>70</v>
      </c>
      <c r="T179" s="793"/>
      <c r="U179" s="793" t="s">
        <v>70</v>
      </c>
      <c r="V179" s="793"/>
      <c r="W179" s="793" t="s">
        <v>70</v>
      </c>
      <c r="X179" s="793"/>
      <c r="Y179" s="793" t="s">
        <v>70</v>
      </c>
      <c r="Z179" s="793"/>
      <c r="AA179" s="793" t="s">
        <v>70</v>
      </c>
      <c r="AB179" s="813"/>
    </row>
    <row r="180" spans="1:28" x14ac:dyDescent="0.25">
      <c r="A180" s="821"/>
      <c r="B180" s="822"/>
      <c r="C180" s="833"/>
      <c r="D180" s="834"/>
      <c r="E180" s="809" t="s">
        <v>70</v>
      </c>
      <c r="F180" s="793"/>
      <c r="G180" s="814" t="s">
        <v>93</v>
      </c>
      <c r="H180" s="814"/>
      <c r="I180" s="793" t="s">
        <v>70</v>
      </c>
      <c r="J180" s="793"/>
      <c r="K180" s="793" t="s">
        <v>70</v>
      </c>
      <c r="L180" s="793"/>
      <c r="M180" s="793" t="s">
        <v>70</v>
      </c>
      <c r="N180" s="793"/>
      <c r="O180" s="793" t="s">
        <v>70</v>
      </c>
      <c r="P180" s="793"/>
      <c r="Q180" s="793" t="s">
        <v>70</v>
      </c>
      <c r="R180" s="793"/>
      <c r="S180" s="793" t="s">
        <v>70</v>
      </c>
      <c r="T180" s="793"/>
      <c r="U180" s="793" t="s">
        <v>70</v>
      </c>
      <c r="V180" s="793"/>
      <c r="W180" s="793" t="s">
        <v>70</v>
      </c>
      <c r="X180" s="793"/>
      <c r="Y180" s="793" t="s">
        <v>70</v>
      </c>
      <c r="Z180" s="793"/>
      <c r="AA180" s="793" t="s">
        <v>70</v>
      </c>
      <c r="AB180" s="813"/>
    </row>
    <row r="181" spans="1:28" x14ac:dyDescent="0.25">
      <c r="A181" s="821"/>
      <c r="B181" s="822"/>
      <c r="C181" s="831"/>
      <c r="D181" s="832"/>
      <c r="E181" s="809" t="s">
        <v>70</v>
      </c>
      <c r="F181" s="793"/>
      <c r="G181" s="793" t="s">
        <v>70</v>
      </c>
      <c r="H181" s="793"/>
      <c r="I181" s="793" t="s">
        <v>70</v>
      </c>
      <c r="J181" s="793"/>
      <c r="K181" s="793" t="s">
        <v>70</v>
      </c>
      <c r="L181" s="793"/>
      <c r="M181" s="793" t="s">
        <v>70</v>
      </c>
      <c r="N181" s="793"/>
      <c r="O181" s="793" t="s">
        <v>70</v>
      </c>
      <c r="P181" s="793"/>
      <c r="Q181" s="793" t="s">
        <v>70</v>
      </c>
      <c r="R181" s="793"/>
      <c r="S181" s="793" t="s">
        <v>70</v>
      </c>
      <c r="T181" s="793"/>
      <c r="U181" s="793" t="s">
        <v>70</v>
      </c>
      <c r="V181" s="793"/>
      <c r="W181" s="793" t="s">
        <v>70</v>
      </c>
      <c r="X181" s="793"/>
      <c r="Y181" s="793" t="s">
        <v>70</v>
      </c>
      <c r="Z181" s="793"/>
      <c r="AA181" s="793" t="s">
        <v>70</v>
      </c>
      <c r="AB181" s="813"/>
    </row>
    <row r="182" spans="1:28" x14ac:dyDescent="0.25">
      <c r="A182" s="821"/>
      <c r="B182" s="822"/>
      <c r="C182" s="831"/>
      <c r="D182" s="832"/>
      <c r="E182" s="809" t="s">
        <v>70</v>
      </c>
      <c r="F182" s="793"/>
      <c r="G182" s="793" t="s">
        <v>70</v>
      </c>
      <c r="H182" s="793"/>
      <c r="I182" s="793" t="s">
        <v>70</v>
      </c>
      <c r="J182" s="793"/>
      <c r="K182" s="793" t="s">
        <v>70</v>
      </c>
      <c r="L182" s="793"/>
      <c r="M182" s="793" t="s">
        <v>70</v>
      </c>
      <c r="N182" s="793"/>
      <c r="O182" s="793" t="s">
        <v>70</v>
      </c>
      <c r="P182" s="793"/>
      <c r="Q182" s="793" t="s">
        <v>70</v>
      </c>
      <c r="R182" s="793"/>
      <c r="S182" s="793" t="s">
        <v>70</v>
      </c>
      <c r="T182" s="793"/>
      <c r="U182" s="793" t="s">
        <v>70</v>
      </c>
      <c r="V182" s="793"/>
      <c r="W182" s="793" t="s">
        <v>70</v>
      </c>
      <c r="X182" s="793"/>
      <c r="Y182" s="793" t="s">
        <v>70</v>
      </c>
      <c r="Z182" s="793"/>
      <c r="AA182" s="793" t="s">
        <v>70</v>
      </c>
      <c r="AB182" s="813"/>
    </row>
    <row r="183" spans="1:28" x14ac:dyDescent="0.25">
      <c r="A183" s="821"/>
      <c r="B183" s="822"/>
      <c r="C183" s="833"/>
      <c r="D183" s="834"/>
      <c r="E183" s="814" t="s">
        <v>96</v>
      </c>
      <c r="F183" s="814"/>
      <c r="G183" s="793" t="s">
        <v>70</v>
      </c>
      <c r="H183" s="793"/>
      <c r="I183" s="793" t="s">
        <v>70</v>
      </c>
      <c r="J183" s="793"/>
      <c r="K183" s="793" t="s">
        <v>70</v>
      </c>
      <c r="L183" s="793"/>
      <c r="M183" s="793" t="s">
        <v>70</v>
      </c>
      <c r="N183" s="793"/>
      <c r="O183" s="793" t="s">
        <v>70</v>
      </c>
      <c r="P183" s="793"/>
      <c r="Q183" s="793" t="s">
        <v>70</v>
      </c>
      <c r="R183" s="793"/>
      <c r="S183" s="793" t="s">
        <v>70</v>
      </c>
      <c r="T183" s="793"/>
      <c r="U183" s="793" t="s">
        <v>70</v>
      </c>
      <c r="V183" s="793"/>
      <c r="W183" s="793" t="s">
        <v>70</v>
      </c>
      <c r="X183" s="793"/>
      <c r="Y183" s="793" t="s">
        <v>70</v>
      </c>
      <c r="Z183" s="793"/>
      <c r="AA183" s="793" t="s">
        <v>70</v>
      </c>
      <c r="AB183" s="813"/>
    </row>
    <row r="184" spans="1:28" x14ac:dyDescent="0.25">
      <c r="A184" s="821"/>
      <c r="B184" s="822"/>
      <c r="C184" s="833"/>
      <c r="D184" s="834"/>
      <c r="E184" s="809" t="s">
        <v>70</v>
      </c>
      <c r="F184" s="793"/>
      <c r="G184" s="793" t="s">
        <v>70</v>
      </c>
      <c r="H184" s="793"/>
      <c r="I184" s="793" t="s">
        <v>70</v>
      </c>
      <c r="J184" s="793"/>
      <c r="K184" s="793" t="s">
        <v>70</v>
      </c>
      <c r="L184" s="793"/>
      <c r="M184" s="793" t="s">
        <v>70</v>
      </c>
      <c r="N184" s="793"/>
      <c r="O184" s="793" t="s">
        <v>70</v>
      </c>
      <c r="P184" s="793"/>
      <c r="Q184" s="793" t="s">
        <v>70</v>
      </c>
      <c r="R184" s="793"/>
      <c r="S184" s="793" t="s">
        <v>70</v>
      </c>
      <c r="T184" s="793"/>
      <c r="U184" s="814" t="s">
        <v>97</v>
      </c>
      <c r="V184" s="814"/>
      <c r="W184" s="793" t="s">
        <v>70</v>
      </c>
      <c r="X184" s="793"/>
      <c r="Y184" s="793" t="s">
        <v>70</v>
      </c>
      <c r="Z184" s="793"/>
      <c r="AA184" s="793" t="s">
        <v>70</v>
      </c>
      <c r="AB184" s="813"/>
    </row>
    <row r="185" spans="1:28" ht="15.75" thickBot="1" x14ac:dyDescent="0.3">
      <c r="A185" s="823"/>
      <c r="B185" s="824"/>
      <c r="C185" s="833"/>
      <c r="D185" s="834"/>
      <c r="E185" s="810" t="s">
        <v>70</v>
      </c>
      <c r="F185" s="811"/>
      <c r="G185" s="811" t="s">
        <v>70</v>
      </c>
      <c r="H185" s="811"/>
      <c r="I185" s="811" t="s">
        <v>70</v>
      </c>
      <c r="J185" s="811"/>
      <c r="K185" s="811" t="s">
        <v>70</v>
      </c>
      <c r="L185" s="811"/>
      <c r="M185" s="811" t="s">
        <v>70</v>
      </c>
      <c r="N185" s="811"/>
      <c r="O185" s="811" t="s">
        <v>70</v>
      </c>
      <c r="P185" s="811"/>
      <c r="Q185" s="811" t="s">
        <v>70</v>
      </c>
      <c r="R185" s="811"/>
      <c r="S185" s="811" t="s">
        <v>70</v>
      </c>
      <c r="T185" s="811"/>
      <c r="U185" s="814" t="s">
        <v>290</v>
      </c>
      <c r="V185" s="814"/>
      <c r="W185" s="811"/>
      <c r="X185" s="811"/>
      <c r="Y185" s="811" t="s">
        <v>70</v>
      </c>
      <c r="Z185" s="811"/>
      <c r="AA185" s="811" t="s">
        <v>70</v>
      </c>
      <c r="AB185" s="825"/>
    </row>
    <row r="186" spans="1:28" x14ac:dyDescent="0.25">
      <c r="A186" s="798" t="s">
        <v>71</v>
      </c>
      <c r="B186" s="799"/>
      <c r="C186" s="843"/>
      <c r="D186" s="844"/>
      <c r="E186" s="804" t="s">
        <v>70</v>
      </c>
      <c r="F186" s="794"/>
      <c r="G186" s="814" t="s">
        <v>95</v>
      </c>
      <c r="H186" s="814"/>
      <c r="I186" s="794" t="s">
        <v>70</v>
      </c>
      <c r="J186" s="794"/>
      <c r="K186" s="794" t="s">
        <v>70</v>
      </c>
      <c r="L186" s="794"/>
      <c r="M186" s="794" t="s">
        <v>70</v>
      </c>
      <c r="N186" s="794"/>
      <c r="O186" s="794" t="s">
        <v>70</v>
      </c>
      <c r="P186" s="794"/>
      <c r="Q186" s="794" t="s">
        <v>70</v>
      </c>
      <c r="R186" s="794"/>
      <c r="S186" s="794" t="s">
        <v>70</v>
      </c>
      <c r="T186" s="794"/>
      <c r="U186" s="814" t="s">
        <v>98</v>
      </c>
      <c r="V186" s="814"/>
      <c r="W186" s="794" t="s">
        <v>70</v>
      </c>
      <c r="X186" s="794"/>
      <c r="Y186" s="794" t="s">
        <v>70</v>
      </c>
      <c r="Z186" s="794"/>
      <c r="AA186" s="794" t="s">
        <v>70</v>
      </c>
      <c r="AB186" s="812"/>
    </row>
    <row r="187" spans="1:28" x14ac:dyDescent="0.25">
      <c r="A187" s="800"/>
      <c r="B187" s="801"/>
      <c r="C187" s="833"/>
      <c r="D187" s="834"/>
      <c r="E187" s="814" t="s">
        <v>99</v>
      </c>
      <c r="F187" s="814"/>
      <c r="G187" s="793" t="s">
        <v>70</v>
      </c>
      <c r="H187" s="793"/>
      <c r="I187" s="793" t="s">
        <v>70</v>
      </c>
      <c r="J187" s="793"/>
      <c r="K187" s="793" t="s">
        <v>70</v>
      </c>
      <c r="L187" s="793"/>
      <c r="M187" s="793" t="s">
        <v>70</v>
      </c>
      <c r="N187" s="793"/>
      <c r="O187" s="793" t="s">
        <v>70</v>
      </c>
      <c r="P187" s="793"/>
      <c r="Q187" s="793" t="s">
        <v>70</v>
      </c>
      <c r="R187" s="793"/>
      <c r="S187" s="793" t="s">
        <v>70</v>
      </c>
      <c r="T187" s="793"/>
      <c r="U187" s="793" t="s">
        <v>70</v>
      </c>
      <c r="V187" s="793"/>
      <c r="W187" s="793" t="s">
        <v>70</v>
      </c>
      <c r="X187" s="793"/>
      <c r="Y187" s="793" t="s">
        <v>70</v>
      </c>
      <c r="Z187" s="793"/>
      <c r="AA187" s="793" t="s">
        <v>70</v>
      </c>
      <c r="AB187" s="813"/>
    </row>
    <row r="188" spans="1:28" x14ac:dyDescent="0.25">
      <c r="A188" s="800"/>
      <c r="B188" s="801"/>
      <c r="C188" s="833"/>
      <c r="D188" s="834"/>
      <c r="E188" s="809" t="s">
        <v>70</v>
      </c>
      <c r="F188" s="793"/>
      <c r="G188" s="793" t="s">
        <v>70</v>
      </c>
      <c r="H188" s="793"/>
      <c r="I188" s="793" t="s">
        <v>70</v>
      </c>
      <c r="J188" s="793"/>
      <c r="K188" s="793" t="s">
        <v>70</v>
      </c>
      <c r="L188" s="793"/>
      <c r="M188" s="793" t="s">
        <v>70</v>
      </c>
      <c r="N188" s="793"/>
      <c r="O188" s="793" t="s">
        <v>70</v>
      </c>
      <c r="P188" s="793"/>
      <c r="Q188" s="793" t="s">
        <v>70</v>
      </c>
      <c r="R188" s="793"/>
      <c r="S188" s="793" t="s">
        <v>70</v>
      </c>
      <c r="T188" s="793"/>
      <c r="U188" s="814" t="s">
        <v>100</v>
      </c>
      <c r="V188" s="814"/>
      <c r="W188" s="793" t="s">
        <v>70</v>
      </c>
      <c r="X188" s="793"/>
      <c r="Y188" s="793" t="s">
        <v>70</v>
      </c>
      <c r="Z188" s="793"/>
      <c r="AA188" s="793" t="s">
        <v>70</v>
      </c>
      <c r="AB188" s="813"/>
    </row>
    <row r="189" spans="1:28" x14ac:dyDescent="0.25">
      <c r="A189" s="800"/>
      <c r="B189" s="801"/>
      <c r="C189" s="833"/>
      <c r="D189" s="834"/>
      <c r="E189" s="809" t="s">
        <v>70</v>
      </c>
      <c r="F189" s="793"/>
      <c r="G189" s="814" t="s">
        <v>94</v>
      </c>
      <c r="H189" s="814"/>
      <c r="I189" s="793" t="s">
        <v>70</v>
      </c>
      <c r="J189" s="793"/>
      <c r="K189" s="793" t="s">
        <v>70</v>
      </c>
      <c r="L189" s="793"/>
      <c r="M189" s="793" t="s">
        <v>70</v>
      </c>
      <c r="N189" s="793"/>
      <c r="O189" s="793" t="s">
        <v>70</v>
      </c>
      <c r="P189" s="793"/>
      <c r="Q189" s="793" t="s">
        <v>70</v>
      </c>
      <c r="R189" s="793"/>
      <c r="S189" s="793" t="s">
        <v>70</v>
      </c>
      <c r="T189" s="793"/>
      <c r="U189" s="793" t="s">
        <v>70</v>
      </c>
      <c r="V189" s="793"/>
      <c r="W189" s="793" t="s">
        <v>70</v>
      </c>
      <c r="X189" s="793"/>
      <c r="Y189" s="793" t="s">
        <v>70</v>
      </c>
      <c r="Z189" s="793"/>
      <c r="AA189" s="793" t="s">
        <v>70</v>
      </c>
      <c r="AB189" s="813"/>
    </row>
    <row r="190" spans="1:28" x14ac:dyDescent="0.25">
      <c r="A190" s="800"/>
      <c r="B190" s="801"/>
      <c r="C190" s="831"/>
      <c r="D190" s="832"/>
      <c r="E190" s="809" t="s">
        <v>70</v>
      </c>
      <c r="F190" s="793"/>
      <c r="G190" s="793" t="s">
        <v>70</v>
      </c>
      <c r="H190" s="793"/>
      <c r="I190" s="793" t="s">
        <v>70</v>
      </c>
      <c r="J190" s="793"/>
      <c r="K190" s="793" t="s">
        <v>70</v>
      </c>
      <c r="L190" s="793"/>
      <c r="M190" s="793" t="s">
        <v>70</v>
      </c>
      <c r="N190" s="793"/>
      <c r="O190" s="793" t="s">
        <v>70</v>
      </c>
      <c r="P190" s="793"/>
      <c r="Q190" s="793" t="s">
        <v>70</v>
      </c>
      <c r="R190" s="793"/>
      <c r="S190" s="793" t="s">
        <v>70</v>
      </c>
      <c r="T190" s="793"/>
      <c r="U190" s="793" t="s">
        <v>70</v>
      </c>
      <c r="V190" s="793"/>
      <c r="W190" s="793" t="s">
        <v>70</v>
      </c>
      <c r="X190" s="793"/>
      <c r="Y190" s="793" t="s">
        <v>70</v>
      </c>
      <c r="Z190" s="793"/>
      <c r="AA190" s="793" t="s">
        <v>70</v>
      </c>
      <c r="AB190" s="813"/>
    </row>
    <row r="191" spans="1:28" x14ac:dyDescent="0.25">
      <c r="A191" s="800"/>
      <c r="B191" s="801"/>
      <c r="C191" s="831"/>
      <c r="D191" s="832"/>
      <c r="E191" s="809" t="s">
        <v>70</v>
      </c>
      <c r="F191" s="793"/>
      <c r="G191" s="793" t="s">
        <v>70</v>
      </c>
      <c r="H191" s="793"/>
      <c r="I191" s="793" t="s">
        <v>70</v>
      </c>
      <c r="J191" s="793"/>
      <c r="K191" s="793" t="s">
        <v>70</v>
      </c>
      <c r="L191" s="793"/>
      <c r="M191" s="793" t="s">
        <v>70</v>
      </c>
      <c r="N191" s="793"/>
      <c r="O191" s="793" t="s">
        <v>70</v>
      </c>
      <c r="P191" s="793"/>
      <c r="Q191" s="793" t="s">
        <v>70</v>
      </c>
      <c r="R191" s="793"/>
      <c r="S191" s="793" t="s">
        <v>70</v>
      </c>
      <c r="T191" s="793"/>
      <c r="U191" s="793" t="s">
        <v>70</v>
      </c>
      <c r="V191" s="793"/>
      <c r="W191" s="793" t="s">
        <v>70</v>
      </c>
      <c r="X191" s="793"/>
      <c r="Y191" s="793" t="s">
        <v>70</v>
      </c>
      <c r="Z191" s="793"/>
      <c r="AA191" s="793" t="s">
        <v>70</v>
      </c>
      <c r="AB191" s="813"/>
    </row>
    <row r="192" spans="1:28" x14ac:dyDescent="0.25">
      <c r="A192" s="800"/>
      <c r="B192" s="801"/>
      <c r="C192" s="833"/>
      <c r="D192" s="834"/>
      <c r="E192" s="814" t="s">
        <v>289</v>
      </c>
      <c r="F192" s="814"/>
      <c r="G192" s="814" t="s">
        <v>90</v>
      </c>
      <c r="H192" s="814"/>
      <c r="I192" s="793" t="s">
        <v>70</v>
      </c>
      <c r="J192" s="793"/>
      <c r="K192" s="793" t="s">
        <v>70</v>
      </c>
      <c r="L192" s="793"/>
      <c r="M192" s="793" t="s">
        <v>70</v>
      </c>
      <c r="N192" s="793"/>
      <c r="O192" s="793" t="s">
        <v>70</v>
      </c>
      <c r="P192" s="793"/>
      <c r="Q192" s="793" t="s">
        <v>70</v>
      </c>
      <c r="R192" s="793"/>
      <c r="S192" s="793" t="s">
        <v>70</v>
      </c>
      <c r="T192" s="793"/>
      <c r="U192" s="814" t="s">
        <v>289</v>
      </c>
      <c r="V192" s="814"/>
      <c r="W192" s="793" t="s">
        <v>70</v>
      </c>
      <c r="X192" s="793"/>
      <c r="Y192" s="793" t="s">
        <v>70</v>
      </c>
      <c r="Z192" s="793"/>
      <c r="AA192" s="793" t="s">
        <v>70</v>
      </c>
      <c r="AB192" s="813"/>
    </row>
    <row r="193" spans="1:28" x14ac:dyDescent="0.25">
      <c r="A193" s="800"/>
      <c r="B193" s="801"/>
      <c r="C193" s="833"/>
      <c r="D193" s="834"/>
      <c r="E193" s="814" t="s">
        <v>288</v>
      </c>
      <c r="F193" s="814"/>
      <c r="G193" s="814" t="s">
        <v>91</v>
      </c>
      <c r="H193" s="814"/>
      <c r="I193" s="793" t="s">
        <v>70</v>
      </c>
      <c r="J193" s="793"/>
      <c r="K193" s="793" t="s">
        <v>70</v>
      </c>
      <c r="L193" s="793"/>
      <c r="M193" s="793" t="s">
        <v>70</v>
      </c>
      <c r="N193" s="793"/>
      <c r="O193" s="793" t="s">
        <v>70</v>
      </c>
      <c r="P193" s="793"/>
      <c r="Q193" s="793" t="s">
        <v>70</v>
      </c>
      <c r="R193" s="793"/>
      <c r="S193" s="793" t="s">
        <v>70</v>
      </c>
      <c r="T193" s="793"/>
      <c r="U193" s="814" t="s">
        <v>288</v>
      </c>
      <c r="V193" s="814"/>
      <c r="W193" s="793" t="s">
        <v>70</v>
      </c>
      <c r="X193" s="793"/>
      <c r="Y193" s="793" t="s">
        <v>70</v>
      </c>
      <c r="Z193" s="793"/>
      <c r="AA193" s="793" t="s">
        <v>70</v>
      </c>
      <c r="AB193" s="813"/>
    </row>
    <row r="194" spans="1:28" x14ac:dyDescent="0.25">
      <c r="A194" s="800"/>
      <c r="B194" s="801"/>
      <c r="C194" s="831"/>
      <c r="D194" s="832"/>
      <c r="E194" s="809" t="s">
        <v>70</v>
      </c>
      <c r="F194" s="793"/>
      <c r="G194" s="793" t="s">
        <v>70</v>
      </c>
      <c r="H194" s="793"/>
      <c r="I194" s="793" t="s">
        <v>70</v>
      </c>
      <c r="J194" s="793"/>
      <c r="K194" s="793" t="s">
        <v>70</v>
      </c>
      <c r="L194" s="793"/>
      <c r="M194" s="793" t="s">
        <v>70</v>
      </c>
      <c r="N194" s="793"/>
      <c r="O194" s="793" t="s">
        <v>70</v>
      </c>
      <c r="P194" s="793"/>
      <c r="Q194" s="793" t="s">
        <v>70</v>
      </c>
      <c r="R194" s="793"/>
      <c r="S194" s="793" t="s">
        <v>70</v>
      </c>
      <c r="T194" s="793"/>
      <c r="U194" s="793" t="s">
        <v>70</v>
      </c>
      <c r="V194" s="793"/>
      <c r="W194" s="793" t="s">
        <v>70</v>
      </c>
      <c r="X194" s="793"/>
      <c r="Y194" s="793" t="s">
        <v>70</v>
      </c>
      <c r="Z194" s="793"/>
      <c r="AA194" s="793" t="s">
        <v>70</v>
      </c>
      <c r="AB194" s="813"/>
    </row>
    <row r="195" spans="1:28" x14ac:dyDescent="0.25">
      <c r="A195" s="800"/>
      <c r="B195" s="801"/>
      <c r="C195" s="831"/>
      <c r="D195" s="832"/>
      <c r="E195" s="809" t="s">
        <v>70</v>
      </c>
      <c r="F195" s="793"/>
      <c r="G195" s="793" t="s">
        <v>70</v>
      </c>
      <c r="H195" s="793"/>
      <c r="I195" s="793" t="s">
        <v>70</v>
      </c>
      <c r="J195" s="793"/>
      <c r="K195" s="793" t="s">
        <v>70</v>
      </c>
      <c r="L195" s="793"/>
      <c r="M195" s="793" t="s">
        <v>70</v>
      </c>
      <c r="N195" s="793"/>
      <c r="O195" s="793" t="s">
        <v>70</v>
      </c>
      <c r="P195" s="793"/>
      <c r="Q195" s="793" t="s">
        <v>70</v>
      </c>
      <c r="R195" s="793"/>
      <c r="S195" s="793" t="s">
        <v>70</v>
      </c>
      <c r="T195" s="793"/>
      <c r="U195" s="829" t="s">
        <v>70</v>
      </c>
      <c r="V195" s="809"/>
      <c r="W195" s="793" t="s">
        <v>70</v>
      </c>
      <c r="X195" s="793"/>
      <c r="Y195" s="793" t="s">
        <v>70</v>
      </c>
      <c r="Z195" s="793"/>
      <c r="AA195" s="793" t="s">
        <v>70</v>
      </c>
      <c r="AB195" s="813"/>
    </row>
    <row r="196" spans="1:28" ht="15.75" thickBot="1" x14ac:dyDescent="0.3">
      <c r="A196" s="800"/>
      <c r="B196" s="801"/>
      <c r="C196" s="833"/>
      <c r="D196" s="834"/>
      <c r="E196" s="809" t="s">
        <v>70</v>
      </c>
      <c r="F196" s="793"/>
      <c r="G196" s="793" t="s">
        <v>70</v>
      </c>
      <c r="H196" s="793"/>
      <c r="I196" s="793" t="s">
        <v>70</v>
      </c>
      <c r="J196" s="793"/>
      <c r="K196" s="793" t="s">
        <v>70</v>
      </c>
      <c r="L196" s="793"/>
      <c r="M196" s="793" t="s">
        <v>70</v>
      </c>
      <c r="N196" s="793"/>
      <c r="O196" s="793" t="s">
        <v>70</v>
      </c>
      <c r="P196" s="793"/>
      <c r="Q196" s="793" t="s">
        <v>70</v>
      </c>
      <c r="R196" s="793"/>
      <c r="S196" s="793" t="s">
        <v>70</v>
      </c>
      <c r="T196" s="793"/>
      <c r="U196" s="814" t="s">
        <v>265</v>
      </c>
      <c r="V196" s="828"/>
      <c r="W196" s="793" t="s">
        <v>70</v>
      </c>
      <c r="X196" s="793"/>
      <c r="Y196" s="793" t="s">
        <v>70</v>
      </c>
      <c r="Z196" s="793"/>
      <c r="AA196" s="793" t="s">
        <v>70</v>
      </c>
      <c r="AB196" s="813"/>
    </row>
    <row r="197" spans="1:28" x14ac:dyDescent="0.25">
      <c r="A197" s="798" t="s">
        <v>72</v>
      </c>
      <c r="B197" s="799"/>
      <c r="C197" s="839"/>
      <c r="D197" s="840"/>
      <c r="E197" s="804" t="s">
        <v>70</v>
      </c>
      <c r="F197" s="794"/>
      <c r="G197" s="794" t="s">
        <v>70</v>
      </c>
      <c r="H197" s="794"/>
      <c r="I197" s="794" t="s">
        <v>70</v>
      </c>
      <c r="J197" s="794"/>
      <c r="K197" s="794" t="s">
        <v>70</v>
      </c>
      <c r="L197" s="794"/>
      <c r="M197" s="794" t="s">
        <v>70</v>
      </c>
      <c r="N197" s="794"/>
      <c r="O197" s="794" t="s">
        <v>70</v>
      </c>
      <c r="P197" s="794"/>
      <c r="Q197" s="794" t="s">
        <v>70</v>
      </c>
      <c r="R197" s="794"/>
      <c r="S197" s="794" t="s">
        <v>70</v>
      </c>
      <c r="T197" s="794"/>
      <c r="U197" s="794" t="s">
        <v>70</v>
      </c>
      <c r="V197" s="794"/>
      <c r="W197" s="794" t="s">
        <v>70</v>
      </c>
      <c r="X197" s="794"/>
      <c r="Y197" s="794" t="s">
        <v>70</v>
      </c>
      <c r="Z197" s="794"/>
      <c r="AA197" s="794" t="s">
        <v>70</v>
      </c>
      <c r="AB197" s="812"/>
    </row>
    <row r="198" spans="1:28" ht="15.75" thickBot="1" x14ac:dyDescent="0.3">
      <c r="A198" s="802"/>
      <c r="B198" s="803"/>
      <c r="C198" s="841"/>
      <c r="D198" s="842"/>
      <c r="E198" s="810" t="s">
        <v>70</v>
      </c>
      <c r="F198" s="811"/>
      <c r="G198" s="811" t="s">
        <v>70</v>
      </c>
      <c r="H198" s="811"/>
      <c r="I198" s="811" t="s">
        <v>70</v>
      </c>
      <c r="J198" s="811"/>
      <c r="K198" s="811" t="s">
        <v>70</v>
      </c>
      <c r="L198" s="811"/>
      <c r="M198" s="811" t="s">
        <v>70</v>
      </c>
      <c r="N198" s="811"/>
      <c r="O198" s="811" t="s">
        <v>70</v>
      </c>
      <c r="P198" s="811"/>
      <c r="Q198" s="811" t="s">
        <v>70</v>
      </c>
      <c r="R198" s="811"/>
      <c r="S198" s="811" t="s">
        <v>70</v>
      </c>
      <c r="T198" s="811"/>
      <c r="U198" s="845" t="s">
        <v>70</v>
      </c>
      <c r="V198" s="810"/>
      <c r="W198" s="811" t="s">
        <v>70</v>
      </c>
      <c r="X198" s="811"/>
      <c r="Y198" s="811" t="s">
        <v>70</v>
      </c>
      <c r="Z198" s="811"/>
      <c r="AA198" s="811" t="s">
        <v>70</v>
      </c>
      <c r="AB198" s="825"/>
    </row>
  </sheetData>
  <mergeCells count="1350">
    <mergeCell ref="A98:B98"/>
    <mergeCell ref="A97:B97"/>
    <mergeCell ref="A96:B96"/>
    <mergeCell ref="A95:B95"/>
    <mergeCell ref="A32:B32"/>
    <mergeCell ref="A33:B33"/>
    <mergeCell ref="A34:B34"/>
    <mergeCell ref="A35:B35"/>
    <mergeCell ref="A36:B36"/>
    <mergeCell ref="A37:B37"/>
    <mergeCell ref="A38:B38"/>
    <mergeCell ref="O198:P198"/>
    <mergeCell ref="Q198:R198"/>
    <mergeCell ref="S198:T198"/>
    <mergeCell ref="W198:X198"/>
    <mergeCell ref="Y198:Z198"/>
    <mergeCell ref="K197:L197"/>
    <mergeCell ref="M197:N197"/>
    <mergeCell ref="A158:B158"/>
    <mergeCell ref="A159:B159"/>
    <mergeCell ref="A157:B157"/>
    <mergeCell ref="A160:B160"/>
    <mergeCell ref="A161:B161"/>
    <mergeCell ref="A162:B162"/>
    <mergeCell ref="A163:B163"/>
    <mergeCell ref="A101:B101"/>
    <mergeCell ref="A100:B100"/>
    <mergeCell ref="A99:B99"/>
    <mergeCell ref="Y196:Z196"/>
    <mergeCell ref="S185:T185"/>
    <mergeCell ref="U185:V185"/>
    <mergeCell ref="C185:D185"/>
    <mergeCell ref="AA196:AB196"/>
    <mergeCell ref="C196:D196"/>
    <mergeCell ref="U196:V196"/>
    <mergeCell ref="M196:N196"/>
    <mergeCell ref="O196:P196"/>
    <mergeCell ref="Q196:R196"/>
    <mergeCell ref="S196:T196"/>
    <mergeCell ref="E196:F196"/>
    <mergeCell ref="G196:H196"/>
    <mergeCell ref="I196:J196"/>
    <mergeCell ref="K196:L196"/>
    <mergeCell ref="O197:P197"/>
    <mergeCell ref="Q197:R197"/>
    <mergeCell ref="S197:T197"/>
    <mergeCell ref="A197:B198"/>
    <mergeCell ref="C197:D197"/>
    <mergeCell ref="E197:F197"/>
    <mergeCell ref="G197:H197"/>
    <mergeCell ref="I197:J197"/>
    <mergeCell ref="AA198:AB198"/>
    <mergeCell ref="U198:V198"/>
    <mergeCell ref="U197:V197"/>
    <mergeCell ref="W197:X197"/>
    <mergeCell ref="Y197:Z197"/>
    <mergeCell ref="AA197:AB197"/>
    <mergeCell ref="C198:D198"/>
    <mergeCell ref="E198:F198"/>
    <mergeCell ref="G198:H198"/>
    <mergeCell ref="I198:J198"/>
    <mergeCell ref="K198:L198"/>
    <mergeCell ref="M198:N198"/>
    <mergeCell ref="A186:B196"/>
    <mergeCell ref="AA194:AB194"/>
    <mergeCell ref="C195:D195"/>
    <mergeCell ref="E195:F195"/>
    <mergeCell ref="G195:H195"/>
    <mergeCell ref="I195:J195"/>
    <mergeCell ref="K195:L195"/>
    <mergeCell ref="M195:N195"/>
    <mergeCell ref="O195:P195"/>
    <mergeCell ref="Q195:R195"/>
    <mergeCell ref="S195:T195"/>
    <mergeCell ref="U195:V195"/>
    <mergeCell ref="W195:X195"/>
    <mergeCell ref="Y195:Z195"/>
    <mergeCell ref="AA195:AB195"/>
    <mergeCell ref="M194:N194"/>
    <mergeCell ref="O194:P194"/>
    <mergeCell ref="Q194:R194"/>
    <mergeCell ref="S194:T194"/>
    <mergeCell ref="U194:V194"/>
    <mergeCell ref="C194:D194"/>
    <mergeCell ref="E194:F194"/>
    <mergeCell ref="G194:H194"/>
    <mergeCell ref="I194:J194"/>
    <mergeCell ref="K194:L194"/>
    <mergeCell ref="AA192:AB192"/>
    <mergeCell ref="C193:D193"/>
    <mergeCell ref="E193:F193"/>
    <mergeCell ref="G193:H193"/>
    <mergeCell ref="I193:J193"/>
    <mergeCell ref="K193:L193"/>
    <mergeCell ref="M193:N193"/>
    <mergeCell ref="O193:P193"/>
    <mergeCell ref="Q193:R193"/>
    <mergeCell ref="S193:T193"/>
    <mergeCell ref="U193:V193"/>
    <mergeCell ref="W193:X193"/>
    <mergeCell ref="Y193:Z193"/>
    <mergeCell ref="AA193:AB193"/>
    <mergeCell ref="M192:N192"/>
    <mergeCell ref="O192:P192"/>
    <mergeCell ref="Q192:R192"/>
    <mergeCell ref="S192:T192"/>
    <mergeCell ref="U192:V192"/>
    <mergeCell ref="C192:D192"/>
    <mergeCell ref="E192:F192"/>
    <mergeCell ref="G192:H192"/>
    <mergeCell ref="I192:J192"/>
    <mergeCell ref="K192:L192"/>
    <mergeCell ref="AA190:AB190"/>
    <mergeCell ref="C191:D191"/>
    <mergeCell ref="E191:F191"/>
    <mergeCell ref="G191:H191"/>
    <mergeCell ref="I191:J191"/>
    <mergeCell ref="K191:L191"/>
    <mergeCell ref="M191:N191"/>
    <mergeCell ref="O191:P191"/>
    <mergeCell ref="Q191:R191"/>
    <mergeCell ref="S191:T191"/>
    <mergeCell ref="U191:V191"/>
    <mergeCell ref="W191:X191"/>
    <mergeCell ref="Y191:Z191"/>
    <mergeCell ref="AA191:AB191"/>
    <mergeCell ref="M190:N190"/>
    <mergeCell ref="O190:P190"/>
    <mergeCell ref="Q190:R190"/>
    <mergeCell ref="S190:T190"/>
    <mergeCell ref="U190:V190"/>
    <mergeCell ref="C190:D190"/>
    <mergeCell ref="E190:F190"/>
    <mergeCell ref="G190:H190"/>
    <mergeCell ref="I190:J190"/>
    <mergeCell ref="K190:L190"/>
    <mergeCell ref="AA188:AB188"/>
    <mergeCell ref="C189:D189"/>
    <mergeCell ref="E189:F189"/>
    <mergeCell ref="G189:H189"/>
    <mergeCell ref="I189:J189"/>
    <mergeCell ref="K189:L189"/>
    <mergeCell ref="M189:N189"/>
    <mergeCell ref="O189:P189"/>
    <mergeCell ref="Q189:R189"/>
    <mergeCell ref="S189:T189"/>
    <mergeCell ref="U189:V189"/>
    <mergeCell ref="W189:X189"/>
    <mergeCell ref="Y189:Z189"/>
    <mergeCell ref="AA189:AB189"/>
    <mergeCell ref="M188:N188"/>
    <mergeCell ref="O188:P188"/>
    <mergeCell ref="Q188:R188"/>
    <mergeCell ref="S188:T188"/>
    <mergeCell ref="U188:V188"/>
    <mergeCell ref="C188:D188"/>
    <mergeCell ref="E188:F188"/>
    <mergeCell ref="G188:H188"/>
    <mergeCell ref="I188:J188"/>
    <mergeCell ref="K188:L188"/>
    <mergeCell ref="AA186:AB186"/>
    <mergeCell ref="C187:D187"/>
    <mergeCell ref="E187:F187"/>
    <mergeCell ref="G187:H187"/>
    <mergeCell ref="I187:J187"/>
    <mergeCell ref="K187:L187"/>
    <mergeCell ref="M187:N187"/>
    <mergeCell ref="O187:P187"/>
    <mergeCell ref="Q187:R187"/>
    <mergeCell ref="S187:T187"/>
    <mergeCell ref="U187:V187"/>
    <mergeCell ref="W187:X187"/>
    <mergeCell ref="Y187:Z187"/>
    <mergeCell ref="AA187:AB187"/>
    <mergeCell ref="W185:X185"/>
    <mergeCell ref="Y185:Z185"/>
    <mergeCell ref="AA185:AB185"/>
    <mergeCell ref="C186:D186"/>
    <mergeCell ref="E186:F186"/>
    <mergeCell ref="G186:H186"/>
    <mergeCell ref="I186:J186"/>
    <mergeCell ref="K186:L186"/>
    <mergeCell ref="M186:N186"/>
    <mergeCell ref="O186:P186"/>
    <mergeCell ref="Q186:R186"/>
    <mergeCell ref="S186:T186"/>
    <mergeCell ref="U186:V186"/>
    <mergeCell ref="W186:X186"/>
    <mergeCell ref="Y186:Z186"/>
    <mergeCell ref="M185:N185"/>
    <mergeCell ref="O185:P185"/>
    <mergeCell ref="Q185:R185"/>
    <mergeCell ref="E185:F185"/>
    <mergeCell ref="G185:H185"/>
    <mergeCell ref="I185:J185"/>
    <mergeCell ref="K185:L185"/>
    <mergeCell ref="W188:X188"/>
    <mergeCell ref="Y188:Z188"/>
    <mergeCell ref="W190:X190"/>
    <mergeCell ref="Y190:Z190"/>
    <mergeCell ref="W192:X192"/>
    <mergeCell ref="Y192:Z192"/>
    <mergeCell ref="W194:X194"/>
    <mergeCell ref="Y194:Z194"/>
    <mergeCell ref="W196:X196"/>
    <mergeCell ref="W183:X183"/>
    <mergeCell ref="Y183:Z183"/>
    <mergeCell ref="AA183:AB183"/>
    <mergeCell ref="C184:D184"/>
    <mergeCell ref="E184:F184"/>
    <mergeCell ref="G184:H184"/>
    <mergeCell ref="I184:J184"/>
    <mergeCell ref="K184:L184"/>
    <mergeCell ref="M184:N184"/>
    <mergeCell ref="O184:P184"/>
    <mergeCell ref="Q184:R184"/>
    <mergeCell ref="S184:T184"/>
    <mergeCell ref="U184:V184"/>
    <mergeCell ref="W184:X184"/>
    <mergeCell ref="Y184:Z184"/>
    <mergeCell ref="AA184:AB184"/>
    <mergeCell ref="M183:N183"/>
    <mergeCell ref="O183:P183"/>
    <mergeCell ref="Q183:R183"/>
    <mergeCell ref="S183:T183"/>
    <mergeCell ref="U183:V183"/>
    <mergeCell ref="C183:D183"/>
    <mergeCell ref="E183:F183"/>
    <mergeCell ref="G183:H183"/>
    <mergeCell ref="I183:J183"/>
    <mergeCell ref="K183:L183"/>
    <mergeCell ref="W181:X181"/>
    <mergeCell ref="Y181:Z181"/>
    <mergeCell ref="AA181:AB181"/>
    <mergeCell ref="C182:D182"/>
    <mergeCell ref="E182:F182"/>
    <mergeCell ref="G182:H182"/>
    <mergeCell ref="I182:J182"/>
    <mergeCell ref="K182:L182"/>
    <mergeCell ref="M182:N182"/>
    <mergeCell ref="O182:P182"/>
    <mergeCell ref="Q182:R182"/>
    <mergeCell ref="S182:T182"/>
    <mergeCell ref="U182:V182"/>
    <mergeCell ref="W182:X182"/>
    <mergeCell ref="Y182:Z182"/>
    <mergeCell ref="AA182:AB182"/>
    <mergeCell ref="M181:N181"/>
    <mergeCell ref="O181:P181"/>
    <mergeCell ref="Q181:R181"/>
    <mergeCell ref="S181:T181"/>
    <mergeCell ref="U181:V181"/>
    <mergeCell ref="C181:D181"/>
    <mergeCell ref="E181:F181"/>
    <mergeCell ref="G181:H181"/>
    <mergeCell ref="I181:J181"/>
    <mergeCell ref="K181:L181"/>
    <mergeCell ref="W179:X179"/>
    <mergeCell ref="Y179:Z179"/>
    <mergeCell ref="AA179:AB179"/>
    <mergeCell ref="C180:D180"/>
    <mergeCell ref="E180:F180"/>
    <mergeCell ref="G180:H180"/>
    <mergeCell ref="I180:J180"/>
    <mergeCell ref="K180:L180"/>
    <mergeCell ref="M180:N180"/>
    <mergeCell ref="O180:P180"/>
    <mergeCell ref="Q180:R180"/>
    <mergeCell ref="S180:T180"/>
    <mergeCell ref="U180:V180"/>
    <mergeCell ref="W180:X180"/>
    <mergeCell ref="Y180:Z180"/>
    <mergeCell ref="AA180:AB180"/>
    <mergeCell ref="M179:N179"/>
    <mergeCell ref="O179:P179"/>
    <mergeCell ref="Q179:R179"/>
    <mergeCell ref="S179:T179"/>
    <mergeCell ref="U179:V179"/>
    <mergeCell ref="C179:D179"/>
    <mergeCell ref="E179:F179"/>
    <mergeCell ref="G179:H179"/>
    <mergeCell ref="I179:J179"/>
    <mergeCell ref="K179:L179"/>
    <mergeCell ref="W177:X177"/>
    <mergeCell ref="Y177:Z177"/>
    <mergeCell ref="AA177:AB177"/>
    <mergeCell ref="C178:D178"/>
    <mergeCell ref="E178:F178"/>
    <mergeCell ref="G178:H178"/>
    <mergeCell ref="I178:J178"/>
    <mergeCell ref="K178:L178"/>
    <mergeCell ref="M178:N178"/>
    <mergeCell ref="O178:P178"/>
    <mergeCell ref="Q178:R178"/>
    <mergeCell ref="S178:T178"/>
    <mergeCell ref="U178:V178"/>
    <mergeCell ref="W178:X178"/>
    <mergeCell ref="Y178:Z178"/>
    <mergeCell ref="AA178:AB178"/>
    <mergeCell ref="M177:N177"/>
    <mergeCell ref="O177:P177"/>
    <mergeCell ref="Q177:R177"/>
    <mergeCell ref="S177:T177"/>
    <mergeCell ref="U177:V177"/>
    <mergeCell ref="C177:D177"/>
    <mergeCell ref="E177:F177"/>
    <mergeCell ref="G177:H177"/>
    <mergeCell ref="I177:J177"/>
    <mergeCell ref="K177:L177"/>
    <mergeCell ref="W175:X175"/>
    <mergeCell ref="Y175:Z175"/>
    <mergeCell ref="AA175:AB175"/>
    <mergeCell ref="C176:D176"/>
    <mergeCell ref="E176:F176"/>
    <mergeCell ref="G176:H176"/>
    <mergeCell ref="I176:J176"/>
    <mergeCell ref="K176:L176"/>
    <mergeCell ref="M176:N176"/>
    <mergeCell ref="O176:P176"/>
    <mergeCell ref="Q176:R176"/>
    <mergeCell ref="S176:T176"/>
    <mergeCell ref="U176:V176"/>
    <mergeCell ref="W176:X176"/>
    <mergeCell ref="Y176:Z176"/>
    <mergeCell ref="AA176:AB176"/>
    <mergeCell ref="M175:N175"/>
    <mergeCell ref="O175:P175"/>
    <mergeCell ref="Q175:R175"/>
    <mergeCell ref="S175:T175"/>
    <mergeCell ref="U175:V175"/>
    <mergeCell ref="C175:D175"/>
    <mergeCell ref="E175:F175"/>
    <mergeCell ref="G175:H175"/>
    <mergeCell ref="I175:J175"/>
    <mergeCell ref="K175:L175"/>
    <mergeCell ref="W173:X173"/>
    <mergeCell ref="Y173:Z173"/>
    <mergeCell ref="AA173:AB173"/>
    <mergeCell ref="C174:D174"/>
    <mergeCell ref="E174:F174"/>
    <mergeCell ref="G174:H174"/>
    <mergeCell ref="I174:J174"/>
    <mergeCell ref="K174:L174"/>
    <mergeCell ref="M174:N174"/>
    <mergeCell ref="O174:P174"/>
    <mergeCell ref="Q174:R174"/>
    <mergeCell ref="S174:T174"/>
    <mergeCell ref="U174:V174"/>
    <mergeCell ref="W174:X174"/>
    <mergeCell ref="Y174:Z174"/>
    <mergeCell ref="AA174:AB174"/>
    <mergeCell ref="M173:N173"/>
    <mergeCell ref="O173:P173"/>
    <mergeCell ref="Q173:R173"/>
    <mergeCell ref="S173:T173"/>
    <mergeCell ref="U173:V173"/>
    <mergeCell ref="C173:D173"/>
    <mergeCell ref="E173:F173"/>
    <mergeCell ref="G173:H173"/>
    <mergeCell ref="I173:J173"/>
    <mergeCell ref="K173:L173"/>
    <mergeCell ref="W171:X171"/>
    <mergeCell ref="Y171:Z171"/>
    <mergeCell ref="AA171:AB171"/>
    <mergeCell ref="C172:D172"/>
    <mergeCell ref="E172:F172"/>
    <mergeCell ref="G172:H172"/>
    <mergeCell ref="I172:J172"/>
    <mergeCell ref="K172:L172"/>
    <mergeCell ref="M172:N172"/>
    <mergeCell ref="O172:P172"/>
    <mergeCell ref="Q172:R172"/>
    <mergeCell ref="S172:T172"/>
    <mergeCell ref="U172:V172"/>
    <mergeCell ref="W172:X172"/>
    <mergeCell ref="Y172:Z172"/>
    <mergeCell ref="AA172:AB172"/>
    <mergeCell ref="M171:N171"/>
    <mergeCell ref="O171:P171"/>
    <mergeCell ref="Q171:R171"/>
    <mergeCell ref="S171:T171"/>
    <mergeCell ref="U171:V171"/>
    <mergeCell ref="C171:D171"/>
    <mergeCell ref="E171:F171"/>
    <mergeCell ref="G171:H171"/>
    <mergeCell ref="I171:J171"/>
    <mergeCell ref="K171:L171"/>
    <mergeCell ref="C170:D170"/>
    <mergeCell ref="E170:F170"/>
    <mergeCell ref="G170:H170"/>
    <mergeCell ref="I170:J170"/>
    <mergeCell ref="K170:L170"/>
    <mergeCell ref="M170:N170"/>
    <mergeCell ref="O170:P170"/>
    <mergeCell ref="Q170:R170"/>
    <mergeCell ref="S170:T170"/>
    <mergeCell ref="U170:V170"/>
    <mergeCell ref="W170:X170"/>
    <mergeCell ref="Y170:Z170"/>
    <mergeCell ref="AA170:AB170"/>
    <mergeCell ref="O169:P169"/>
    <mergeCell ref="Q169:R169"/>
    <mergeCell ref="S169:T169"/>
    <mergeCell ref="U169:V169"/>
    <mergeCell ref="W169:X169"/>
    <mergeCell ref="E169:F169"/>
    <mergeCell ref="G169:H169"/>
    <mergeCell ref="I169:J169"/>
    <mergeCell ref="K169:L169"/>
    <mergeCell ref="M169:N169"/>
    <mergeCell ref="AA167:AB167"/>
    <mergeCell ref="A168:B185"/>
    <mergeCell ref="C168:D168"/>
    <mergeCell ref="E168:F168"/>
    <mergeCell ref="G168:H168"/>
    <mergeCell ref="I168:J168"/>
    <mergeCell ref="K168:L168"/>
    <mergeCell ref="M168:N168"/>
    <mergeCell ref="O168:P168"/>
    <mergeCell ref="Q168:R168"/>
    <mergeCell ref="S168:T168"/>
    <mergeCell ref="U168:V168"/>
    <mergeCell ref="W168:X168"/>
    <mergeCell ref="Y168:Z168"/>
    <mergeCell ref="AA168:AB168"/>
    <mergeCell ref="C169:D169"/>
    <mergeCell ref="A165:AB165"/>
    <mergeCell ref="A167:B167"/>
    <mergeCell ref="C167:D167"/>
    <mergeCell ref="E167:F167"/>
    <mergeCell ref="G167:H167"/>
    <mergeCell ref="I167:J167"/>
    <mergeCell ref="K167:L167"/>
    <mergeCell ref="M167:N167"/>
    <mergeCell ref="O167:P167"/>
    <mergeCell ref="Q167:R167"/>
    <mergeCell ref="S167:T167"/>
    <mergeCell ref="U167:V167"/>
    <mergeCell ref="W167:X167"/>
    <mergeCell ref="Y167:Z167"/>
    <mergeCell ref="Y169:Z169"/>
    <mergeCell ref="AA169:AB169"/>
    <mergeCell ref="C106:D106"/>
    <mergeCell ref="C105:D105"/>
    <mergeCell ref="C107:D107"/>
    <mergeCell ref="C108:D108"/>
    <mergeCell ref="C109:D109"/>
    <mergeCell ref="A140:AB140"/>
    <mergeCell ref="C135:D135"/>
    <mergeCell ref="C136:D136"/>
    <mergeCell ref="C130:D130"/>
    <mergeCell ref="C131:D131"/>
    <mergeCell ref="C132:D132"/>
    <mergeCell ref="C133:D133"/>
    <mergeCell ref="C134:D134"/>
    <mergeCell ref="C125:D125"/>
    <mergeCell ref="C126:D126"/>
    <mergeCell ref="C127:D127"/>
    <mergeCell ref="C128:D128"/>
    <mergeCell ref="C129:D129"/>
    <mergeCell ref="AA136:AB136"/>
    <mergeCell ref="Q136:R136"/>
    <mergeCell ref="S136:T136"/>
    <mergeCell ref="AA135:AB135"/>
    <mergeCell ref="E136:F136"/>
    <mergeCell ref="C120:D120"/>
    <mergeCell ref="C121:D121"/>
    <mergeCell ref="C122:D122"/>
    <mergeCell ref="C123:D123"/>
    <mergeCell ref="C124:D124"/>
    <mergeCell ref="C115:D115"/>
    <mergeCell ref="C116:D116"/>
    <mergeCell ref="C117:D117"/>
    <mergeCell ref="C118:D118"/>
    <mergeCell ref="C119:D119"/>
    <mergeCell ref="C110:D110"/>
    <mergeCell ref="C111:D111"/>
    <mergeCell ref="C112:D112"/>
    <mergeCell ref="C113:D113"/>
    <mergeCell ref="C114:D114"/>
    <mergeCell ref="U136:V136"/>
    <mergeCell ref="W136:X136"/>
    <mergeCell ref="Y136:Z136"/>
    <mergeCell ref="G136:H136"/>
    <mergeCell ref="I136:J136"/>
    <mergeCell ref="K136:L136"/>
    <mergeCell ref="M136:N136"/>
    <mergeCell ref="O136:P136"/>
    <mergeCell ref="A135:B136"/>
    <mergeCell ref="E135:F135"/>
    <mergeCell ref="G135:H135"/>
    <mergeCell ref="I135:J135"/>
    <mergeCell ref="K135:L135"/>
    <mergeCell ref="M135:N135"/>
    <mergeCell ref="O135:P135"/>
    <mergeCell ref="Q135:R135"/>
    <mergeCell ref="S135:T135"/>
    <mergeCell ref="U135:V135"/>
    <mergeCell ref="W135:X135"/>
    <mergeCell ref="Y135:Z135"/>
    <mergeCell ref="Y133:Z133"/>
    <mergeCell ref="Y131:Z131"/>
    <mergeCell ref="Y129:Z129"/>
    <mergeCell ref="Y127:Z127"/>
    <mergeCell ref="O126:P126"/>
    <mergeCell ref="Q126:R126"/>
    <mergeCell ref="AA133:AB133"/>
    <mergeCell ref="E134:F134"/>
    <mergeCell ref="G134:H134"/>
    <mergeCell ref="I134:J134"/>
    <mergeCell ref="K134:L134"/>
    <mergeCell ref="M134:N134"/>
    <mergeCell ref="O134:P134"/>
    <mergeCell ref="Q134:R134"/>
    <mergeCell ref="S134:T134"/>
    <mergeCell ref="U134:V134"/>
    <mergeCell ref="W134:X134"/>
    <mergeCell ref="Y134:Z134"/>
    <mergeCell ref="AA134:AB134"/>
    <mergeCell ref="O133:P133"/>
    <mergeCell ref="Q133:R133"/>
    <mergeCell ref="S133:T133"/>
    <mergeCell ref="U133:V133"/>
    <mergeCell ref="W133:X133"/>
    <mergeCell ref="E133:F133"/>
    <mergeCell ref="G133:H133"/>
    <mergeCell ref="I133:J133"/>
    <mergeCell ref="K133:L133"/>
    <mergeCell ref="M133:N133"/>
    <mergeCell ref="AA131:AB131"/>
    <mergeCell ref="E132:F132"/>
    <mergeCell ref="G132:H132"/>
    <mergeCell ref="I132:J132"/>
    <mergeCell ref="K132:L132"/>
    <mergeCell ref="M132:N132"/>
    <mergeCell ref="O132:P132"/>
    <mergeCell ref="Q132:R132"/>
    <mergeCell ref="S132:T132"/>
    <mergeCell ref="U132:V132"/>
    <mergeCell ref="W132:X132"/>
    <mergeCell ref="Y132:Z132"/>
    <mergeCell ref="AA132:AB132"/>
    <mergeCell ref="O131:P131"/>
    <mergeCell ref="Q131:R131"/>
    <mergeCell ref="S131:T131"/>
    <mergeCell ref="U131:V131"/>
    <mergeCell ref="W131:X131"/>
    <mergeCell ref="E131:F131"/>
    <mergeCell ref="G131:H131"/>
    <mergeCell ref="I131:J131"/>
    <mergeCell ref="K131:L131"/>
    <mergeCell ref="M131:N131"/>
    <mergeCell ref="W127:X127"/>
    <mergeCell ref="E127:F127"/>
    <mergeCell ref="G127:H127"/>
    <mergeCell ref="I127:J127"/>
    <mergeCell ref="K127:L127"/>
    <mergeCell ref="M127:N127"/>
    <mergeCell ref="AA129:AB129"/>
    <mergeCell ref="E130:F130"/>
    <mergeCell ref="G130:H130"/>
    <mergeCell ref="I130:J130"/>
    <mergeCell ref="K130:L130"/>
    <mergeCell ref="M130:N130"/>
    <mergeCell ref="O130:P130"/>
    <mergeCell ref="Q130:R130"/>
    <mergeCell ref="S130:T130"/>
    <mergeCell ref="U130:V130"/>
    <mergeCell ref="W130:X130"/>
    <mergeCell ref="Y130:Z130"/>
    <mergeCell ref="AA130:AB130"/>
    <mergeCell ref="O129:P129"/>
    <mergeCell ref="Q129:R129"/>
    <mergeCell ref="S129:T129"/>
    <mergeCell ref="U129:V129"/>
    <mergeCell ref="W129:X129"/>
    <mergeCell ref="E129:F129"/>
    <mergeCell ref="G129:H129"/>
    <mergeCell ref="I129:J129"/>
    <mergeCell ref="K129:L129"/>
    <mergeCell ref="M129:N129"/>
    <mergeCell ref="W126:X126"/>
    <mergeCell ref="Y126:Z126"/>
    <mergeCell ref="AA126:AB126"/>
    <mergeCell ref="Q125:R125"/>
    <mergeCell ref="S125:T125"/>
    <mergeCell ref="U125:V125"/>
    <mergeCell ref="W125:X125"/>
    <mergeCell ref="Y125:Z125"/>
    <mergeCell ref="G125:H125"/>
    <mergeCell ref="I125:J125"/>
    <mergeCell ref="K125:L125"/>
    <mergeCell ref="M125:N125"/>
    <mergeCell ref="O125:P125"/>
    <mergeCell ref="Y123:Z123"/>
    <mergeCell ref="AA123:AB123"/>
    <mergeCell ref="AA127:AB127"/>
    <mergeCell ref="E128:F128"/>
    <mergeCell ref="G128:H128"/>
    <mergeCell ref="I128:J128"/>
    <mergeCell ref="K128:L128"/>
    <mergeCell ref="M128:N128"/>
    <mergeCell ref="O128:P128"/>
    <mergeCell ref="Q128:R128"/>
    <mergeCell ref="S128:T128"/>
    <mergeCell ref="U128:V128"/>
    <mergeCell ref="W128:X128"/>
    <mergeCell ref="Y128:Z128"/>
    <mergeCell ref="AA128:AB128"/>
    <mergeCell ref="O127:P127"/>
    <mergeCell ref="Q127:R127"/>
    <mergeCell ref="S127:T127"/>
    <mergeCell ref="U127:V127"/>
    <mergeCell ref="A124:B134"/>
    <mergeCell ref="E124:F124"/>
    <mergeCell ref="G124:H124"/>
    <mergeCell ref="I124:J124"/>
    <mergeCell ref="K124:L124"/>
    <mergeCell ref="M124:N124"/>
    <mergeCell ref="O124:P124"/>
    <mergeCell ref="Q124:R124"/>
    <mergeCell ref="S124:T124"/>
    <mergeCell ref="U124:V124"/>
    <mergeCell ref="W124:X124"/>
    <mergeCell ref="Y124:Z124"/>
    <mergeCell ref="AA124:AB124"/>
    <mergeCell ref="E125:F125"/>
    <mergeCell ref="O123:P123"/>
    <mergeCell ref="Q123:R123"/>
    <mergeCell ref="S123:T123"/>
    <mergeCell ref="U123:V123"/>
    <mergeCell ref="W123:X123"/>
    <mergeCell ref="E123:F123"/>
    <mergeCell ref="G123:H123"/>
    <mergeCell ref="I123:J123"/>
    <mergeCell ref="K123:L123"/>
    <mergeCell ref="M123:N123"/>
    <mergeCell ref="AA125:AB125"/>
    <mergeCell ref="E126:F126"/>
    <mergeCell ref="G126:H126"/>
    <mergeCell ref="I126:J126"/>
    <mergeCell ref="K126:L126"/>
    <mergeCell ref="M126:N126"/>
    <mergeCell ref="S126:T126"/>
    <mergeCell ref="U126:V126"/>
    <mergeCell ref="Y121:Z121"/>
    <mergeCell ref="AA121:AB121"/>
    <mergeCell ref="E122:F122"/>
    <mergeCell ref="G122:H122"/>
    <mergeCell ref="I122:J122"/>
    <mergeCell ref="K122:L122"/>
    <mergeCell ref="M122:N122"/>
    <mergeCell ref="O122:P122"/>
    <mergeCell ref="Q122:R122"/>
    <mergeCell ref="S122:T122"/>
    <mergeCell ref="U122:V122"/>
    <mergeCell ref="W122:X122"/>
    <mergeCell ref="Y122:Z122"/>
    <mergeCell ref="AA122:AB122"/>
    <mergeCell ref="O121:P121"/>
    <mergeCell ref="Q121:R121"/>
    <mergeCell ref="S121:T121"/>
    <mergeCell ref="U121:V121"/>
    <mergeCell ref="W121:X121"/>
    <mergeCell ref="E121:F121"/>
    <mergeCell ref="G121:H121"/>
    <mergeCell ref="I121:J121"/>
    <mergeCell ref="K121:L121"/>
    <mergeCell ref="M121:N121"/>
    <mergeCell ref="Y119:Z119"/>
    <mergeCell ref="AA119:AB119"/>
    <mergeCell ref="E120:F120"/>
    <mergeCell ref="G120:H120"/>
    <mergeCell ref="I120:J120"/>
    <mergeCell ref="K120:L120"/>
    <mergeCell ref="M120:N120"/>
    <mergeCell ref="O120:P120"/>
    <mergeCell ref="Q120:R120"/>
    <mergeCell ref="S120:T120"/>
    <mergeCell ref="U120:V120"/>
    <mergeCell ref="W120:X120"/>
    <mergeCell ref="Y120:Z120"/>
    <mergeCell ref="AA120:AB120"/>
    <mergeCell ref="O119:P119"/>
    <mergeCell ref="Q119:R119"/>
    <mergeCell ref="S119:T119"/>
    <mergeCell ref="U119:V119"/>
    <mergeCell ref="W119:X119"/>
    <mergeCell ref="E119:F119"/>
    <mergeCell ref="G119:H119"/>
    <mergeCell ref="I119:J119"/>
    <mergeCell ref="K119:L119"/>
    <mergeCell ref="M119:N119"/>
    <mergeCell ref="Y117:Z117"/>
    <mergeCell ref="AA117:AB117"/>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O117:P117"/>
    <mergeCell ref="Q117:R117"/>
    <mergeCell ref="S117:T117"/>
    <mergeCell ref="U117:V117"/>
    <mergeCell ref="W117:X117"/>
    <mergeCell ref="E117:F117"/>
    <mergeCell ref="G117:H117"/>
    <mergeCell ref="I117:J117"/>
    <mergeCell ref="K117:L117"/>
    <mergeCell ref="M117:N117"/>
    <mergeCell ref="Y115:Z115"/>
    <mergeCell ref="AA115:AB115"/>
    <mergeCell ref="E116:F116"/>
    <mergeCell ref="G116:H116"/>
    <mergeCell ref="I116:J116"/>
    <mergeCell ref="K116:L116"/>
    <mergeCell ref="M116:N116"/>
    <mergeCell ref="O116:P116"/>
    <mergeCell ref="Q116:R116"/>
    <mergeCell ref="S116:T116"/>
    <mergeCell ref="U116:V116"/>
    <mergeCell ref="W116:X116"/>
    <mergeCell ref="Y116:Z116"/>
    <mergeCell ref="AA116:AB116"/>
    <mergeCell ref="O115:P115"/>
    <mergeCell ref="Q115:R115"/>
    <mergeCell ref="S115:T115"/>
    <mergeCell ref="U115:V115"/>
    <mergeCell ref="W115:X115"/>
    <mergeCell ref="E115:F115"/>
    <mergeCell ref="G115:H115"/>
    <mergeCell ref="I115:J115"/>
    <mergeCell ref="K115:L115"/>
    <mergeCell ref="M115:N115"/>
    <mergeCell ref="Y113:Z113"/>
    <mergeCell ref="AA113:AB113"/>
    <mergeCell ref="E114:F114"/>
    <mergeCell ref="G114:H114"/>
    <mergeCell ref="I114:J114"/>
    <mergeCell ref="K114:L114"/>
    <mergeCell ref="M114:N114"/>
    <mergeCell ref="O114:P114"/>
    <mergeCell ref="Q114:R114"/>
    <mergeCell ref="S114:T114"/>
    <mergeCell ref="U114:V114"/>
    <mergeCell ref="W114:X114"/>
    <mergeCell ref="Y114:Z114"/>
    <mergeCell ref="AA114:AB114"/>
    <mergeCell ref="O113:P113"/>
    <mergeCell ref="Q113:R113"/>
    <mergeCell ref="S113:T113"/>
    <mergeCell ref="U113:V113"/>
    <mergeCell ref="W113:X113"/>
    <mergeCell ref="E113:F113"/>
    <mergeCell ref="G113:H113"/>
    <mergeCell ref="I113:J113"/>
    <mergeCell ref="K113:L113"/>
    <mergeCell ref="M113:N113"/>
    <mergeCell ref="E109:F109"/>
    <mergeCell ref="G109:H109"/>
    <mergeCell ref="I109:J109"/>
    <mergeCell ref="K109:L109"/>
    <mergeCell ref="M109:N109"/>
    <mergeCell ref="Y111:Z111"/>
    <mergeCell ref="AA111:AB111"/>
    <mergeCell ref="E112:F112"/>
    <mergeCell ref="G112:H112"/>
    <mergeCell ref="I112:J112"/>
    <mergeCell ref="K112:L112"/>
    <mergeCell ref="M112:N112"/>
    <mergeCell ref="O112:P112"/>
    <mergeCell ref="Q112:R112"/>
    <mergeCell ref="S112:T112"/>
    <mergeCell ref="U112:V112"/>
    <mergeCell ref="W112:X112"/>
    <mergeCell ref="Y112:Z112"/>
    <mergeCell ref="AA112:AB112"/>
    <mergeCell ref="O111:P111"/>
    <mergeCell ref="Q111:R111"/>
    <mergeCell ref="S111:T111"/>
    <mergeCell ref="U111:V111"/>
    <mergeCell ref="W111:X111"/>
    <mergeCell ref="E111:F111"/>
    <mergeCell ref="G111:H111"/>
    <mergeCell ref="I111:J111"/>
    <mergeCell ref="K111:L111"/>
    <mergeCell ref="M111:N111"/>
    <mergeCell ref="W108:X108"/>
    <mergeCell ref="Y108:Z108"/>
    <mergeCell ref="AA108:AB108"/>
    <mergeCell ref="O107:P107"/>
    <mergeCell ref="Q107:R107"/>
    <mergeCell ref="S107:T107"/>
    <mergeCell ref="U107:V107"/>
    <mergeCell ref="W107:X107"/>
    <mergeCell ref="E107:F107"/>
    <mergeCell ref="G107:H107"/>
    <mergeCell ref="I107:J107"/>
    <mergeCell ref="K107:L107"/>
    <mergeCell ref="M107:N107"/>
    <mergeCell ref="Y109:Z109"/>
    <mergeCell ref="AA109:AB109"/>
    <mergeCell ref="E110:F110"/>
    <mergeCell ref="G110:H110"/>
    <mergeCell ref="I110:J110"/>
    <mergeCell ref="K110:L110"/>
    <mergeCell ref="M110:N110"/>
    <mergeCell ref="O110:P110"/>
    <mergeCell ref="Q110:R110"/>
    <mergeCell ref="S110:T110"/>
    <mergeCell ref="U110:V110"/>
    <mergeCell ref="W110:X110"/>
    <mergeCell ref="Y110:Z110"/>
    <mergeCell ref="AA110:AB110"/>
    <mergeCell ref="O109:P109"/>
    <mergeCell ref="Q109:R109"/>
    <mergeCell ref="S109:T109"/>
    <mergeCell ref="U109:V109"/>
    <mergeCell ref="W109:X109"/>
    <mergeCell ref="W105:X105"/>
    <mergeCell ref="Y105:Z105"/>
    <mergeCell ref="AA105:AB105"/>
    <mergeCell ref="A106:B123"/>
    <mergeCell ref="E106:F106"/>
    <mergeCell ref="G106:H106"/>
    <mergeCell ref="I106:J106"/>
    <mergeCell ref="K106:L106"/>
    <mergeCell ref="M106:N106"/>
    <mergeCell ref="O106:P106"/>
    <mergeCell ref="Q106:R106"/>
    <mergeCell ref="S106:T106"/>
    <mergeCell ref="U106:V106"/>
    <mergeCell ref="W106:X106"/>
    <mergeCell ref="Y106:Z106"/>
    <mergeCell ref="AA106:AB106"/>
    <mergeCell ref="M105:N105"/>
    <mergeCell ref="O105:P105"/>
    <mergeCell ref="Q105:R105"/>
    <mergeCell ref="S105:T105"/>
    <mergeCell ref="U105:V105"/>
    <mergeCell ref="Y107:Z107"/>
    <mergeCell ref="AA107:AB107"/>
    <mergeCell ref="E108:F108"/>
    <mergeCell ref="G108:H108"/>
    <mergeCell ref="I108:J108"/>
    <mergeCell ref="K108:L108"/>
    <mergeCell ref="M108:N108"/>
    <mergeCell ref="O108:P108"/>
    <mergeCell ref="Q108:R108"/>
    <mergeCell ref="S108:T108"/>
    <mergeCell ref="U108:V108"/>
    <mergeCell ref="E74:F74"/>
    <mergeCell ref="G74:H74"/>
    <mergeCell ref="I74:J74"/>
    <mergeCell ref="K74:L74"/>
    <mergeCell ref="M74:N74"/>
    <mergeCell ref="O74:P74"/>
    <mergeCell ref="Q74:R74"/>
    <mergeCell ref="S74:T74"/>
    <mergeCell ref="U74:V74"/>
    <mergeCell ref="W74:X74"/>
    <mergeCell ref="Y74:Z74"/>
    <mergeCell ref="AA74:AB74"/>
    <mergeCell ref="O73:P73"/>
    <mergeCell ref="Q73:R73"/>
    <mergeCell ref="S73:T73"/>
    <mergeCell ref="U73:V73"/>
    <mergeCell ref="W73:X73"/>
    <mergeCell ref="E73:F73"/>
    <mergeCell ref="Y72:Z72"/>
    <mergeCell ref="AA72:AB72"/>
    <mergeCell ref="O72:P72"/>
    <mergeCell ref="Q72:R72"/>
    <mergeCell ref="S72:T72"/>
    <mergeCell ref="U72:V72"/>
    <mergeCell ref="W72:X72"/>
    <mergeCell ref="E72:F72"/>
    <mergeCell ref="G72:H72"/>
    <mergeCell ref="I72:J72"/>
    <mergeCell ref="K72:L72"/>
    <mergeCell ref="M72:N72"/>
    <mergeCell ref="G73:H73"/>
    <mergeCell ref="I73:J73"/>
    <mergeCell ref="K73:L73"/>
    <mergeCell ref="M73:N73"/>
    <mergeCell ref="Y73:Z73"/>
    <mergeCell ref="AA73:AB73"/>
    <mergeCell ref="Y70:Z70"/>
    <mergeCell ref="AA70:AB70"/>
    <mergeCell ref="E71:F71"/>
    <mergeCell ref="G71:H71"/>
    <mergeCell ref="I71:J71"/>
    <mergeCell ref="K71:L71"/>
    <mergeCell ref="M71:N71"/>
    <mergeCell ref="O71:P71"/>
    <mergeCell ref="Q71:R71"/>
    <mergeCell ref="S71:T71"/>
    <mergeCell ref="U71:V71"/>
    <mergeCell ref="W71:X71"/>
    <mergeCell ref="Y71:Z71"/>
    <mergeCell ref="AA71:AB71"/>
    <mergeCell ref="O70:P70"/>
    <mergeCell ref="Q70:R70"/>
    <mergeCell ref="S70:T70"/>
    <mergeCell ref="U70:V70"/>
    <mergeCell ref="W70:X70"/>
    <mergeCell ref="E70:F70"/>
    <mergeCell ref="G70:H70"/>
    <mergeCell ref="I70:J70"/>
    <mergeCell ref="K70:L70"/>
    <mergeCell ref="M70:N70"/>
    <mergeCell ref="Y68:Z68"/>
    <mergeCell ref="AA68:AB68"/>
    <mergeCell ref="E69:F69"/>
    <mergeCell ref="G69:H69"/>
    <mergeCell ref="I69:J69"/>
    <mergeCell ref="K69:L69"/>
    <mergeCell ref="M69:N69"/>
    <mergeCell ref="O69:P69"/>
    <mergeCell ref="Q69:R69"/>
    <mergeCell ref="S69:T69"/>
    <mergeCell ref="U69:V69"/>
    <mergeCell ref="W69:X69"/>
    <mergeCell ref="Y69:Z69"/>
    <mergeCell ref="AA69:AB69"/>
    <mergeCell ref="O68:P68"/>
    <mergeCell ref="Q68:R68"/>
    <mergeCell ref="S68:T68"/>
    <mergeCell ref="U68:V68"/>
    <mergeCell ref="W68:X68"/>
    <mergeCell ref="E68:F68"/>
    <mergeCell ref="G68:H68"/>
    <mergeCell ref="I68:J68"/>
    <mergeCell ref="K68:L68"/>
    <mergeCell ref="M68:N68"/>
    <mergeCell ref="Y66:Z66"/>
    <mergeCell ref="AA66:AB66"/>
    <mergeCell ref="E67:F67"/>
    <mergeCell ref="G67:H67"/>
    <mergeCell ref="I67:J67"/>
    <mergeCell ref="K67:L67"/>
    <mergeCell ref="M67:N67"/>
    <mergeCell ref="O67:P67"/>
    <mergeCell ref="Q67:R67"/>
    <mergeCell ref="S67:T67"/>
    <mergeCell ref="U67:V67"/>
    <mergeCell ref="W67:X67"/>
    <mergeCell ref="Y67:Z67"/>
    <mergeCell ref="AA67:AB67"/>
    <mergeCell ref="O66:P66"/>
    <mergeCell ref="Q66:R66"/>
    <mergeCell ref="S66:T66"/>
    <mergeCell ref="U66:V66"/>
    <mergeCell ref="W66:X66"/>
    <mergeCell ref="E66:F66"/>
    <mergeCell ref="G66:H66"/>
    <mergeCell ref="I66:J66"/>
    <mergeCell ref="K66:L66"/>
    <mergeCell ref="M66:N66"/>
    <mergeCell ref="Y64:Z64"/>
    <mergeCell ref="AA64:AB64"/>
    <mergeCell ref="E65:F65"/>
    <mergeCell ref="G65:H65"/>
    <mergeCell ref="I65:J65"/>
    <mergeCell ref="K65:L65"/>
    <mergeCell ref="M65:N65"/>
    <mergeCell ref="O65:P65"/>
    <mergeCell ref="Q65:R65"/>
    <mergeCell ref="S65:T65"/>
    <mergeCell ref="U65:V65"/>
    <mergeCell ref="W65:X65"/>
    <mergeCell ref="Y65:Z65"/>
    <mergeCell ref="AA65:AB65"/>
    <mergeCell ref="O64:P64"/>
    <mergeCell ref="Q64:R64"/>
    <mergeCell ref="S64:T64"/>
    <mergeCell ref="U64:V64"/>
    <mergeCell ref="W64:X64"/>
    <mergeCell ref="E64:F64"/>
    <mergeCell ref="G64:H64"/>
    <mergeCell ref="I64:J64"/>
    <mergeCell ref="K64:L64"/>
    <mergeCell ref="M64:N64"/>
    <mergeCell ref="E42:AB42"/>
    <mergeCell ref="A40:AB40"/>
    <mergeCell ref="A42:B43"/>
    <mergeCell ref="A44:B61"/>
    <mergeCell ref="AA62:AB62"/>
    <mergeCell ref="E63:F63"/>
    <mergeCell ref="G63:H63"/>
    <mergeCell ref="I63:J63"/>
    <mergeCell ref="K63:L63"/>
    <mergeCell ref="M63:N63"/>
    <mergeCell ref="O63:P63"/>
    <mergeCell ref="Q63:R63"/>
    <mergeCell ref="S63:T63"/>
    <mergeCell ref="U63:V63"/>
    <mergeCell ref="W63:X63"/>
    <mergeCell ref="Y63:Z63"/>
    <mergeCell ref="AA63:AB63"/>
    <mergeCell ref="Q62:R62"/>
    <mergeCell ref="S62:T62"/>
    <mergeCell ref="U62:V62"/>
    <mergeCell ref="W62:X62"/>
    <mergeCell ref="Y62:Z62"/>
    <mergeCell ref="G62:H62"/>
    <mergeCell ref="I62:J62"/>
    <mergeCell ref="K62:L62"/>
    <mergeCell ref="M62:N62"/>
    <mergeCell ref="O62:P62"/>
    <mergeCell ref="S61:T61"/>
    <mergeCell ref="U61:V61"/>
    <mergeCell ref="W61:X61"/>
    <mergeCell ref="Y61:Z61"/>
    <mergeCell ref="AA61:AB61"/>
    <mergeCell ref="I61:J61"/>
    <mergeCell ref="K61:L61"/>
    <mergeCell ref="M61:N61"/>
    <mergeCell ref="O61:P61"/>
    <mergeCell ref="Q61:R61"/>
    <mergeCell ref="S60:T60"/>
    <mergeCell ref="U60:V60"/>
    <mergeCell ref="W60:X60"/>
    <mergeCell ref="Y60:Z60"/>
    <mergeCell ref="AA60:AB60"/>
    <mergeCell ref="I60:J60"/>
    <mergeCell ref="K60:L60"/>
    <mergeCell ref="M60:N60"/>
    <mergeCell ref="O60:P60"/>
    <mergeCell ref="Q60:R60"/>
    <mergeCell ref="S59:T59"/>
    <mergeCell ref="U59:V59"/>
    <mergeCell ref="W59:X59"/>
    <mergeCell ref="Y59:Z59"/>
    <mergeCell ref="AA59:AB59"/>
    <mergeCell ref="I59:J59"/>
    <mergeCell ref="K59:L59"/>
    <mergeCell ref="M59:N59"/>
    <mergeCell ref="O59:P59"/>
    <mergeCell ref="Q59:R59"/>
    <mergeCell ref="S58:T58"/>
    <mergeCell ref="U58:V58"/>
    <mergeCell ref="W58:X58"/>
    <mergeCell ref="Y58:Z58"/>
    <mergeCell ref="AA58:AB58"/>
    <mergeCell ref="I58:J58"/>
    <mergeCell ref="K58:L58"/>
    <mergeCell ref="M58:N58"/>
    <mergeCell ref="O58:P58"/>
    <mergeCell ref="Q58:R58"/>
    <mergeCell ref="S57:T57"/>
    <mergeCell ref="U57:V57"/>
    <mergeCell ref="W57:X57"/>
    <mergeCell ref="Y57:Z57"/>
    <mergeCell ref="AA57:AB57"/>
    <mergeCell ref="I57:J57"/>
    <mergeCell ref="K57:L57"/>
    <mergeCell ref="M57:N57"/>
    <mergeCell ref="O57:P57"/>
    <mergeCell ref="Q57:R57"/>
    <mergeCell ref="S56:T56"/>
    <mergeCell ref="U56:V56"/>
    <mergeCell ref="W56:X56"/>
    <mergeCell ref="Y56:Z56"/>
    <mergeCell ref="AA56:AB56"/>
    <mergeCell ref="I56:J56"/>
    <mergeCell ref="K56:L56"/>
    <mergeCell ref="M56:N56"/>
    <mergeCell ref="O56:P56"/>
    <mergeCell ref="Q56:R56"/>
    <mergeCell ref="S55:T55"/>
    <mergeCell ref="U55:V55"/>
    <mergeCell ref="W55:X55"/>
    <mergeCell ref="Y55:Z55"/>
    <mergeCell ref="AA55:AB55"/>
    <mergeCell ref="I55:J55"/>
    <mergeCell ref="K55:L55"/>
    <mergeCell ref="M55:N55"/>
    <mergeCell ref="O55:P55"/>
    <mergeCell ref="Q55:R55"/>
    <mergeCell ref="S54:T54"/>
    <mergeCell ref="U54:V54"/>
    <mergeCell ref="W54:X54"/>
    <mergeCell ref="Y54:Z54"/>
    <mergeCell ref="AA54:AB54"/>
    <mergeCell ref="I54:J54"/>
    <mergeCell ref="K54:L54"/>
    <mergeCell ref="M54:N54"/>
    <mergeCell ref="O54:P54"/>
    <mergeCell ref="Q54:R54"/>
    <mergeCell ref="S53:T53"/>
    <mergeCell ref="U53:V53"/>
    <mergeCell ref="W53:X53"/>
    <mergeCell ref="Y53:Z53"/>
    <mergeCell ref="AA53:AB53"/>
    <mergeCell ref="I53:J53"/>
    <mergeCell ref="K53:L53"/>
    <mergeCell ref="M53:N53"/>
    <mergeCell ref="O53:P53"/>
    <mergeCell ref="Q53:R53"/>
    <mergeCell ref="S52:T52"/>
    <mergeCell ref="U52:V52"/>
    <mergeCell ref="W52:X52"/>
    <mergeCell ref="Y52:Z52"/>
    <mergeCell ref="AA52:AB52"/>
    <mergeCell ref="I52:J52"/>
    <mergeCell ref="K52:L52"/>
    <mergeCell ref="M52:N52"/>
    <mergeCell ref="O52:P52"/>
    <mergeCell ref="Q52:R52"/>
    <mergeCell ref="S51:T51"/>
    <mergeCell ref="U51:V51"/>
    <mergeCell ref="W51:X51"/>
    <mergeCell ref="Y51:Z51"/>
    <mergeCell ref="AA51:AB51"/>
    <mergeCell ref="I51:J51"/>
    <mergeCell ref="K51:L51"/>
    <mergeCell ref="M51:N51"/>
    <mergeCell ref="O51:P51"/>
    <mergeCell ref="Q51:R51"/>
    <mergeCell ref="Q48:R48"/>
    <mergeCell ref="S47:T47"/>
    <mergeCell ref="U47:V47"/>
    <mergeCell ref="W47:X47"/>
    <mergeCell ref="Y47:Z47"/>
    <mergeCell ref="AA47:AB47"/>
    <mergeCell ref="I47:J47"/>
    <mergeCell ref="K47:L47"/>
    <mergeCell ref="M47:N47"/>
    <mergeCell ref="O47:P47"/>
    <mergeCell ref="Q47:R47"/>
    <mergeCell ref="S50:T50"/>
    <mergeCell ref="U50:V50"/>
    <mergeCell ref="W50:X50"/>
    <mergeCell ref="Y50:Z50"/>
    <mergeCell ref="AA50:AB50"/>
    <mergeCell ref="I50:J50"/>
    <mergeCell ref="K50:L50"/>
    <mergeCell ref="M50:N50"/>
    <mergeCell ref="O50:P50"/>
    <mergeCell ref="Q50:R50"/>
    <mergeCell ref="S49:T49"/>
    <mergeCell ref="U49:V49"/>
    <mergeCell ref="W49:X49"/>
    <mergeCell ref="Y49:Z49"/>
    <mergeCell ref="AA49:AB49"/>
    <mergeCell ref="I49:J49"/>
    <mergeCell ref="K49:L49"/>
    <mergeCell ref="M49:N49"/>
    <mergeCell ref="O49:P49"/>
    <mergeCell ref="Q49:R49"/>
    <mergeCell ref="G46:H46"/>
    <mergeCell ref="G47:H47"/>
    <mergeCell ref="G48:H48"/>
    <mergeCell ref="S46:T46"/>
    <mergeCell ref="U46:V46"/>
    <mergeCell ref="W46:X46"/>
    <mergeCell ref="Y46:Z46"/>
    <mergeCell ref="AA46:AB46"/>
    <mergeCell ref="I46:J46"/>
    <mergeCell ref="K46:L46"/>
    <mergeCell ref="M46:N46"/>
    <mergeCell ref="O46:P46"/>
    <mergeCell ref="Q46:R46"/>
    <mergeCell ref="S45:T45"/>
    <mergeCell ref="U45:V45"/>
    <mergeCell ref="W45:X45"/>
    <mergeCell ref="Y45:Z45"/>
    <mergeCell ref="AA45:AB45"/>
    <mergeCell ref="I45:J45"/>
    <mergeCell ref="K45:L45"/>
    <mergeCell ref="M45:N45"/>
    <mergeCell ref="O45:P45"/>
    <mergeCell ref="Q45:R45"/>
    <mergeCell ref="S48:T48"/>
    <mergeCell ref="U48:V48"/>
    <mergeCell ref="W48:X48"/>
    <mergeCell ref="Y48:Z48"/>
    <mergeCell ref="AA48:AB48"/>
    <mergeCell ref="I48:J48"/>
    <mergeCell ref="K48:L48"/>
    <mergeCell ref="M48:N48"/>
    <mergeCell ref="O48:P48"/>
    <mergeCell ref="AA17:AB17"/>
    <mergeCell ref="E60:F60"/>
    <mergeCell ref="E61:F61"/>
    <mergeCell ref="E62:F62"/>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S44:T44"/>
    <mergeCell ref="U44:V44"/>
    <mergeCell ref="W44:X44"/>
    <mergeCell ref="Y44:Z44"/>
    <mergeCell ref="AA44:AB44"/>
    <mergeCell ref="I44:J44"/>
    <mergeCell ref="K44:L44"/>
    <mergeCell ref="M44:N44"/>
    <mergeCell ref="O44:P44"/>
    <mergeCell ref="Q44:R44"/>
    <mergeCell ref="G59:H59"/>
    <mergeCell ref="G60:H60"/>
    <mergeCell ref="G61:H61"/>
    <mergeCell ref="A79:A81"/>
    <mergeCell ref="B79:B81"/>
    <mergeCell ref="C79:D79"/>
    <mergeCell ref="C80:C81"/>
    <mergeCell ref="D80:D81"/>
    <mergeCell ref="C42:D42"/>
    <mergeCell ref="A62:B72"/>
    <mergeCell ref="A73:B74"/>
    <mergeCell ref="E44:F44"/>
    <mergeCell ref="AA43:AB43"/>
    <mergeCell ref="Q43:R43"/>
    <mergeCell ref="S43:T43"/>
    <mergeCell ref="U43:V43"/>
    <mergeCell ref="W43:X43"/>
    <mergeCell ref="Y43:Z43"/>
    <mergeCell ref="B5:D5"/>
    <mergeCell ref="A15:AB15"/>
    <mergeCell ref="A78:AB78"/>
    <mergeCell ref="A16:A18"/>
    <mergeCell ref="B16:B18"/>
    <mergeCell ref="E43:F43"/>
    <mergeCell ref="G43:H43"/>
    <mergeCell ref="I43:J43"/>
    <mergeCell ref="K43:L43"/>
    <mergeCell ref="M43:N43"/>
    <mergeCell ref="O43:P43"/>
    <mergeCell ref="E16:F16"/>
    <mergeCell ref="E17:F17"/>
    <mergeCell ref="AA16:AB16"/>
    <mergeCell ref="Y16:Z16"/>
    <mergeCell ref="W16:X16"/>
    <mergeCell ref="U16:V16"/>
    <mergeCell ref="Y141:Z141"/>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C17:C18"/>
    <mergeCell ref="D17:D18"/>
    <mergeCell ref="U17:V17"/>
    <mergeCell ref="W17:X17"/>
    <mergeCell ref="Y17:Z17"/>
    <mergeCell ref="G54:H54"/>
    <mergeCell ref="G55:H55"/>
    <mergeCell ref="G56:H56"/>
    <mergeCell ref="G57:H57"/>
    <mergeCell ref="G58:H58"/>
    <mergeCell ref="G49:H49"/>
    <mergeCell ref="G50:H50"/>
    <mergeCell ref="G51:H51"/>
    <mergeCell ref="G52:H52"/>
    <mergeCell ref="G53:H53"/>
    <mergeCell ref="G44:H44"/>
    <mergeCell ref="G45:H45"/>
    <mergeCell ref="G5:L5"/>
    <mergeCell ref="A141:A143"/>
    <mergeCell ref="B141:B143"/>
    <mergeCell ref="C141:D141"/>
    <mergeCell ref="C142:C143"/>
    <mergeCell ref="D142:D143"/>
    <mergeCell ref="E141:F141"/>
    <mergeCell ref="G141:H141"/>
    <mergeCell ref="I141:J141"/>
    <mergeCell ref="K141:L141"/>
    <mergeCell ref="E79:F79"/>
    <mergeCell ref="G79:H79"/>
    <mergeCell ref="I79:J79"/>
    <mergeCell ref="K79:L79"/>
    <mergeCell ref="C16:D16"/>
    <mergeCell ref="U141:V141"/>
    <mergeCell ref="AA79:AB79"/>
    <mergeCell ref="E80:F80"/>
    <mergeCell ref="G80:H80"/>
    <mergeCell ref="I80:J80"/>
    <mergeCell ref="K80:L80"/>
    <mergeCell ref="M80:N80"/>
    <mergeCell ref="O80:P80"/>
    <mergeCell ref="Q80:R80"/>
    <mergeCell ref="S80:T80"/>
    <mergeCell ref="U80:V80"/>
    <mergeCell ref="W80:X80"/>
    <mergeCell ref="Y80:Z80"/>
    <mergeCell ref="AA80:AB80"/>
    <mergeCell ref="O79:P79"/>
    <mergeCell ref="Q79:R79"/>
    <mergeCell ref="S79:T79"/>
    <mergeCell ref="AA141:AB141"/>
    <mergeCell ref="E142:F142"/>
    <mergeCell ref="G142:H142"/>
    <mergeCell ref="I142:J142"/>
    <mergeCell ref="K142:L142"/>
    <mergeCell ref="M142:N142"/>
    <mergeCell ref="O142:P142"/>
    <mergeCell ref="Q142:R142"/>
    <mergeCell ref="S142:T142"/>
    <mergeCell ref="U142:V142"/>
    <mergeCell ref="W142:X142"/>
    <mergeCell ref="Y142:Z142"/>
    <mergeCell ref="AA142:AB142"/>
    <mergeCell ref="B41:AB41"/>
    <mergeCell ref="B104:AB104"/>
    <mergeCell ref="B166:AB166"/>
    <mergeCell ref="G6:L12"/>
    <mergeCell ref="M141:N141"/>
    <mergeCell ref="O141:P141"/>
    <mergeCell ref="Q141:R141"/>
    <mergeCell ref="S141:T141"/>
    <mergeCell ref="Y79:Z79"/>
    <mergeCell ref="U79:V79"/>
    <mergeCell ref="W79:X79"/>
    <mergeCell ref="M79:N79"/>
    <mergeCell ref="A103:AB103"/>
    <mergeCell ref="A105:B105"/>
    <mergeCell ref="E105:F105"/>
    <mergeCell ref="G105:H105"/>
    <mergeCell ref="I105:J105"/>
    <mergeCell ref="K105:L105"/>
    <mergeCell ref="W141:X14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
  <sheetViews>
    <sheetView zoomScale="60" zoomScaleNormal="60" workbookViewId="0">
      <pane ySplit="1" topLeftCell="A2" activePane="bottomLeft" state="frozen"/>
      <selection pane="bottomLeft" activeCell="K19" sqref="K19"/>
    </sheetView>
  </sheetViews>
  <sheetFormatPr defaultColWidth="11.42578125" defaultRowHeight="15" x14ac:dyDescent="0.25"/>
  <cols>
    <col min="1" max="1" width="28.28515625" style="1" bestFit="1" customWidth="1"/>
    <col min="2" max="2" width="36.140625" style="287" customWidth="1"/>
    <col min="3" max="3" width="25.14062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3.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5" s="703" customFormat="1" ht="58.5" customHeight="1" x14ac:dyDescent="0.25">
      <c r="A1" s="706"/>
      <c r="B1" s="713"/>
      <c r="C1" s="711" t="s">
        <v>111</v>
      </c>
      <c r="D1" s="706"/>
      <c r="E1" s="711"/>
      <c r="F1" s="706"/>
      <c r="G1" s="706"/>
      <c r="H1" s="706"/>
      <c r="I1" s="706"/>
      <c r="J1" s="706"/>
      <c r="K1" s="706"/>
      <c r="L1" s="706"/>
      <c r="M1" s="706"/>
      <c r="N1" s="706"/>
      <c r="O1" s="706"/>
    </row>
    <row r="2" spans="1:15" ht="15.75" thickBot="1" x14ac:dyDescent="0.3"/>
    <row r="3" spans="1:15" ht="27" thickBot="1" x14ac:dyDescent="0.45">
      <c r="A3" s="875" t="s">
        <v>373</v>
      </c>
      <c r="B3" s="876"/>
      <c r="C3" s="876"/>
      <c r="D3" s="876"/>
      <c r="E3" s="877"/>
    </row>
    <row r="4" spans="1:15" ht="39.75" customHeight="1" thickBot="1" x14ac:dyDescent="0.3">
      <c r="A4" s="895"/>
      <c r="B4" s="896"/>
      <c r="C4" s="896"/>
      <c r="D4" s="896"/>
      <c r="E4" s="897"/>
    </row>
    <row r="5" spans="1:15" ht="15.75" thickBot="1" x14ac:dyDescent="0.3"/>
    <row r="6" spans="1:15" ht="27" thickBot="1" x14ac:dyDescent="0.45">
      <c r="A6" s="875" t="s">
        <v>141</v>
      </c>
      <c r="B6" s="876"/>
      <c r="C6" s="877"/>
      <c r="D6" s="303"/>
      <c r="E6" s="303"/>
    </row>
    <row r="7" spans="1:15" x14ac:dyDescent="0.25">
      <c r="A7" s="290" t="s">
        <v>120</v>
      </c>
      <c r="B7" s="291">
        <v>52</v>
      </c>
      <c r="C7" s="244" t="s">
        <v>122</v>
      </c>
    </row>
    <row r="8" spans="1:15" ht="30" x14ac:dyDescent="0.25">
      <c r="A8" s="290" t="s">
        <v>124</v>
      </c>
      <c r="B8" s="291">
        <v>2</v>
      </c>
      <c r="C8" s="244" t="s">
        <v>122</v>
      </c>
      <c r="D8" s="1" t="s">
        <v>133</v>
      </c>
    </row>
    <row r="9" spans="1:15" x14ac:dyDescent="0.25">
      <c r="A9" s="290" t="s">
        <v>121</v>
      </c>
      <c r="B9" s="291">
        <v>14</v>
      </c>
      <c r="C9" s="244" t="s">
        <v>123</v>
      </c>
    </row>
    <row r="10" spans="1:15" x14ac:dyDescent="0.25">
      <c r="A10" s="290" t="s">
        <v>134</v>
      </c>
      <c r="B10" s="291">
        <f>(B7-B8)*5 -B9</f>
        <v>236</v>
      </c>
      <c r="C10" s="244" t="s">
        <v>123</v>
      </c>
    </row>
    <row r="11" spans="1:15" x14ac:dyDescent="0.25">
      <c r="A11" s="290" t="s">
        <v>118</v>
      </c>
      <c r="B11" s="291">
        <v>8</v>
      </c>
      <c r="C11" s="244" t="s">
        <v>119</v>
      </c>
    </row>
    <row r="12" spans="1:15" ht="30.75" thickBot="1" x14ac:dyDescent="0.3">
      <c r="A12" s="304" t="s">
        <v>128</v>
      </c>
      <c r="B12" s="305">
        <f>B10*B11</f>
        <v>1888</v>
      </c>
      <c r="C12" s="306" t="s">
        <v>119</v>
      </c>
    </row>
    <row r="13" spans="1:15" ht="49.5" customHeight="1" thickBot="1" x14ac:dyDescent="0.3">
      <c r="A13" s="881" t="s">
        <v>125</v>
      </c>
      <c r="B13" s="307">
        <v>1800</v>
      </c>
      <c r="C13" s="335" t="s">
        <v>129</v>
      </c>
    </row>
    <row r="14" spans="1:15" ht="69" customHeight="1" thickBot="1" x14ac:dyDescent="0.3">
      <c r="A14" s="882"/>
      <c r="B14" s="308">
        <f>B13/12</f>
        <v>150</v>
      </c>
      <c r="C14" s="336" t="s">
        <v>130</v>
      </c>
    </row>
    <row r="15" spans="1:15" x14ac:dyDescent="0.25">
      <c r="A15" s="296"/>
      <c r="B15" s="300"/>
      <c r="C15" s="297"/>
    </row>
    <row r="16" spans="1:15" ht="3.75" customHeight="1" x14ac:dyDescent="0.25">
      <c r="A16" s="298"/>
      <c r="B16" s="301"/>
      <c r="C16" s="299"/>
      <c r="D16" s="238"/>
      <c r="E16" s="238"/>
      <c r="F16" s="238"/>
      <c r="G16" s="238"/>
      <c r="H16" s="238"/>
      <c r="I16" s="238"/>
      <c r="J16" s="238"/>
      <c r="K16" s="238"/>
      <c r="L16" s="238"/>
      <c r="M16" s="238"/>
      <c r="N16" s="238"/>
    </row>
    <row r="17" spans="1:14" ht="15.75" thickBot="1" x14ac:dyDescent="0.3">
      <c r="C17" s="267"/>
      <c r="D17" s="267"/>
      <c r="E17" s="267"/>
      <c r="F17" s="267"/>
    </row>
    <row r="18" spans="1:14" ht="27.75" customHeight="1" thickBot="1" x14ac:dyDescent="0.45">
      <c r="A18" s="875" t="s">
        <v>374</v>
      </c>
      <c r="B18" s="876"/>
      <c r="C18" s="876"/>
      <c r="D18" s="876"/>
      <c r="E18" s="877"/>
      <c r="F18" s="288"/>
    </row>
    <row r="19" spans="1:14" ht="67.5" customHeight="1" thickBot="1" x14ac:dyDescent="0.3">
      <c r="A19" s="320" t="s">
        <v>116</v>
      </c>
      <c r="B19" s="315" t="s">
        <v>127</v>
      </c>
      <c r="C19" s="315" t="s">
        <v>126</v>
      </c>
      <c r="D19" s="315" t="s">
        <v>136</v>
      </c>
      <c r="E19" s="316" t="s">
        <v>137</v>
      </c>
      <c r="F19" s="288"/>
    </row>
    <row r="20" spans="1:14" ht="35.25" customHeight="1" x14ac:dyDescent="0.25">
      <c r="A20" s="325">
        <v>1</v>
      </c>
      <c r="B20" s="309" t="s">
        <v>113</v>
      </c>
      <c r="C20" s="317">
        <v>12</v>
      </c>
      <c r="D20" s="310">
        <v>2</v>
      </c>
      <c r="E20" s="322">
        <f>D20/C20</f>
        <v>0.16666666666666666</v>
      </c>
    </row>
    <row r="21" spans="1:14" x14ac:dyDescent="0.25">
      <c r="A21" s="326">
        <v>2</v>
      </c>
      <c r="B21" s="311" t="s">
        <v>115</v>
      </c>
      <c r="C21" s="318">
        <v>25</v>
      </c>
      <c r="D21" s="312">
        <v>2</v>
      </c>
      <c r="E21" s="323">
        <f>D21/C21</f>
        <v>0.08</v>
      </c>
    </row>
    <row r="22" spans="1:14" ht="15.75" thickBot="1" x14ac:dyDescent="0.3">
      <c r="A22" s="327">
        <v>3</v>
      </c>
      <c r="B22" s="313" t="s">
        <v>131</v>
      </c>
      <c r="C22" s="319">
        <v>10</v>
      </c>
      <c r="D22" s="314">
        <v>1</v>
      </c>
      <c r="E22" s="324">
        <f>D22/C22</f>
        <v>0.1</v>
      </c>
    </row>
    <row r="23" spans="1:14" ht="52.5" customHeight="1" thickBot="1" x14ac:dyDescent="0.3">
      <c r="A23" s="883" t="s">
        <v>135</v>
      </c>
      <c r="B23" s="884"/>
      <c r="C23" s="885"/>
      <c r="D23" s="320" t="s">
        <v>138</v>
      </c>
      <c r="E23" s="340">
        <f>SUM(E20:E22)</f>
        <v>0.34666666666666668</v>
      </c>
    </row>
    <row r="24" spans="1:14" ht="69.75" customHeight="1" thickBot="1" x14ac:dyDescent="0.3">
      <c r="A24" s="886"/>
      <c r="B24" s="887"/>
      <c r="C24" s="888"/>
      <c r="D24" s="308" t="s">
        <v>139</v>
      </c>
      <c r="E24" s="321">
        <f>$B$14/E23</f>
        <v>432.69230769230768</v>
      </c>
      <c r="F24" s="329" t="s">
        <v>140</v>
      </c>
    </row>
    <row r="25" spans="1:14" x14ac:dyDescent="0.25">
      <c r="C25" s="292"/>
      <c r="D25" s="292"/>
      <c r="E25" s="293"/>
    </row>
    <row r="26" spans="1:14" ht="4.5" customHeight="1" x14ac:dyDescent="0.25">
      <c r="A26" s="238"/>
      <c r="B26" s="302"/>
      <c r="C26" s="294"/>
      <c r="D26" s="294"/>
      <c r="E26" s="295"/>
      <c r="F26" s="238"/>
      <c r="G26" s="238"/>
      <c r="H26" s="238"/>
      <c r="I26" s="238"/>
      <c r="J26" s="238"/>
      <c r="K26" s="238"/>
      <c r="L26" s="238"/>
      <c r="M26" s="238"/>
      <c r="N26" s="238"/>
    </row>
    <row r="27" spans="1:14" ht="15.75" thickBot="1" x14ac:dyDescent="0.3"/>
    <row r="28" spans="1:14" ht="27" thickBot="1" x14ac:dyDescent="0.45">
      <c r="A28" s="875" t="s">
        <v>374</v>
      </c>
      <c r="B28" s="876"/>
      <c r="C28" s="876"/>
      <c r="D28" s="876"/>
      <c r="E28" s="877"/>
    </row>
    <row r="29" spans="1:14" ht="62.25" customHeight="1" thickBot="1" x14ac:dyDescent="0.3">
      <c r="A29" s="320" t="s">
        <v>116</v>
      </c>
      <c r="B29" s="315" t="s">
        <v>127</v>
      </c>
      <c r="C29" s="315" t="s">
        <v>126</v>
      </c>
      <c r="D29" s="315" t="s">
        <v>136</v>
      </c>
      <c r="E29" s="316" t="s">
        <v>137</v>
      </c>
    </row>
    <row r="30" spans="1:14" ht="38.25" customHeight="1" x14ac:dyDescent="0.25">
      <c r="A30" s="325">
        <v>1</v>
      </c>
      <c r="B30" s="309" t="s">
        <v>113</v>
      </c>
      <c r="C30" s="310">
        <v>12</v>
      </c>
      <c r="D30" s="310">
        <v>4</v>
      </c>
      <c r="E30" s="322">
        <f>D30/C30</f>
        <v>0.33333333333333331</v>
      </c>
    </row>
    <row r="31" spans="1:14" ht="30" x14ac:dyDescent="0.25">
      <c r="A31" s="326">
        <v>2</v>
      </c>
      <c r="B31" s="311" t="s">
        <v>114</v>
      </c>
      <c r="C31" s="312">
        <v>12</v>
      </c>
      <c r="D31" s="312">
        <v>8</v>
      </c>
      <c r="E31" s="323">
        <f>D31/C31</f>
        <v>0.66666666666666663</v>
      </c>
    </row>
    <row r="32" spans="1:14" ht="30" x14ac:dyDescent="0.25">
      <c r="A32" s="326">
        <v>3</v>
      </c>
      <c r="B32" s="311" t="s">
        <v>132</v>
      </c>
      <c r="C32" s="312">
        <v>18</v>
      </c>
      <c r="D32" s="312">
        <v>8</v>
      </c>
      <c r="E32" s="323">
        <f>D32/C32</f>
        <v>0.44444444444444442</v>
      </c>
    </row>
    <row r="33" spans="1:14" x14ac:dyDescent="0.25">
      <c r="A33" s="326">
        <v>4</v>
      </c>
      <c r="B33" s="311" t="s">
        <v>115</v>
      </c>
      <c r="C33" s="312">
        <v>30</v>
      </c>
      <c r="D33" s="312">
        <v>4</v>
      </c>
      <c r="E33" s="323">
        <f>D33/C33</f>
        <v>0.13333333333333333</v>
      </c>
    </row>
    <row r="34" spans="1:14" ht="15.75" thickBot="1" x14ac:dyDescent="0.3">
      <c r="A34" s="327">
        <v>5</v>
      </c>
      <c r="B34" s="313" t="s">
        <v>117</v>
      </c>
      <c r="C34" s="314">
        <v>8</v>
      </c>
      <c r="D34" s="314">
        <v>1</v>
      </c>
      <c r="E34" s="324">
        <f>D34/C34</f>
        <v>0.125</v>
      </c>
    </row>
    <row r="35" spans="1:14" ht="57" customHeight="1" thickBot="1" x14ac:dyDescent="0.3">
      <c r="A35" s="889"/>
      <c r="B35" s="890"/>
      <c r="C35" s="891"/>
      <c r="D35" s="320" t="s">
        <v>138</v>
      </c>
      <c r="E35" s="341">
        <f>SUM(E30:E34)</f>
        <v>1.7027777777777777</v>
      </c>
    </row>
    <row r="36" spans="1:14" ht="45" customHeight="1" thickBot="1" x14ac:dyDescent="0.3">
      <c r="A36" s="892"/>
      <c r="B36" s="893"/>
      <c r="C36" s="894"/>
      <c r="D36" s="308" t="s">
        <v>139</v>
      </c>
      <c r="E36" s="321">
        <f>$B$14/E35</f>
        <v>88.091353996737354</v>
      </c>
      <c r="F36" s="329" t="s">
        <v>140</v>
      </c>
    </row>
    <row r="38" spans="1:14" ht="5.25" customHeight="1" x14ac:dyDescent="0.25">
      <c r="A38" s="238"/>
      <c r="B38" s="302"/>
      <c r="C38" s="238"/>
      <c r="D38" s="238"/>
      <c r="E38" s="238"/>
      <c r="F38" s="238"/>
      <c r="G38" s="238"/>
      <c r="H38" s="238"/>
      <c r="I38" s="238"/>
      <c r="J38" s="238"/>
      <c r="K38" s="238"/>
      <c r="L38" s="238"/>
      <c r="M38" s="238"/>
      <c r="N38" s="238"/>
    </row>
    <row r="39" spans="1:14" ht="15.75" thickBot="1" x14ac:dyDescent="0.3"/>
    <row r="40" spans="1:14" ht="27" thickBot="1" x14ac:dyDescent="0.45">
      <c r="A40" s="875" t="s">
        <v>375</v>
      </c>
      <c r="B40" s="876"/>
      <c r="C40" s="876"/>
      <c r="D40" s="876"/>
      <c r="E40" s="877"/>
    </row>
    <row r="41" spans="1:14" ht="46.5" customHeight="1" thickBot="1" x14ac:dyDescent="0.3">
      <c r="A41" s="320" t="s">
        <v>116</v>
      </c>
      <c r="B41" s="315" t="s">
        <v>127</v>
      </c>
      <c r="C41" s="315" t="s">
        <v>126</v>
      </c>
      <c r="D41" s="315" t="s">
        <v>136</v>
      </c>
      <c r="E41" s="316" t="s">
        <v>137</v>
      </c>
    </row>
    <row r="42" spans="1:14" ht="31.5" customHeight="1" x14ac:dyDescent="0.25">
      <c r="A42" s="325">
        <v>1</v>
      </c>
      <c r="B42" s="309" t="s">
        <v>113</v>
      </c>
      <c r="C42" s="310">
        <v>12</v>
      </c>
      <c r="D42" s="310">
        <v>8</v>
      </c>
      <c r="E42" s="322">
        <f>D42/C42</f>
        <v>0.66666666666666663</v>
      </c>
    </row>
    <row r="43" spans="1:14" ht="30" x14ac:dyDescent="0.25">
      <c r="A43" s="326">
        <v>2</v>
      </c>
      <c r="B43" s="311" t="s">
        <v>114</v>
      </c>
      <c r="C43" s="312">
        <v>16</v>
      </c>
      <c r="D43" s="312">
        <v>16</v>
      </c>
      <c r="E43" s="323">
        <f>D43/C43</f>
        <v>1</v>
      </c>
    </row>
    <row r="44" spans="1:14" ht="30" x14ac:dyDescent="0.25">
      <c r="A44" s="326">
        <v>3</v>
      </c>
      <c r="B44" s="311" t="s">
        <v>132</v>
      </c>
      <c r="C44" s="312">
        <v>20</v>
      </c>
      <c r="D44" s="312">
        <v>16</v>
      </c>
      <c r="E44" s="323">
        <f>D44/C44</f>
        <v>0.8</v>
      </c>
    </row>
    <row r="45" spans="1:14" x14ac:dyDescent="0.25">
      <c r="A45" s="326">
        <v>4</v>
      </c>
      <c r="B45" s="311" t="s">
        <v>115</v>
      </c>
      <c r="C45" s="312">
        <v>30</v>
      </c>
      <c r="D45" s="312">
        <v>8</v>
      </c>
      <c r="E45" s="323">
        <f>D45/C45</f>
        <v>0.26666666666666666</v>
      </c>
    </row>
    <row r="46" spans="1:14" ht="15.75" thickBot="1" x14ac:dyDescent="0.3">
      <c r="A46" s="327">
        <v>5</v>
      </c>
      <c r="B46" s="313" t="s">
        <v>117</v>
      </c>
      <c r="C46" s="314">
        <v>5</v>
      </c>
      <c r="D46" s="314">
        <v>1</v>
      </c>
      <c r="E46" s="324">
        <f>D46/C46</f>
        <v>0.2</v>
      </c>
    </row>
    <row r="47" spans="1:14" ht="45.75" thickBot="1" x14ac:dyDescent="0.3">
      <c r="A47" s="889"/>
      <c r="B47" s="890"/>
      <c r="C47" s="891"/>
      <c r="D47" s="320" t="s">
        <v>138</v>
      </c>
      <c r="E47" s="341">
        <f>SUM(E42:E46)</f>
        <v>2.9333333333333336</v>
      </c>
    </row>
    <row r="48" spans="1:14" ht="66.75" customHeight="1" thickBot="1" x14ac:dyDescent="0.3">
      <c r="A48" s="892"/>
      <c r="B48" s="893"/>
      <c r="C48" s="894"/>
      <c r="D48" s="308" t="s">
        <v>139</v>
      </c>
      <c r="E48" s="321">
        <f>$B$14/E47</f>
        <v>51.136363636363633</v>
      </c>
      <c r="F48" s="329" t="s">
        <v>140</v>
      </c>
    </row>
    <row r="49" spans="1:26" ht="39.75" customHeight="1" x14ac:dyDescent="0.25">
      <c r="A49" s="296"/>
      <c r="B49" s="296"/>
      <c r="C49" s="296"/>
      <c r="D49" s="300"/>
      <c r="E49" s="328"/>
    </row>
    <row r="50" spans="1:26" ht="3.75" customHeight="1" x14ac:dyDescent="0.25">
      <c r="A50" s="238"/>
      <c r="B50" s="302"/>
      <c r="C50" s="238"/>
      <c r="D50" s="238"/>
      <c r="E50" s="238"/>
      <c r="F50" s="238"/>
      <c r="G50" s="238"/>
      <c r="H50" s="238"/>
      <c r="I50" s="238"/>
      <c r="J50" s="238"/>
      <c r="K50" s="238"/>
      <c r="L50" s="238"/>
      <c r="M50" s="238"/>
      <c r="N50" s="238"/>
    </row>
    <row r="51" spans="1:26" ht="9" customHeight="1" x14ac:dyDescent="0.25"/>
    <row r="52" spans="1:26" ht="9" customHeight="1" thickBot="1" x14ac:dyDescent="0.3"/>
    <row r="53" spans="1:26" ht="32.25" customHeight="1" thickBot="1" x14ac:dyDescent="0.45">
      <c r="A53" s="875" t="s">
        <v>148</v>
      </c>
      <c r="B53" s="876"/>
      <c r="C53" s="876"/>
      <c r="D53" s="876"/>
      <c r="E53" s="877"/>
    </row>
    <row r="54" spans="1:26" x14ac:dyDescent="0.25">
      <c r="A54" s="880" t="s">
        <v>145</v>
      </c>
      <c r="B54" s="880"/>
      <c r="C54" s="879" t="s">
        <v>42</v>
      </c>
      <c r="D54" s="879"/>
      <c r="E54" s="879" t="s">
        <v>43</v>
      </c>
      <c r="F54" s="879"/>
      <c r="G54" s="879" t="s">
        <v>44</v>
      </c>
      <c r="H54" s="879"/>
      <c r="I54" s="879" t="s">
        <v>45</v>
      </c>
      <c r="J54" s="879"/>
      <c r="K54" s="879" t="s">
        <v>46</v>
      </c>
      <c r="L54" s="879"/>
      <c r="M54" s="879" t="s">
        <v>47</v>
      </c>
      <c r="N54" s="879"/>
      <c r="O54" s="879" t="s">
        <v>48</v>
      </c>
      <c r="P54" s="879"/>
      <c r="Q54" s="879" t="s">
        <v>49</v>
      </c>
      <c r="R54" s="879"/>
      <c r="S54" s="879" t="s">
        <v>50</v>
      </c>
      <c r="T54" s="879"/>
      <c r="U54" s="879" t="s">
        <v>51</v>
      </c>
      <c r="V54" s="879"/>
      <c r="W54" s="879" t="s">
        <v>52</v>
      </c>
      <c r="X54" s="879"/>
      <c r="Y54" s="879" t="s">
        <v>53</v>
      </c>
      <c r="Z54" s="879"/>
    </row>
    <row r="55" spans="1:26" ht="45" x14ac:dyDescent="0.25">
      <c r="A55" s="880"/>
      <c r="B55" s="880"/>
      <c r="C55" s="333" t="s">
        <v>142</v>
      </c>
      <c r="D55" s="333" t="s">
        <v>144</v>
      </c>
      <c r="E55" s="333" t="s">
        <v>142</v>
      </c>
      <c r="F55" s="333" t="s">
        <v>143</v>
      </c>
      <c r="G55" s="333" t="s">
        <v>142</v>
      </c>
      <c r="H55" s="333" t="s">
        <v>144</v>
      </c>
      <c r="I55" s="333" t="s">
        <v>142</v>
      </c>
      <c r="J55" s="333" t="s">
        <v>143</v>
      </c>
      <c r="K55" s="333" t="s">
        <v>142</v>
      </c>
      <c r="L55" s="333" t="s">
        <v>144</v>
      </c>
      <c r="M55" s="333" t="s">
        <v>142</v>
      </c>
      <c r="N55" s="333" t="s">
        <v>144</v>
      </c>
      <c r="O55" s="333" t="s">
        <v>142</v>
      </c>
      <c r="P55" s="333" t="s">
        <v>144</v>
      </c>
      <c r="Q55" s="333" t="s">
        <v>142</v>
      </c>
      <c r="R55" s="333" t="s">
        <v>144</v>
      </c>
      <c r="S55" s="333" t="s">
        <v>142</v>
      </c>
      <c r="T55" s="333" t="s">
        <v>144</v>
      </c>
      <c r="U55" s="333" t="s">
        <v>142</v>
      </c>
      <c r="V55" s="333" t="s">
        <v>144</v>
      </c>
      <c r="W55" s="333" t="s">
        <v>142</v>
      </c>
      <c r="X55" s="333" t="s">
        <v>144</v>
      </c>
      <c r="Y55" s="333" t="s">
        <v>142</v>
      </c>
      <c r="Z55" s="333" t="s">
        <v>144</v>
      </c>
    </row>
    <row r="56" spans="1:26" ht="15.75" x14ac:dyDescent="0.25">
      <c r="A56" s="332"/>
      <c r="B56" s="332"/>
      <c r="C56" s="244">
        <f>'Proy. ventas'!E33</f>
        <v>72</v>
      </c>
      <c r="D56" s="244">
        <f>C56*$E$23</f>
        <v>24.96</v>
      </c>
      <c r="E56" s="331">
        <f>'Proy. ventas'!G33</f>
        <v>90</v>
      </c>
      <c r="F56" s="244">
        <f>E56*$E$23</f>
        <v>31.200000000000003</v>
      </c>
      <c r="G56" s="331">
        <f>'Proy. ventas'!I33</f>
        <v>72</v>
      </c>
      <c r="H56" s="244">
        <f>G56*$E$23</f>
        <v>24.96</v>
      </c>
      <c r="I56" s="331">
        <f>'Proy. ventas'!K33</f>
        <v>63.000000000000007</v>
      </c>
      <c r="J56" s="244">
        <f>I56*$E$23</f>
        <v>21.840000000000003</v>
      </c>
      <c r="K56" s="331">
        <f>'Proy. ventas'!M33</f>
        <v>54</v>
      </c>
      <c r="L56" s="244">
        <f>K56*$E$23</f>
        <v>18.72</v>
      </c>
      <c r="M56" s="331">
        <f>'Proy. ventas'!O33</f>
        <v>36</v>
      </c>
      <c r="N56" s="244">
        <f>M56*$E$23</f>
        <v>12.48</v>
      </c>
      <c r="O56" s="331">
        <f>'Proy. ventas'!Q33</f>
        <v>81</v>
      </c>
      <c r="P56" s="244">
        <f>O56*$E$23</f>
        <v>28.080000000000002</v>
      </c>
      <c r="Q56" s="331">
        <f>'Proy. ventas'!S33</f>
        <v>45</v>
      </c>
      <c r="R56" s="244">
        <f>Q56*$E$23</f>
        <v>15.600000000000001</v>
      </c>
      <c r="S56" s="331">
        <f>'Proy. ventas'!U33</f>
        <v>81</v>
      </c>
      <c r="T56" s="244">
        <f>S56*$E$23</f>
        <v>28.080000000000002</v>
      </c>
      <c r="U56" s="331">
        <f>'Proy. ventas'!W33</f>
        <v>90</v>
      </c>
      <c r="V56" s="244">
        <f>U56*$E$23</f>
        <v>31.200000000000003</v>
      </c>
      <c r="W56" s="331">
        <f>'Proy. ventas'!Y33</f>
        <v>99</v>
      </c>
      <c r="X56" s="244">
        <f>W56*$E$23</f>
        <v>34.32</v>
      </c>
      <c r="Y56" s="331">
        <f>'Proy. ventas'!AA33</f>
        <v>117</v>
      </c>
      <c r="Z56" s="244">
        <f>Y56*$E$23</f>
        <v>40.56</v>
      </c>
    </row>
    <row r="57" spans="1:26" ht="15.75" x14ac:dyDescent="0.25">
      <c r="A57" s="332"/>
      <c r="B57" s="332"/>
      <c r="C57" s="244">
        <f>'Proy. ventas'!E34</f>
        <v>40</v>
      </c>
      <c r="D57" s="244">
        <f>C57*$E$35</f>
        <v>68.111111111111114</v>
      </c>
      <c r="E57" s="331">
        <f>'Proy. ventas'!G34</f>
        <v>50</v>
      </c>
      <c r="F57" s="244">
        <f>E57*$E$35</f>
        <v>85.138888888888886</v>
      </c>
      <c r="G57" s="331">
        <f>'Proy. ventas'!I34</f>
        <v>40</v>
      </c>
      <c r="H57" s="244">
        <f>G57*$E$35</f>
        <v>68.111111111111114</v>
      </c>
      <c r="I57" s="331">
        <f>'Proy. ventas'!K34</f>
        <v>35</v>
      </c>
      <c r="J57" s="244">
        <f>I57*$E$35</f>
        <v>59.597222222222221</v>
      </c>
      <c r="K57" s="331">
        <f>'Proy. ventas'!M34</f>
        <v>30</v>
      </c>
      <c r="L57" s="244">
        <f>K57*$E$35</f>
        <v>51.083333333333329</v>
      </c>
      <c r="M57" s="331">
        <f>'Proy. ventas'!O34</f>
        <v>20</v>
      </c>
      <c r="N57" s="244">
        <f>M57*$E$35</f>
        <v>34.055555555555557</v>
      </c>
      <c r="O57" s="331">
        <f>'Proy. ventas'!Q34</f>
        <v>45</v>
      </c>
      <c r="P57" s="244">
        <f>O57*$E$35</f>
        <v>76.625</v>
      </c>
      <c r="Q57" s="331">
        <f>'Proy. ventas'!S34</f>
        <v>25</v>
      </c>
      <c r="R57" s="244">
        <f>Q57*$E$35</f>
        <v>42.569444444444443</v>
      </c>
      <c r="S57" s="331">
        <f>'Proy. ventas'!U34</f>
        <v>45</v>
      </c>
      <c r="T57" s="244">
        <f>S57*$E$35</f>
        <v>76.625</v>
      </c>
      <c r="U57" s="331">
        <f>'Proy. ventas'!W34</f>
        <v>50</v>
      </c>
      <c r="V57" s="244">
        <f>U57*$E$35</f>
        <v>85.138888888888886</v>
      </c>
      <c r="W57" s="331">
        <f>'Proy. ventas'!Y34</f>
        <v>55</v>
      </c>
      <c r="X57" s="244">
        <f>W57*$E$35</f>
        <v>93.652777777777771</v>
      </c>
      <c r="Y57" s="331">
        <f>'Proy. ventas'!AA34</f>
        <v>65</v>
      </c>
      <c r="Z57" s="244">
        <f>Y57*$E$35</f>
        <v>110.68055555555556</v>
      </c>
    </row>
    <row r="58" spans="1:26" ht="15.75" x14ac:dyDescent="0.25">
      <c r="A58" s="332"/>
      <c r="B58" s="332"/>
      <c r="C58" s="331">
        <f>'Proy. ventas'!E35</f>
        <v>9.6</v>
      </c>
      <c r="D58" s="244">
        <f>C58*$E$47</f>
        <v>28.16</v>
      </c>
      <c r="E58" s="331">
        <f>'Proy. ventas'!G35</f>
        <v>12</v>
      </c>
      <c r="F58" s="244">
        <f>E58*$E$47</f>
        <v>35.200000000000003</v>
      </c>
      <c r="G58" s="331">
        <f>'Proy. ventas'!I35</f>
        <v>9.6</v>
      </c>
      <c r="H58" s="244">
        <f>G58*$E$47</f>
        <v>28.16</v>
      </c>
      <c r="I58" s="331">
        <f>'Proy. ventas'!K35</f>
        <v>8.4</v>
      </c>
      <c r="J58" s="244">
        <f>I58*$E$47</f>
        <v>24.640000000000004</v>
      </c>
      <c r="K58" s="331">
        <f>'Proy. ventas'!M35</f>
        <v>7.1999999999999993</v>
      </c>
      <c r="L58" s="244">
        <f>K58*$E$47</f>
        <v>21.12</v>
      </c>
      <c r="M58" s="331">
        <f>'Proy. ventas'!O35</f>
        <v>4.8</v>
      </c>
      <c r="N58" s="244">
        <f>M58*$E$47</f>
        <v>14.08</v>
      </c>
      <c r="O58" s="331">
        <f>'Proy. ventas'!Q35</f>
        <v>10.799999999999999</v>
      </c>
      <c r="P58" s="244">
        <f>O58*$E$47</f>
        <v>31.68</v>
      </c>
      <c r="Q58" s="331">
        <f>'Proy. ventas'!S35</f>
        <v>6</v>
      </c>
      <c r="R58" s="244">
        <f>Q58*$E$47</f>
        <v>17.600000000000001</v>
      </c>
      <c r="S58" s="331">
        <f>'Proy. ventas'!U35</f>
        <v>10.799999999999999</v>
      </c>
      <c r="T58" s="244">
        <f>S58*$E$47</f>
        <v>31.68</v>
      </c>
      <c r="U58" s="331">
        <f>'Proy. ventas'!W35</f>
        <v>12</v>
      </c>
      <c r="V58" s="244">
        <f>U58*$E$47</f>
        <v>35.200000000000003</v>
      </c>
      <c r="W58" s="331">
        <f>'Proy. ventas'!Y35</f>
        <v>13.2</v>
      </c>
      <c r="X58" s="244">
        <f>W58*$E$47</f>
        <v>38.72</v>
      </c>
      <c r="Y58" s="331">
        <f>'Proy. ventas'!AA35</f>
        <v>15.600000000000001</v>
      </c>
      <c r="Z58" s="244">
        <f>Y58*$E$47</f>
        <v>45.760000000000005</v>
      </c>
    </row>
    <row r="59" spans="1:26" x14ac:dyDescent="0.25">
      <c r="A59" s="874" t="s">
        <v>61</v>
      </c>
      <c r="B59" s="874"/>
      <c r="C59" s="331">
        <f t="shared" ref="C59:Z59" si="0">SUM(C56:C58)</f>
        <v>121.6</v>
      </c>
      <c r="D59" s="334">
        <f t="shared" si="0"/>
        <v>121.23111111111112</v>
      </c>
      <c r="E59" s="331">
        <f t="shared" si="0"/>
        <v>152</v>
      </c>
      <c r="F59" s="334">
        <f t="shared" si="0"/>
        <v>151.53888888888889</v>
      </c>
      <c r="G59" s="331">
        <f t="shared" si="0"/>
        <v>121.6</v>
      </c>
      <c r="H59" s="334">
        <f t="shared" si="0"/>
        <v>121.23111111111112</v>
      </c>
      <c r="I59" s="331">
        <f t="shared" si="0"/>
        <v>106.4</v>
      </c>
      <c r="J59" s="334">
        <f t="shared" si="0"/>
        <v>106.07722222222223</v>
      </c>
      <c r="K59" s="331">
        <f t="shared" si="0"/>
        <v>91.2</v>
      </c>
      <c r="L59" s="334">
        <f t="shared" si="0"/>
        <v>90.923333333333332</v>
      </c>
      <c r="M59" s="331">
        <f t="shared" si="0"/>
        <v>60.8</v>
      </c>
      <c r="N59" s="334">
        <f t="shared" si="0"/>
        <v>60.615555555555559</v>
      </c>
      <c r="O59" s="331">
        <f t="shared" si="0"/>
        <v>136.80000000000001</v>
      </c>
      <c r="P59" s="334">
        <f t="shared" si="0"/>
        <v>136.38499999999999</v>
      </c>
      <c r="Q59" s="331">
        <f t="shared" si="0"/>
        <v>76</v>
      </c>
      <c r="R59" s="334">
        <f t="shared" si="0"/>
        <v>75.769444444444446</v>
      </c>
      <c r="S59" s="331">
        <f t="shared" si="0"/>
        <v>136.80000000000001</v>
      </c>
      <c r="T59" s="334">
        <f t="shared" si="0"/>
        <v>136.38499999999999</v>
      </c>
      <c r="U59" s="331">
        <f t="shared" si="0"/>
        <v>152</v>
      </c>
      <c r="V59" s="334">
        <f t="shared" si="0"/>
        <v>151.53888888888889</v>
      </c>
      <c r="W59" s="331">
        <f t="shared" si="0"/>
        <v>167.2</v>
      </c>
      <c r="X59" s="334">
        <f t="shared" si="0"/>
        <v>166.69277777777776</v>
      </c>
      <c r="Y59" s="331">
        <f t="shared" si="0"/>
        <v>197.6</v>
      </c>
      <c r="Z59" s="334">
        <f t="shared" si="0"/>
        <v>197.00055555555554</v>
      </c>
    </row>
    <row r="60" spans="1:26" ht="9.75" customHeight="1" x14ac:dyDescent="0.25"/>
    <row r="61" spans="1:26" ht="9.75" customHeight="1" x14ac:dyDescent="0.25"/>
    <row r="62" spans="1:26" x14ac:dyDescent="0.25">
      <c r="A62" s="880" t="s">
        <v>146</v>
      </c>
      <c r="B62" s="880"/>
      <c r="C62" s="879" t="s">
        <v>42</v>
      </c>
      <c r="D62" s="879"/>
      <c r="E62" s="879" t="s">
        <v>43</v>
      </c>
      <c r="F62" s="879"/>
      <c r="G62" s="879" t="s">
        <v>44</v>
      </c>
      <c r="H62" s="879"/>
      <c r="I62" s="879" t="s">
        <v>45</v>
      </c>
      <c r="J62" s="879"/>
      <c r="K62" s="879" t="s">
        <v>46</v>
      </c>
      <c r="L62" s="879"/>
      <c r="M62" s="879" t="s">
        <v>47</v>
      </c>
      <c r="N62" s="879"/>
      <c r="O62" s="879" t="s">
        <v>48</v>
      </c>
      <c r="P62" s="879"/>
      <c r="Q62" s="879" t="s">
        <v>49</v>
      </c>
      <c r="R62" s="879"/>
      <c r="S62" s="879" t="s">
        <v>50</v>
      </c>
      <c r="T62" s="879"/>
      <c r="U62" s="879" t="s">
        <v>51</v>
      </c>
      <c r="V62" s="879"/>
      <c r="W62" s="879" t="s">
        <v>52</v>
      </c>
      <c r="X62" s="879"/>
      <c r="Y62" s="879" t="s">
        <v>53</v>
      </c>
      <c r="Z62" s="879"/>
    </row>
    <row r="63" spans="1:26" ht="45" x14ac:dyDescent="0.25">
      <c r="A63" s="880"/>
      <c r="B63" s="880"/>
      <c r="C63" s="333" t="s">
        <v>142</v>
      </c>
      <c r="D63" s="333" t="s">
        <v>144</v>
      </c>
      <c r="E63" s="333" t="s">
        <v>142</v>
      </c>
      <c r="F63" s="333" t="s">
        <v>143</v>
      </c>
      <c r="G63" s="333" t="s">
        <v>142</v>
      </c>
      <c r="H63" s="333" t="s">
        <v>144</v>
      </c>
      <c r="I63" s="333" t="s">
        <v>142</v>
      </c>
      <c r="J63" s="333" t="s">
        <v>143</v>
      </c>
      <c r="K63" s="333" t="s">
        <v>142</v>
      </c>
      <c r="L63" s="333" t="s">
        <v>144</v>
      </c>
      <c r="M63" s="333" t="s">
        <v>142</v>
      </c>
      <c r="N63" s="333" t="s">
        <v>144</v>
      </c>
      <c r="O63" s="333" t="s">
        <v>142</v>
      </c>
      <c r="P63" s="333" t="s">
        <v>144</v>
      </c>
      <c r="Q63" s="333" t="s">
        <v>142</v>
      </c>
      <c r="R63" s="333" t="s">
        <v>144</v>
      </c>
      <c r="S63" s="333" t="s">
        <v>142</v>
      </c>
      <c r="T63" s="333" t="s">
        <v>144</v>
      </c>
      <c r="U63" s="333" t="s">
        <v>142</v>
      </c>
      <c r="V63" s="333" t="s">
        <v>144</v>
      </c>
      <c r="W63" s="333" t="s">
        <v>142</v>
      </c>
      <c r="X63" s="333" t="s">
        <v>144</v>
      </c>
      <c r="Y63" s="333" t="s">
        <v>142</v>
      </c>
      <c r="Z63" s="333" t="s">
        <v>144</v>
      </c>
    </row>
    <row r="64" spans="1:26" ht="15.75" x14ac:dyDescent="0.25">
      <c r="A64" s="332"/>
      <c r="B64" s="332"/>
      <c r="C64" s="244">
        <f>'Proy. ventas'!E96</f>
        <v>132</v>
      </c>
      <c r="D64" s="244">
        <f>C64*$E$23</f>
        <v>45.760000000000005</v>
      </c>
      <c r="E64" s="331">
        <f>'Proy. ventas'!G82</f>
        <v>120</v>
      </c>
      <c r="F64" s="244">
        <f>E64*$E$23</f>
        <v>41.6</v>
      </c>
      <c r="G64" s="331">
        <f>'Proy. ventas'!I82</f>
        <v>84.000000000000014</v>
      </c>
      <c r="H64" s="244">
        <f>G64*$E$23</f>
        <v>29.120000000000005</v>
      </c>
      <c r="I64" s="331">
        <f>'Proy. ventas'!K82</f>
        <v>72</v>
      </c>
      <c r="J64" s="244">
        <f>I64*$E$23</f>
        <v>24.96</v>
      </c>
      <c r="K64" s="331">
        <f>'Proy. ventas'!M82</f>
        <v>72</v>
      </c>
      <c r="L64" s="244">
        <f>K64*$E$23</f>
        <v>24.96</v>
      </c>
      <c r="M64" s="331">
        <f>'Proy. ventas'!O82</f>
        <v>48</v>
      </c>
      <c r="N64" s="244">
        <f>M64*$E$23</f>
        <v>16.64</v>
      </c>
      <c r="O64" s="331">
        <f>'Proy. ventas'!Q82</f>
        <v>108</v>
      </c>
      <c r="P64" s="244">
        <f>O64*$E$23</f>
        <v>37.44</v>
      </c>
      <c r="Q64" s="331">
        <f>'Proy. ventas'!S82</f>
        <v>60</v>
      </c>
      <c r="R64" s="244">
        <f>Q64*$E$23</f>
        <v>20.8</v>
      </c>
      <c r="S64" s="331">
        <f>'Proy. ventas'!U82</f>
        <v>108</v>
      </c>
      <c r="T64" s="244">
        <f>S64*$E$23</f>
        <v>37.44</v>
      </c>
      <c r="U64" s="331">
        <f>'Proy. ventas'!W82</f>
        <v>120</v>
      </c>
      <c r="V64" s="244">
        <f>U64*$E$23</f>
        <v>41.6</v>
      </c>
      <c r="W64" s="331">
        <f>'Proy. ventas'!Y82</f>
        <v>132</v>
      </c>
      <c r="X64" s="244">
        <f>W64*$E$23</f>
        <v>45.760000000000005</v>
      </c>
      <c r="Y64" s="331">
        <f>'Proy. ventas'!AA82</f>
        <v>144</v>
      </c>
      <c r="Z64" s="244">
        <f>Y64*$E$23</f>
        <v>49.92</v>
      </c>
    </row>
    <row r="65" spans="1:26" ht="15.75" x14ac:dyDescent="0.25">
      <c r="A65" s="332"/>
      <c r="B65" s="332"/>
      <c r="C65" s="331">
        <f>'Proy. ventas'!E83</f>
        <v>92.95</v>
      </c>
      <c r="D65" s="244">
        <f>C65*$E$35</f>
        <v>158.27319444444444</v>
      </c>
      <c r="E65" s="331">
        <f>'Proy. ventas'!G83</f>
        <v>84.5</v>
      </c>
      <c r="F65" s="244">
        <f>E65*$E$35</f>
        <v>143.88472222222222</v>
      </c>
      <c r="G65" s="331">
        <f>'Proy. ventas'!I83</f>
        <v>59.150000000000006</v>
      </c>
      <c r="H65" s="244">
        <f>G65*$E$35</f>
        <v>100.71930555555556</v>
      </c>
      <c r="I65" s="331">
        <f>'Proy. ventas'!K83</f>
        <v>50.699999999999996</v>
      </c>
      <c r="J65" s="244">
        <f>I65*$E$35</f>
        <v>86.330833333333317</v>
      </c>
      <c r="K65" s="331">
        <f>'Proy. ventas'!M83</f>
        <v>50.699999999999996</v>
      </c>
      <c r="L65" s="244">
        <f>K65*$E$35</f>
        <v>86.330833333333317</v>
      </c>
      <c r="M65" s="331">
        <f>'Proy. ventas'!O83</f>
        <v>33.799999999999997</v>
      </c>
      <c r="N65" s="244">
        <f>M65*$E$35</f>
        <v>57.553888888888885</v>
      </c>
      <c r="O65" s="331">
        <f>'Proy. ventas'!Q83</f>
        <v>76.05</v>
      </c>
      <c r="P65" s="244">
        <f>O65*$E$35</f>
        <v>129.49625</v>
      </c>
      <c r="Q65" s="331">
        <f>'Proy. ventas'!S83</f>
        <v>42.25</v>
      </c>
      <c r="R65" s="244">
        <f>Q65*$E$35</f>
        <v>71.942361111111111</v>
      </c>
      <c r="S65" s="331">
        <f>'Proy. ventas'!U83</f>
        <v>76.05</v>
      </c>
      <c r="T65" s="244">
        <f>S65*$E$35</f>
        <v>129.49625</v>
      </c>
      <c r="U65" s="331">
        <f>'Proy. ventas'!W83</f>
        <v>84.5</v>
      </c>
      <c r="V65" s="244">
        <f>U65*$E$35</f>
        <v>143.88472222222222</v>
      </c>
      <c r="W65" s="331">
        <f>'Proy. ventas'!Y83</f>
        <v>92.95</v>
      </c>
      <c r="X65" s="244">
        <f>W65*$E$35</f>
        <v>158.27319444444444</v>
      </c>
      <c r="Y65" s="331">
        <f>'Proy. ventas'!AA83</f>
        <v>101.39999999999999</v>
      </c>
      <c r="Z65" s="244">
        <f>Y65*$E$35</f>
        <v>172.66166666666663</v>
      </c>
    </row>
    <row r="66" spans="1:26" ht="15.75" x14ac:dyDescent="0.25">
      <c r="A66" s="332"/>
      <c r="B66" s="332"/>
      <c r="C66" s="331">
        <f>'Proy. ventas'!E84</f>
        <v>26.95</v>
      </c>
      <c r="D66" s="244">
        <f>C66*$E$47</f>
        <v>79.053333333333342</v>
      </c>
      <c r="E66" s="331">
        <f>'Proy. ventas'!G84</f>
        <v>24.5</v>
      </c>
      <c r="F66" s="244">
        <f>E66*$E$47</f>
        <v>71.866666666666674</v>
      </c>
      <c r="G66" s="331">
        <f>'Proy. ventas'!I84</f>
        <v>17.150000000000002</v>
      </c>
      <c r="H66" s="244">
        <f>G66*$E$47</f>
        <v>50.306666666666679</v>
      </c>
      <c r="I66" s="331">
        <f>'Proy. ventas'!K84</f>
        <v>14.7</v>
      </c>
      <c r="J66" s="244">
        <f>I66*$E$47</f>
        <v>43.120000000000005</v>
      </c>
      <c r="K66" s="331">
        <f>'Proy. ventas'!M84</f>
        <v>14.7</v>
      </c>
      <c r="L66" s="244">
        <f>K66*$E$47</f>
        <v>43.120000000000005</v>
      </c>
      <c r="M66" s="331">
        <f>'Proy. ventas'!O84</f>
        <v>9.8000000000000007</v>
      </c>
      <c r="N66" s="244">
        <f>M66*$E$47</f>
        <v>28.74666666666667</v>
      </c>
      <c r="O66" s="331">
        <f>'Proy. ventas'!Q84</f>
        <v>22.05</v>
      </c>
      <c r="P66" s="244">
        <f>O66*$E$47</f>
        <v>64.680000000000007</v>
      </c>
      <c r="Q66" s="331">
        <f>'Proy. ventas'!S84</f>
        <v>12.25</v>
      </c>
      <c r="R66" s="244">
        <f>Q66*$E$47</f>
        <v>35.933333333333337</v>
      </c>
      <c r="S66" s="331">
        <f>'Proy. ventas'!U84</f>
        <v>22.05</v>
      </c>
      <c r="T66" s="244">
        <f>S66*$E$47</f>
        <v>64.680000000000007</v>
      </c>
      <c r="U66" s="331">
        <f>'Proy. ventas'!W84</f>
        <v>24.5</v>
      </c>
      <c r="V66" s="244">
        <f>U66*$E$47</f>
        <v>71.866666666666674</v>
      </c>
      <c r="W66" s="331">
        <f>'Proy. ventas'!Y84</f>
        <v>26.95</v>
      </c>
      <c r="X66" s="244">
        <f>W66*$E$47</f>
        <v>79.053333333333342</v>
      </c>
      <c r="Y66" s="331">
        <f>'Proy. ventas'!AA84</f>
        <v>29.4</v>
      </c>
      <c r="Z66" s="244">
        <f>Y66*$E$47</f>
        <v>86.240000000000009</v>
      </c>
    </row>
    <row r="67" spans="1:26" x14ac:dyDescent="0.25">
      <c r="A67" s="874" t="s">
        <v>61</v>
      </c>
      <c r="B67" s="874"/>
      <c r="C67" s="331">
        <f t="shared" ref="C67:Z67" si="1">SUM(C64:C66)</f>
        <v>251.89999999999998</v>
      </c>
      <c r="D67" s="334">
        <f t="shared" si="1"/>
        <v>283.0865277777778</v>
      </c>
      <c r="E67" s="331">
        <f t="shared" si="1"/>
        <v>229</v>
      </c>
      <c r="F67" s="334">
        <f t="shared" si="1"/>
        <v>257.35138888888889</v>
      </c>
      <c r="G67" s="331">
        <f t="shared" si="1"/>
        <v>160.30000000000004</v>
      </c>
      <c r="H67" s="334">
        <f t="shared" si="1"/>
        <v>180.14597222222224</v>
      </c>
      <c r="I67" s="331">
        <f t="shared" si="1"/>
        <v>137.39999999999998</v>
      </c>
      <c r="J67" s="334">
        <f t="shared" si="1"/>
        <v>154.41083333333333</v>
      </c>
      <c r="K67" s="331">
        <f t="shared" si="1"/>
        <v>137.39999999999998</v>
      </c>
      <c r="L67" s="334">
        <f t="shared" si="1"/>
        <v>154.41083333333333</v>
      </c>
      <c r="M67" s="331">
        <f t="shared" si="1"/>
        <v>91.6</v>
      </c>
      <c r="N67" s="334">
        <f t="shared" si="1"/>
        <v>102.94055555555556</v>
      </c>
      <c r="O67" s="331">
        <f t="shared" si="1"/>
        <v>206.10000000000002</v>
      </c>
      <c r="P67" s="334">
        <f t="shared" si="1"/>
        <v>231.61625000000001</v>
      </c>
      <c r="Q67" s="331">
        <f t="shared" si="1"/>
        <v>114.5</v>
      </c>
      <c r="R67" s="334">
        <f t="shared" si="1"/>
        <v>128.67569444444445</v>
      </c>
      <c r="S67" s="331">
        <f t="shared" si="1"/>
        <v>206.10000000000002</v>
      </c>
      <c r="T67" s="334">
        <f t="shared" si="1"/>
        <v>231.61625000000001</v>
      </c>
      <c r="U67" s="331">
        <f t="shared" si="1"/>
        <v>229</v>
      </c>
      <c r="V67" s="334">
        <f t="shared" si="1"/>
        <v>257.35138888888889</v>
      </c>
      <c r="W67" s="331">
        <f t="shared" si="1"/>
        <v>251.89999999999998</v>
      </c>
      <c r="X67" s="334">
        <f t="shared" si="1"/>
        <v>283.0865277777778</v>
      </c>
      <c r="Y67" s="331">
        <f t="shared" si="1"/>
        <v>274.79999999999995</v>
      </c>
      <c r="Z67" s="334">
        <f t="shared" si="1"/>
        <v>308.82166666666666</v>
      </c>
    </row>
    <row r="68" spans="1:26" ht="9.75" customHeight="1" x14ac:dyDescent="0.25"/>
    <row r="69" spans="1:26" ht="9.75" customHeight="1" x14ac:dyDescent="0.25"/>
    <row r="70" spans="1:26" x14ac:dyDescent="0.25">
      <c r="A70" s="880" t="s">
        <v>147</v>
      </c>
      <c r="B70" s="880"/>
      <c r="C70" s="879" t="s">
        <v>42</v>
      </c>
      <c r="D70" s="879"/>
      <c r="E70" s="879" t="s">
        <v>43</v>
      </c>
      <c r="F70" s="879"/>
      <c r="G70" s="879" t="s">
        <v>44</v>
      </c>
      <c r="H70" s="879"/>
      <c r="I70" s="879" t="s">
        <v>45</v>
      </c>
      <c r="J70" s="879"/>
      <c r="K70" s="879" t="s">
        <v>46</v>
      </c>
      <c r="L70" s="879"/>
      <c r="M70" s="879" t="s">
        <v>47</v>
      </c>
      <c r="N70" s="879"/>
      <c r="O70" s="879" t="s">
        <v>48</v>
      </c>
      <c r="P70" s="879"/>
      <c r="Q70" s="879" t="s">
        <v>49</v>
      </c>
      <c r="R70" s="879"/>
      <c r="S70" s="879" t="s">
        <v>50</v>
      </c>
      <c r="T70" s="879"/>
      <c r="U70" s="879" t="s">
        <v>51</v>
      </c>
      <c r="V70" s="879"/>
      <c r="W70" s="879" t="s">
        <v>52</v>
      </c>
      <c r="X70" s="879"/>
      <c r="Y70" s="879" t="s">
        <v>53</v>
      </c>
      <c r="Z70" s="879"/>
    </row>
    <row r="71" spans="1:26" ht="45" x14ac:dyDescent="0.25">
      <c r="A71" s="880"/>
      <c r="B71" s="880"/>
      <c r="C71" s="333" t="s">
        <v>142</v>
      </c>
      <c r="D71" s="333" t="s">
        <v>144</v>
      </c>
      <c r="E71" s="333" t="s">
        <v>142</v>
      </c>
      <c r="F71" s="333" t="s">
        <v>143</v>
      </c>
      <c r="G71" s="333" t="s">
        <v>142</v>
      </c>
      <c r="H71" s="333" t="s">
        <v>144</v>
      </c>
      <c r="I71" s="333" t="s">
        <v>142</v>
      </c>
      <c r="J71" s="333" t="s">
        <v>143</v>
      </c>
      <c r="K71" s="333" t="s">
        <v>142</v>
      </c>
      <c r="L71" s="333" t="s">
        <v>144</v>
      </c>
      <c r="M71" s="333" t="s">
        <v>142</v>
      </c>
      <c r="N71" s="333" t="s">
        <v>144</v>
      </c>
      <c r="O71" s="333" t="s">
        <v>142</v>
      </c>
      <c r="P71" s="333" t="s">
        <v>144</v>
      </c>
      <c r="Q71" s="333" t="s">
        <v>142</v>
      </c>
      <c r="R71" s="333" t="s">
        <v>144</v>
      </c>
      <c r="S71" s="333" t="s">
        <v>142</v>
      </c>
      <c r="T71" s="333" t="s">
        <v>144</v>
      </c>
      <c r="U71" s="333" t="s">
        <v>142</v>
      </c>
      <c r="V71" s="333" t="s">
        <v>144</v>
      </c>
      <c r="W71" s="333" t="s">
        <v>142</v>
      </c>
      <c r="X71" s="333" t="s">
        <v>144</v>
      </c>
      <c r="Y71" s="333" t="s">
        <v>142</v>
      </c>
      <c r="Z71" s="333" t="s">
        <v>144</v>
      </c>
    </row>
    <row r="72" spans="1:26" ht="15.75" x14ac:dyDescent="0.25">
      <c r="A72" s="332"/>
      <c r="B72" s="332"/>
      <c r="C72" s="331">
        <f>'Proy. ventas'!E144</f>
        <v>203.5</v>
      </c>
      <c r="D72" s="244">
        <f>C72*$E$23</f>
        <v>70.546666666666667</v>
      </c>
      <c r="E72" s="331">
        <f>'Proy. ventas'!G144</f>
        <v>166.5</v>
      </c>
      <c r="F72" s="244">
        <f>E72*$E$23</f>
        <v>57.72</v>
      </c>
      <c r="G72" s="331">
        <f>'Proy. ventas'!I144</f>
        <v>148</v>
      </c>
      <c r="H72" s="244">
        <f>G72*$E$23</f>
        <v>51.306666666666672</v>
      </c>
      <c r="I72" s="331">
        <f>'Proy. ventas'!K144</f>
        <v>111</v>
      </c>
      <c r="J72" s="244">
        <f>I72*$E$23</f>
        <v>38.480000000000004</v>
      </c>
      <c r="K72" s="331">
        <f>'Proy. ventas'!M144</f>
        <v>111</v>
      </c>
      <c r="L72" s="244">
        <f>K72*$E$23</f>
        <v>38.480000000000004</v>
      </c>
      <c r="M72" s="331">
        <f>'Proy. ventas'!O144</f>
        <v>92.5</v>
      </c>
      <c r="N72" s="244">
        <f>M72*$E$23</f>
        <v>32.06666666666667</v>
      </c>
      <c r="O72" s="331">
        <f>'Proy. ventas'!Q144</f>
        <v>185</v>
      </c>
      <c r="P72" s="244">
        <f>O72*$E$23</f>
        <v>64.13333333333334</v>
      </c>
      <c r="Q72" s="331">
        <f>'Proy. ventas'!S144</f>
        <v>92.5</v>
      </c>
      <c r="R72" s="244">
        <f>Q72*$E$23</f>
        <v>32.06666666666667</v>
      </c>
      <c r="S72" s="331">
        <f>'Proy. ventas'!U144</f>
        <v>148</v>
      </c>
      <c r="T72" s="244">
        <f>S72*$E$23</f>
        <v>51.306666666666672</v>
      </c>
      <c r="U72" s="331">
        <f>'Proy. ventas'!W144</f>
        <v>185</v>
      </c>
      <c r="V72" s="244">
        <f>U72*$E$23</f>
        <v>64.13333333333334</v>
      </c>
      <c r="W72" s="331">
        <f>'Proy. ventas'!Y144</f>
        <v>185</v>
      </c>
      <c r="X72" s="244">
        <f>W72*$E$23</f>
        <v>64.13333333333334</v>
      </c>
      <c r="Y72" s="331">
        <f>'Proy. ventas'!AA144</f>
        <v>222</v>
      </c>
      <c r="Z72" s="244">
        <f>Y72*$E$23</f>
        <v>76.960000000000008</v>
      </c>
    </row>
    <row r="73" spans="1:26" ht="15.75" x14ac:dyDescent="0.25">
      <c r="A73" s="332"/>
      <c r="B73" s="332"/>
      <c r="C73" s="331">
        <f>'Proy. ventas'!E145</f>
        <v>159.5</v>
      </c>
      <c r="D73" s="244">
        <f>C73*$E$35</f>
        <v>271.59305555555557</v>
      </c>
      <c r="E73" s="331">
        <f>'Proy. ventas'!G145</f>
        <v>130.5</v>
      </c>
      <c r="F73" s="244">
        <f>E73*$E$35</f>
        <v>222.21250000000001</v>
      </c>
      <c r="G73" s="331">
        <f>'Proy. ventas'!I145</f>
        <v>116</v>
      </c>
      <c r="H73" s="244">
        <f>G73*$E$35</f>
        <v>197.52222222222221</v>
      </c>
      <c r="I73" s="331">
        <f>'Proy. ventas'!K145</f>
        <v>87</v>
      </c>
      <c r="J73" s="244">
        <f>I73*$E$35</f>
        <v>148.14166666666665</v>
      </c>
      <c r="K73" s="331">
        <f>'Proy. ventas'!M145</f>
        <v>87</v>
      </c>
      <c r="L73" s="244">
        <f>K73*$E$35</f>
        <v>148.14166666666665</v>
      </c>
      <c r="M73" s="331">
        <f>'Proy. ventas'!O145</f>
        <v>72.5</v>
      </c>
      <c r="N73" s="244">
        <f>M73*$E$35</f>
        <v>123.45138888888889</v>
      </c>
      <c r="O73" s="331">
        <f>'Proy. ventas'!Q145</f>
        <v>145</v>
      </c>
      <c r="P73" s="244">
        <f>O73*$E$35</f>
        <v>246.90277777777777</v>
      </c>
      <c r="Q73" s="331">
        <f>'Proy. ventas'!S145</f>
        <v>72.5</v>
      </c>
      <c r="R73" s="244">
        <f>Q73*$E$35</f>
        <v>123.45138888888889</v>
      </c>
      <c r="S73" s="331">
        <f>'Proy. ventas'!U145</f>
        <v>116</v>
      </c>
      <c r="T73" s="244">
        <f>S73*$E$35</f>
        <v>197.52222222222221</v>
      </c>
      <c r="U73" s="331">
        <f>'Proy. ventas'!W145</f>
        <v>145</v>
      </c>
      <c r="V73" s="244">
        <f>U73*$E$35</f>
        <v>246.90277777777777</v>
      </c>
      <c r="W73" s="331">
        <f>'Proy. ventas'!Y145</f>
        <v>145</v>
      </c>
      <c r="X73" s="244">
        <f>W73*$E$35</f>
        <v>246.90277777777777</v>
      </c>
      <c r="Y73" s="331">
        <f>'Proy. ventas'!AA145</f>
        <v>174</v>
      </c>
      <c r="Z73" s="244">
        <f>Y73*$E$35</f>
        <v>296.2833333333333</v>
      </c>
    </row>
    <row r="74" spans="1:26" ht="15.75" x14ac:dyDescent="0.25">
      <c r="A74" s="332"/>
      <c r="B74" s="332"/>
      <c r="C74" s="331">
        <f>'Proy. ventas'!E146</f>
        <v>69.3</v>
      </c>
      <c r="D74" s="244">
        <f>C74*$E$47</f>
        <v>203.28</v>
      </c>
      <c r="E74" s="331">
        <f>'Proy. ventas'!G146</f>
        <v>56.699999999999996</v>
      </c>
      <c r="F74" s="244">
        <f>E74*$E$47</f>
        <v>166.32</v>
      </c>
      <c r="G74" s="331">
        <f>'Proy. ventas'!I146</f>
        <v>50.4</v>
      </c>
      <c r="H74" s="244">
        <f>G74*$E$47</f>
        <v>147.84</v>
      </c>
      <c r="I74" s="331">
        <f>'Proy. ventas'!K146</f>
        <v>37.799999999999997</v>
      </c>
      <c r="J74" s="244">
        <f>I74*$E$47</f>
        <v>110.88</v>
      </c>
      <c r="K74" s="331">
        <f>'Proy. ventas'!M146</f>
        <v>37.799999999999997</v>
      </c>
      <c r="L74" s="244">
        <f>K74*$E$47</f>
        <v>110.88</v>
      </c>
      <c r="M74" s="331">
        <f>'Proy. ventas'!O146</f>
        <v>31.5</v>
      </c>
      <c r="N74" s="244">
        <f>M74*$E$47</f>
        <v>92.4</v>
      </c>
      <c r="O74" s="331">
        <f>'Proy. ventas'!Q146</f>
        <v>63</v>
      </c>
      <c r="P74" s="244">
        <f>O74*$E$47</f>
        <v>184.8</v>
      </c>
      <c r="Q74" s="331">
        <f>'Proy. ventas'!S146</f>
        <v>31.5</v>
      </c>
      <c r="R74" s="244">
        <f>Q74*$E$47</f>
        <v>92.4</v>
      </c>
      <c r="S74" s="331">
        <f>'Proy. ventas'!U146</f>
        <v>50.4</v>
      </c>
      <c r="T74" s="244">
        <f>S74*$E$47</f>
        <v>147.84</v>
      </c>
      <c r="U74" s="331">
        <f>'Proy. ventas'!W146</f>
        <v>63</v>
      </c>
      <c r="V74" s="244">
        <f>U74*$E$47</f>
        <v>184.8</v>
      </c>
      <c r="W74" s="331">
        <f>'Proy. ventas'!Y146</f>
        <v>63</v>
      </c>
      <c r="X74" s="244">
        <f>W74*$E$47</f>
        <v>184.8</v>
      </c>
      <c r="Y74" s="331">
        <f>'Proy. ventas'!AA146</f>
        <v>75.599999999999994</v>
      </c>
      <c r="Z74" s="244">
        <f>Y74*$E$47</f>
        <v>221.76</v>
      </c>
    </row>
    <row r="75" spans="1:26" x14ac:dyDescent="0.25">
      <c r="A75" s="874" t="s">
        <v>61</v>
      </c>
      <c r="B75" s="874"/>
      <c r="C75" s="331">
        <f t="shared" ref="C75:Z75" si="2">SUM(C72:C74)</f>
        <v>432.3</v>
      </c>
      <c r="D75" s="334">
        <f t="shared" si="2"/>
        <v>545.41972222222228</v>
      </c>
      <c r="E75" s="331">
        <f t="shared" si="2"/>
        <v>353.7</v>
      </c>
      <c r="F75" s="334">
        <f t="shared" si="2"/>
        <v>446.2525</v>
      </c>
      <c r="G75" s="331">
        <f t="shared" si="2"/>
        <v>314.39999999999998</v>
      </c>
      <c r="H75" s="334">
        <f t="shared" si="2"/>
        <v>396.66888888888889</v>
      </c>
      <c r="I75" s="331">
        <f t="shared" si="2"/>
        <v>235.8</v>
      </c>
      <c r="J75" s="334">
        <f t="shared" si="2"/>
        <v>297.50166666666667</v>
      </c>
      <c r="K75" s="331">
        <f t="shared" si="2"/>
        <v>235.8</v>
      </c>
      <c r="L75" s="334">
        <f t="shared" si="2"/>
        <v>297.50166666666667</v>
      </c>
      <c r="M75" s="331">
        <f t="shared" si="2"/>
        <v>196.5</v>
      </c>
      <c r="N75" s="334">
        <f t="shared" si="2"/>
        <v>247.91805555555555</v>
      </c>
      <c r="O75" s="331">
        <f t="shared" si="2"/>
        <v>393</v>
      </c>
      <c r="P75" s="334">
        <f t="shared" si="2"/>
        <v>495.83611111111111</v>
      </c>
      <c r="Q75" s="331">
        <f t="shared" si="2"/>
        <v>196.5</v>
      </c>
      <c r="R75" s="334">
        <f t="shared" si="2"/>
        <v>247.91805555555555</v>
      </c>
      <c r="S75" s="331">
        <f t="shared" si="2"/>
        <v>314.39999999999998</v>
      </c>
      <c r="T75" s="334">
        <f t="shared" si="2"/>
        <v>396.66888888888889</v>
      </c>
      <c r="U75" s="331">
        <f t="shared" si="2"/>
        <v>393</v>
      </c>
      <c r="V75" s="334">
        <f t="shared" si="2"/>
        <v>495.83611111111111</v>
      </c>
      <c r="W75" s="331">
        <f t="shared" si="2"/>
        <v>393</v>
      </c>
      <c r="X75" s="334">
        <f t="shared" si="2"/>
        <v>495.83611111111111</v>
      </c>
      <c r="Y75" s="331">
        <f t="shared" si="2"/>
        <v>471.6</v>
      </c>
      <c r="Z75" s="334">
        <f t="shared" si="2"/>
        <v>595.00333333333333</v>
      </c>
    </row>
    <row r="76" spans="1:26" ht="9.75" customHeight="1" thickBot="1" x14ac:dyDescent="0.3"/>
    <row r="77" spans="1:26" ht="22.5" customHeight="1" thickBot="1" x14ac:dyDescent="0.45">
      <c r="A77" s="875" t="s">
        <v>150</v>
      </c>
      <c r="B77" s="876"/>
      <c r="C77" s="876"/>
      <c r="D77" s="876"/>
      <c r="E77" s="877"/>
    </row>
    <row r="78" spans="1:26" ht="52.5" customHeight="1" x14ac:dyDescent="0.25">
      <c r="A78" s="878" t="s">
        <v>151</v>
      </c>
      <c r="B78" s="878"/>
      <c r="C78" s="878"/>
      <c r="D78" s="878"/>
      <c r="E78" s="878"/>
      <c r="F78" s="330"/>
      <c r="G78" s="330"/>
      <c r="H78" s="330"/>
      <c r="I78" s="330"/>
      <c r="J78" s="330"/>
    </row>
    <row r="79" spans="1:26" ht="9.75" customHeight="1" x14ac:dyDescent="0.25"/>
    <row r="80" spans="1:26" ht="9.75" customHeight="1" x14ac:dyDescent="0.25"/>
    <row r="81" spans="1:10" ht="9.75" customHeight="1" x14ac:dyDescent="0.25"/>
    <row r="82" spans="1:10" ht="9.75" customHeight="1" x14ac:dyDescent="0.25"/>
    <row r="83" spans="1:10" ht="9.75" customHeight="1" x14ac:dyDescent="0.25"/>
    <row r="84" spans="1:10" ht="9.75" customHeight="1" x14ac:dyDescent="0.25"/>
    <row r="85" spans="1:10" ht="9.75" customHeight="1" x14ac:dyDescent="0.25"/>
    <row r="86" spans="1:10" ht="9.75" customHeight="1" x14ac:dyDescent="0.25"/>
    <row r="87" spans="1:10" ht="9.75" customHeight="1" x14ac:dyDescent="0.25"/>
    <row r="88" spans="1:10" ht="9.75" customHeight="1" x14ac:dyDescent="0.25"/>
    <row r="89" spans="1:10" ht="9.75" customHeight="1" x14ac:dyDescent="0.25"/>
    <row r="90" spans="1:10" ht="9" customHeight="1" x14ac:dyDescent="0.25"/>
    <row r="91" spans="1:10" ht="15" customHeight="1" x14ac:dyDescent="0.25"/>
    <row r="92" spans="1:10" ht="9" customHeight="1" x14ac:dyDescent="0.25"/>
    <row r="93" spans="1:10" ht="9" customHeight="1" x14ac:dyDescent="0.25"/>
    <row r="94" spans="1:10" ht="17.25" customHeight="1" x14ac:dyDescent="0.25"/>
    <row r="95" spans="1:10" ht="12.75" customHeight="1" x14ac:dyDescent="0.25">
      <c r="A95"/>
      <c r="B95" s="1"/>
      <c r="C95" s="287"/>
    </row>
    <row r="96" spans="1:10" x14ac:dyDescent="0.25">
      <c r="B96" s="1"/>
      <c r="C96" s="287"/>
      <c r="D96" s="289"/>
      <c r="E96" s="289"/>
      <c r="F96" s="289"/>
      <c r="G96" s="289"/>
      <c r="H96" s="289"/>
      <c r="I96" s="289"/>
      <c r="J96" s="289"/>
    </row>
    <row r="99" ht="14.25" customHeight="1" x14ac:dyDescent="0.25"/>
  </sheetData>
  <mergeCells count="55">
    <mergeCell ref="A13:A14"/>
    <mergeCell ref="A23:C24"/>
    <mergeCell ref="A35:C36"/>
    <mergeCell ref="A47:C48"/>
    <mergeCell ref="A3:E3"/>
    <mergeCell ref="A4:E4"/>
    <mergeCell ref="A6:C6"/>
    <mergeCell ref="A18:E18"/>
    <mergeCell ref="U54:V54"/>
    <mergeCell ref="W54:X54"/>
    <mergeCell ref="Y54:Z54"/>
    <mergeCell ref="A28:E28"/>
    <mergeCell ref="A40:E40"/>
    <mergeCell ref="K54:L54"/>
    <mergeCell ref="M54:N54"/>
    <mergeCell ref="O54:P54"/>
    <mergeCell ref="Q54:R54"/>
    <mergeCell ref="S54:T54"/>
    <mergeCell ref="A62:B63"/>
    <mergeCell ref="C54:D54"/>
    <mergeCell ref="E54:F54"/>
    <mergeCell ref="G54:H54"/>
    <mergeCell ref="I54:J54"/>
    <mergeCell ref="Y62:Z62"/>
    <mergeCell ref="A67:B67"/>
    <mergeCell ref="A70:B71"/>
    <mergeCell ref="C70:D70"/>
    <mergeCell ref="E70:F70"/>
    <mergeCell ref="G70:H70"/>
    <mergeCell ref="I70:J70"/>
    <mergeCell ref="K70:L70"/>
    <mergeCell ref="M70:N70"/>
    <mergeCell ref="O70:P70"/>
    <mergeCell ref="Q70:R70"/>
    <mergeCell ref="S70:T70"/>
    <mergeCell ref="U70:V70"/>
    <mergeCell ref="W70:X70"/>
    <mergeCell ref="Y70:Z70"/>
    <mergeCell ref="M62:N62"/>
    <mergeCell ref="A75:B75"/>
    <mergeCell ref="A53:E53"/>
    <mergeCell ref="A77:E77"/>
    <mergeCell ref="A78:E78"/>
    <mergeCell ref="W62:X62"/>
    <mergeCell ref="O62:P62"/>
    <mergeCell ref="Q62:R62"/>
    <mergeCell ref="S62:T62"/>
    <mergeCell ref="U62:V62"/>
    <mergeCell ref="C62:D62"/>
    <mergeCell ref="E62:F62"/>
    <mergeCell ref="G62:H62"/>
    <mergeCell ref="I62:J62"/>
    <mergeCell ref="K62:L62"/>
    <mergeCell ref="A54:B55"/>
    <mergeCell ref="A59:B59"/>
  </mergeCells>
  <phoneticPr fontId="26"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0"/>
  <sheetViews>
    <sheetView zoomScale="70" zoomScaleNormal="70" workbookViewId="0">
      <pane ySplit="1" topLeftCell="A12" activePane="bottomLeft" state="frozen"/>
      <selection pane="bottomLeft" activeCell="H38" sqref="H38"/>
    </sheetView>
  </sheetViews>
  <sheetFormatPr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703" customFormat="1" ht="58.5" customHeight="1" x14ac:dyDescent="0.25">
      <c r="A1" s="706"/>
      <c r="B1" s="706"/>
      <c r="C1" s="706"/>
      <c r="D1" s="706"/>
      <c r="E1" s="711" t="s">
        <v>3</v>
      </c>
      <c r="F1" s="706"/>
      <c r="G1" s="712"/>
      <c r="H1" s="712"/>
      <c r="I1" s="706"/>
      <c r="J1" s="706"/>
      <c r="K1" s="706"/>
      <c r="L1" s="706"/>
      <c r="M1" s="706"/>
      <c r="N1" s="706"/>
      <c r="O1" s="706"/>
      <c r="P1" s="706"/>
      <c r="Q1" s="706"/>
      <c r="R1" s="706"/>
      <c r="S1" s="706"/>
      <c r="T1" s="706"/>
      <c r="U1" s="706"/>
      <c r="V1" s="706"/>
      <c r="W1" s="706"/>
      <c r="X1" s="706"/>
    </row>
    <row r="6" spans="1:24" ht="15.75" thickBot="1" x14ac:dyDescent="0.3"/>
    <row r="7" spans="1:24" ht="27" thickBot="1" x14ac:dyDescent="0.45">
      <c r="B7" s="717" t="s">
        <v>36</v>
      </c>
      <c r="C7" s="718"/>
      <c r="D7" s="719"/>
    </row>
    <row r="8" spans="1:24" x14ac:dyDescent="0.25">
      <c r="B8" s="40">
        <v>2019</v>
      </c>
      <c r="C8" s="40">
        <v>2020</v>
      </c>
      <c r="D8" s="40">
        <v>2021</v>
      </c>
    </row>
    <row r="9" spans="1:24" x14ac:dyDescent="0.25">
      <c r="B9" s="46">
        <f>Hipótesis!C24</f>
        <v>0.03</v>
      </c>
      <c r="C9" s="46">
        <f>Hipótesis!C25</f>
        <v>0.05</v>
      </c>
      <c r="D9" s="46">
        <f>Hipótesis!C26</f>
        <v>0.09</v>
      </c>
    </row>
    <row r="10" spans="1:24" x14ac:dyDescent="0.25">
      <c r="B10" s="39">
        <f>Hipótesis!D24</f>
        <v>0</v>
      </c>
      <c r="C10" s="39">
        <f>Hipótesis!D25</f>
        <v>0</v>
      </c>
      <c r="D10" s="39">
        <f>Hipótesis!D26</f>
        <v>0</v>
      </c>
    </row>
    <row r="14" spans="1:24" ht="15.75" thickBot="1" x14ac:dyDescent="0.3"/>
    <row r="15" spans="1:24" ht="27" thickBot="1" x14ac:dyDescent="0.45">
      <c r="B15" s="898" t="s">
        <v>62</v>
      </c>
      <c r="C15" s="899"/>
      <c r="D15" s="899"/>
      <c r="E15" s="900"/>
    </row>
    <row r="16" spans="1:24" ht="16.5" thickBot="1" x14ac:dyDescent="0.3">
      <c r="B16" s="199" t="s">
        <v>32</v>
      </c>
      <c r="C16" s="198" t="s">
        <v>58</v>
      </c>
      <c r="D16" s="198" t="s">
        <v>59</v>
      </c>
      <c r="E16" s="200" t="s">
        <v>60</v>
      </c>
    </row>
    <row r="17" spans="2:5" ht="15.75" x14ac:dyDescent="0.25">
      <c r="B17" s="204"/>
      <c r="C17" s="205">
        <f>'Proy. ventas'!D19</f>
        <v>2520000</v>
      </c>
      <c r="D17" s="205">
        <f>'Proy. ventas'!D82</f>
        <v>3360000</v>
      </c>
      <c r="E17" s="206">
        <f>'Proy. ventas'!D144</f>
        <v>5180000</v>
      </c>
    </row>
    <row r="18" spans="2:5" ht="15.75" x14ac:dyDescent="0.25">
      <c r="B18" s="207"/>
      <c r="C18" s="208">
        <f>'Proy. ventas'!D20</f>
        <v>7750000</v>
      </c>
      <c r="D18" s="208">
        <f>'Proy. ventas'!D83</f>
        <v>13097500</v>
      </c>
      <c r="E18" s="209">
        <f>'Proy. ventas'!D145</f>
        <v>22475000</v>
      </c>
    </row>
    <row r="19" spans="2:5" ht="16.5" thickBot="1" x14ac:dyDescent="0.3">
      <c r="B19" s="210"/>
      <c r="C19" s="211">
        <f>'Proy. ventas'!D21</f>
        <v>2760000</v>
      </c>
      <c r="D19" s="211">
        <f>'Proy. ventas'!D84</f>
        <v>5635000</v>
      </c>
      <c r="E19" s="212">
        <f>'Proy. ventas'!D146</f>
        <v>14490000</v>
      </c>
    </row>
    <row r="20" spans="2:5" ht="15.75" x14ac:dyDescent="0.25">
      <c r="B20" s="213"/>
      <c r="C20" s="214">
        <f>'Proy. ventas'!D22</f>
        <v>275000</v>
      </c>
      <c r="D20" s="214">
        <f>'Proy. ventas'!D85</f>
        <v>900000</v>
      </c>
      <c r="E20" s="215">
        <f>'Proy. ventas'!D147</f>
        <v>1896500</v>
      </c>
    </row>
    <row r="21" spans="2:5" ht="15.75" x14ac:dyDescent="0.25">
      <c r="B21" s="216"/>
      <c r="C21" s="217">
        <f>'Proy. ventas'!D23</f>
        <v>220000</v>
      </c>
      <c r="D21" s="217">
        <f>'Proy. ventas'!D86</f>
        <v>720000</v>
      </c>
      <c r="E21" s="218">
        <f>'Proy. ventas'!D148</f>
        <v>1504000</v>
      </c>
    </row>
    <row r="22" spans="2:5" ht="15.75" x14ac:dyDescent="0.25">
      <c r="B22" s="216"/>
      <c r="C22" s="217">
        <f>'Proy. ventas'!D24</f>
        <v>660000</v>
      </c>
      <c r="D22" s="217">
        <f>'Proy. ventas'!D87</f>
        <v>1650000</v>
      </c>
      <c r="E22" s="218">
        <f>'Proy. ventas'!D149</f>
        <v>3740000</v>
      </c>
    </row>
    <row r="23" spans="2:5" ht="16.5" thickBot="1" x14ac:dyDescent="0.3">
      <c r="B23" s="219"/>
      <c r="C23" s="220">
        <f>'Proy. ventas'!D25</f>
        <v>250000</v>
      </c>
      <c r="D23" s="220">
        <f>'Proy. ventas'!D88</f>
        <v>400000</v>
      </c>
      <c r="E23" s="221">
        <f>'Proy. ventas'!D150</f>
        <v>800000</v>
      </c>
    </row>
    <row r="24" spans="2:5" ht="15.75" x14ac:dyDescent="0.25">
      <c r="B24" s="222"/>
      <c r="C24" s="223">
        <f>'Proy. ventas'!D26</f>
        <v>1232000</v>
      </c>
      <c r="D24" s="223">
        <f>'Proy. ventas'!D89</f>
        <v>1440000</v>
      </c>
      <c r="E24" s="224">
        <f>'Proy. ventas'!D151</f>
        <v>1600000</v>
      </c>
    </row>
    <row r="25" spans="2:5" ht="15.75" x14ac:dyDescent="0.25">
      <c r="B25" s="225"/>
      <c r="C25" s="226">
        <f>'Proy. ventas'!D27</f>
        <v>242400</v>
      </c>
      <c r="D25" s="226">
        <f>'Proy. ventas'!D90</f>
        <v>350400</v>
      </c>
      <c r="E25" s="227">
        <f>'Proy. ventas'!D152</f>
        <v>432000</v>
      </c>
    </row>
    <row r="26" spans="2:5" ht="15.75" x14ac:dyDescent="0.25">
      <c r="B26" s="225"/>
      <c r="C26" s="226">
        <f>'Proy. ventas'!D28</f>
        <v>715000</v>
      </c>
      <c r="D26" s="226">
        <f>'Proy. ventas'!D91</f>
        <v>803000</v>
      </c>
      <c r="E26" s="227">
        <f>'Proy. ventas'!D153</f>
        <v>990000</v>
      </c>
    </row>
    <row r="27" spans="2:5" ht="15.75" x14ac:dyDescent="0.25">
      <c r="B27" s="225"/>
      <c r="C27" s="226">
        <f>'Proy. ventas'!D29</f>
        <v>163250</v>
      </c>
      <c r="D27" s="226">
        <f>'Proy. ventas'!D92</f>
        <v>186250</v>
      </c>
      <c r="E27" s="227">
        <f>'Proy. ventas'!D154</f>
        <v>225000</v>
      </c>
    </row>
    <row r="28" spans="2:5" ht="16.5" thickBot="1" x14ac:dyDescent="0.3">
      <c r="B28" s="228"/>
      <c r="C28" s="229">
        <f>'Proy. ventas'!D30</f>
        <v>1400000</v>
      </c>
      <c r="D28" s="229">
        <f>'Proy. ventas'!D93</f>
        <v>2170000</v>
      </c>
      <c r="E28" s="230">
        <f>'Proy. ventas'!D155</f>
        <v>2730000</v>
      </c>
    </row>
    <row r="29" spans="2:5" ht="15.75" x14ac:dyDescent="0.25">
      <c r="B29" s="231"/>
      <c r="C29" s="232">
        <f>'Proy. ventas'!D31</f>
        <v>1500000</v>
      </c>
      <c r="D29" s="232">
        <f>'Proy. ventas'!D94</f>
        <v>2100000</v>
      </c>
      <c r="E29" s="233">
        <f>'Proy. ventas'!D156</f>
        <v>3000000</v>
      </c>
    </row>
    <row r="30" spans="2:5" ht="15.75" thickBot="1" x14ac:dyDescent="0.3">
      <c r="B30" s="201" t="s">
        <v>61</v>
      </c>
      <c r="C30" s="202">
        <f>SUM(C17:C29)</f>
        <v>19687650</v>
      </c>
      <c r="D30" s="202">
        <f>SUM(D17:D29)</f>
        <v>32812150</v>
      </c>
      <c r="E30" s="203">
        <f>SUM(E17:E29)</f>
        <v>59062500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1"/>
  <sheetViews>
    <sheetView zoomScale="85" zoomScaleNormal="70" workbookViewId="0">
      <pane ySplit="1" topLeftCell="A18" activePane="bottomLeft" state="frozen"/>
      <selection pane="bottomLeft"/>
    </sheetView>
  </sheetViews>
  <sheetFormatPr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703" customFormat="1" ht="58.5" customHeight="1" x14ac:dyDescent="0.25">
      <c r="A1" s="706"/>
      <c r="B1" s="706"/>
      <c r="C1" s="706"/>
      <c r="D1" s="706"/>
      <c r="E1" s="706"/>
      <c r="F1" s="711" t="s">
        <v>4</v>
      </c>
      <c r="G1" s="712"/>
      <c r="H1" s="712"/>
      <c r="I1" s="706"/>
      <c r="J1" s="706"/>
      <c r="K1" s="706"/>
      <c r="L1" s="706"/>
      <c r="M1" s="706"/>
      <c r="N1" s="706"/>
      <c r="O1" s="706"/>
      <c r="P1" s="706"/>
      <c r="Q1" s="706"/>
    </row>
    <row r="2" spans="1:17" ht="15.75" thickBot="1" x14ac:dyDescent="0.3"/>
    <row r="3" spans="1:17" ht="27" thickBot="1" x14ac:dyDescent="0.45">
      <c r="C3" s="717" t="s">
        <v>36</v>
      </c>
      <c r="D3" s="718"/>
      <c r="E3" s="719"/>
      <c r="G3" s="717" t="s">
        <v>172</v>
      </c>
      <c r="H3" s="718"/>
      <c r="I3" s="719"/>
    </row>
    <row r="4" spans="1:17" x14ac:dyDescent="0.25">
      <c r="C4" s="125">
        <v>2019</v>
      </c>
      <c r="D4" s="40">
        <v>2020</v>
      </c>
      <c r="E4" s="126">
        <v>2021</v>
      </c>
      <c r="G4" s="125">
        <v>2019</v>
      </c>
      <c r="H4" s="40">
        <v>2020</v>
      </c>
      <c r="I4" s="126">
        <v>2021</v>
      </c>
    </row>
    <row r="5" spans="1:17" ht="15.75" thickBot="1" x14ac:dyDescent="0.3">
      <c r="C5" s="127">
        <f>Hipótesis!C24</f>
        <v>0.03</v>
      </c>
      <c r="D5" s="46">
        <f>Hipótesis!C25</f>
        <v>0.05</v>
      </c>
      <c r="E5" s="128">
        <f>Hipótesis!C26</f>
        <v>0.09</v>
      </c>
      <c r="G5" s="129">
        <f>P24</f>
        <v>2343935.7000000002</v>
      </c>
      <c r="H5" s="130">
        <f>P42</f>
        <v>2614351.9749999996</v>
      </c>
      <c r="I5" s="131">
        <f>P61</f>
        <v>2971977.4835000001</v>
      </c>
    </row>
    <row r="6" spans="1:17" ht="15.75" thickBot="1" x14ac:dyDescent="0.3">
      <c r="C6" s="129">
        <f>Hipótesis!D24</f>
        <v>0</v>
      </c>
      <c r="D6" s="130">
        <f>Hipótesis!D25</f>
        <v>0</v>
      </c>
      <c r="E6" s="131">
        <f>Hipótesis!D26</f>
        <v>0</v>
      </c>
      <c r="G6" s="390"/>
      <c r="H6" s="390"/>
      <c r="I6" s="390"/>
    </row>
    <row r="8" spans="1:17" ht="15.75" thickBot="1" x14ac:dyDescent="0.3"/>
    <row r="9" spans="1:17" ht="27" thickBot="1" x14ac:dyDescent="0.45">
      <c r="B9" s="717" t="s">
        <v>159</v>
      </c>
      <c r="C9" s="718"/>
      <c r="D9" s="718"/>
      <c r="E9" s="718"/>
      <c r="F9" s="718"/>
      <c r="G9" s="718"/>
      <c r="H9" s="718"/>
      <c r="I9" s="718"/>
      <c r="J9" s="718"/>
      <c r="K9" s="718"/>
      <c r="L9" s="718"/>
      <c r="M9" s="718"/>
      <c r="N9" s="718"/>
      <c r="O9" s="718"/>
      <c r="P9" s="718"/>
      <c r="Q9" s="719"/>
    </row>
    <row r="10" spans="1:17" ht="19.5" thickBot="1" x14ac:dyDescent="0.3">
      <c r="B10" s="901" t="s">
        <v>160</v>
      </c>
      <c r="C10" s="902"/>
      <c r="D10" s="377" t="s">
        <v>42</v>
      </c>
      <c r="E10" s="357" t="s">
        <v>43</v>
      </c>
      <c r="F10" s="357" t="s">
        <v>44</v>
      </c>
      <c r="G10" s="357" t="s">
        <v>45</v>
      </c>
      <c r="H10" s="357" t="s">
        <v>46</v>
      </c>
      <c r="I10" s="357" t="s">
        <v>47</v>
      </c>
      <c r="J10" s="357" t="s">
        <v>48</v>
      </c>
      <c r="K10" s="357" t="s">
        <v>49</v>
      </c>
      <c r="L10" s="357" t="s">
        <v>50</v>
      </c>
      <c r="M10" s="357" t="s">
        <v>51</v>
      </c>
      <c r="N10" s="357" t="s">
        <v>52</v>
      </c>
      <c r="O10" s="358" t="s">
        <v>53</v>
      </c>
      <c r="P10" s="359" t="s">
        <v>162</v>
      </c>
      <c r="Q10" s="360" t="s">
        <v>161</v>
      </c>
    </row>
    <row r="11" spans="1:17" x14ac:dyDescent="0.25">
      <c r="B11" s="903" t="s">
        <v>152</v>
      </c>
      <c r="C11" s="384" t="s">
        <v>153</v>
      </c>
      <c r="D11" s="378">
        <v>804.62</v>
      </c>
      <c r="E11" s="361">
        <v>0</v>
      </c>
      <c r="F11" s="361">
        <v>804.62</v>
      </c>
      <c r="G11" s="361">
        <v>0</v>
      </c>
      <c r="H11" s="361">
        <v>804.62</v>
      </c>
      <c r="I11" s="361">
        <v>0</v>
      </c>
      <c r="J11" s="361">
        <v>1774.61</v>
      </c>
      <c r="K11" s="361">
        <v>0</v>
      </c>
      <c r="L11" s="361">
        <v>1774.61</v>
      </c>
      <c r="M11" s="361">
        <v>0</v>
      </c>
      <c r="N11" s="361">
        <v>804.62</v>
      </c>
      <c r="O11" s="362">
        <v>0</v>
      </c>
      <c r="P11" s="363">
        <f t="shared" ref="P11:P18" si="0">SUM(D11:O11)</f>
        <v>6767.7</v>
      </c>
      <c r="Q11" s="364"/>
    </row>
    <row r="12" spans="1:17" x14ac:dyDescent="0.25">
      <c r="B12" s="904"/>
      <c r="C12" s="385" t="s">
        <v>155</v>
      </c>
      <c r="D12" s="379">
        <v>9365</v>
      </c>
      <c r="E12" s="342">
        <v>9365</v>
      </c>
      <c r="F12" s="342">
        <v>9365</v>
      </c>
      <c r="G12" s="342">
        <v>9365</v>
      </c>
      <c r="H12" s="342">
        <v>9365</v>
      </c>
      <c r="I12" s="342">
        <v>9365</v>
      </c>
      <c r="J12" s="342">
        <v>9365</v>
      </c>
      <c r="K12" s="342">
        <v>9365</v>
      </c>
      <c r="L12" s="342">
        <v>9365</v>
      </c>
      <c r="M12" s="342">
        <v>9365</v>
      </c>
      <c r="N12" s="342">
        <v>9365</v>
      </c>
      <c r="O12" s="344">
        <v>9365</v>
      </c>
      <c r="P12" s="348">
        <f t="shared" si="0"/>
        <v>112380</v>
      </c>
      <c r="Q12" s="345"/>
    </row>
    <row r="13" spans="1:17" x14ac:dyDescent="0.25">
      <c r="B13" s="904"/>
      <c r="C13" s="385" t="s">
        <v>154</v>
      </c>
      <c r="D13" s="379">
        <v>615</v>
      </c>
      <c r="E13" s="342">
        <v>615</v>
      </c>
      <c r="F13" s="342">
        <v>615</v>
      </c>
      <c r="G13" s="342">
        <v>615</v>
      </c>
      <c r="H13" s="342">
        <v>615</v>
      </c>
      <c r="I13" s="342">
        <v>615</v>
      </c>
      <c r="J13" s="342">
        <v>615</v>
      </c>
      <c r="K13" s="342">
        <v>615</v>
      </c>
      <c r="L13" s="342">
        <v>615</v>
      </c>
      <c r="M13" s="342">
        <v>615</v>
      </c>
      <c r="N13" s="342">
        <v>615</v>
      </c>
      <c r="O13" s="344">
        <v>615</v>
      </c>
      <c r="P13" s="348">
        <f t="shared" si="0"/>
        <v>7380</v>
      </c>
      <c r="Q13" s="345"/>
    </row>
    <row r="14" spans="1:17" x14ac:dyDescent="0.25">
      <c r="B14" s="904"/>
      <c r="C14" s="385" t="s">
        <v>163</v>
      </c>
      <c r="D14" s="379">
        <v>390</v>
      </c>
      <c r="E14" s="342">
        <v>390</v>
      </c>
      <c r="F14" s="342">
        <v>390</v>
      </c>
      <c r="G14" s="342">
        <v>390</v>
      </c>
      <c r="H14" s="342">
        <v>390</v>
      </c>
      <c r="I14" s="342">
        <v>390</v>
      </c>
      <c r="J14" s="342">
        <v>390</v>
      </c>
      <c r="K14" s="342">
        <v>390</v>
      </c>
      <c r="L14" s="342">
        <v>390</v>
      </c>
      <c r="M14" s="342">
        <v>390</v>
      </c>
      <c r="N14" s="342">
        <v>390</v>
      </c>
      <c r="O14" s="344">
        <v>390</v>
      </c>
      <c r="P14" s="348">
        <f t="shared" si="0"/>
        <v>4680</v>
      </c>
      <c r="Q14" s="346"/>
    </row>
    <row r="15" spans="1:17" x14ac:dyDescent="0.25">
      <c r="B15" s="904"/>
      <c r="C15" s="386" t="s">
        <v>164</v>
      </c>
      <c r="D15" s="379">
        <f>725*6</f>
        <v>4350</v>
      </c>
      <c r="E15" s="342">
        <f t="shared" ref="E15:O15" si="1">725*6</f>
        <v>4350</v>
      </c>
      <c r="F15" s="342">
        <f t="shared" si="1"/>
        <v>4350</v>
      </c>
      <c r="G15" s="342">
        <f t="shared" si="1"/>
        <v>4350</v>
      </c>
      <c r="H15" s="342">
        <f t="shared" si="1"/>
        <v>4350</v>
      </c>
      <c r="I15" s="342">
        <f t="shared" si="1"/>
        <v>4350</v>
      </c>
      <c r="J15" s="342">
        <f t="shared" si="1"/>
        <v>4350</v>
      </c>
      <c r="K15" s="342">
        <f t="shared" si="1"/>
        <v>4350</v>
      </c>
      <c r="L15" s="342">
        <f t="shared" si="1"/>
        <v>4350</v>
      </c>
      <c r="M15" s="342">
        <f t="shared" si="1"/>
        <v>4350</v>
      </c>
      <c r="N15" s="342">
        <f t="shared" si="1"/>
        <v>4350</v>
      </c>
      <c r="O15" s="344">
        <f t="shared" si="1"/>
        <v>4350</v>
      </c>
      <c r="P15" s="348">
        <f t="shared" si="0"/>
        <v>52200</v>
      </c>
      <c r="Q15" s="347"/>
    </row>
    <row r="16" spans="1:17" x14ac:dyDescent="0.25">
      <c r="B16" s="904"/>
      <c r="C16" s="386" t="s">
        <v>165</v>
      </c>
      <c r="D16" s="379">
        <v>2290</v>
      </c>
      <c r="E16" s="342">
        <v>2290</v>
      </c>
      <c r="F16" s="342">
        <v>2290</v>
      </c>
      <c r="G16" s="342">
        <v>2290</v>
      </c>
      <c r="H16" s="342">
        <v>2290</v>
      </c>
      <c r="I16" s="342">
        <v>2290</v>
      </c>
      <c r="J16" s="342">
        <v>2290</v>
      </c>
      <c r="K16" s="342">
        <v>2290</v>
      </c>
      <c r="L16" s="342">
        <v>2290</v>
      </c>
      <c r="M16" s="342">
        <v>2290</v>
      </c>
      <c r="N16" s="342">
        <v>2290</v>
      </c>
      <c r="O16" s="344">
        <v>2290</v>
      </c>
      <c r="P16" s="348">
        <f t="shared" si="0"/>
        <v>27480</v>
      </c>
      <c r="Q16" s="347"/>
    </row>
    <row r="17" spans="2:17" x14ac:dyDescent="0.25">
      <c r="B17" s="904"/>
      <c r="C17" s="347" t="s">
        <v>166</v>
      </c>
      <c r="D17" s="379">
        <f>18228/12</f>
        <v>1519</v>
      </c>
      <c r="E17" s="342">
        <f t="shared" ref="E17:O17" si="2">18228/12</f>
        <v>1519</v>
      </c>
      <c r="F17" s="342">
        <f t="shared" si="2"/>
        <v>1519</v>
      </c>
      <c r="G17" s="342">
        <f t="shared" si="2"/>
        <v>1519</v>
      </c>
      <c r="H17" s="342">
        <f t="shared" si="2"/>
        <v>1519</v>
      </c>
      <c r="I17" s="342">
        <f t="shared" si="2"/>
        <v>1519</v>
      </c>
      <c r="J17" s="342">
        <f t="shared" si="2"/>
        <v>1519</v>
      </c>
      <c r="K17" s="342">
        <f t="shared" si="2"/>
        <v>1519</v>
      </c>
      <c r="L17" s="342">
        <f t="shared" si="2"/>
        <v>1519</v>
      </c>
      <c r="M17" s="342">
        <f t="shared" si="2"/>
        <v>1519</v>
      </c>
      <c r="N17" s="342">
        <f t="shared" si="2"/>
        <v>1519</v>
      </c>
      <c r="O17" s="344">
        <f t="shared" si="2"/>
        <v>1519</v>
      </c>
      <c r="P17" s="348">
        <f t="shared" si="0"/>
        <v>18228</v>
      </c>
      <c r="Q17" s="347"/>
    </row>
    <row r="18" spans="2:17" ht="16.5" customHeight="1" thickBot="1" x14ac:dyDescent="0.3">
      <c r="B18" s="905"/>
      <c r="C18" s="387" t="s">
        <v>167</v>
      </c>
      <c r="D18" s="380">
        <v>1860</v>
      </c>
      <c r="E18" s="365">
        <v>1860</v>
      </c>
      <c r="F18" s="365">
        <v>1860</v>
      </c>
      <c r="G18" s="365">
        <v>1860</v>
      </c>
      <c r="H18" s="365">
        <v>1860</v>
      </c>
      <c r="I18" s="365">
        <v>1860</v>
      </c>
      <c r="J18" s="365">
        <v>1860</v>
      </c>
      <c r="K18" s="365">
        <v>1860</v>
      </c>
      <c r="L18" s="365">
        <v>1860</v>
      </c>
      <c r="M18" s="365">
        <v>1860</v>
      </c>
      <c r="N18" s="365">
        <v>1860</v>
      </c>
      <c r="O18" s="366">
        <v>1860</v>
      </c>
      <c r="P18" s="349">
        <f t="shared" si="0"/>
        <v>22320</v>
      </c>
      <c r="Q18" s="367"/>
    </row>
    <row r="19" spans="2:17" ht="63.75" customHeight="1" x14ac:dyDescent="0.25">
      <c r="B19" s="908" t="s">
        <v>156</v>
      </c>
      <c r="C19" s="388" t="s">
        <v>377</v>
      </c>
      <c r="D19" s="381">
        <v>65000</v>
      </c>
      <c r="E19" s="368">
        <v>65000</v>
      </c>
      <c r="F19" s="368">
        <v>65000</v>
      </c>
      <c r="G19" s="368">
        <v>65000</v>
      </c>
      <c r="H19" s="368">
        <v>65000</v>
      </c>
      <c r="I19" s="368">
        <v>65000</v>
      </c>
      <c r="J19" s="368">
        <v>74750</v>
      </c>
      <c r="K19" s="368">
        <v>74750</v>
      </c>
      <c r="L19" s="368">
        <v>74750</v>
      </c>
      <c r="M19" s="368">
        <v>74750</v>
      </c>
      <c r="N19" s="368">
        <v>74750</v>
      </c>
      <c r="O19" s="369">
        <v>74750</v>
      </c>
      <c r="P19" s="370">
        <f>SUM(D19:O19)</f>
        <v>838500</v>
      </c>
      <c r="Q19" s="371"/>
    </row>
    <row r="20" spans="2:17" ht="22.5" customHeight="1" thickBot="1" x14ac:dyDescent="0.3">
      <c r="B20" s="909"/>
      <c r="C20" s="387" t="s">
        <v>168</v>
      </c>
      <c r="D20" s="380">
        <v>0</v>
      </c>
      <c r="E20" s="365">
        <v>0</v>
      </c>
      <c r="F20" s="365">
        <v>0</v>
      </c>
      <c r="G20" s="365">
        <v>0</v>
      </c>
      <c r="H20" s="365">
        <v>0</v>
      </c>
      <c r="I20" s="365">
        <v>0</v>
      </c>
      <c r="J20" s="365">
        <v>0</v>
      </c>
      <c r="K20" s="365">
        <v>0</v>
      </c>
      <c r="L20" s="365">
        <v>0</v>
      </c>
      <c r="M20" s="365">
        <v>0</v>
      </c>
      <c r="N20" s="365">
        <v>0</v>
      </c>
      <c r="O20" s="366">
        <v>0</v>
      </c>
      <c r="P20" s="349">
        <f>SUM(D20:O20)</f>
        <v>0</v>
      </c>
      <c r="Q20" s="367"/>
    </row>
    <row r="21" spans="2:17" ht="19.5" thickBot="1" x14ac:dyDescent="0.35">
      <c r="B21" s="372" t="s">
        <v>157</v>
      </c>
      <c r="C21" s="389" t="s">
        <v>158</v>
      </c>
      <c r="D21" s="382">
        <v>8500</v>
      </c>
      <c r="E21" s="373">
        <v>8500</v>
      </c>
      <c r="F21" s="373">
        <v>8500</v>
      </c>
      <c r="G21" s="373">
        <v>8500</v>
      </c>
      <c r="H21" s="373">
        <v>8500</v>
      </c>
      <c r="I21" s="373">
        <v>8500</v>
      </c>
      <c r="J21" s="373">
        <v>8500</v>
      </c>
      <c r="K21" s="373">
        <v>8500</v>
      </c>
      <c r="L21" s="373">
        <v>8500</v>
      </c>
      <c r="M21" s="373">
        <v>8500</v>
      </c>
      <c r="N21" s="373">
        <v>8500</v>
      </c>
      <c r="O21" s="374">
        <v>8500</v>
      </c>
      <c r="P21" s="354">
        <f>SUM(D21:O21)</f>
        <v>102000</v>
      </c>
      <c r="Q21" s="375"/>
    </row>
    <row r="22" spans="2:17" x14ac:dyDescent="0.25">
      <c r="B22" s="906" t="s">
        <v>169</v>
      </c>
      <c r="C22" s="385" t="s">
        <v>378</v>
      </c>
      <c r="D22" s="379">
        <f>200*60*4</f>
        <v>48000</v>
      </c>
      <c r="E22" s="342">
        <f t="shared" ref="E22:O23" si="3">200*60*4</f>
        <v>48000</v>
      </c>
      <c r="F22" s="342">
        <f t="shared" si="3"/>
        <v>48000</v>
      </c>
      <c r="G22" s="342">
        <f t="shared" si="3"/>
        <v>48000</v>
      </c>
      <c r="H22" s="342">
        <f t="shared" si="3"/>
        <v>48000</v>
      </c>
      <c r="I22" s="342">
        <f t="shared" si="3"/>
        <v>48000</v>
      </c>
      <c r="J22" s="342">
        <f t="shared" si="3"/>
        <v>48000</v>
      </c>
      <c r="K22" s="342">
        <f t="shared" si="3"/>
        <v>48000</v>
      </c>
      <c r="L22" s="342">
        <f t="shared" si="3"/>
        <v>48000</v>
      </c>
      <c r="M22" s="342">
        <f t="shared" si="3"/>
        <v>48000</v>
      </c>
      <c r="N22" s="342">
        <f t="shared" si="3"/>
        <v>48000</v>
      </c>
      <c r="O22" s="344">
        <f t="shared" si="3"/>
        <v>48000</v>
      </c>
      <c r="P22" s="348">
        <f>SUM(D22:O22)</f>
        <v>576000</v>
      </c>
      <c r="Q22" s="346"/>
    </row>
    <row r="23" spans="2:17" ht="20.25" customHeight="1" thickBot="1" x14ac:dyDescent="0.3">
      <c r="B23" s="907"/>
      <c r="C23" s="387" t="s">
        <v>378</v>
      </c>
      <c r="D23" s="383">
        <f>200*60*4</f>
        <v>48000</v>
      </c>
      <c r="E23" s="383">
        <f t="shared" si="3"/>
        <v>48000</v>
      </c>
      <c r="F23" s="383">
        <f t="shared" si="3"/>
        <v>48000</v>
      </c>
      <c r="G23" s="383">
        <f t="shared" si="3"/>
        <v>48000</v>
      </c>
      <c r="H23" s="383">
        <f t="shared" si="3"/>
        <v>48000</v>
      </c>
      <c r="I23" s="383">
        <f t="shared" si="3"/>
        <v>48000</v>
      </c>
      <c r="J23" s="383">
        <f t="shared" si="3"/>
        <v>48000</v>
      </c>
      <c r="K23" s="383">
        <f t="shared" si="3"/>
        <v>48000</v>
      </c>
      <c r="L23" s="383">
        <f t="shared" si="3"/>
        <v>48000</v>
      </c>
      <c r="M23" s="383">
        <f t="shared" si="3"/>
        <v>48000</v>
      </c>
      <c r="N23" s="383">
        <f t="shared" si="3"/>
        <v>48000</v>
      </c>
      <c r="O23" s="383">
        <f t="shared" si="3"/>
        <v>48000</v>
      </c>
      <c r="P23" s="350">
        <f>SUM(D23:O23)</f>
        <v>576000</v>
      </c>
      <c r="Q23" s="346"/>
    </row>
    <row r="24" spans="2:17" ht="15.75" thickBot="1" x14ac:dyDescent="0.3">
      <c r="B24" s="21"/>
      <c r="C24" s="351" t="s">
        <v>19</v>
      </c>
      <c r="D24" s="352">
        <f t="shared" ref="D24:P24" si="4">SUM(D11:D23)</f>
        <v>190693.62</v>
      </c>
      <c r="E24" s="352">
        <f t="shared" si="4"/>
        <v>189889</v>
      </c>
      <c r="F24" s="352">
        <f t="shared" si="4"/>
        <v>190693.62</v>
      </c>
      <c r="G24" s="352">
        <f t="shared" si="4"/>
        <v>189889</v>
      </c>
      <c r="H24" s="352">
        <f t="shared" si="4"/>
        <v>190693.62</v>
      </c>
      <c r="I24" s="352">
        <f t="shared" si="4"/>
        <v>189889</v>
      </c>
      <c r="J24" s="352">
        <f t="shared" si="4"/>
        <v>201413.61</v>
      </c>
      <c r="K24" s="352">
        <f t="shared" si="4"/>
        <v>199639</v>
      </c>
      <c r="L24" s="352">
        <f t="shared" si="4"/>
        <v>201413.61</v>
      </c>
      <c r="M24" s="352">
        <f t="shared" si="4"/>
        <v>199639</v>
      </c>
      <c r="N24" s="352">
        <f t="shared" si="4"/>
        <v>200443.62</v>
      </c>
      <c r="O24" s="353">
        <f t="shared" si="4"/>
        <v>199639</v>
      </c>
      <c r="P24" s="376">
        <f t="shared" si="4"/>
        <v>2343935.7000000002</v>
      </c>
      <c r="Q24" s="343"/>
    </row>
    <row r="26" spans="2:17" ht="15.75" thickBot="1" x14ac:dyDescent="0.3"/>
    <row r="27" spans="2:17" ht="27" thickBot="1" x14ac:dyDescent="0.45">
      <c r="B27" s="717" t="s">
        <v>170</v>
      </c>
      <c r="C27" s="718"/>
      <c r="D27" s="718"/>
      <c r="E27" s="718"/>
      <c r="F27" s="718"/>
      <c r="G27" s="718"/>
      <c r="H27" s="718"/>
      <c r="I27" s="718"/>
      <c r="J27" s="718"/>
      <c r="K27" s="718"/>
      <c r="L27" s="718"/>
      <c r="M27" s="718"/>
      <c r="N27" s="718"/>
      <c r="O27" s="718"/>
      <c r="P27" s="718"/>
      <c r="Q27" s="719"/>
    </row>
    <row r="28" spans="2:17" ht="19.5" thickBot="1" x14ac:dyDescent="0.3">
      <c r="B28" s="901" t="s">
        <v>160</v>
      </c>
      <c r="C28" s="902"/>
      <c r="D28" s="377" t="s">
        <v>42</v>
      </c>
      <c r="E28" s="357" t="s">
        <v>43</v>
      </c>
      <c r="F28" s="357" t="s">
        <v>44</v>
      </c>
      <c r="G28" s="357" t="s">
        <v>45</v>
      </c>
      <c r="H28" s="357" t="s">
        <v>46</v>
      </c>
      <c r="I28" s="357" t="s">
        <v>47</v>
      </c>
      <c r="J28" s="357" t="s">
        <v>48</v>
      </c>
      <c r="K28" s="357" t="s">
        <v>49</v>
      </c>
      <c r="L28" s="357" t="s">
        <v>50</v>
      </c>
      <c r="M28" s="357" t="s">
        <v>51</v>
      </c>
      <c r="N28" s="357" t="s">
        <v>52</v>
      </c>
      <c r="O28" s="358" t="s">
        <v>53</v>
      </c>
      <c r="P28" s="359" t="s">
        <v>162</v>
      </c>
      <c r="Q28" s="360" t="s">
        <v>161</v>
      </c>
    </row>
    <row r="29" spans="2:17" x14ac:dyDescent="0.25">
      <c r="B29" s="903" t="s">
        <v>152</v>
      </c>
      <c r="C29" s="384" t="s">
        <v>153</v>
      </c>
      <c r="D29" s="378">
        <v>804.62</v>
      </c>
      <c r="E29" s="361">
        <v>0</v>
      </c>
      <c r="F29" s="361">
        <v>804.62</v>
      </c>
      <c r="G29" s="361">
        <v>0</v>
      </c>
      <c r="H29" s="361">
        <v>804.62</v>
      </c>
      <c r="I29" s="361">
        <v>0</v>
      </c>
      <c r="J29" s="361">
        <v>1774.61</v>
      </c>
      <c r="K29" s="361">
        <v>0</v>
      </c>
      <c r="L29" s="361">
        <v>1774.61</v>
      </c>
      <c r="M29" s="361">
        <v>0</v>
      </c>
      <c r="N29" s="361">
        <v>804.62</v>
      </c>
      <c r="O29" s="362">
        <v>0</v>
      </c>
      <c r="P29" s="363">
        <f t="shared" ref="P29:P36" si="5">SUM(D29:O29)</f>
        <v>6767.7</v>
      </c>
      <c r="Q29" s="364"/>
    </row>
    <row r="30" spans="2:17" x14ac:dyDescent="0.25">
      <c r="B30" s="904"/>
      <c r="C30" s="385" t="s">
        <v>155</v>
      </c>
      <c r="D30" s="379">
        <v>9365</v>
      </c>
      <c r="E30" s="342">
        <v>9365</v>
      </c>
      <c r="F30" s="342">
        <v>9365</v>
      </c>
      <c r="G30" s="342">
        <v>9365</v>
      </c>
      <c r="H30" s="342">
        <v>9365</v>
      </c>
      <c r="I30" s="342">
        <v>9365</v>
      </c>
      <c r="J30" s="342">
        <v>9365</v>
      </c>
      <c r="K30" s="342">
        <v>9365</v>
      </c>
      <c r="L30" s="342">
        <v>9365</v>
      </c>
      <c r="M30" s="342">
        <v>9365</v>
      </c>
      <c r="N30" s="342">
        <v>9365</v>
      </c>
      <c r="O30" s="344">
        <v>9365</v>
      </c>
      <c r="P30" s="348">
        <f t="shared" si="5"/>
        <v>112380</v>
      </c>
      <c r="Q30" s="345"/>
    </row>
    <row r="31" spans="2:17" x14ac:dyDescent="0.25">
      <c r="B31" s="904"/>
      <c r="C31" s="385" t="s">
        <v>154</v>
      </c>
      <c r="D31" s="379">
        <v>615</v>
      </c>
      <c r="E31" s="342">
        <v>615</v>
      </c>
      <c r="F31" s="342">
        <v>615</v>
      </c>
      <c r="G31" s="342">
        <v>615</v>
      </c>
      <c r="H31" s="342">
        <v>615</v>
      </c>
      <c r="I31" s="342">
        <v>615</v>
      </c>
      <c r="J31" s="342">
        <v>615</v>
      </c>
      <c r="K31" s="342">
        <v>615</v>
      </c>
      <c r="L31" s="342">
        <v>615</v>
      </c>
      <c r="M31" s="342">
        <v>615</v>
      </c>
      <c r="N31" s="342">
        <v>615</v>
      </c>
      <c r="O31" s="344">
        <v>615</v>
      </c>
      <c r="P31" s="348">
        <f t="shared" si="5"/>
        <v>7380</v>
      </c>
      <c r="Q31" s="345"/>
    </row>
    <row r="32" spans="2:17" x14ac:dyDescent="0.25">
      <c r="B32" s="904"/>
      <c r="C32" s="385" t="s">
        <v>163</v>
      </c>
      <c r="D32" s="379">
        <v>390</v>
      </c>
      <c r="E32" s="342">
        <v>390</v>
      </c>
      <c r="F32" s="342">
        <v>390</v>
      </c>
      <c r="G32" s="342">
        <v>390</v>
      </c>
      <c r="H32" s="342">
        <v>390</v>
      </c>
      <c r="I32" s="342">
        <v>390</v>
      </c>
      <c r="J32" s="342">
        <v>390</v>
      </c>
      <c r="K32" s="342">
        <v>390</v>
      </c>
      <c r="L32" s="342">
        <v>390</v>
      </c>
      <c r="M32" s="342">
        <v>390</v>
      </c>
      <c r="N32" s="342">
        <v>390</v>
      </c>
      <c r="O32" s="344">
        <v>390</v>
      </c>
      <c r="P32" s="348">
        <f t="shared" si="5"/>
        <v>4680</v>
      </c>
      <c r="Q32" s="346"/>
    </row>
    <row r="33" spans="2:17" x14ac:dyDescent="0.25">
      <c r="B33" s="904"/>
      <c r="C33" s="386" t="s">
        <v>164</v>
      </c>
      <c r="D33" s="379">
        <f>725*6</f>
        <v>4350</v>
      </c>
      <c r="E33" s="342">
        <f t="shared" ref="E33:O33" si="6">725*6</f>
        <v>4350</v>
      </c>
      <c r="F33" s="342">
        <f t="shared" si="6"/>
        <v>4350</v>
      </c>
      <c r="G33" s="342">
        <f t="shared" si="6"/>
        <v>4350</v>
      </c>
      <c r="H33" s="342">
        <f t="shared" si="6"/>
        <v>4350</v>
      </c>
      <c r="I33" s="342">
        <f t="shared" si="6"/>
        <v>4350</v>
      </c>
      <c r="J33" s="342">
        <f t="shared" si="6"/>
        <v>4350</v>
      </c>
      <c r="K33" s="342">
        <f t="shared" si="6"/>
        <v>4350</v>
      </c>
      <c r="L33" s="342">
        <f t="shared" si="6"/>
        <v>4350</v>
      </c>
      <c r="M33" s="342">
        <f t="shared" si="6"/>
        <v>4350</v>
      </c>
      <c r="N33" s="342">
        <f t="shared" si="6"/>
        <v>4350</v>
      </c>
      <c r="O33" s="344">
        <f t="shared" si="6"/>
        <v>4350</v>
      </c>
      <c r="P33" s="348">
        <f t="shared" si="5"/>
        <v>52200</v>
      </c>
      <c r="Q33" s="347"/>
    </row>
    <row r="34" spans="2:17" x14ac:dyDescent="0.25">
      <c r="B34" s="904"/>
      <c r="C34" s="386" t="s">
        <v>165</v>
      </c>
      <c r="D34" s="379">
        <v>2290</v>
      </c>
      <c r="E34" s="342">
        <v>2290</v>
      </c>
      <c r="F34" s="342">
        <v>2290</v>
      </c>
      <c r="G34" s="342">
        <v>2290</v>
      </c>
      <c r="H34" s="342">
        <v>2290</v>
      </c>
      <c r="I34" s="342">
        <v>2290</v>
      </c>
      <c r="J34" s="342">
        <v>2290</v>
      </c>
      <c r="K34" s="342">
        <v>2290</v>
      </c>
      <c r="L34" s="342">
        <v>2290</v>
      </c>
      <c r="M34" s="342">
        <v>2290</v>
      </c>
      <c r="N34" s="342">
        <v>2290</v>
      </c>
      <c r="O34" s="344">
        <v>2290</v>
      </c>
      <c r="P34" s="348">
        <f t="shared" si="5"/>
        <v>27480</v>
      </c>
      <c r="Q34" s="347"/>
    </row>
    <row r="35" spans="2:17" x14ac:dyDescent="0.25">
      <c r="B35" s="904"/>
      <c r="C35" s="347" t="s">
        <v>166</v>
      </c>
      <c r="D35" s="379">
        <f>18228/12</f>
        <v>1519</v>
      </c>
      <c r="E35" s="342">
        <f t="shared" ref="E35:O35" si="7">18228/12</f>
        <v>1519</v>
      </c>
      <c r="F35" s="342">
        <f t="shared" si="7"/>
        <v>1519</v>
      </c>
      <c r="G35" s="342">
        <f t="shared" si="7"/>
        <v>1519</v>
      </c>
      <c r="H35" s="342">
        <f t="shared" si="7"/>
        <v>1519</v>
      </c>
      <c r="I35" s="342">
        <f t="shared" si="7"/>
        <v>1519</v>
      </c>
      <c r="J35" s="342">
        <f t="shared" si="7"/>
        <v>1519</v>
      </c>
      <c r="K35" s="342">
        <f t="shared" si="7"/>
        <v>1519</v>
      </c>
      <c r="L35" s="342">
        <f t="shared" si="7"/>
        <v>1519</v>
      </c>
      <c r="M35" s="342">
        <f t="shared" si="7"/>
        <v>1519</v>
      </c>
      <c r="N35" s="342">
        <f t="shared" si="7"/>
        <v>1519</v>
      </c>
      <c r="O35" s="344">
        <f t="shared" si="7"/>
        <v>1519</v>
      </c>
      <c r="P35" s="348">
        <f t="shared" si="5"/>
        <v>18228</v>
      </c>
      <c r="Q35" s="347"/>
    </row>
    <row r="36" spans="2:17" ht="15.75" thickBot="1" x14ac:dyDescent="0.3">
      <c r="B36" s="905"/>
      <c r="C36" s="387" t="s">
        <v>167</v>
      </c>
      <c r="D36" s="380">
        <v>1860</v>
      </c>
      <c r="E36" s="365">
        <v>1860</v>
      </c>
      <c r="F36" s="365">
        <v>1860</v>
      </c>
      <c r="G36" s="365">
        <v>1860</v>
      </c>
      <c r="H36" s="365">
        <v>1860</v>
      </c>
      <c r="I36" s="365">
        <v>1860</v>
      </c>
      <c r="J36" s="365">
        <v>1860</v>
      </c>
      <c r="K36" s="365">
        <v>1860</v>
      </c>
      <c r="L36" s="365">
        <v>1860</v>
      </c>
      <c r="M36" s="365">
        <v>1860</v>
      </c>
      <c r="N36" s="365">
        <v>1860</v>
      </c>
      <c r="O36" s="366">
        <v>1860</v>
      </c>
      <c r="P36" s="349">
        <f t="shared" si="5"/>
        <v>22320</v>
      </c>
      <c r="Q36" s="367"/>
    </row>
    <row r="37" spans="2:17" x14ac:dyDescent="0.25">
      <c r="B37" s="908" t="s">
        <v>156</v>
      </c>
      <c r="C37" s="388" t="s">
        <v>377</v>
      </c>
      <c r="D37" s="381">
        <f t="shared" ref="D37:I37" si="8">74750*1.15</f>
        <v>85962.5</v>
      </c>
      <c r="E37" s="368">
        <f t="shared" si="8"/>
        <v>85962.5</v>
      </c>
      <c r="F37" s="368">
        <f t="shared" si="8"/>
        <v>85962.5</v>
      </c>
      <c r="G37" s="368">
        <f t="shared" si="8"/>
        <v>85962.5</v>
      </c>
      <c r="H37" s="368">
        <f t="shared" si="8"/>
        <v>85962.5</v>
      </c>
      <c r="I37" s="368">
        <f t="shared" si="8"/>
        <v>85962.5</v>
      </c>
      <c r="J37" s="368">
        <f>I37*1.15</f>
        <v>98856.874999999985</v>
      </c>
      <c r="K37" s="368">
        <v>98856.88</v>
      </c>
      <c r="L37" s="368">
        <v>98856.88</v>
      </c>
      <c r="M37" s="368">
        <v>98856.88</v>
      </c>
      <c r="N37" s="368">
        <v>98856.88</v>
      </c>
      <c r="O37" s="368">
        <v>98856.88</v>
      </c>
      <c r="P37" s="370">
        <f>SUM(D37:O37)</f>
        <v>1108916.2749999999</v>
      </c>
      <c r="Q37" s="371"/>
    </row>
    <row r="38" spans="2:17" ht="15.75" thickBot="1" x14ac:dyDescent="0.3">
      <c r="B38" s="909"/>
      <c r="C38" s="387" t="s">
        <v>168</v>
      </c>
      <c r="D38" s="380">
        <v>0</v>
      </c>
      <c r="E38" s="365">
        <v>0</v>
      </c>
      <c r="F38" s="365">
        <v>0</v>
      </c>
      <c r="G38" s="365">
        <v>0</v>
      </c>
      <c r="H38" s="365">
        <v>0</v>
      </c>
      <c r="I38" s="365">
        <v>0</v>
      </c>
      <c r="J38" s="365">
        <v>0</v>
      </c>
      <c r="K38" s="365">
        <v>0</v>
      </c>
      <c r="L38" s="365">
        <v>0</v>
      </c>
      <c r="M38" s="365">
        <v>0</v>
      </c>
      <c r="N38" s="365">
        <v>0</v>
      </c>
      <c r="O38" s="366">
        <v>0</v>
      </c>
      <c r="P38" s="349">
        <f>SUM(D38:O38)</f>
        <v>0</v>
      </c>
      <c r="Q38" s="367"/>
    </row>
    <row r="39" spans="2:17" ht="19.5" thickBot="1" x14ac:dyDescent="0.35">
      <c r="B39" s="372" t="s">
        <v>157</v>
      </c>
      <c r="C39" s="389" t="s">
        <v>158</v>
      </c>
      <c r="D39" s="382">
        <v>8500</v>
      </c>
      <c r="E39" s="373">
        <v>8500</v>
      </c>
      <c r="F39" s="373">
        <v>8500</v>
      </c>
      <c r="G39" s="373">
        <v>8500</v>
      </c>
      <c r="H39" s="373">
        <v>8500</v>
      </c>
      <c r="I39" s="373">
        <v>8500</v>
      </c>
      <c r="J39" s="373">
        <v>8500</v>
      </c>
      <c r="K39" s="373">
        <v>8500</v>
      </c>
      <c r="L39" s="373">
        <v>8500</v>
      </c>
      <c r="M39" s="373">
        <v>8500</v>
      </c>
      <c r="N39" s="373">
        <v>8500</v>
      </c>
      <c r="O39" s="374">
        <v>8500</v>
      </c>
      <c r="P39" s="354">
        <f>SUM(D39:O39)</f>
        <v>102000</v>
      </c>
      <c r="Q39" s="375"/>
    </row>
    <row r="40" spans="2:17" x14ac:dyDescent="0.25">
      <c r="B40" s="906" t="s">
        <v>169</v>
      </c>
      <c r="C40" s="385" t="s">
        <v>378</v>
      </c>
      <c r="D40" s="379">
        <f>200*60*4</f>
        <v>48000</v>
      </c>
      <c r="E40" s="342">
        <f t="shared" ref="E40:O41" si="9">200*60*4</f>
        <v>48000</v>
      </c>
      <c r="F40" s="342">
        <f t="shared" si="9"/>
        <v>48000</v>
      </c>
      <c r="G40" s="342">
        <f t="shared" si="9"/>
        <v>48000</v>
      </c>
      <c r="H40" s="342">
        <f t="shared" si="9"/>
        <v>48000</v>
      </c>
      <c r="I40" s="342">
        <f t="shared" si="9"/>
        <v>48000</v>
      </c>
      <c r="J40" s="342">
        <f t="shared" si="9"/>
        <v>48000</v>
      </c>
      <c r="K40" s="342">
        <f t="shared" si="9"/>
        <v>48000</v>
      </c>
      <c r="L40" s="342">
        <f t="shared" si="9"/>
        <v>48000</v>
      </c>
      <c r="M40" s="342">
        <f t="shared" si="9"/>
        <v>48000</v>
      </c>
      <c r="N40" s="342">
        <f t="shared" si="9"/>
        <v>48000</v>
      </c>
      <c r="O40" s="344">
        <f t="shared" si="9"/>
        <v>48000</v>
      </c>
      <c r="P40" s="348">
        <f>SUM(D40:O40)</f>
        <v>576000</v>
      </c>
      <c r="Q40" s="346"/>
    </row>
    <row r="41" spans="2:17" ht="15.75" thickBot="1" x14ac:dyDescent="0.3">
      <c r="B41" s="907"/>
      <c r="C41" s="387" t="s">
        <v>378</v>
      </c>
      <c r="D41" s="383">
        <f>200*60*4</f>
        <v>48000</v>
      </c>
      <c r="E41" s="383">
        <f t="shared" si="9"/>
        <v>48000</v>
      </c>
      <c r="F41" s="383">
        <f t="shared" si="9"/>
        <v>48000</v>
      </c>
      <c r="G41" s="383">
        <f t="shared" si="9"/>
        <v>48000</v>
      </c>
      <c r="H41" s="383">
        <f t="shared" si="9"/>
        <v>48000</v>
      </c>
      <c r="I41" s="383">
        <f t="shared" si="9"/>
        <v>48000</v>
      </c>
      <c r="J41" s="383">
        <f t="shared" si="9"/>
        <v>48000</v>
      </c>
      <c r="K41" s="383">
        <f t="shared" si="9"/>
        <v>48000</v>
      </c>
      <c r="L41" s="383">
        <f t="shared" si="9"/>
        <v>48000</v>
      </c>
      <c r="M41" s="383">
        <f t="shared" si="9"/>
        <v>48000</v>
      </c>
      <c r="N41" s="383">
        <f t="shared" si="9"/>
        <v>48000</v>
      </c>
      <c r="O41" s="383">
        <f t="shared" si="9"/>
        <v>48000</v>
      </c>
      <c r="P41" s="350">
        <f>SUM(D41:O41)</f>
        <v>576000</v>
      </c>
      <c r="Q41" s="346"/>
    </row>
    <row r="42" spans="2:17" ht="15.75" thickBot="1" x14ac:dyDescent="0.3">
      <c r="B42" s="21"/>
      <c r="C42" s="351" t="s">
        <v>19</v>
      </c>
      <c r="D42" s="352">
        <f t="shared" ref="D42:P42" si="10">SUM(D29:D41)</f>
        <v>211656.12</v>
      </c>
      <c r="E42" s="352">
        <f t="shared" si="10"/>
        <v>210851.5</v>
      </c>
      <c r="F42" s="352">
        <f t="shared" si="10"/>
        <v>211656.12</v>
      </c>
      <c r="G42" s="352">
        <f t="shared" si="10"/>
        <v>210851.5</v>
      </c>
      <c r="H42" s="352">
        <f t="shared" si="10"/>
        <v>211656.12</v>
      </c>
      <c r="I42" s="352">
        <f t="shared" si="10"/>
        <v>210851.5</v>
      </c>
      <c r="J42" s="352">
        <f t="shared" si="10"/>
        <v>225520.48499999999</v>
      </c>
      <c r="K42" s="352">
        <f t="shared" si="10"/>
        <v>223745.88</v>
      </c>
      <c r="L42" s="352">
        <f t="shared" si="10"/>
        <v>225520.49</v>
      </c>
      <c r="M42" s="352">
        <f t="shared" si="10"/>
        <v>223745.88</v>
      </c>
      <c r="N42" s="352">
        <f t="shared" si="10"/>
        <v>224550.5</v>
      </c>
      <c r="O42" s="353">
        <f t="shared" si="10"/>
        <v>223745.88</v>
      </c>
      <c r="P42" s="376">
        <f t="shared" si="10"/>
        <v>2614351.9749999996</v>
      </c>
      <c r="Q42" s="343"/>
    </row>
    <row r="45" spans="2:17" ht="15.75" thickBot="1" x14ac:dyDescent="0.3"/>
    <row r="46" spans="2:17" ht="27" thickBot="1" x14ac:dyDescent="0.45">
      <c r="B46" s="717" t="s">
        <v>171</v>
      </c>
      <c r="C46" s="718"/>
      <c r="D46" s="718"/>
      <c r="E46" s="718"/>
      <c r="F46" s="718"/>
      <c r="G46" s="718"/>
      <c r="H46" s="718"/>
      <c r="I46" s="718"/>
      <c r="J46" s="718"/>
      <c r="K46" s="718"/>
      <c r="L46" s="718"/>
      <c r="M46" s="718"/>
      <c r="N46" s="718"/>
      <c r="O46" s="718"/>
      <c r="P46" s="718"/>
      <c r="Q46" s="719"/>
    </row>
    <row r="47" spans="2:17" ht="19.5" thickBot="1" x14ac:dyDescent="0.3">
      <c r="B47" s="901" t="s">
        <v>160</v>
      </c>
      <c r="C47" s="902"/>
      <c r="D47" s="377" t="s">
        <v>42</v>
      </c>
      <c r="E47" s="357" t="s">
        <v>43</v>
      </c>
      <c r="F47" s="357" t="s">
        <v>44</v>
      </c>
      <c r="G47" s="357" t="s">
        <v>45</v>
      </c>
      <c r="H47" s="357" t="s">
        <v>46</v>
      </c>
      <c r="I47" s="357" t="s">
        <v>47</v>
      </c>
      <c r="J47" s="357" t="s">
        <v>48</v>
      </c>
      <c r="K47" s="357" t="s">
        <v>49</v>
      </c>
      <c r="L47" s="357" t="s">
        <v>50</v>
      </c>
      <c r="M47" s="357" t="s">
        <v>51</v>
      </c>
      <c r="N47" s="357" t="s">
        <v>52</v>
      </c>
      <c r="O47" s="358" t="s">
        <v>53</v>
      </c>
      <c r="P47" s="359" t="s">
        <v>162</v>
      </c>
      <c r="Q47" s="360" t="s">
        <v>161</v>
      </c>
    </row>
    <row r="48" spans="2:17" x14ac:dyDescent="0.25">
      <c r="B48" s="903" t="s">
        <v>152</v>
      </c>
      <c r="C48" s="384" t="s">
        <v>153</v>
      </c>
      <c r="D48" s="378">
        <v>804.62</v>
      </c>
      <c r="E48" s="361">
        <v>0</v>
      </c>
      <c r="F48" s="361">
        <v>804.62</v>
      </c>
      <c r="G48" s="361">
        <v>0</v>
      </c>
      <c r="H48" s="361">
        <v>804.62</v>
      </c>
      <c r="I48" s="361">
        <v>0</v>
      </c>
      <c r="J48" s="361">
        <v>1774.61</v>
      </c>
      <c r="K48" s="361">
        <v>0</v>
      </c>
      <c r="L48" s="361">
        <v>1774.61</v>
      </c>
      <c r="M48" s="361">
        <v>0</v>
      </c>
      <c r="N48" s="361">
        <v>804.62</v>
      </c>
      <c r="O48" s="362">
        <v>0</v>
      </c>
      <c r="P48" s="363">
        <f t="shared" ref="P48:P55" si="11">SUM(D48:O48)</f>
        <v>6767.7</v>
      </c>
      <c r="Q48" s="364"/>
    </row>
    <row r="49" spans="2:17" x14ac:dyDescent="0.25">
      <c r="B49" s="904"/>
      <c r="C49" s="385" t="s">
        <v>155</v>
      </c>
      <c r="D49" s="379">
        <v>9365</v>
      </c>
      <c r="E49" s="342">
        <v>9365</v>
      </c>
      <c r="F49" s="342">
        <v>9365</v>
      </c>
      <c r="G49" s="342">
        <v>9365</v>
      </c>
      <c r="H49" s="342">
        <v>9365</v>
      </c>
      <c r="I49" s="342">
        <v>9365</v>
      </c>
      <c r="J49" s="342">
        <v>9365</v>
      </c>
      <c r="K49" s="342">
        <v>9365</v>
      </c>
      <c r="L49" s="342">
        <v>9365</v>
      </c>
      <c r="M49" s="342">
        <v>9365</v>
      </c>
      <c r="N49" s="342">
        <v>9365</v>
      </c>
      <c r="O49" s="344">
        <v>9365</v>
      </c>
      <c r="P49" s="348">
        <f t="shared" si="11"/>
        <v>112380</v>
      </c>
      <c r="Q49" s="345"/>
    </row>
    <row r="50" spans="2:17" x14ac:dyDescent="0.25">
      <c r="B50" s="904"/>
      <c r="C50" s="385" t="s">
        <v>154</v>
      </c>
      <c r="D50" s="379">
        <v>615</v>
      </c>
      <c r="E50" s="342">
        <v>615</v>
      </c>
      <c r="F50" s="342">
        <v>615</v>
      </c>
      <c r="G50" s="342">
        <v>615</v>
      </c>
      <c r="H50" s="342">
        <v>615</v>
      </c>
      <c r="I50" s="342">
        <v>615</v>
      </c>
      <c r="J50" s="342">
        <v>615</v>
      </c>
      <c r="K50" s="342">
        <v>615</v>
      </c>
      <c r="L50" s="342">
        <v>615</v>
      </c>
      <c r="M50" s="342">
        <v>615</v>
      </c>
      <c r="N50" s="342">
        <v>615</v>
      </c>
      <c r="O50" s="344">
        <v>615</v>
      </c>
      <c r="P50" s="348">
        <f t="shared" si="11"/>
        <v>7380</v>
      </c>
      <c r="Q50" s="345"/>
    </row>
    <row r="51" spans="2:17" x14ac:dyDescent="0.25">
      <c r="B51" s="904"/>
      <c r="C51" s="385" t="s">
        <v>163</v>
      </c>
      <c r="D51" s="379">
        <v>390</v>
      </c>
      <c r="E51" s="342">
        <v>390</v>
      </c>
      <c r="F51" s="342">
        <v>390</v>
      </c>
      <c r="G51" s="342">
        <v>390</v>
      </c>
      <c r="H51" s="342">
        <v>390</v>
      </c>
      <c r="I51" s="342">
        <v>390</v>
      </c>
      <c r="J51" s="342">
        <v>390</v>
      </c>
      <c r="K51" s="342">
        <v>390</v>
      </c>
      <c r="L51" s="342">
        <v>390</v>
      </c>
      <c r="M51" s="342">
        <v>390</v>
      </c>
      <c r="N51" s="342">
        <v>390</v>
      </c>
      <c r="O51" s="344">
        <v>390</v>
      </c>
      <c r="P51" s="348">
        <f t="shared" si="11"/>
        <v>4680</v>
      </c>
      <c r="Q51" s="346"/>
    </row>
    <row r="52" spans="2:17" x14ac:dyDescent="0.25">
      <c r="B52" s="904"/>
      <c r="C52" s="386" t="s">
        <v>164</v>
      </c>
      <c r="D52" s="379">
        <f>725*6</f>
        <v>4350</v>
      </c>
      <c r="E52" s="342">
        <f t="shared" ref="E52:O52" si="12">725*6</f>
        <v>4350</v>
      </c>
      <c r="F52" s="342">
        <f t="shared" si="12"/>
        <v>4350</v>
      </c>
      <c r="G52" s="342">
        <f t="shared" si="12"/>
        <v>4350</v>
      </c>
      <c r="H52" s="342">
        <f t="shared" si="12"/>
        <v>4350</v>
      </c>
      <c r="I52" s="342">
        <f t="shared" si="12"/>
        <v>4350</v>
      </c>
      <c r="J52" s="342">
        <f t="shared" si="12"/>
        <v>4350</v>
      </c>
      <c r="K52" s="342">
        <f t="shared" si="12"/>
        <v>4350</v>
      </c>
      <c r="L52" s="342">
        <f t="shared" si="12"/>
        <v>4350</v>
      </c>
      <c r="M52" s="342">
        <f t="shared" si="12"/>
        <v>4350</v>
      </c>
      <c r="N52" s="342">
        <f t="shared" si="12"/>
        <v>4350</v>
      </c>
      <c r="O52" s="344">
        <f t="shared" si="12"/>
        <v>4350</v>
      </c>
      <c r="P52" s="348">
        <f t="shared" si="11"/>
        <v>52200</v>
      </c>
      <c r="Q52" s="347"/>
    </row>
    <row r="53" spans="2:17" x14ac:dyDescent="0.25">
      <c r="B53" s="904"/>
      <c r="C53" s="386" t="s">
        <v>165</v>
      </c>
      <c r="D53" s="379">
        <v>2290</v>
      </c>
      <c r="E53" s="342">
        <v>2290</v>
      </c>
      <c r="F53" s="342">
        <v>2290</v>
      </c>
      <c r="G53" s="342">
        <v>2290</v>
      </c>
      <c r="H53" s="342">
        <v>2290</v>
      </c>
      <c r="I53" s="342">
        <v>2290</v>
      </c>
      <c r="J53" s="342">
        <v>2290</v>
      </c>
      <c r="K53" s="342">
        <v>2290</v>
      </c>
      <c r="L53" s="342">
        <v>2290</v>
      </c>
      <c r="M53" s="342">
        <v>2290</v>
      </c>
      <c r="N53" s="342">
        <v>2290</v>
      </c>
      <c r="O53" s="344">
        <v>2290</v>
      </c>
      <c r="P53" s="348">
        <f t="shared" si="11"/>
        <v>27480</v>
      </c>
      <c r="Q53" s="347"/>
    </row>
    <row r="54" spans="2:17" x14ac:dyDescent="0.25">
      <c r="B54" s="904"/>
      <c r="C54" s="347" t="s">
        <v>166</v>
      </c>
      <c r="D54" s="379">
        <f>18228/12</f>
        <v>1519</v>
      </c>
      <c r="E54" s="342">
        <f t="shared" ref="E54:O54" si="13">18228/12</f>
        <v>1519</v>
      </c>
      <c r="F54" s="342">
        <f t="shared" si="13"/>
        <v>1519</v>
      </c>
      <c r="G54" s="342">
        <f t="shared" si="13"/>
        <v>1519</v>
      </c>
      <c r="H54" s="342">
        <f t="shared" si="13"/>
        <v>1519</v>
      </c>
      <c r="I54" s="342">
        <f t="shared" si="13"/>
        <v>1519</v>
      </c>
      <c r="J54" s="342">
        <f t="shared" si="13"/>
        <v>1519</v>
      </c>
      <c r="K54" s="342">
        <f t="shared" si="13"/>
        <v>1519</v>
      </c>
      <c r="L54" s="342">
        <f t="shared" si="13"/>
        <v>1519</v>
      </c>
      <c r="M54" s="342">
        <f t="shared" si="13"/>
        <v>1519</v>
      </c>
      <c r="N54" s="342">
        <f t="shared" si="13"/>
        <v>1519</v>
      </c>
      <c r="O54" s="344">
        <f t="shared" si="13"/>
        <v>1519</v>
      </c>
      <c r="P54" s="348">
        <f t="shared" si="11"/>
        <v>18228</v>
      </c>
      <c r="Q54" s="347"/>
    </row>
    <row r="55" spans="2:17" ht="15.75" thickBot="1" x14ac:dyDescent="0.3">
      <c r="B55" s="905"/>
      <c r="C55" s="387" t="s">
        <v>167</v>
      </c>
      <c r="D55" s="380">
        <v>1860</v>
      </c>
      <c r="E55" s="365">
        <v>1860</v>
      </c>
      <c r="F55" s="365">
        <v>1860</v>
      </c>
      <c r="G55" s="365">
        <v>1860</v>
      </c>
      <c r="H55" s="365">
        <v>1860</v>
      </c>
      <c r="I55" s="365">
        <v>1860</v>
      </c>
      <c r="J55" s="365">
        <v>1860</v>
      </c>
      <c r="K55" s="365">
        <v>1860</v>
      </c>
      <c r="L55" s="365">
        <v>1860</v>
      </c>
      <c r="M55" s="365">
        <v>1860</v>
      </c>
      <c r="N55" s="365">
        <v>1860</v>
      </c>
      <c r="O55" s="366">
        <v>1860</v>
      </c>
      <c r="P55" s="349">
        <f t="shared" si="11"/>
        <v>22320</v>
      </c>
      <c r="Q55" s="367"/>
    </row>
    <row r="56" spans="2:17" x14ac:dyDescent="0.25">
      <c r="B56" s="908" t="s">
        <v>156</v>
      </c>
      <c r="C56" s="388" t="s">
        <v>377</v>
      </c>
      <c r="D56" s="381">
        <f>98856.88*1.15</f>
        <v>113685.412</v>
      </c>
      <c r="E56" s="368">
        <v>113685.41</v>
      </c>
      <c r="F56" s="368">
        <v>113685.41</v>
      </c>
      <c r="G56" s="368">
        <v>113685.41</v>
      </c>
      <c r="H56" s="368">
        <v>113685.41</v>
      </c>
      <c r="I56" s="368">
        <v>113685.41</v>
      </c>
      <c r="J56" s="368">
        <f>I56*1.15</f>
        <v>130738.2215</v>
      </c>
      <c r="K56" s="368">
        <v>130738.22</v>
      </c>
      <c r="L56" s="368">
        <v>130738.22</v>
      </c>
      <c r="M56" s="368">
        <v>130738.22</v>
      </c>
      <c r="N56" s="368">
        <v>130738.22</v>
      </c>
      <c r="O56" s="368">
        <v>130738.22</v>
      </c>
      <c r="P56" s="370">
        <f>SUM(D56:O56)</f>
        <v>1466541.7834999999</v>
      </c>
      <c r="Q56" s="371"/>
    </row>
    <row r="57" spans="2:17" ht="15.75" thickBot="1" x14ac:dyDescent="0.3">
      <c r="B57" s="909"/>
      <c r="C57" s="387" t="s">
        <v>168</v>
      </c>
      <c r="D57" s="380">
        <v>0</v>
      </c>
      <c r="E57" s="365">
        <v>0</v>
      </c>
      <c r="F57" s="365">
        <v>0</v>
      </c>
      <c r="G57" s="365">
        <v>0</v>
      </c>
      <c r="H57" s="365">
        <v>0</v>
      </c>
      <c r="I57" s="365">
        <v>0</v>
      </c>
      <c r="J57" s="365">
        <v>0</v>
      </c>
      <c r="K57" s="365">
        <v>0</v>
      </c>
      <c r="L57" s="365">
        <v>0</v>
      </c>
      <c r="M57" s="365">
        <v>0</v>
      </c>
      <c r="N57" s="365">
        <v>0</v>
      </c>
      <c r="O57" s="366">
        <v>0</v>
      </c>
      <c r="P57" s="349">
        <f>SUM(D57:O57)</f>
        <v>0</v>
      </c>
      <c r="Q57" s="367"/>
    </row>
    <row r="58" spans="2:17" ht="19.5" thickBot="1" x14ac:dyDescent="0.35">
      <c r="B58" s="372" t="s">
        <v>157</v>
      </c>
      <c r="C58" s="389" t="s">
        <v>158</v>
      </c>
      <c r="D58" s="382">
        <v>8500</v>
      </c>
      <c r="E58" s="373">
        <v>8500</v>
      </c>
      <c r="F58" s="373">
        <v>8500</v>
      </c>
      <c r="G58" s="373">
        <v>8500</v>
      </c>
      <c r="H58" s="373">
        <v>8500</v>
      </c>
      <c r="I58" s="373">
        <v>8500</v>
      </c>
      <c r="J58" s="373">
        <v>8500</v>
      </c>
      <c r="K58" s="373">
        <v>8500</v>
      </c>
      <c r="L58" s="373">
        <v>8500</v>
      </c>
      <c r="M58" s="373">
        <v>8500</v>
      </c>
      <c r="N58" s="373">
        <v>8500</v>
      </c>
      <c r="O58" s="374">
        <v>8500</v>
      </c>
      <c r="P58" s="354">
        <f>SUM(D58:O58)</f>
        <v>102000</v>
      </c>
      <c r="Q58" s="375"/>
    </row>
    <row r="59" spans="2:17" x14ac:dyDescent="0.25">
      <c r="B59" s="906" t="s">
        <v>169</v>
      </c>
      <c r="C59" s="385" t="s">
        <v>378</v>
      </c>
      <c r="D59" s="379">
        <f>200*60*4</f>
        <v>48000</v>
      </c>
      <c r="E59" s="342">
        <f t="shared" ref="E59:O60" si="14">200*60*4</f>
        <v>48000</v>
      </c>
      <c r="F59" s="342">
        <f t="shared" si="14"/>
        <v>48000</v>
      </c>
      <c r="G59" s="342">
        <f t="shared" si="14"/>
        <v>48000</v>
      </c>
      <c r="H59" s="342">
        <f t="shared" si="14"/>
        <v>48000</v>
      </c>
      <c r="I59" s="342">
        <f t="shared" si="14"/>
        <v>48000</v>
      </c>
      <c r="J59" s="342">
        <f t="shared" si="14"/>
        <v>48000</v>
      </c>
      <c r="K59" s="342">
        <f t="shared" si="14"/>
        <v>48000</v>
      </c>
      <c r="L59" s="342">
        <f t="shared" si="14"/>
        <v>48000</v>
      </c>
      <c r="M59" s="342">
        <f t="shared" si="14"/>
        <v>48000</v>
      </c>
      <c r="N59" s="342">
        <f t="shared" si="14"/>
        <v>48000</v>
      </c>
      <c r="O59" s="344">
        <f t="shared" si="14"/>
        <v>48000</v>
      </c>
      <c r="P59" s="348">
        <f>SUM(D59:O59)</f>
        <v>576000</v>
      </c>
      <c r="Q59" s="346"/>
    </row>
    <row r="60" spans="2:17" ht="25.5" customHeight="1" thickBot="1" x14ac:dyDescent="0.3">
      <c r="B60" s="907"/>
      <c r="C60" s="387" t="s">
        <v>378</v>
      </c>
      <c r="D60" s="383">
        <f>200*60*4</f>
        <v>48000</v>
      </c>
      <c r="E60" s="383">
        <f t="shared" si="14"/>
        <v>48000</v>
      </c>
      <c r="F60" s="383">
        <f t="shared" si="14"/>
        <v>48000</v>
      </c>
      <c r="G60" s="383">
        <f t="shared" si="14"/>
        <v>48000</v>
      </c>
      <c r="H60" s="383">
        <f t="shared" si="14"/>
        <v>48000</v>
      </c>
      <c r="I60" s="383">
        <f t="shared" si="14"/>
        <v>48000</v>
      </c>
      <c r="J60" s="383">
        <f t="shared" si="14"/>
        <v>48000</v>
      </c>
      <c r="K60" s="383">
        <f t="shared" si="14"/>
        <v>48000</v>
      </c>
      <c r="L60" s="383">
        <f t="shared" si="14"/>
        <v>48000</v>
      </c>
      <c r="M60" s="383">
        <f t="shared" si="14"/>
        <v>48000</v>
      </c>
      <c r="N60" s="383">
        <f t="shared" si="14"/>
        <v>48000</v>
      </c>
      <c r="O60" s="383">
        <f t="shared" si="14"/>
        <v>48000</v>
      </c>
      <c r="P60" s="350">
        <f>SUM(D60:O60)</f>
        <v>576000</v>
      </c>
      <c r="Q60" s="346"/>
    </row>
    <row r="61" spans="2:17" ht="15.75" thickBot="1" x14ac:dyDescent="0.3">
      <c r="B61" s="21"/>
      <c r="C61" s="351" t="s">
        <v>19</v>
      </c>
      <c r="D61" s="352">
        <f t="shared" ref="D61:P61" si="15">SUM(D48:D60)</f>
        <v>239379.03200000001</v>
      </c>
      <c r="E61" s="352">
        <f t="shared" si="15"/>
        <v>238574.41</v>
      </c>
      <c r="F61" s="352">
        <f t="shared" si="15"/>
        <v>239379.03</v>
      </c>
      <c r="G61" s="352">
        <f t="shared" si="15"/>
        <v>238574.41</v>
      </c>
      <c r="H61" s="352">
        <f t="shared" si="15"/>
        <v>239379.03</v>
      </c>
      <c r="I61" s="352">
        <f t="shared" si="15"/>
        <v>238574.41</v>
      </c>
      <c r="J61" s="352">
        <f t="shared" si="15"/>
        <v>257401.8315</v>
      </c>
      <c r="K61" s="352">
        <f t="shared" si="15"/>
        <v>255627.22</v>
      </c>
      <c r="L61" s="352">
        <f t="shared" si="15"/>
        <v>257401.83000000002</v>
      </c>
      <c r="M61" s="352">
        <f t="shared" si="15"/>
        <v>255627.22</v>
      </c>
      <c r="N61" s="352">
        <f t="shared" si="15"/>
        <v>256431.84</v>
      </c>
      <c r="O61" s="353">
        <f t="shared" si="15"/>
        <v>255627.22</v>
      </c>
      <c r="P61" s="376">
        <f t="shared" si="15"/>
        <v>2971977.4835000001</v>
      </c>
      <c r="Q61" s="343"/>
    </row>
  </sheetData>
  <mergeCells count="17">
    <mergeCell ref="B19:B20"/>
    <mergeCell ref="B9:Q9"/>
    <mergeCell ref="B10:C10"/>
    <mergeCell ref="C3:E3"/>
    <mergeCell ref="B11:B18"/>
    <mergeCell ref="B59:B60"/>
    <mergeCell ref="G3:I3"/>
    <mergeCell ref="B40:B41"/>
    <mergeCell ref="B46:Q46"/>
    <mergeCell ref="B47:C47"/>
    <mergeCell ref="B48:B55"/>
    <mergeCell ref="B56:B57"/>
    <mergeCell ref="B22:B23"/>
    <mergeCell ref="B27:Q27"/>
    <mergeCell ref="B28:C28"/>
    <mergeCell ref="B29:B36"/>
    <mergeCell ref="B37:B38"/>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19"/>
  <sheetViews>
    <sheetView zoomScale="60" zoomScaleNormal="60" workbookViewId="0">
      <pane xSplit="3" ySplit="1" topLeftCell="D71" activePane="bottomRight" state="frozen"/>
      <selection pane="topRight" activeCell="D1" sqref="D1"/>
      <selection pane="bottomLeft" activeCell="A2" sqref="A2"/>
      <selection pane="bottomRight" activeCell="E94" sqref="E94"/>
    </sheetView>
  </sheetViews>
  <sheetFormatPr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703" customFormat="1" ht="58.5" customHeight="1" x14ac:dyDescent="0.25">
      <c r="A1" s="706"/>
      <c r="B1" s="706"/>
      <c r="C1" s="706"/>
      <c r="D1" s="706"/>
      <c r="E1" s="706"/>
      <c r="F1" s="711" t="s">
        <v>5</v>
      </c>
      <c r="G1" s="712"/>
      <c r="H1" s="712"/>
      <c r="I1" s="706"/>
      <c r="J1" s="706"/>
      <c r="K1" s="706"/>
      <c r="L1" s="706"/>
    </row>
    <row r="3" spans="1:12" ht="15.75" thickBot="1" x14ac:dyDescent="0.3"/>
    <row r="4" spans="1:12" ht="27" thickBot="1" x14ac:dyDescent="0.45">
      <c r="B4" s="717" t="s">
        <v>36</v>
      </c>
      <c r="C4" s="718"/>
      <c r="D4" s="719"/>
      <c r="E4" s="45"/>
      <c r="H4" s="717" t="s">
        <v>173</v>
      </c>
      <c r="I4" s="718"/>
      <c r="J4" s="719"/>
    </row>
    <row r="5" spans="1:12" x14ac:dyDescent="0.25">
      <c r="B5" s="40">
        <v>2019</v>
      </c>
      <c r="C5" s="40">
        <v>2020</v>
      </c>
      <c r="D5" s="40">
        <v>2021</v>
      </c>
      <c r="E5" s="292"/>
      <c r="H5" s="125">
        <v>2019</v>
      </c>
      <c r="I5" s="40">
        <v>2020</v>
      </c>
      <c r="J5" s="126">
        <v>2021</v>
      </c>
    </row>
    <row r="6" spans="1:12" ht="15.75" thickBot="1" x14ac:dyDescent="0.3">
      <c r="B6" s="46">
        <f>Hipótesis!C24</f>
        <v>0.03</v>
      </c>
      <c r="C6" s="46">
        <f>Hipótesis!C25</f>
        <v>0.05</v>
      </c>
      <c r="D6" s="46">
        <f>Hipótesis!C26</f>
        <v>0.09</v>
      </c>
      <c r="E6" s="393"/>
      <c r="H6" s="129">
        <f>AB71</f>
        <v>11364349.35</v>
      </c>
      <c r="I6" s="130">
        <f>AB95</f>
        <v>17694195.824999999</v>
      </c>
      <c r="J6" s="131">
        <f>AB119</f>
        <v>29793383.600000001</v>
      </c>
    </row>
    <row r="7" spans="1:12" x14ac:dyDescent="0.25">
      <c r="B7" s="39">
        <f>Hipótesis!D24</f>
        <v>0</v>
      </c>
      <c r="C7" s="39">
        <f>Hipótesis!D25</f>
        <v>0</v>
      </c>
      <c r="D7" s="39">
        <f>Hipótesis!D26</f>
        <v>0</v>
      </c>
      <c r="E7" s="390"/>
    </row>
    <row r="9" spans="1:12" ht="15.75" thickBot="1" x14ac:dyDescent="0.3"/>
    <row r="10" spans="1:12" ht="27" thickBot="1" x14ac:dyDescent="0.45">
      <c r="B10" s="717" t="s">
        <v>200</v>
      </c>
      <c r="C10" s="718"/>
      <c r="D10" s="718"/>
      <c r="E10" s="719"/>
    </row>
    <row r="11" spans="1:12" ht="27" thickBot="1" x14ac:dyDescent="0.45">
      <c r="B11" s="923" t="s">
        <v>376</v>
      </c>
      <c r="C11" s="924"/>
      <c r="D11" s="924"/>
      <c r="E11" s="925"/>
      <c r="F11" s="303"/>
    </row>
    <row r="12" spans="1:12" ht="16.5" thickBot="1" x14ac:dyDescent="0.3">
      <c r="B12" s="411" t="s">
        <v>67</v>
      </c>
      <c r="C12" s="412" t="s">
        <v>63</v>
      </c>
      <c r="D12" s="412" t="s">
        <v>180</v>
      </c>
      <c r="E12" s="413" t="s">
        <v>175</v>
      </c>
    </row>
    <row r="13" spans="1:12" ht="30" x14ac:dyDescent="0.25">
      <c r="B13" s="397" t="s">
        <v>187</v>
      </c>
      <c r="C13" s="394">
        <v>1</v>
      </c>
      <c r="D13" s="395">
        <v>800</v>
      </c>
      <c r="E13" s="398">
        <f>C13*D13</f>
        <v>800</v>
      </c>
      <c r="I13" s="143"/>
      <c r="J13" s="144">
        <v>2800</v>
      </c>
    </row>
    <row r="14" spans="1:12" ht="30" x14ac:dyDescent="0.25">
      <c r="B14" s="397" t="s">
        <v>186</v>
      </c>
      <c r="C14" s="394">
        <v>2</v>
      </c>
      <c r="D14" s="395">
        <v>65</v>
      </c>
      <c r="E14" s="398">
        <f t="shared" ref="E14:E19" si="0">C14*D14</f>
        <v>130</v>
      </c>
      <c r="I14" s="146"/>
      <c r="J14" s="138">
        <v>15500</v>
      </c>
    </row>
    <row r="15" spans="1:12" ht="16.5" thickBot="1" x14ac:dyDescent="0.3">
      <c r="B15" s="397" t="s">
        <v>181</v>
      </c>
      <c r="C15" s="394">
        <v>2</v>
      </c>
      <c r="D15" s="395">
        <v>50</v>
      </c>
      <c r="E15" s="398">
        <f t="shared" si="0"/>
        <v>100</v>
      </c>
      <c r="I15" s="148"/>
      <c r="J15" s="149">
        <v>23000</v>
      </c>
    </row>
    <row r="16" spans="1:12" x14ac:dyDescent="0.25">
      <c r="B16" s="397" t="s">
        <v>176</v>
      </c>
      <c r="C16" s="394">
        <v>2</v>
      </c>
      <c r="D16" s="395">
        <v>70</v>
      </c>
      <c r="E16" s="398">
        <f t="shared" si="0"/>
        <v>140</v>
      </c>
    </row>
    <row r="17" spans="2:6" x14ac:dyDescent="0.25">
      <c r="B17" s="397" t="s">
        <v>177</v>
      </c>
      <c r="C17" s="394">
        <v>1</v>
      </c>
      <c r="D17" s="395">
        <v>80</v>
      </c>
      <c r="E17" s="398">
        <f t="shared" si="0"/>
        <v>80</v>
      </c>
    </row>
    <row r="18" spans="2:6" x14ac:dyDescent="0.25">
      <c r="B18" s="397" t="s">
        <v>178</v>
      </c>
      <c r="C18" s="394">
        <v>1</v>
      </c>
      <c r="D18" s="395">
        <v>50</v>
      </c>
      <c r="E18" s="398">
        <f t="shared" si="0"/>
        <v>50</v>
      </c>
    </row>
    <row r="19" spans="2:6" ht="15.75" thickBot="1" x14ac:dyDescent="0.3">
      <c r="B19" s="399" t="s">
        <v>179</v>
      </c>
      <c r="C19" s="400">
        <v>1</v>
      </c>
      <c r="D19" s="401">
        <v>60</v>
      </c>
      <c r="E19" s="402">
        <f t="shared" si="0"/>
        <v>60</v>
      </c>
    </row>
    <row r="20" spans="2:6" ht="16.5" thickBot="1" x14ac:dyDescent="0.3">
      <c r="D20" s="403" t="s">
        <v>19</v>
      </c>
      <c r="E20" s="410">
        <f>SUM(E13:E19)</f>
        <v>1360</v>
      </c>
    </row>
    <row r="21" spans="2:6" ht="15.75" thickBot="1" x14ac:dyDescent="0.3"/>
    <row r="22" spans="2:6" ht="27" thickBot="1" x14ac:dyDescent="0.45">
      <c r="B22" s="923" t="s">
        <v>376</v>
      </c>
      <c r="C22" s="924"/>
      <c r="D22" s="924"/>
      <c r="E22" s="925"/>
      <c r="F22" s="406"/>
    </row>
    <row r="23" spans="2:6" ht="15.75" x14ac:dyDescent="0.25">
      <c r="B23" s="411" t="s">
        <v>67</v>
      </c>
      <c r="C23" s="412" t="s">
        <v>63</v>
      </c>
      <c r="D23" s="412" t="s">
        <v>180</v>
      </c>
      <c r="E23" s="413" t="s">
        <v>175</v>
      </c>
      <c r="F23" s="407"/>
    </row>
    <row r="24" spans="2:6" ht="16.5" customHeight="1" x14ac:dyDescent="0.25">
      <c r="B24" s="397" t="s">
        <v>182</v>
      </c>
      <c r="C24" s="394">
        <v>10</v>
      </c>
      <c r="D24" s="395">
        <v>85</v>
      </c>
      <c r="E24" s="398">
        <f>C24*D24</f>
        <v>850</v>
      </c>
      <c r="F24" s="407"/>
    </row>
    <row r="25" spans="2:6" x14ac:dyDescent="0.25">
      <c r="B25" s="397" t="s">
        <v>183</v>
      </c>
      <c r="C25" s="394">
        <v>8</v>
      </c>
      <c r="D25" s="395">
        <v>60</v>
      </c>
      <c r="E25" s="398">
        <f t="shared" ref="E25:E32" si="1">C25*D25</f>
        <v>480</v>
      </c>
      <c r="F25" s="407"/>
    </row>
    <row r="26" spans="2:6" x14ac:dyDescent="0.25">
      <c r="B26" s="397" t="s">
        <v>184</v>
      </c>
      <c r="C26" s="394">
        <v>1</v>
      </c>
      <c r="D26" s="395">
        <v>250</v>
      </c>
      <c r="E26" s="398">
        <f t="shared" si="1"/>
        <v>250</v>
      </c>
      <c r="F26" s="407"/>
    </row>
    <row r="27" spans="2:6" x14ac:dyDescent="0.25">
      <c r="B27" s="397" t="s">
        <v>34</v>
      </c>
      <c r="C27" s="394">
        <v>1</v>
      </c>
      <c r="D27" s="395">
        <v>1800</v>
      </c>
      <c r="E27" s="398">
        <f t="shared" si="1"/>
        <v>1800</v>
      </c>
      <c r="F27" s="407"/>
    </row>
    <row r="28" spans="2:6" x14ac:dyDescent="0.25">
      <c r="B28" s="397" t="s">
        <v>185</v>
      </c>
      <c r="C28" s="394">
        <v>1</v>
      </c>
      <c r="D28" s="395">
        <v>600</v>
      </c>
      <c r="E28" s="398">
        <f t="shared" si="1"/>
        <v>600</v>
      </c>
      <c r="F28" s="407"/>
    </row>
    <row r="29" spans="2:6" x14ac:dyDescent="0.25">
      <c r="B29" s="397" t="s">
        <v>188</v>
      </c>
      <c r="C29" s="394">
        <v>4</v>
      </c>
      <c r="D29" s="395">
        <v>200</v>
      </c>
      <c r="E29" s="398">
        <f t="shared" si="1"/>
        <v>800</v>
      </c>
      <c r="F29" s="407"/>
    </row>
    <row r="30" spans="2:6" x14ac:dyDescent="0.25">
      <c r="B30" s="397" t="s">
        <v>189</v>
      </c>
      <c r="C30" s="394">
        <v>1</v>
      </c>
      <c r="D30" s="395">
        <v>400</v>
      </c>
      <c r="E30" s="398">
        <f t="shared" si="1"/>
        <v>400</v>
      </c>
      <c r="F30" s="407"/>
    </row>
    <row r="31" spans="2:6" x14ac:dyDescent="0.25">
      <c r="B31" s="397" t="s">
        <v>190</v>
      </c>
      <c r="C31" s="394">
        <v>1</v>
      </c>
      <c r="D31" s="395">
        <v>250</v>
      </c>
      <c r="E31" s="398">
        <f t="shared" si="1"/>
        <v>250</v>
      </c>
      <c r="F31" s="407"/>
    </row>
    <row r="32" spans="2:6" ht="15.75" thickBot="1" x14ac:dyDescent="0.3">
      <c r="B32" s="399" t="s">
        <v>191</v>
      </c>
      <c r="C32" s="400">
        <v>1</v>
      </c>
      <c r="D32" s="401">
        <v>275</v>
      </c>
      <c r="E32" s="402">
        <f t="shared" si="1"/>
        <v>275</v>
      </c>
      <c r="F32" s="408"/>
    </row>
    <row r="33" spans="2:6" ht="16.5" thickBot="1" x14ac:dyDescent="0.3">
      <c r="D33" s="403" t="s">
        <v>19</v>
      </c>
      <c r="E33" s="410">
        <f>SUM(E24:E32)</f>
        <v>5705</v>
      </c>
      <c r="F33" s="133"/>
    </row>
    <row r="34" spans="2:6" ht="15.75" thickBot="1" x14ac:dyDescent="0.3">
      <c r="B34" s="133"/>
      <c r="C34" s="133"/>
      <c r="D34" s="133"/>
      <c r="E34" s="133"/>
      <c r="F34" s="133"/>
    </row>
    <row r="35" spans="2:6" ht="27" thickBot="1" x14ac:dyDescent="0.45">
      <c r="B35" s="717" t="s">
        <v>376</v>
      </c>
      <c r="C35" s="718"/>
      <c r="D35" s="718"/>
      <c r="E35" s="719"/>
      <c r="F35" s="133"/>
    </row>
    <row r="36" spans="2:6" ht="15.75" x14ac:dyDescent="0.25">
      <c r="B36" s="404" t="s">
        <v>67</v>
      </c>
      <c r="C36" s="396" t="s">
        <v>63</v>
      </c>
      <c r="D36" s="396" t="s">
        <v>180</v>
      </c>
      <c r="E36" s="405" t="s">
        <v>175</v>
      </c>
      <c r="F36" s="409"/>
    </row>
    <row r="37" spans="2:6" x14ac:dyDescent="0.25">
      <c r="B37" s="397" t="s">
        <v>182</v>
      </c>
      <c r="C37" s="394">
        <v>22</v>
      </c>
      <c r="D37" s="395">
        <v>85</v>
      </c>
      <c r="E37" s="398">
        <f>C37*D37</f>
        <v>1870</v>
      </c>
      <c r="F37" s="133"/>
    </row>
    <row r="38" spans="2:6" x14ac:dyDescent="0.25">
      <c r="B38" s="397" t="s">
        <v>183</v>
      </c>
      <c r="C38" s="394">
        <v>16</v>
      </c>
      <c r="D38" s="395">
        <v>60</v>
      </c>
      <c r="E38" s="398">
        <f t="shared" ref="E38:E45" si="2">C38*D38</f>
        <v>960</v>
      </c>
      <c r="F38" s="133"/>
    </row>
    <row r="39" spans="2:6" x14ac:dyDescent="0.25">
      <c r="B39" s="397" t="s">
        <v>184</v>
      </c>
      <c r="C39" s="394">
        <v>1</v>
      </c>
      <c r="D39" s="395">
        <v>250</v>
      </c>
      <c r="E39" s="398">
        <f t="shared" si="2"/>
        <v>250</v>
      </c>
      <c r="F39" s="133"/>
    </row>
    <row r="40" spans="2:6" x14ac:dyDescent="0.25">
      <c r="B40" s="397" t="s">
        <v>34</v>
      </c>
      <c r="C40" s="394">
        <v>1</v>
      </c>
      <c r="D40" s="395">
        <v>1800</v>
      </c>
      <c r="E40" s="398">
        <f t="shared" si="2"/>
        <v>1800</v>
      </c>
      <c r="F40" s="133"/>
    </row>
    <row r="41" spans="2:6" x14ac:dyDescent="0.25">
      <c r="B41" s="397" t="s">
        <v>185</v>
      </c>
      <c r="C41" s="394">
        <v>1</v>
      </c>
      <c r="D41" s="395">
        <v>600</v>
      </c>
      <c r="E41" s="398">
        <f t="shared" si="2"/>
        <v>600</v>
      </c>
      <c r="F41" s="133"/>
    </row>
    <row r="42" spans="2:6" x14ac:dyDescent="0.25">
      <c r="B42" s="397" t="s">
        <v>188</v>
      </c>
      <c r="C42" s="394">
        <v>8</v>
      </c>
      <c r="D42" s="395">
        <v>200</v>
      </c>
      <c r="E42" s="398">
        <f t="shared" si="2"/>
        <v>1600</v>
      </c>
      <c r="F42" s="133"/>
    </row>
    <row r="43" spans="2:6" x14ac:dyDescent="0.25">
      <c r="B43" s="397" t="s">
        <v>189</v>
      </c>
      <c r="C43" s="394">
        <v>1</v>
      </c>
      <c r="D43" s="395">
        <v>400</v>
      </c>
      <c r="E43" s="398">
        <f t="shared" si="2"/>
        <v>400</v>
      </c>
      <c r="F43" s="133"/>
    </row>
    <row r="44" spans="2:6" x14ac:dyDescent="0.25">
      <c r="B44" s="397" t="s">
        <v>190</v>
      </c>
      <c r="C44" s="394">
        <v>1</v>
      </c>
      <c r="D44" s="395">
        <v>250</v>
      </c>
      <c r="E44" s="398">
        <f t="shared" si="2"/>
        <v>250</v>
      </c>
      <c r="F44" s="133"/>
    </row>
    <row r="45" spans="2:6" ht="15.75" thickBot="1" x14ac:dyDescent="0.3">
      <c r="B45" s="399" t="s">
        <v>191</v>
      </c>
      <c r="C45" s="400">
        <v>1</v>
      </c>
      <c r="D45" s="401">
        <v>375</v>
      </c>
      <c r="E45" s="402">
        <f t="shared" si="2"/>
        <v>375</v>
      </c>
      <c r="F45" s="133"/>
    </row>
    <row r="46" spans="2:6" ht="16.5" thickBot="1" x14ac:dyDescent="0.3">
      <c r="D46" s="403" t="s">
        <v>19</v>
      </c>
      <c r="E46" s="410">
        <f>SUM(E37:E45)</f>
        <v>8105</v>
      </c>
      <c r="F46" s="133"/>
    </row>
    <row r="47" spans="2:6" x14ac:dyDescent="0.25">
      <c r="B47" s="1">
        <v>1E-3</v>
      </c>
    </row>
    <row r="48" spans="2:6" x14ac:dyDescent="0.25">
      <c r="B48" s="1">
        <v>0.5</v>
      </c>
      <c r="C48" s="1">
        <v>100</v>
      </c>
    </row>
    <row r="49" spans="1:28" ht="15.75" thickBot="1" x14ac:dyDescent="0.3"/>
    <row r="50" spans="1:28" ht="27" thickBot="1" x14ac:dyDescent="0.45">
      <c r="B50" s="744" t="s">
        <v>174</v>
      </c>
      <c r="C50" s="745"/>
      <c r="D50" s="745"/>
      <c r="E50" s="745"/>
      <c r="F50" s="745"/>
      <c r="G50" s="745"/>
      <c r="H50" s="745"/>
      <c r="I50" s="745"/>
      <c r="J50" s="745"/>
      <c r="K50" s="745"/>
      <c r="L50" s="745"/>
      <c r="M50" s="745"/>
      <c r="N50" s="745"/>
      <c r="O50" s="745"/>
      <c r="P50" s="745"/>
      <c r="Q50" s="745"/>
      <c r="R50" s="745"/>
      <c r="S50" s="745"/>
      <c r="T50" s="745"/>
      <c r="U50" s="745"/>
      <c r="V50" s="745"/>
      <c r="W50" s="745"/>
      <c r="X50" s="745"/>
      <c r="Y50" s="745"/>
      <c r="Z50" s="745"/>
      <c r="AA50" s="745"/>
      <c r="AB50" s="746"/>
    </row>
    <row r="51" spans="1:28" x14ac:dyDescent="0.25">
      <c r="B51" s="919" t="s">
        <v>67</v>
      </c>
      <c r="C51" s="920"/>
      <c r="D51" s="918" t="s">
        <v>42</v>
      </c>
      <c r="E51" s="914"/>
      <c r="F51" s="913" t="s">
        <v>43</v>
      </c>
      <c r="G51" s="914"/>
      <c r="H51" s="913" t="s">
        <v>44</v>
      </c>
      <c r="I51" s="914"/>
      <c r="J51" s="913" t="s">
        <v>45</v>
      </c>
      <c r="K51" s="914"/>
      <c r="L51" s="913" t="s">
        <v>46</v>
      </c>
      <c r="M51" s="914"/>
      <c r="N51" s="913" t="s">
        <v>47</v>
      </c>
      <c r="O51" s="914"/>
      <c r="P51" s="913" t="s">
        <v>48</v>
      </c>
      <c r="Q51" s="914"/>
      <c r="R51" s="913" t="s">
        <v>49</v>
      </c>
      <c r="S51" s="914"/>
      <c r="T51" s="913" t="s">
        <v>50</v>
      </c>
      <c r="U51" s="914"/>
      <c r="V51" s="913" t="s">
        <v>51</v>
      </c>
      <c r="W51" s="914"/>
      <c r="X51" s="913" t="s">
        <v>52</v>
      </c>
      <c r="Y51" s="914"/>
      <c r="Z51" s="913" t="s">
        <v>53</v>
      </c>
      <c r="AA51" s="918"/>
      <c r="AB51" s="922" t="s">
        <v>19</v>
      </c>
    </row>
    <row r="52" spans="1:28" ht="15.75" thickBot="1" x14ac:dyDescent="0.3">
      <c r="B52" s="422" t="s">
        <v>127</v>
      </c>
      <c r="C52" s="423" t="s">
        <v>180</v>
      </c>
      <c r="D52" s="424" t="s">
        <v>63</v>
      </c>
      <c r="E52" s="425" t="s">
        <v>112</v>
      </c>
      <c r="F52" s="425" t="s">
        <v>63</v>
      </c>
      <c r="G52" s="425" t="s">
        <v>112</v>
      </c>
      <c r="H52" s="425" t="s">
        <v>63</v>
      </c>
      <c r="I52" s="425" t="s">
        <v>112</v>
      </c>
      <c r="J52" s="425" t="s">
        <v>63</v>
      </c>
      <c r="K52" s="425" t="s">
        <v>112</v>
      </c>
      <c r="L52" s="425" t="s">
        <v>63</v>
      </c>
      <c r="M52" s="425" t="s">
        <v>112</v>
      </c>
      <c r="N52" s="425" t="s">
        <v>63</v>
      </c>
      <c r="O52" s="425" t="s">
        <v>112</v>
      </c>
      <c r="P52" s="425" t="s">
        <v>63</v>
      </c>
      <c r="Q52" s="425" t="s">
        <v>112</v>
      </c>
      <c r="R52" s="425" t="s">
        <v>63</v>
      </c>
      <c r="S52" s="425" t="s">
        <v>112</v>
      </c>
      <c r="T52" s="425" t="s">
        <v>63</v>
      </c>
      <c r="U52" s="425" t="s">
        <v>112</v>
      </c>
      <c r="V52" s="425" t="s">
        <v>63</v>
      </c>
      <c r="W52" s="425" t="s">
        <v>112</v>
      </c>
      <c r="X52" s="425" t="s">
        <v>63</v>
      </c>
      <c r="Y52" s="425" t="s">
        <v>112</v>
      </c>
      <c r="Z52" s="425" t="s">
        <v>63</v>
      </c>
      <c r="AA52" s="426" t="s">
        <v>112</v>
      </c>
      <c r="AB52" s="922"/>
    </row>
    <row r="53" spans="1:28" x14ac:dyDescent="0.25">
      <c r="A53" s="915" t="s">
        <v>192</v>
      </c>
      <c r="B53" s="427"/>
      <c r="C53" s="428">
        <f>$E$20</f>
        <v>1360</v>
      </c>
      <c r="D53" s="429">
        <f>'Proy. ventas'!E19</f>
        <v>72</v>
      </c>
      <c r="E53" s="361">
        <f t="shared" ref="E53:E64" si="3">D53*C53</f>
        <v>97920</v>
      </c>
      <c r="F53" s="456">
        <f>'Proy. ventas'!G19</f>
        <v>90</v>
      </c>
      <c r="G53" s="361">
        <f t="shared" ref="G53:G68" si="4">F53*C53</f>
        <v>122400</v>
      </c>
      <c r="H53" s="456">
        <f>'Proy. ventas'!I19</f>
        <v>72</v>
      </c>
      <c r="I53" s="361">
        <f t="shared" ref="I53:I68" si="5">H53*C53</f>
        <v>97920</v>
      </c>
      <c r="J53" s="456">
        <f>'Proy. ventas'!K19</f>
        <v>63.000000000000007</v>
      </c>
      <c r="K53" s="361">
        <f t="shared" ref="K53:K68" si="6">J53*C53</f>
        <v>85680.000000000015</v>
      </c>
      <c r="L53" s="456">
        <f>'Proy. ventas'!M19</f>
        <v>54</v>
      </c>
      <c r="M53" s="361">
        <f t="shared" ref="M53:M68" si="7">L53*C53</f>
        <v>73440</v>
      </c>
      <c r="N53" s="456">
        <f>'Proy. ventas'!O19</f>
        <v>36</v>
      </c>
      <c r="O53" s="361">
        <f t="shared" ref="O53:O68" si="8">N53*C53</f>
        <v>48960</v>
      </c>
      <c r="P53" s="456">
        <f>'Proy. ventas'!Q19</f>
        <v>81</v>
      </c>
      <c r="Q53" s="361">
        <f t="shared" ref="Q53:Q68" si="9">P53*C53</f>
        <v>110160</v>
      </c>
      <c r="R53" s="456">
        <f>'Proy. ventas'!S19</f>
        <v>45</v>
      </c>
      <c r="S53" s="361">
        <f t="shared" ref="S53:S68" si="10">R53*C53</f>
        <v>61200</v>
      </c>
      <c r="T53" s="456">
        <f>'Proy. ventas'!U19</f>
        <v>81</v>
      </c>
      <c r="U53" s="361">
        <f t="shared" ref="U53:U68" si="11">T53*C53</f>
        <v>110160</v>
      </c>
      <c r="V53" s="456">
        <f>'Proy. ventas'!W19</f>
        <v>90</v>
      </c>
      <c r="W53" s="361">
        <f t="shared" ref="W53:W68" si="12">V53*C53</f>
        <v>122400</v>
      </c>
      <c r="X53" s="456">
        <f>'Proy. ventas'!Y19</f>
        <v>99</v>
      </c>
      <c r="Y53" s="361">
        <f t="shared" ref="Y53:Y68" si="13">X53*C53</f>
        <v>134640</v>
      </c>
      <c r="Z53" s="456">
        <f>'Proy. ventas'!AA19</f>
        <v>117</v>
      </c>
      <c r="AA53" s="362">
        <f t="shared" ref="AA53:AA68" si="14">Z53*C53</f>
        <v>159120</v>
      </c>
      <c r="AB53" s="449">
        <f>E53+G53+I53+K53+M53+O53+Q53+S53++U53+W53+Y53+AA53</f>
        <v>1224000</v>
      </c>
    </row>
    <row r="54" spans="1:28" x14ac:dyDescent="0.25">
      <c r="A54" s="916"/>
      <c r="B54" s="419"/>
      <c r="C54" s="420">
        <f>$E$33</f>
        <v>5705</v>
      </c>
      <c r="D54" s="417">
        <f>'Proy. ventas'!E20</f>
        <v>40</v>
      </c>
      <c r="E54" s="342">
        <f t="shared" si="3"/>
        <v>228200</v>
      </c>
      <c r="F54" s="414">
        <f>'Proy. ventas'!G20</f>
        <v>50</v>
      </c>
      <c r="G54" s="342">
        <f t="shared" si="4"/>
        <v>285250</v>
      </c>
      <c r="H54" s="414">
        <f>'Proy. ventas'!I20</f>
        <v>40</v>
      </c>
      <c r="I54" s="342">
        <f t="shared" si="5"/>
        <v>228200</v>
      </c>
      <c r="J54" s="414">
        <f>'Proy. ventas'!K20</f>
        <v>35</v>
      </c>
      <c r="K54" s="342">
        <f t="shared" si="6"/>
        <v>199675</v>
      </c>
      <c r="L54" s="414">
        <f>'Proy. ventas'!M20</f>
        <v>30</v>
      </c>
      <c r="M54" s="342">
        <f t="shared" si="7"/>
        <v>171150</v>
      </c>
      <c r="N54" s="414">
        <f>'Proy. ventas'!O20</f>
        <v>20</v>
      </c>
      <c r="O54" s="342">
        <f t="shared" si="8"/>
        <v>114100</v>
      </c>
      <c r="P54" s="414">
        <f>'Proy. ventas'!Q20</f>
        <v>45</v>
      </c>
      <c r="Q54" s="342">
        <f t="shared" si="9"/>
        <v>256725</v>
      </c>
      <c r="R54" s="414">
        <f>'Proy. ventas'!S20</f>
        <v>25</v>
      </c>
      <c r="S54" s="342">
        <f t="shared" si="10"/>
        <v>142625</v>
      </c>
      <c r="T54" s="414">
        <f>'Proy. ventas'!U20</f>
        <v>45</v>
      </c>
      <c r="U54" s="342">
        <f t="shared" si="11"/>
        <v>256725</v>
      </c>
      <c r="V54" s="414">
        <f>'Proy. ventas'!W20</f>
        <v>50</v>
      </c>
      <c r="W54" s="342">
        <f t="shared" si="12"/>
        <v>285250</v>
      </c>
      <c r="X54" s="414">
        <f>'Proy. ventas'!Y20</f>
        <v>55</v>
      </c>
      <c r="Y54" s="342">
        <f t="shared" si="13"/>
        <v>313775</v>
      </c>
      <c r="Z54" s="414">
        <f>'Proy. ventas'!AA20</f>
        <v>65</v>
      </c>
      <c r="AA54" s="344">
        <f t="shared" si="14"/>
        <v>370825</v>
      </c>
      <c r="AB54" s="450">
        <f t="shared" ref="AB54:AB68" si="15">E54+G54+I54+K54+M54+O54+Q54+S54++U54+W54+Y54+AA54</f>
        <v>2852500</v>
      </c>
    </row>
    <row r="55" spans="1:28" ht="15.75" thickBot="1" x14ac:dyDescent="0.3">
      <c r="A55" s="917"/>
      <c r="B55" s="430"/>
      <c r="C55" s="431">
        <f>$E$46</f>
        <v>8105</v>
      </c>
      <c r="D55" s="432">
        <f>'Proy. ventas'!E21</f>
        <v>9.6</v>
      </c>
      <c r="E55" s="365">
        <f t="shared" si="3"/>
        <v>77808</v>
      </c>
      <c r="F55" s="457">
        <f>'Proy. ventas'!G21</f>
        <v>12</v>
      </c>
      <c r="G55" s="365">
        <f t="shared" si="4"/>
        <v>97260</v>
      </c>
      <c r="H55" s="457">
        <f>'Proy. ventas'!I21</f>
        <v>9.6</v>
      </c>
      <c r="I55" s="365">
        <f t="shared" si="5"/>
        <v>77808</v>
      </c>
      <c r="J55" s="457">
        <f>'Proy. ventas'!K21</f>
        <v>8.4</v>
      </c>
      <c r="K55" s="365">
        <f t="shared" si="6"/>
        <v>68082</v>
      </c>
      <c r="L55" s="457">
        <f>'Proy. ventas'!M21</f>
        <v>7.1999999999999993</v>
      </c>
      <c r="M55" s="365">
        <f t="shared" si="7"/>
        <v>58355.999999999993</v>
      </c>
      <c r="N55" s="457">
        <f>'Proy. ventas'!O21</f>
        <v>4.8</v>
      </c>
      <c r="O55" s="365">
        <f t="shared" si="8"/>
        <v>38904</v>
      </c>
      <c r="P55" s="457">
        <f>'Proy. ventas'!Q21</f>
        <v>10.799999999999999</v>
      </c>
      <c r="Q55" s="365">
        <f t="shared" si="9"/>
        <v>87533.999999999985</v>
      </c>
      <c r="R55" s="457">
        <f>'Proy. ventas'!S21</f>
        <v>6</v>
      </c>
      <c r="S55" s="365">
        <f t="shared" si="10"/>
        <v>48630</v>
      </c>
      <c r="T55" s="457">
        <f>'Proy. ventas'!U21</f>
        <v>10.799999999999999</v>
      </c>
      <c r="U55" s="365">
        <f t="shared" si="11"/>
        <v>87533.999999999985</v>
      </c>
      <c r="V55" s="457">
        <f>'Proy. ventas'!W21</f>
        <v>12</v>
      </c>
      <c r="W55" s="365">
        <f t="shared" si="12"/>
        <v>97260</v>
      </c>
      <c r="X55" s="457">
        <f>'Proy. ventas'!Y21</f>
        <v>13.2</v>
      </c>
      <c r="Y55" s="365">
        <f t="shared" si="13"/>
        <v>106986</v>
      </c>
      <c r="Z55" s="457">
        <f>'Proy. ventas'!AA21</f>
        <v>15.600000000000001</v>
      </c>
      <c r="AA55" s="366">
        <f t="shared" si="14"/>
        <v>126438.00000000001</v>
      </c>
      <c r="AB55" s="451">
        <f t="shared" si="15"/>
        <v>972600</v>
      </c>
    </row>
    <row r="56" spans="1:28" x14ac:dyDescent="0.25">
      <c r="A56" s="915" t="s">
        <v>193</v>
      </c>
      <c r="B56" s="427"/>
      <c r="C56" s="428">
        <v>420</v>
      </c>
      <c r="D56" s="429">
        <f>'Proy. ventas'!E22</f>
        <v>44</v>
      </c>
      <c r="E56" s="361">
        <f t="shared" si="3"/>
        <v>18480</v>
      </c>
      <c r="F56" s="456">
        <f>'Proy. ventas'!G22</f>
        <v>55</v>
      </c>
      <c r="G56" s="361">
        <f t="shared" si="4"/>
        <v>23100</v>
      </c>
      <c r="H56" s="456">
        <f>'Proy. ventas'!I22</f>
        <v>44</v>
      </c>
      <c r="I56" s="361">
        <f t="shared" si="5"/>
        <v>18480</v>
      </c>
      <c r="J56" s="456">
        <f>'Proy. ventas'!K22</f>
        <v>38.500000000000007</v>
      </c>
      <c r="K56" s="361">
        <f t="shared" si="6"/>
        <v>16170.000000000004</v>
      </c>
      <c r="L56" s="456">
        <f>'Proy. ventas'!M22</f>
        <v>33</v>
      </c>
      <c r="M56" s="361">
        <f t="shared" si="7"/>
        <v>13860</v>
      </c>
      <c r="N56" s="456">
        <f>'Proy. ventas'!O22</f>
        <v>22</v>
      </c>
      <c r="O56" s="361">
        <f t="shared" si="8"/>
        <v>9240</v>
      </c>
      <c r="P56" s="456">
        <f>'Proy. ventas'!Q22</f>
        <v>49.5</v>
      </c>
      <c r="Q56" s="361">
        <f t="shared" si="9"/>
        <v>20790</v>
      </c>
      <c r="R56" s="456">
        <f>'Proy. ventas'!S22</f>
        <v>27.5</v>
      </c>
      <c r="S56" s="361">
        <f t="shared" si="10"/>
        <v>11550</v>
      </c>
      <c r="T56" s="456">
        <f>'Proy. ventas'!U22</f>
        <v>49.5</v>
      </c>
      <c r="U56" s="361">
        <f t="shared" si="11"/>
        <v>20790</v>
      </c>
      <c r="V56" s="456">
        <f>'Proy. ventas'!W22</f>
        <v>55</v>
      </c>
      <c r="W56" s="361">
        <f t="shared" si="12"/>
        <v>23100</v>
      </c>
      <c r="X56" s="456">
        <f>'Proy. ventas'!Y22</f>
        <v>60.5</v>
      </c>
      <c r="Y56" s="361">
        <f t="shared" si="13"/>
        <v>25410</v>
      </c>
      <c r="Z56" s="456">
        <f>'Proy. ventas'!AA22</f>
        <v>71.5</v>
      </c>
      <c r="AA56" s="362">
        <f t="shared" si="14"/>
        <v>30030</v>
      </c>
      <c r="AB56" s="449">
        <f t="shared" si="15"/>
        <v>231000</v>
      </c>
    </row>
    <row r="57" spans="1:28" x14ac:dyDescent="0.25">
      <c r="A57" s="916"/>
      <c r="B57" s="419"/>
      <c r="C57" s="420">
        <v>300</v>
      </c>
      <c r="D57" s="417">
        <f>'Proy. ventas'!E23</f>
        <v>44</v>
      </c>
      <c r="E57" s="342">
        <f t="shared" si="3"/>
        <v>13200</v>
      </c>
      <c r="F57" s="414">
        <f>'Proy. ventas'!G23</f>
        <v>55</v>
      </c>
      <c r="G57" s="342">
        <f t="shared" si="4"/>
        <v>16500</v>
      </c>
      <c r="H57" s="414">
        <f>'Proy. ventas'!I23</f>
        <v>44</v>
      </c>
      <c r="I57" s="342">
        <f t="shared" si="5"/>
        <v>13200</v>
      </c>
      <c r="J57" s="414">
        <f>'Proy. ventas'!K23</f>
        <v>38.500000000000007</v>
      </c>
      <c r="K57" s="342">
        <f t="shared" si="6"/>
        <v>11550.000000000002</v>
      </c>
      <c r="L57" s="414">
        <f>'Proy. ventas'!M23</f>
        <v>33</v>
      </c>
      <c r="M57" s="342">
        <f t="shared" si="7"/>
        <v>9900</v>
      </c>
      <c r="N57" s="414">
        <f>'Proy. ventas'!O23</f>
        <v>22</v>
      </c>
      <c r="O57" s="342">
        <f t="shared" si="8"/>
        <v>6600</v>
      </c>
      <c r="P57" s="414">
        <f>'Proy. ventas'!Q23</f>
        <v>49.5</v>
      </c>
      <c r="Q57" s="342">
        <f t="shared" si="9"/>
        <v>14850</v>
      </c>
      <c r="R57" s="414">
        <f>'Proy. ventas'!S23</f>
        <v>27.5</v>
      </c>
      <c r="S57" s="342">
        <f t="shared" si="10"/>
        <v>8250</v>
      </c>
      <c r="T57" s="414">
        <f>'Proy. ventas'!U23</f>
        <v>49.5</v>
      </c>
      <c r="U57" s="342">
        <f t="shared" si="11"/>
        <v>14850</v>
      </c>
      <c r="V57" s="414">
        <f>'Proy. ventas'!W23</f>
        <v>55</v>
      </c>
      <c r="W57" s="342">
        <f t="shared" si="12"/>
        <v>16500</v>
      </c>
      <c r="X57" s="414">
        <f>'Proy. ventas'!Y23</f>
        <v>60.5</v>
      </c>
      <c r="Y57" s="342">
        <f t="shared" si="13"/>
        <v>18150</v>
      </c>
      <c r="Z57" s="414">
        <f>'Proy. ventas'!AA23</f>
        <v>71.5</v>
      </c>
      <c r="AA57" s="344">
        <f t="shared" si="14"/>
        <v>21450</v>
      </c>
      <c r="AB57" s="450">
        <f t="shared" si="15"/>
        <v>165000</v>
      </c>
    </row>
    <row r="58" spans="1:28" x14ac:dyDescent="0.25">
      <c r="A58" s="916"/>
      <c r="B58" s="419"/>
      <c r="C58" s="420">
        <v>1800</v>
      </c>
      <c r="D58" s="417">
        <f>'Proy. ventas'!E24</f>
        <v>24</v>
      </c>
      <c r="E58" s="342">
        <f t="shared" si="3"/>
        <v>43200</v>
      </c>
      <c r="F58" s="414">
        <f>'Proy. ventas'!G24</f>
        <v>30</v>
      </c>
      <c r="G58" s="342">
        <f t="shared" si="4"/>
        <v>54000</v>
      </c>
      <c r="H58" s="414">
        <f>'Proy. ventas'!I24</f>
        <v>24</v>
      </c>
      <c r="I58" s="342">
        <f t="shared" si="5"/>
        <v>43200</v>
      </c>
      <c r="J58" s="414">
        <f>'Proy. ventas'!K24</f>
        <v>21.000000000000004</v>
      </c>
      <c r="K58" s="342">
        <f t="shared" si="6"/>
        <v>37800.000000000007</v>
      </c>
      <c r="L58" s="414">
        <f>'Proy. ventas'!M24</f>
        <v>18</v>
      </c>
      <c r="M58" s="342">
        <f t="shared" si="7"/>
        <v>32400</v>
      </c>
      <c r="N58" s="414">
        <f>'Proy. ventas'!O24</f>
        <v>12</v>
      </c>
      <c r="O58" s="342">
        <f t="shared" si="8"/>
        <v>21600</v>
      </c>
      <c r="P58" s="414">
        <f>'Proy. ventas'!Q24</f>
        <v>27</v>
      </c>
      <c r="Q58" s="342">
        <f t="shared" si="9"/>
        <v>48600</v>
      </c>
      <c r="R58" s="414">
        <f>'Proy. ventas'!S24</f>
        <v>15</v>
      </c>
      <c r="S58" s="342">
        <f t="shared" si="10"/>
        <v>27000</v>
      </c>
      <c r="T58" s="414">
        <f>'Proy. ventas'!U24</f>
        <v>27</v>
      </c>
      <c r="U58" s="342">
        <f t="shared" si="11"/>
        <v>48600</v>
      </c>
      <c r="V58" s="414">
        <f>'Proy. ventas'!W24</f>
        <v>30</v>
      </c>
      <c r="W58" s="342">
        <f t="shared" si="12"/>
        <v>54000</v>
      </c>
      <c r="X58" s="414">
        <f>'Proy. ventas'!Y24</f>
        <v>33</v>
      </c>
      <c r="Y58" s="342">
        <f t="shared" si="13"/>
        <v>59400</v>
      </c>
      <c r="Z58" s="414">
        <f>'Proy. ventas'!AA24</f>
        <v>39</v>
      </c>
      <c r="AA58" s="344">
        <f t="shared" si="14"/>
        <v>70200</v>
      </c>
      <c r="AB58" s="450">
        <f t="shared" si="15"/>
        <v>540000</v>
      </c>
    </row>
    <row r="59" spans="1:28" x14ac:dyDescent="0.25">
      <c r="A59" s="916"/>
      <c r="B59" s="419"/>
      <c r="C59" s="420">
        <v>180</v>
      </c>
      <c r="D59" s="417">
        <f>'Proy. ventas'!E25</f>
        <v>80</v>
      </c>
      <c r="E59" s="342">
        <f t="shared" si="3"/>
        <v>14400</v>
      </c>
      <c r="F59" s="414">
        <f>'Proy. ventas'!G25</f>
        <v>100</v>
      </c>
      <c r="G59" s="342">
        <f t="shared" si="4"/>
        <v>18000</v>
      </c>
      <c r="H59" s="414">
        <f>'Proy. ventas'!I25</f>
        <v>80</v>
      </c>
      <c r="I59" s="342">
        <f t="shared" si="5"/>
        <v>14400</v>
      </c>
      <c r="J59" s="414">
        <f>'Proy. ventas'!K25</f>
        <v>70</v>
      </c>
      <c r="K59" s="342">
        <f t="shared" si="6"/>
        <v>12600</v>
      </c>
      <c r="L59" s="414">
        <f>'Proy. ventas'!M25</f>
        <v>60</v>
      </c>
      <c r="M59" s="342">
        <f t="shared" si="7"/>
        <v>10800</v>
      </c>
      <c r="N59" s="414">
        <f>'Proy. ventas'!O25</f>
        <v>40</v>
      </c>
      <c r="O59" s="342">
        <f t="shared" si="8"/>
        <v>7200</v>
      </c>
      <c r="P59" s="414">
        <f>'Proy. ventas'!Q25</f>
        <v>90</v>
      </c>
      <c r="Q59" s="342">
        <f t="shared" si="9"/>
        <v>16200</v>
      </c>
      <c r="R59" s="414">
        <f>'Proy. ventas'!S25</f>
        <v>50</v>
      </c>
      <c r="S59" s="342">
        <f t="shared" si="10"/>
        <v>9000</v>
      </c>
      <c r="T59" s="414">
        <f>'Proy. ventas'!U25</f>
        <v>90</v>
      </c>
      <c r="U59" s="342">
        <f t="shared" si="11"/>
        <v>16200</v>
      </c>
      <c r="V59" s="414">
        <f>'Proy. ventas'!W25</f>
        <v>100</v>
      </c>
      <c r="W59" s="342">
        <f t="shared" si="12"/>
        <v>18000</v>
      </c>
      <c r="X59" s="414">
        <f>'Proy. ventas'!Y25</f>
        <v>110</v>
      </c>
      <c r="Y59" s="342">
        <f t="shared" si="13"/>
        <v>19800</v>
      </c>
      <c r="Z59" s="414">
        <f>'Proy. ventas'!AA25</f>
        <v>130</v>
      </c>
      <c r="AA59" s="344">
        <f t="shared" si="14"/>
        <v>23400</v>
      </c>
      <c r="AB59" s="450">
        <f t="shared" si="15"/>
        <v>180000</v>
      </c>
    </row>
    <row r="60" spans="1:28" x14ac:dyDescent="0.25">
      <c r="A60" s="916"/>
      <c r="B60" s="419"/>
      <c r="C60" s="420">
        <v>1250</v>
      </c>
      <c r="D60" s="417">
        <f>'Proy. ventas'!E26</f>
        <v>61.6</v>
      </c>
      <c r="E60" s="342">
        <f t="shared" si="3"/>
        <v>77000</v>
      </c>
      <c r="F60" s="414">
        <f>'Proy. ventas'!G26</f>
        <v>77</v>
      </c>
      <c r="G60" s="342">
        <f t="shared" si="4"/>
        <v>96250</v>
      </c>
      <c r="H60" s="414">
        <f>'Proy. ventas'!I26</f>
        <v>61.6</v>
      </c>
      <c r="I60" s="342">
        <f t="shared" si="5"/>
        <v>77000</v>
      </c>
      <c r="J60" s="414">
        <f>'Proy. ventas'!K26</f>
        <v>53.900000000000006</v>
      </c>
      <c r="K60" s="342">
        <f t="shared" si="6"/>
        <v>67375</v>
      </c>
      <c r="L60" s="414">
        <f>'Proy. ventas'!M26</f>
        <v>46.199999999999996</v>
      </c>
      <c r="M60" s="342">
        <f t="shared" si="7"/>
        <v>57749.999999999993</v>
      </c>
      <c r="N60" s="414">
        <f>'Proy. ventas'!O26</f>
        <v>30.8</v>
      </c>
      <c r="O60" s="342">
        <f t="shared" si="8"/>
        <v>38500</v>
      </c>
      <c r="P60" s="414">
        <f>'Proy. ventas'!Q26</f>
        <v>69.3</v>
      </c>
      <c r="Q60" s="342">
        <f t="shared" si="9"/>
        <v>86625</v>
      </c>
      <c r="R60" s="414">
        <f>'Proy. ventas'!S26</f>
        <v>38.5</v>
      </c>
      <c r="S60" s="342">
        <f t="shared" si="10"/>
        <v>48125</v>
      </c>
      <c r="T60" s="414">
        <f>'Proy. ventas'!U26</f>
        <v>69.3</v>
      </c>
      <c r="U60" s="342">
        <f t="shared" si="11"/>
        <v>86625</v>
      </c>
      <c r="V60" s="414">
        <f>'Proy. ventas'!W26</f>
        <v>77</v>
      </c>
      <c r="W60" s="342">
        <f t="shared" si="12"/>
        <v>96250</v>
      </c>
      <c r="X60" s="414">
        <f>'Proy. ventas'!Y26</f>
        <v>84.7</v>
      </c>
      <c r="Y60" s="342">
        <f t="shared" si="13"/>
        <v>105875</v>
      </c>
      <c r="Z60" s="414">
        <f>'Proy. ventas'!AA26</f>
        <v>100.10000000000001</v>
      </c>
      <c r="AA60" s="344">
        <f t="shared" si="14"/>
        <v>125125.00000000001</v>
      </c>
      <c r="AB60" s="450">
        <f t="shared" si="15"/>
        <v>962500</v>
      </c>
    </row>
    <row r="61" spans="1:28" x14ac:dyDescent="0.25">
      <c r="A61" s="916"/>
      <c r="B61" s="419"/>
      <c r="C61" s="420">
        <v>350</v>
      </c>
      <c r="D61" s="417">
        <f>'Proy. ventas'!E27</f>
        <v>40.4</v>
      </c>
      <c r="E61" s="342">
        <f t="shared" si="3"/>
        <v>14140</v>
      </c>
      <c r="F61" s="414">
        <f>'Proy. ventas'!G27</f>
        <v>50.5</v>
      </c>
      <c r="G61" s="342">
        <f t="shared" si="4"/>
        <v>17675</v>
      </c>
      <c r="H61" s="414">
        <f>'Proy. ventas'!I27</f>
        <v>40.4</v>
      </c>
      <c r="I61" s="342">
        <f t="shared" si="5"/>
        <v>14140</v>
      </c>
      <c r="J61" s="414">
        <f>'Proy. ventas'!K27</f>
        <v>35.35</v>
      </c>
      <c r="K61" s="342">
        <f t="shared" si="6"/>
        <v>12372.5</v>
      </c>
      <c r="L61" s="414">
        <f>'Proy. ventas'!M27</f>
        <v>30.299999999999997</v>
      </c>
      <c r="M61" s="342">
        <f t="shared" si="7"/>
        <v>10604.999999999998</v>
      </c>
      <c r="N61" s="414">
        <f>'Proy. ventas'!O27</f>
        <v>20.2</v>
      </c>
      <c r="O61" s="342">
        <f t="shared" si="8"/>
        <v>7070</v>
      </c>
      <c r="P61" s="414">
        <f>'Proy. ventas'!Q27</f>
        <v>45.449999999999996</v>
      </c>
      <c r="Q61" s="342">
        <f t="shared" si="9"/>
        <v>15907.499999999998</v>
      </c>
      <c r="R61" s="414">
        <f>'Proy. ventas'!S27</f>
        <v>25.25</v>
      </c>
      <c r="S61" s="342">
        <f t="shared" si="10"/>
        <v>8837.5</v>
      </c>
      <c r="T61" s="414">
        <f>'Proy. ventas'!U27</f>
        <v>45.449999999999996</v>
      </c>
      <c r="U61" s="342">
        <f t="shared" si="11"/>
        <v>15907.499999999998</v>
      </c>
      <c r="V61" s="414">
        <f>'Proy. ventas'!W27</f>
        <v>50.5</v>
      </c>
      <c r="W61" s="342">
        <f t="shared" si="12"/>
        <v>17675</v>
      </c>
      <c r="X61" s="414">
        <f>'Proy. ventas'!Y27</f>
        <v>55.55</v>
      </c>
      <c r="Y61" s="342">
        <f t="shared" si="13"/>
        <v>19442.5</v>
      </c>
      <c r="Z61" s="414">
        <f>'Proy. ventas'!AA27</f>
        <v>65.650000000000006</v>
      </c>
      <c r="AA61" s="344">
        <f t="shared" si="14"/>
        <v>22977.500000000004</v>
      </c>
      <c r="AB61" s="450">
        <f t="shared" si="15"/>
        <v>176750</v>
      </c>
    </row>
    <row r="62" spans="1:28" x14ac:dyDescent="0.25">
      <c r="A62" s="916"/>
      <c r="B62" s="419"/>
      <c r="C62" s="420">
        <v>950</v>
      </c>
      <c r="D62" s="417">
        <f>'Proy. ventas'!E28</f>
        <v>52</v>
      </c>
      <c r="E62" s="342">
        <f t="shared" si="3"/>
        <v>49400</v>
      </c>
      <c r="F62" s="414">
        <f>'Proy. ventas'!G28</f>
        <v>65</v>
      </c>
      <c r="G62" s="342">
        <f t="shared" si="4"/>
        <v>61750</v>
      </c>
      <c r="H62" s="414">
        <f>'Proy. ventas'!I28</f>
        <v>52</v>
      </c>
      <c r="I62" s="342">
        <f t="shared" si="5"/>
        <v>49400</v>
      </c>
      <c r="J62" s="414">
        <f>'Proy. ventas'!K28</f>
        <v>45.500000000000007</v>
      </c>
      <c r="K62" s="342">
        <f t="shared" si="6"/>
        <v>43225.000000000007</v>
      </c>
      <c r="L62" s="414">
        <f>'Proy. ventas'!M28</f>
        <v>39</v>
      </c>
      <c r="M62" s="342">
        <f t="shared" si="7"/>
        <v>37050</v>
      </c>
      <c r="N62" s="414">
        <f>'Proy. ventas'!O28</f>
        <v>26</v>
      </c>
      <c r="O62" s="342">
        <f t="shared" si="8"/>
        <v>24700</v>
      </c>
      <c r="P62" s="414">
        <f>'Proy. ventas'!Q28</f>
        <v>58.5</v>
      </c>
      <c r="Q62" s="342">
        <f t="shared" si="9"/>
        <v>55575</v>
      </c>
      <c r="R62" s="414">
        <f>'Proy. ventas'!S28</f>
        <v>32.5</v>
      </c>
      <c r="S62" s="342">
        <f t="shared" si="10"/>
        <v>30875</v>
      </c>
      <c r="T62" s="414">
        <f>'Proy. ventas'!U28</f>
        <v>58.5</v>
      </c>
      <c r="U62" s="342">
        <f t="shared" si="11"/>
        <v>55575</v>
      </c>
      <c r="V62" s="414">
        <f>'Proy. ventas'!W28</f>
        <v>65</v>
      </c>
      <c r="W62" s="342">
        <f t="shared" si="12"/>
        <v>61750</v>
      </c>
      <c r="X62" s="414">
        <f>'Proy. ventas'!Y28</f>
        <v>71.5</v>
      </c>
      <c r="Y62" s="342">
        <f t="shared" si="13"/>
        <v>67925</v>
      </c>
      <c r="Z62" s="414">
        <f>'Proy. ventas'!AA28</f>
        <v>84.5</v>
      </c>
      <c r="AA62" s="344">
        <f t="shared" si="14"/>
        <v>80275</v>
      </c>
      <c r="AB62" s="450">
        <f t="shared" si="15"/>
        <v>617500</v>
      </c>
    </row>
    <row r="63" spans="1:28" x14ac:dyDescent="0.25">
      <c r="A63" s="916"/>
      <c r="B63" s="419"/>
      <c r="C63" s="420">
        <v>200</v>
      </c>
      <c r="D63" s="417">
        <f>'Proy. ventas'!E29</f>
        <v>52.24</v>
      </c>
      <c r="E63" s="342">
        <f t="shared" si="3"/>
        <v>10448</v>
      </c>
      <c r="F63" s="414">
        <f>'Proy. ventas'!G29</f>
        <v>65.3</v>
      </c>
      <c r="G63" s="342">
        <f t="shared" si="4"/>
        <v>13060</v>
      </c>
      <c r="H63" s="414">
        <f>'Proy. ventas'!I29</f>
        <v>52.24</v>
      </c>
      <c r="I63" s="342">
        <f t="shared" si="5"/>
        <v>10448</v>
      </c>
      <c r="J63" s="414">
        <f>'Proy. ventas'!K29</f>
        <v>45.71</v>
      </c>
      <c r="K63" s="342">
        <f t="shared" si="6"/>
        <v>9142</v>
      </c>
      <c r="L63" s="414">
        <f>'Proy. ventas'!M29</f>
        <v>39.18</v>
      </c>
      <c r="M63" s="342">
        <f t="shared" si="7"/>
        <v>7836</v>
      </c>
      <c r="N63" s="414">
        <f>'Proy. ventas'!O29</f>
        <v>26.12</v>
      </c>
      <c r="O63" s="342">
        <f t="shared" si="8"/>
        <v>5224</v>
      </c>
      <c r="P63" s="414">
        <f>'Proy. ventas'!Q29</f>
        <v>58.769999999999996</v>
      </c>
      <c r="Q63" s="342">
        <f t="shared" si="9"/>
        <v>11754</v>
      </c>
      <c r="R63" s="414">
        <f>'Proy. ventas'!S29</f>
        <v>32.65</v>
      </c>
      <c r="S63" s="342">
        <f t="shared" si="10"/>
        <v>6530</v>
      </c>
      <c r="T63" s="414">
        <f>'Proy. ventas'!U29</f>
        <v>58.769999999999996</v>
      </c>
      <c r="U63" s="342">
        <f t="shared" si="11"/>
        <v>11754</v>
      </c>
      <c r="V63" s="414">
        <f>'Proy. ventas'!W29</f>
        <v>65.3</v>
      </c>
      <c r="W63" s="342">
        <f t="shared" si="12"/>
        <v>13060</v>
      </c>
      <c r="X63" s="414">
        <f>'Proy. ventas'!Y29</f>
        <v>71.83</v>
      </c>
      <c r="Y63" s="342">
        <f t="shared" si="13"/>
        <v>14366</v>
      </c>
      <c r="Z63" s="414">
        <f>'Proy. ventas'!AA29</f>
        <v>84.89</v>
      </c>
      <c r="AA63" s="344">
        <f t="shared" si="14"/>
        <v>16978</v>
      </c>
      <c r="AB63" s="450">
        <f t="shared" si="15"/>
        <v>130600</v>
      </c>
    </row>
    <row r="64" spans="1:28" ht="15.75" thickBot="1" x14ac:dyDescent="0.3">
      <c r="A64" s="917"/>
      <c r="B64" s="430"/>
      <c r="C64" s="431">
        <v>1150</v>
      </c>
      <c r="D64" s="432">
        <f>'Proy. ventas'!E30</f>
        <v>80</v>
      </c>
      <c r="E64" s="365">
        <f t="shared" si="3"/>
        <v>92000</v>
      </c>
      <c r="F64" s="457">
        <f>'Proy. ventas'!G30</f>
        <v>100</v>
      </c>
      <c r="G64" s="365">
        <f t="shared" si="4"/>
        <v>115000</v>
      </c>
      <c r="H64" s="457">
        <f>'Proy. ventas'!I30</f>
        <v>80</v>
      </c>
      <c r="I64" s="365">
        <f t="shared" si="5"/>
        <v>92000</v>
      </c>
      <c r="J64" s="457">
        <f>'Proy. ventas'!K30</f>
        <v>70</v>
      </c>
      <c r="K64" s="365">
        <f t="shared" si="6"/>
        <v>80500</v>
      </c>
      <c r="L64" s="457">
        <f>'Proy. ventas'!M30</f>
        <v>60</v>
      </c>
      <c r="M64" s="365">
        <f t="shared" si="7"/>
        <v>69000</v>
      </c>
      <c r="N64" s="457">
        <f>'Proy. ventas'!O30</f>
        <v>40</v>
      </c>
      <c r="O64" s="365">
        <f t="shared" si="8"/>
        <v>46000</v>
      </c>
      <c r="P64" s="457">
        <f>'Proy. ventas'!Q30</f>
        <v>90</v>
      </c>
      <c r="Q64" s="365">
        <f t="shared" si="9"/>
        <v>103500</v>
      </c>
      <c r="R64" s="457">
        <f>'Proy. ventas'!S30</f>
        <v>50</v>
      </c>
      <c r="S64" s="365">
        <f t="shared" si="10"/>
        <v>57500</v>
      </c>
      <c r="T64" s="457">
        <f>'Proy. ventas'!U30</f>
        <v>90</v>
      </c>
      <c r="U64" s="365">
        <f t="shared" si="11"/>
        <v>103500</v>
      </c>
      <c r="V64" s="457">
        <f>'Proy. ventas'!W30</f>
        <v>100</v>
      </c>
      <c r="W64" s="365">
        <f t="shared" si="12"/>
        <v>115000</v>
      </c>
      <c r="X64" s="457">
        <f>'Proy. ventas'!Y30</f>
        <v>110</v>
      </c>
      <c r="Y64" s="365">
        <f t="shared" si="13"/>
        <v>126500</v>
      </c>
      <c r="Z64" s="457">
        <f>'Proy. ventas'!AA30</f>
        <v>130</v>
      </c>
      <c r="AA64" s="366">
        <f t="shared" si="14"/>
        <v>149500</v>
      </c>
      <c r="AB64" s="451">
        <f t="shared" si="15"/>
        <v>1150000</v>
      </c>
    </row>
    <row r="65" spans="1:28" ht="30.75" thickBot="1" x14ac:dyDescent="0.3">
      <c r="A65" s="433" t="s">
        <v>194</v>
      </c>
      <c r="B65" s="434"/>
      <c r="C65" s="435">
        <v>300</v>
      </c>
      <c r="D65" s="436">
        <v>50</v>
      </c>
      <c r="E65" s="373">
        <f>D65*C65</f>
        <v>15000</v>
      </c>
      <c r="F65" s="458">
        <v>20</v>
      </c>
      <c r="G65" s="373">
        <f t="shared" si="4"/>
        <v>6000</v>
      </c>
      <c r="H65" s="458">
        <v>10</v>
      </c>
      <c r="I65" s="373">
        <f t="shared" si="5"/>
        <v>3000</v>
      </c>
      <c r="J65" s="458">
        <v>5</v>
      </c>
      <c r="K65" s="373">
        <f t="shared" si="6"/>
        <v>1500</v>
      </c>
      <c r="L65" s="458">
        <v>0</v>
      </c>
      <c r="M65" s="373">
        <f t="shared" si="7"/>
        <v>0</v>
      </c>
      <c r="N65" s="458">
        <v>5</v>
      </c>
      <c r="O65" s="373">
        <f t="shared" si="8"/>
        <v>1500</v>
      </c>
      <c r="P65" s="458">
        <v>5</v>
      </c>
      <c r="Q65" s="373">
        <f t="shared" si="9"/>
        <v>1500</v>
      </c>
      <c r="R65" s="458">
        <v>0</v>
      </c>
      <c r="S65" s="373">
        <f t="shared" si="10"/>
        <v>0</v>
      </c>
      <c r="T65" s="458">
        <v>10</v>
      </c>
      <c r="U65" s="373">
        <f t="shared" si="11"/>
        <v>3000</v>
      </c>
      <c r="V65" s="458">
        <v>10</v>
      </c>
      <c r="W65" s="373">
        <f t="shared" si="12"/>
        <v>3000</v>
      </c>
      <c r="X65" s="458">
        <v>15</v>
      </c>
      <c r="Y65" s="373">
        <f t="shared" si="13"/>
        <v>4500</v>
      </c>
      <c r="Z65" s="458">
        <v>10</v>
      </c>
      <c r="AA65" s="374">
        <f t="shared" si="14"/>
        <v>3000</v>
      </c>
      <c r="AB65" s="452">
        <f t="shared" si="15"/>
        <v>42000</v>
      </c>
    </row>
    <row r="66" spans="1:28" x14ac:dyDescent="0.25">
      <c r="A66" s="910" t="s">
        <v>197</v>
      </c>
      <c r="B66" s="445"/>
      <c r="C66" s="418">
        <v>182000</v>
      </c>
      <c r="D66" s="416">
        <v>1</v>
      </c>
      <c r="E66" s="355">
        <f>D66*C66</f>
        <v>182000</v>
      </c>
      <c r="F66" s="415">
        <v>1</v>
      </c>
      <c r="G66" s="355">
        <f t="shared" si="4"/>
        <v>182000</v>
      </c>
      <c r="H66" s="415">
        <v>0</v>
      </c>
      <c r="I66" s="355">
        <f t="shared" si="5"/>
        <v>0</v>
      </c>
      <c r="J66" s="415">
        <v>1</v>
      </c>
      <c r="K66" s="355">
        <f t="shared" si="6"/>
        <v>182000</v>
      </c>
      <c r="L66" s="415">
        <v>1</v>
      </c>
      <c r="M66" s="355">
        <f t="shared" si="7"/>
        <v>182000</v>
      </c>
      <c r="N66" s="415">
        <v>0</v>
      </c>
      <c r="O66" s="355">
        <f t="shared" si="8"/>
        <v>0</v>
      </c>
      <c r="P66" s="415">
        <v>0</v>
      </c>
      <c r="Q66" s="355">
        <f t="shared" si="9"/>
        <v>0</v>
      </c>
      <c r="R66" s="415">
        <v>0</v>
      </c>
      <c r="S66" s="355">
        <f t="shared" si="10"/>
        <v>0</v>
      </c>
      <c r="T66" s="415">
        <v>1</v>
      </c>
      <c r="U66" s="355">
        <f t="shared" si="11"/>
        <v>182000</v>
      </c>
      <c r="V66" s="415">
        <v>0</v>
      </c>
      <c r="W66" s="355">
        <f t="shared" si="12"/>
        <v>0</v>
      </c>
      <c r="X66" s="415">
        <v>0</v>
      </c>
      <c r="Y66" s="355">
        <f t="shared" si="13"/>
        <v>0</v>
      </c>
      <c r="Z66" s="415">
        <v>1</v>
      </c>
      <c r="AA66" s="356">
        <f t="shared" si="14"/>
        <v>182000</v>
      </c>
      <c r="AB66" s="453">
        <f t="shared" si="15"/>
        <v>1092000</v>
      </c>
    </row>
    <row r="67" spans="1:28" x14ac:dyDescent="0.25">
      <c r="A67" s="911"/>
      <c r="B67" s="446"/>
      <c r="C67" s="420">
        <v>130000</v>
      </c>
      <c r="D67" s="417">
        <v>1</v>
      </c>
      <c r="E67" s="342">
        <f>D67*C67</f>
        <v>130000</v>
      </c>
      <c r="F67" s="414">
        <v>0</v>
      </c>
      <c r="G67" s="342">
        <f t="shared" si="4"/>
        <v>0</v>
      </c>
      <c r="H67" s="414">
        <v>0</v>
      </c>
      <c r="I67" s="342">
        <f t="shared" si="5"/>
        <v>0</v>
      </c>
      <c r="J67" s="414">
        <v>0</v>
      </c>
      <c r="K67" s="342">
        <f t="shared" si="6"/>
        <v>0</v>
      </c>
      <c r="L67" s="414">
        <v>1</v>
      </c>
      <c r="M67" s="342">
        <f t="shared" si="7"/>
        <v>130000</v>
      </c>
      <c r="N67" s="414">
        <v>0</v>
      </c>
      <c r="O67" s="342">
        <f t="shared" si="8"/>
        <v>0</v>
      </c>
      <c r="P67" s="414">
        <v>0</v>
      </c>
      <c r="Q67" s="342">
        <f t="shared" si="9"/>
        <v>0</v>
      </c>
      <c r="R67" s="414">
        <v>0</v>
      </c>
      <c r="S67" s="342">
        <f t="shared" si="10"/>
        <v>0</v>
      </c>
      <c r="T67" s="414">
        <v>1</v>
      </c>
      <c r="U67" s="342">
        <f t="shared" si="11"/>
        <v>130000</v>
      </c>
      <c r="V67" s="414">
        <v>0</v>
      </c>
      <c r="W67" s="342">
        <f t="shared" si="12"/>
        <v>0</v>
      </c>
      <c r="X67" s="414">
        <v>0</v>
      </c>
      <c r="Y67" s="342">
        <f t="shared" si="13"/>
        <v>0</v>
      </c>
      <c r="Z67" s="414">
        <v>1</v>
      </c>
      <c r="AA67" s="344">
        <f t="shared" si="14"/>
        <v>130000</v>
      </c>
      <c r="AB67" s="450">
        <f t="shared" si="15"/>
        <v>520000</v>
      </c>
    </row>
    <row r="68" spans="1:28" x14ac:dyDescent="0.25">
      <c r="A68" s="911"/>
      <c r="B68" s="421"/>
      <c r="C68" s="420">
        <v>250000</v>
      </c>
      <c r="D68" s="417">
        <v>0</v>
      </c>
      <c r="E68" s="342">
        <f>D68*C68</f>
        <v>0</v>
      </c>
      <c r="F68" s="414">
        <v>0</v>
      </c>
      <c r="G68" s="342">
        <f t="shared" si="4"/>
        <v>0</v>
      </c>
      <c r="H68" s="414">
        <v>0</v>
      </c>
      <c r="I68" s="342">
        <f t="shared" si="5"/>
        <v>0</v>
      </c>
      <c r="J68" s="414">
        <v>0</v>
      </c>
      <c r="K68" s="342">
        <f t="shared" si="6"/>
        <v>0</v>
      </c>
      <c r="L68" s="414">
        <v>0</v>
      </c>
      <c r="M68" s="342">
        <f t="shared" si="7"/>
        <v>0</v>
      </c>
      <c r="N68" s="414">
        <v>0</v>
      </c>
      <c r="O68" s="342">
        <f t="shared" si="8"/>
        <v>0</v>
      </c>
      <c r="P68" s="414">
        <v>0</v>
      </c>
      <c r="Q68" s="342">
        <f t="shared" si="9"/>
        <v>0</v>
      </c>
      <c r="R68" s="414">
        <v>0</v>
      </c>
      <c r="S68" s="342">
        <f t="shared" si="10"/>
        <v>0</v>
      </c>
      <c r="T68" s="414">
        <v>1</v>
      </c>
      <c r="U68" s="342">
        <f t="shared" si="11"/>
        <v>250000</v>
      </c>
      <c r="V68" s="414">
        <v>0</v>
      </c>
      <c r="W68" s="342">
        <f t="shared" si="12"/>
        <v>0</v>
      </c>
      <c r="X68" s="414">
        <v>0</v>
      </c>
      <c r="Y68" s="342">
        <f t="shared" si="13"/>
        <v>0</v>
      </c>
      <c r="Z68" s="414">
        <v>0</v>
      </c>
      <c r="AA68" s="344">
        <f t="shared" si="14"/>
        <v>0</v>
      </c>
      <c r="AB68" s="450">
        <f t="shared" si="15"/>
        <v>250000</v>
      </c>
    </row>
    <row r="69" spans="1:28" ht="15.75" thickBot="1" x14ac:dyDescent="0.3">
      <c r="A69" s="912"/>
      <c r="B69" s="437"/>
      <c r="C69" s="438">
        <v>0</v>
      </c>
      <c r="D69" s="439">
        <v>0</v>
      </c>
      <c r="E69" s="365">
        <v>0</v>
      </c>
      <c r="F69" s="459">
        <v>0</v>
      </c>
      <c r="G69" s="365">
        <v>0</v>
      </c>
      <c r="H69" s="459">
        <v>0</v>
      </c>
      <c r="I69" s="365">
        <v>0</v>
      </c>
      <c r="J69" s="459">
        <v>0</v>
      </c>
      <c r="K69" s="365">
        <v>0</v>
      </c>
      <c r="L69" s="459">
        <v>0</v>
      </c>
      <c r="M69" s="365">
        <f>($C$53*L53 + $C$54*L54+$C$55*L55)*0.15</f>
        <v>45441.9</v>
      </c>
      <c r="N69" s="459">
        <v>0</v>
      </c>
      <c r="O69" s="365">
        <f>($C$53*N53 + $C$54*N54+$C$55*N55)*0.15</f>
        <v>30294.6</v>
      </c>
      <c r="P69" s="459">
        <v>0</v>
      </c>
      <c r="Q69" s="365">
        <f>($C$53*P53 + $C$54*P54+$C$55*P55)*0.15</f>
        <v>68162.849999999991</v>
      </c>
      <c r="R69" s="459">
        <v>0</v>
      </c>
      <c r="S69" s="365">
        <v>0</v>
      </c>
      <c r="T69" s="459">
        <v>0</v>
      </c>
      <c r="U69" s="365">
        <v>0</v>
      </c>
      <c r="V69" s="459">
        <v>0</v>
      </c>
      <c r="W69" s="365">
        <v>0</v>
      </c>
      <c r="X69" s="459">
        <v>0</v>
      </c>
      <c r="Y69" s="365">
        <v>0</v>
      </c>
      <c r="Z69" s="459">
        <v>0</v>
      </c>
      <c r="AA69" s="366">
        <v>0</v>
      </c>
      <c r="AB69" s="451">
        <f>E69+G69+I69+K69+M69+O69+Q69+S69+U69+W69+Y69+AA69</f>
        <v>143899.34999999998</v>
      </c>
    </row>
    <row r="70" spans="1:28" ht="28.9" customHeight="1" thickBot="1" x14ac:dyDescent="0.3">
      <c r="A70" s="433" t="s">
        <v>195</v>
      </c>
      <c r="B70" s="434"/>
      <c r="C70" s="443">
        <v>0</v>
      </c>
      <c r="D70" s="444">
        <v>0</v>
      </c>
      <c r="E70" s="373">
        <f>(D55+D54+D53)*75</f>
        <v>9120</v>
      </c>
      <c r="F70" s="460">
        <v>0</v>
      </c>
      <c r="G70" s="373">
        <f>(F55+F54+F53)*75</f>
        <v>11400</v>
      </c>
      <c r="H70" s="460">
        <v>0</v>
      </c>
      <c r="I70" s="373">
        <f>(H55+H54+H53)*75</f>
        <v>9120</v>
      </c>
      <c r="J70" s="460">
        <v>0</v>
      </c>
      <c r="K70" s="373">
        <f>(J55+J54+J53)*75</f>
        <v>7980</v>
      </c>
      <c r="L70" s="460">
        <v>0</v>
      </c>
      <c r="M70" s="373">
        <f>(L55+L54+L53)*75</f>
        <v>6840</v>
      </c>
      <c r="N70" s="460">
        <v>0</v>
      </c>
      <c r="O70" s="373">
        <f>(N55+N54+N53)*75</f>
        <v>4560</v>
      </c>
      <c r="P70" s="460">
        <v>0</v>
      </c>
      <c r="Q70" s="373">
        <f>(P55+P54+P53)*75</f>
        <v>10260</v>
      </c>
      <c r="R70" s="460">
        <v>0</v>
      </c>
      <c r="S70" s="373">
        <f>(R55+R54+R53)*75</f>
        <v>5700</v>
      </c>
      <c r="T70" s="460">
        <v>0</v>
      </c>
      <c r="U70" s="373">
        <f>(T55+T54+T53)*75</f>
        <v>10260</v>
      </c>
      <c r="V70" s="460">
        <v>0</v>
      </c>
      <c r="W70" s="373">
        <f>(V55+V54+V53)*75</f>
        <v>11400</v>
      </c>
      <c r="X70" s="460">
        <v>0</v>
      </c>
      <c r="Y70" s="373">
        <f>(X55+X54+X53)*75</f>
        <v>12540</v>
      </c>
      <c r="Z70" s="460">
        <v>0</v>
      </c>
      <c r="AA70" s="373">
        <f>(Z55+Z54+Z53)*75</f>
        <v>14820</v>
      </c>
      <c r="AB70" s="451">
        <f>E70+G70+I70+K70+M70+O70+Q70+S70+U70+W70+Y70+AA70</f>
        <v>114000</v>
      </c>
    </row>
    <row r="71" spans="1:28" ht="15.75" thickBot="1" x14ac:dyDescent="0.3">
      <c r="B71" s="448" t="s">
        <v>196</v>
      </c>
      <c r="C71" s="440"/>
      <c r="D71" s="441"/>
      <c r="E71" s="455">
        <f>SUM(E53:E70)</f>
        <v>1072316</v>
      </c>
      <c r="F71" s="461"/>
      <c r="G71" s="455">
        <f>SUM(G53:G70)</f>
        <v>1119645</v>
      </c>
      <c r="H71" s="461"/>
      <c r="I71" s="455">
        <f>SUM(I53:I70)</f>
        <v>748316</v>
      </c>
      <c r="J71" s="461"/>
      <c r="K71" s="455">
        <f>SUM(K53:K70)</f>
        <v>835651.5</v>
      </c>
      <c r="L71" s="461"/>
      <c r="M71" s="455">
        <f>SUM(M53:M70)</f>
        <v>916428.9</v>
      </c>
      <c r="N71" s="441"/>
      <c r="O71" s="455">
        <f>SUM(O53:O70)</f>
        <v>404452.6</v>
      </c>
      <c r="P71" s="461"/>
      <c r="Q71" s="455">
        <f>SUM(Q53:Q70)</f>
        <v>908143.35</v>
      </c>
      <c r="R71" s="461"/>
      <c r="S71" s="455">
        <f>SUM(S53:S70)</f>
        <v>465822.5</v>
      </c>
      <c r="T71" s="461"/>
      <c r="U71" s="455">
        <f>SUM(U53:U70)</f>
        <v>1403480.5</v>
      </c>
      <c r="V71" s="461"/>
      <c r="W71" s="455">
        <f>SUM(W53:W70)</f>
        <v>934645</v>
      </c>
      <c r="X71" s="461"/>
      <c r="Y71" s="455">
        <f>SUM(Y53:Y70)</f>
        <v>1029309.5</v>
      </c>
      <c r="Z71" s="461"/>
      <c r="AA71" s="454">
        <f>SUM(AA53:AA70)</f>
        <v>1526138.5</v>
      </c>
      <c r="AB71" s="447">
        <f>SUM(E71:AA71)</f>
        <v>11364349.35</v>
      </c>
    </row>
    <row r="73" spans="1:28" ht="15.75" thickBot="1" x14ac:dyDescent="0.3"/>
    <row r="74" spans="1:28" ht="27" thickBot="1" x14ac:dyDescent="0.45">
      <c r="B74" s="744" t="s">
        <v>198</v>
      </c>
      <c r="C74" s="745"/>
      <c r="D74" s="745"/>
      <c r="E74" s="745"/>
      <c r="F74" s="745"/>
      <c r="G74" s="745"/>
      <c r="H74" s="745"/>
      <c r="I74" s="745"/>
      <c r="J74" s="745"/>
      <c r="K74" s="745"/>
      <c r="L74" s="745"/>
      <c r="M74" s="745"/>
      <c r="N74" s="745"/>
      <c r="O74" s="745"/>
      <c r="P74" s="745"/>
      <c r="Q74" s="745"/>
      <c r="R74" s="745"/>
      <c r="S74" s="745"/>
      <c r="T74" s="745"/>
      <c r="U74" s="745"/>
      <c r="V74" s="745"/>
      <c r="W74" s="745"/>
      <c r="X74" s="745"/>
      <c r="Y74" s="745"/>
      <c r="Z74" s="745"/>
      <c r="AA74" s="745"/>
      <c r="AB74" s="746"/>
    </row>
    <row r="75" spans="1:28" x14ac:dyDescent="0.25">
      <c r="B75" s="919" t="s">
        <v>67</v>
      </c>
      <c r="C75" s="920"/>
      <c r="D75" s="918" t="s">
        <v>42</v>
      </c>
      <c r="E75" s="914"/>
      <c r="F75" s="913" t="s">
        <v>43</v>
      </c>
      <c r="G75" s="914"/>
      <c r="H75" s="913" t="s">
        <v>44</v>
      </c>
      <c r="I75" s="914"/>
      <c r="J75" s="913" t="s">
        <v>45</v>
      </c>
      <c r="K75" s="914"/>
      <c r="L75" s="913" t="s">
        <v>46</v>
      </c>
      <c r="M75" s="914"/>
      <c r="N75" s="913" t="s">
        <v>47</v>
      </c>
      <c r="O75" s="914"/>
      <c r="P75" s="913" t="s">
        <v>48</v>
      </c>
      <c r="Q75" s="914"/>
      <c r="R75" s="913" t="s">
        <v>49</v>
      </c>
      <c r="S75" s="914"/>
      <c r="T75" s="913" t="s">
        <v>50</v>
      </c>
      <c r="U75" s="914"/>
      <c r="V75" s="913" t="s">
        <v>51</v>
      </c>
      <c r="W75" s="914"/>
      <c r="X75" s="913" t="s">
        <v>52</v>
      </c>
      <c r="Y75" s="914"/>
      <c r="Z75" s="913" t="s">
        <v>53</v>
      </c>
      <c r="AA75" s="918"/>
      <c r="AB75" s="921" t="s">
        <v>19</v>
      </c>
    </row>
    <row r="76" spans="1:28" ht="15.75" thickBot="1" x14ac:dyDescent="0.3">
      <c r="B76" s="422" t="s">
        <v>127</v>
      </c>
      <c r="C76" s="423" t="s">
        <v>180</v>
      </c>
      <c r="D76" s="424" t="s">
        <v>63</v>
      </c>
      <c r="E76" s="425" t="s">
        <v>112</v>
      </c>
      <c r="F76" s="425" t="s">
        <v>63</v>
      </c>
      <c r="G76" s="425" t="s">
        <v>112</v>
      </c>
      <c r="H76" s="425" t="s">
        <v>63</v>
      </c>
      <c r="I76" s="425" t="s">
        <v>112</v>
      </c>
      <c r="J76" s="425" t="s">
        <v>63</v>
      </c>
      <c r="K76" s="425" t="s">
        <v>112</v>
      </c>
      <c r="L76" s="425" t="s">
        <v>63</v>
      </c>
      <c r="M76" s="425" t="s">
        <v>112</v>
      </c>
      <c r="N76" s="425" t="s">
        <v>63</v>
      </c>
      <c r="O76" s="425" t="s">
        <v>112</v>
      </c>
      <c r="P76" s="425" t="s">
        <v>63</v>
      </c>
      <c r="Q76" s="425" t="s">
        <v>112</v>
      </c>
      <c r="R76" s="425" t="s">
        <v>63</v>
      </c>
      <c r="S76" s="425" t="s">
        <v>112</v>
      </c>
      <c r="T76" s="425" t="s">
        <v>63</v>
      </c>
      <c r="U76" s="425" t="s">
        <v>112</v>
      </c>
      <c r="V76" s="425" t="s">
        <v>63</v>
      </c>
      <c r="W76" s="425" t="s">
        <v>112</v>
      </c>
      <c r="X76" s="425" t="s">
        <v>63</v>
      </c>
      <c r="Y76" s="425" t="s">
        <v>112</v>
      </c>
      <c r="Z76" s="425" t="s">
        <v>63</v>
      </c>
      <c r="AA76" s="426" t="s">
        <v>112</v>
      </c>
      <c r="AB76" s="922"/>
    </row>
    <row r="77" spans="1:28" x14ac:dyDescent="0.25">
      <c r="A77" s="915" t="s">
        <v>192</v>
      </c>
      <c r="B77" s="427"/>
      <c r="C77" s="428">
        <f>$E$20</f>
        <v>1360</v>
      </c>
      <c r="D77" s="429">
        <f>'Proy. ventas'!E82</f>
        <v>132</v>
      </c>
      <c r="E77" s="361">
        <f t="shared" ref="E77:E92" si="16">D77*C77</f>
        <v>179520</v>
      </c>
      <c r="F77" s="456">
        <f>'Proy. ventas'!G82</f>
        <v>120</v>
      </c>
      <c r="G77" s="361">
        <f t="shared" ref="G77:G92" si="17">F77*C77</f>
        <v>163200</v>
      </c>
      <c r="H77" s="456">
        <f>'Proy. ventas'!I82</f>
        <v>84.000000000000014</v>
      </c>
      <c r="I77" s="361">
        <f t="shared" ref="I77:I92" si="18">H77*C77</f>
        <v>114240.00000000001</v>
      </c>
      <c r="J77" s="456">
        <f>'Proy. ventas'!K82</f>
        <v>72</v>
      </c>
      <c r="K77" s="361">
        <f t="shared" ref="K77:K92" si="19">J77*C77</f>
        <v>97920</v>
      </c>
      <c r="L77" s="456">
        <f>'Proy. ventas'!M82</f>
        <v>72</v>
      </c>
      <c r="M77" s="361">
        <f t="shared" ref="M77:M92" si="20">L77*C77</f>
        <v>97920</v>
      </c>
      <c r="N77" s="456">
        <f>'Proy. ventas'!O82</f>
        <v>48</v>
      </c>
      <c r="O77" s="361">
        <f t="shared" ref="O77:O92" si="21">N77*C77</f>
        <v>65280</v>
      </c>
      <c r="P77" s="456">
        <f>'Proy. ventas'!Q82</f>
        <v>108</v>
      </c>
      <c r="Q77" s="361">
        <f t="shared" ref="Q77:Q92" si="22">P77*C77</f>
        <v>146880</v>
      </c>
      <c r="R77" s="456">
        <f>'Proy. ventas'!S82</f>
        <v>60</v>
      </c>
      <c r="S77" s="361">
        <f t="shared" ref="S77:S92" si="23">R77*C77</f>
        <v>81600</v>
      </c>
      <c r="T77" s="456">
        <f>'Proy. ventas'!U82</f>
        <v>108</v>
      </c>
      <c r="U77" s="361">
        <f t="shared" ref="U77:U92" si="24">T77*C77</f>
        <v>146880</v>
      </c>
      <c r="V77" s="456">
        <f>'Proy. ventas'!W82</f>
        <v>120</v>
      </c>
      <c r="W77" s="361">
        <f t="shared" ref="W77:W92" si="25">V77*C77</f>
        <v>163200</v>
      </c>
      <c r="X77" s="456">
        <f>'Proy. ventas'!Y82</f>
        <v>132</v>
      </c>
      <c r="Y77" s="361">
        <f t="shared" ref="Y77:Y92" si="26">X77*C77</f>
        <v>179520</v>
      </c>
      <c r="Z77" s="456">
        <f>'Proy. ventas'!AA82</f>
        <v>144</v>
      </c>
      <c r="AA77" s="362">
        <f t="shared" ref="AA77:AA92" si="27">Z77*C77</f>
        <v>195840</v>
      </c>
      <c r="AB77" s="449">
        <f>E77+G77+I77+K77+M77+O77+Q77+S77++U77+W77+Y77+AA77</f>
        <v>1632000</v>
      </c>
    </row>
    <row r="78" spans="1:28" x14ac:dyDescent="0.25">
      <c r="A78" s="916"/>
      <c r="B78" s="419"/>
      <c r="C78" s="420">
        <f>$E$33</f>
        <v>5705</v>
      </c>
      <c r="D78" s="417">
        <f>'Proy. ventas'!E83</f>
        <v>92.95</v>
      </c>
      <c r="E78" s="342">
        <f t="shared" si="16"/>
        <v>530279.75</v>
      </c>
      <c r="F78" s="414">
        <f>'Proy. ventas'!G83</f>
        <v>84.5</v>
      </c>
      <c r="G78" s="342">
        <f t="shared" si="17"/>
        <v>482072.5</v>
      </c>
      <c r="H78" s="414">
        <f>'Proy. ventas'!I83</f>
        <v>59.150000000000006</v>
      </c>
      <c r="I78" s="342">
        <f t="shared" si="18"/>
        <v>337450.75000000006</v>
      </c>
      <c r="J78" s="414">
        <f>'Proy. ventas'!K83</f>
        <v>50.699999999999996</v>
      </c>
      <c r="K78" s="342">
        <f t="shared" si="19"/>
        <v>289243.5</v>
      </c>
      <c r="L78" s="414">
        <f>'Proy. ventas'!M83</f>
        <v>50.699999999999996</v>
      </c>
      <c r="M78" s="342">
        <f t="shared" si="20"/>
        <v>289243.5</v>
      </c>
      <c r="N78" s="414">
        <f>'Proy. ventas'!O83</f>
        <v>33.799999999999997</v>
      </c>
      <c r="O78" s="342">
        <f t="shared" si="21"/>
        <v>192828.99999999997</v>
      </c>
      <c r="P78" s="414">
        <f>'Proy. ventas'!Q83</f>
        <v>76.05</v>
      </c>
      <c r="Q78" s="342">
        <f t="shared" si="22"/>
        <v>433865.25</v>
      </c>
      <c r="R78" s="414">
        <f>'Proy. ventas'!S83</f>
        <v>42.25</v>
      </c>
      <c r="S78" s="342">
        <f t="shared" si="23"/>
        <v>241036.25</v>
      </c>
      <c r="T78" s="414">
        <f>'Proy. ventas'!U83</f>
        <v>76.05</v>
      </c>
      <c r="U78" s="342">
        <f t="shared" si="24"/>
        <v>433865.25</v>
      </c>
      <c r="V78" s="414">
        <f>'Proy. ventas'!W83</f>
        <v>84.5</v>
      </c>
      <c r="W78" s="342">
        <f t="shared" si="25"/>
        <v>482072.5</v>
      </c>
      <c r="X78" s="414">
        <f>'Proy. ventas'!Y83</f>
        <v>92.95</v>
      </c>
      <c r="Y78" s="342">
        <f t="shared" si="26"/>
        <v>530279.75</v>
      </c>
      <c r="Z78" s="414">
        <f>'Proy. ventas'!AA83</f>
        <v>101.39999999999999</v>
      </c>
      <c r="AA78" s="344">
        <f t="shared" si="27"/>
        <v>578487</v>
      </c>
      <c r="AB78" s="450">
        <f t="shared" ref="AB78:AB92" si="28">E78+G78+I78+K78+M78+O78+Q78+S78++U78+W78+Y78+AA78</f>
        <v>4820725</v>
      </c>
    </row>
    <row r="79" spans="1:28" ht="15.75" thickBot="1" x14ac:dyDescent="0.3">
      <c r="A79" s="917"/>
      <c r="B79" s="430"/>
      <c r="C79" s="431">
        <f>$E$46</f>
        <v>8105</v>
      </c>
      <c r="D79" s="432">
        <f>'Proy. ventas'!E84</f>
        <v>26.95</v>
      </c>
      <c r="E79" s="365">
        <f t="shared" si="16"/>
        <v>218429.75</v>
      </c>
      <c r="F79" s="457">
        <f>'Proy. ventas'!G84</f>
        <v>24.5</v>
      </c>
      <c r="G79" s="365">
        <f t="shared" si="17"/>
        <v>198572.5</v>
      </c>
      <c r="H79" s="457">
        <f>'Proy. ventas'!I84</f>
        <v>17.150000000000002</v>
      </c>
      <c r="I79" s="365">
        <f t="shared" si="18"/>
        <v>139000.75000000003</v>
      </c>
      <c r="J79" s="457">
        <f>'Proy. ventas'!K84</f>
        <v>14.7</v>
      </c>
      <c r="K79" s="365">
        <f t="shared" si="19"/>
        <v>119143.5</v>
      </c>
      <c r="L79" s="457">
        <f>'Proy. ventas'!M84</f>
        <v>14.7</v>
      </c>
      <c r="M79" s="365">
        <f t="shared" si="20"/>
        <v>119143.5</v>
      </c>
      <c r="N79" s="457">
        <f>'Proy. ventas'!O84</f>
        <v>9.8000000000000007</v>
      </c>
      <c r="O79" s="365">
        <f t="shared" si="21"/>
        <v>79429</v>
      </c>
      <c r="P79" s="457">
        <f>'Proy. ventas'!Q84</f>
        <v>22.05</v>
      </c>
      <c r="Q79" s="365">
        <f t="shared" si="22"/>
        <v>178715.25</v>
      </c>
      <c r="R79" s="457">
        <f>'Proy. ventas'!S84</f>
        <v>12.25</v>
      </c>
      <c r="S79" s="365">
        <f t="shared" si="23"/>
        <v>99286.25</v>
      </c>
      <c r="T79" s="457">
        <f>'Proy. ventas'!U84</f>
        <v>22.05</v>
      </c>
      <c r="U79" s="365">
        <f t="shared" si="24"/>
        <v>178715.25</v>
      </c>
      <c r="V79" s="457">
        <f>'Proy. ventas'!W84</f>
        <v>24.5</v>
      </c>
      <c r="W79" s="365">
        <f t="shared" si="25"/>
        <v>198572.5</v>
      </c>
      <c r="X79" s="457">
        <f>'Proy. ventas'!Y84</f>
        <v>26.95</v>
      </c>
      <c r="Y79" s="365">
        <f t="shared" si="26"/>
        <v>218429.75</v>
      </c>
      <c r="Z79" s="457">
        <f>'Proy. ventas'!AA84</f>
        <v>29.4</v>
      </c>
      <c r="AA79" s="366">
        <f t="shared" si="27"/>
        <v>238287</v>
      </c>
      <c r="AB79" s="451">
        <f t="shared" si="28"/>
        <v>1985725</v>
      </c>
    </row>
    <row r="80" spans="1:28" x14ac:dyDescent="0.25">
      <c r="A80" s="915" t="s">
        <v>193</v>
      </c>
      <c r="B80" s="427"/>
      <c r="C80" s="428">
        <v>420</v>
      </c>
      <c r="D80" s="429">
        <f>'Proy. ventas'!E85</f>
        <v>198</v>
      </c>
      <c r="E80" s="361">
        <f t="shared" si="16"/>
        <v>83160</v>
      </c>
      <c r="F80" s="456">
        <f>'Proy. ventas'!G85</f>
        <v>180</v>
      </c>
      <c r="G80" s="361">
        <f t="shared" si="17"/>
        <v>75600</v>
      </c>
      <c r="H80" s="456">
        <f>'Proy. ventas'!I85</f>
        <v>126.00000000000001</v>
      </c>
      <c r="I80" s="361">
        <f t="shared" si="18"/>
        <v>52920.000000000007</v>
      </c>
      <c r="J80" s="456">
        <f>'Proy. ventas'!K85</f>
        <v>108</v>
      </c>
      <c r="K80" s="361">
        <f t="shared" si="19"/>
        <v>45360</v>
      </c>
      <c r="L80" s="456">
        <f>'Proy. ventas'!M85</f>
        <v>108</v>
      </c>
      <c r="M80" s="361">
        <f t="shared" si="20"/>
        <v>45360</v>
      </c>
      <c r="N80" s="456">
        <f>'Proy. ventas'!O85</f>
        <v>72</v>
      </c>
      <c r="O80" s="361">
        <f t="shared" si="21"/>
        <v>30240</v>
      </c>
      <c r="P80" s="456">
        <f>'Proy. ventas'!Q85</f>
        <v>162</v>
      </c>
      <c r="Q80" s="361">
        <f t="shared" si="22"/>
        <v>68040</v>
      </c>
      <c r="R80" s="456">
        <f>'Proy. ventas'!S85</f>
        <v>90</v>
      </c>
      <c r="S80" s="361">
        <f t="shared" si="23"/>
        <v>37800</v>
      </c>
      <c r="T80" s="456">
        <f>'Proy. ventas'!U85</f>
        <v>162</v>
      </c>
      <c r="U80" s="361">
        <f t="shared" si="24"/>
        <v>68040</v>
      </c>
      <c r="V80" s="456">
        <f>'Proy. ventas'!W85</f>
        <v>180</v>
      </c>
      <c r="W80" s="361">
        <f t="shared" si="25"/>
        <v>75600</v>
      </c>
      <c r="X80" s="456">
        <f>'Proy. ventas'!Y85</f>
        <v>198</v>
      </c>
      <c r="Y80" s="361">
        <f t="shared" si="26"/>
        <v>83160</v>
      </c>
      <c r="Z80" s="456">
        <f>'Proy. ventas'!AA85</f>
        <v>216</v>
      </c>
      <c r="AA80" s="362">
        <f t="shared" si="27"/>
        <v>90720</v>
      </c>
      <c r="AB80" s="449">
        <f t="shared" si="28"/>
        <v>756000</v>
      </c>
    </row>
    <row r="81" spans="1:28" x14ac:dyDescent="0.25">
      <c r="A81" s="916"/>
      <c r="B81" s="419"/>
      <c r="C81" s="420">
        <v>300</v>
      </c>
      <c r="D81" s="417">
        <f>'Proy. ventas'!E86</f>
        <v>198</v>
      </c>
      <c r="E81" s="342">
        <f t="shared" si="16"/>
        <v>59400</v>
      </c>
      <c r="F81" s="414">
        <f>'Proy. ventas'!G86</f>
        <v>180</v>
      </c>
      <c r="G81" s="342">
        <f t="shared" si="17"/>
        <v>54000</v>
      </c>
      <c r="H81" s="414">
        <f>'Proy. ventas'!I86</f>
        <v>126.00000000000001</v>
      </c>
      <c r="I81" s="342">
        <f t="shared" si="18"/>
        <v>37800.000000000007</v>
      </c>
      <c r="J81" s="414">
        <f>'Proy. ventas'!K86</f>
        <v>108</v>
      </c>
      <c r="K81" s="342">
        <f t="shared" si="19"/>
        <v>32400</v>
      </c>
      <c r="L81" s="414">
        <f>'Proy. ventas'!M86</f>
        <v>108</v>
      </c>
      <c r="M81" s="342">
        <f t="shared" si="20"/>
        <v>32400</v>
      </c>
      <c r="N81" s="414">
        <f>'Proy. ventas'!O86</f>
        <v>72</v>
      </c>
      <c r="O81" s="342">
        <f t="shared" si="21"/>
        <v>21600</v>
      </c>
      <c r="P81" s="414">
        <f>'Proy. ventas'!Q86</f>
        <v>162</v>
      </c>
      <c r="Q81" s="342">
        <f t="shared" si="22"/>
        <v>48600</v>
      </c>
      <c r="R81" s="414">
        <f>'Proy. ventas'!S86</f>
        <v>90</v>
      </c>
      <c r="S81" s="342">
        <f t="shared" si="23"/>
        <v>27000</v>
      </c>
      <c r="T81" s="414">
        <f>'Proy. ventas'!U86</f>
        <v>162</v>
      </c>
      <c r="U81" s="342">
        <f t="shared" si="24"/>
        <v>48600</v>
      </c>
      <c r="V81" s="414">
        <f>'Proy. ventas'!W86</f>
        <v>180</v>
      </c>
      <c r="W81" s="342">
        <f t="shared" si="25"/>
        <v>54000</v>
      </c>
      <c r="X81" s="414">
        <f>'Proy. ventas'!Y86</f>
        <v>198</v>
      </c>
      <c r="Y81" s="342">
        <f t="shared" si="26"/>
        <v>59400</v>
      </c>
      <c r="Z81" s="414">
        <f>'Proy. ventas'!AA86</f>
        <v>216</v>
      </c>
      <c r="AA81" s="344">
        <f t="shared" si="27"/>
        <v>64800</v>
      </c>
      <c r="AB81" s="450">
        <f t="shared" si="28"/>
        <v>540000</v>
      </c>
    </row>
    <row r="82" spans="1:28" x14ac:dyDescent="0.25">
      <c r="A82" s="916"/>
      <c r="B82" s="419"/>
      <c r="C82" s="420">
        <v>1800</v>
      </c>
      <c r="D82" s="417">
        <f>'Proy. ventas'!E87</f>
        <v>82.5</v>
      </c>
      <c r="E82" s="342">
        <f t="shared" si="16"/>
        <v>148500</v>
      </c>
      <c r="F82" s="414">
        <f>'Proy. ventas'!G87</f>
        <v>75</v>
      </c>
      <c r="G82" s="342">
        <f t="shared" si="17"/>
        <v>135000</v>
      </c>
      <c r="H82" s="414">
        <f>'Proy. ventas'!I87</f>
        <v>52.500000000000007</v>
      </c>
      <c r="I82" s="342">
        <f t="shared" si="18"/>
        <v>94500.000000000015</v>
      </c>
      <c r="J82" s="414">
        <f>'Proy. ventas'!K87</f>
        <v>45</v>
      </c>
      <c r="K82" s="342">
        <f t="shared" si="19"/>
        <v>81000</v>
      </c>
      <c r="L82" s="414">
        <f>'Proy. ventas'!M87</f>
        <v>45</v>
      </c>
      <c r="M82" s="342">
        <f t="shared" si="20"/>
        <v>81000</v>
      </c>
      <c r="N82" s="414">
        <f>'Proy. ventas'!O87</f>
        <v>30</v>
      </c>
      <c r="O82" s="342">
        <f t="shared" si="21"/>
        <v>54000</v>
      </c>
      <c r="P82" s="414">
        <f>'Proy. ventas'!Q87</f>
        <v>67.5</v>
      </c>
      <c r="Q82" s="342">
        <f t="shared" si="22"/>
        <v>121500</v>
      </c>
      <c r="R82" s="414">
        <f>'Proy. ventas'!S87</f>
        <v>37.5</v>
      </c>
      <c r="S82" s="342">
        <f t="shared" si="23"/>
        <v>67500</v>
      </c>
      <c r="T82" s="414">
        <f>'Proy. ventas'!U87</f>
        <v>67.5</v>
      </c>
      <c r="U82" s="342">
        <f t="shared" si="24"/>
        <v>121500</v>
      </c>
      <c r="V82" s="414">
        <f>'Proy. ventas'!W87</f>
        <v>75</v>
      </c>
      <c r="W82" s="342">
        <f t="shared" si="25"/>
        <v>135000</v>
      </c>
      <c r="X82" s="414">
        <f>'Proy. ventas'!Y87</f>
        <v>82.5</v>
      </c>
      <c r="Y82" s="342">
        <f t="shared" si="26"/>
        <v>148500</v>
      </c>
      <c r="Z82" s="414">
        <f>'Proy. ventas'!AA87</f>
        <v>90</v>
      </c>
      <c r="AA82" s="344">
        <f t="shared" si="27"/>
        <v>162000</v>
      </c>
      <c r="AB82" s="450">
        <f t="shared" si="28"/>
        <v>1350000</v>
      </c>
    </row>
    <row r="83" spans="1:28" x14ac:dyDescent="0.25">
      <c r="A83" s="916"/>
      <c r="B83" s="419"/>
      <c r="C83" s="420">
        <v>180</v>
      </c>
      <c r="D83" s="417">
        <f>'Proy. ventas'!E88</f>
        <v>176</v>
      </c>
      <c r="E83" s="342">
        <f t="shared" si="16"/>
        <v>31680</v>
      </c>
      <c r="F83" s="414">
        <f>'Proy. ventas'!G88</f>
        <v>160</v>
      </c>
      <c r="G83" s="342">
        <f t="shared" si="17"/>
        <v>28800</v>
      </c>
      <c r="H83" s="414">
        <f>'Proy. ventas'!I88</f>
        <v>112.00000000000001</v>
      </c>
      <c r="I83" s="342">
        <f t="shared" si="18"/>
        <v>20160.000000000004</v>
      </c>
      <c r="J83" s="414">
        <f>'Proy. ventas'!K88</f>
        <v>96</v>
      </c>
      <c r="K83" s="342">
        <f t="shared" si="19"/>
        <v>17280</v>
      </c>
      <c r="L83" s="414">
        <f>'Proy. ventas'!M88</f>
        <v>96</v>
      </c>
      <c r="M83" s="342">
        <f t="shared" si="20"/>
        <v>17280</v>
      </c>
      <c r="N83" s="414">
        <f>'Proy. ventas'!O88</f>
        <v>64</v>
      </c>
      <c r="O83" s="342">
        <f t="shared" si="21"/>
        <v>11520</v>
      </c>
      <c r="P83" s="414">
        <f>'Proy. ventas'!Q88</f>
        <v>144</v>
      </c>
      <c r="Q83" s="342">
        <f t="shared" si="22"/>
        <v>25920</v>
      </c>
      <c r="R83" s="414">
        <f>'Proy. ventas'!S88</f>
        <v>80</v>
      </c>
      <c r="S83" s="342">
        <f t="shared" si="23"/>
        <v>14400</v>
      </c>
      <c r="T83" s="414">
        <f>'Proy. ventas'!U88</f>
        <v>144</v>
      </c>
      <c r="U83" s="342">
        <f t="shared" si="24"/>
        <v>25920</v>
      </c>
      <c r="V83" s="414">
        <f>'Proy. ventas'!W88</f>
        <v>160</v>
      </c>
      <c r="W83" s="342">
        <f t="shared" si="25"/>
        <v>28800</v>
      </c>
      <c r="X83" s="414">
        <f>'Proy. ventas'!Y88</f>
        <v>176</v>
      </c>
      <c r="Y83" s="342">
        <f t="shared" si="26"/>
        <v>31680</v>
      </c>
      <c r="Z83" s="414">
        <f>'Proy. ventas'!AA88</f>
        <v>192</v>
      </c>
      <c r="AA83" s="344">
        <f t="shared" si="27"/>
        <v>34560</v>
      </c>
      <c r="AB83" s="450">
        <f t="shared" si="28"/>
        <v>288000</v>
      </c>
    </row>
    <row r="84" spans="1:28" x14ac:dyDescent="0.25">
      <c r="A84" s="916"/>
      <c r="B84" s="419"/>
      <c r="C84" s="420">
        <v>1250</v>
      </c>
      <c r="D84" s="417">
        <f>'Proy. ventas'!E89</f>
        <v>99</v>
      </c>
      <c r="E84" s="342">
        <f t="shared" si="16"/>
        <v>123750</v>
      </c>
      <c r="F84" s="414">
        <f>'Proy. ventas'!G89</f>
        <v>90</v>
      </c>
      <c r="G84" s="342">
        <f t="shared" si="17"/>
        <v>112500</v>
      </c>
      <c r="H84" s="414">
        <f>'Proy. ventas'!I89</f>
        <v>63.000000000000007</v>
      </c>
      <c r="I84" s="342">
        <f t="shared" si="18"/>
        <v>78750.000000000015</v>
      </c>
      <c r="J84" s="414">
        <f>'Proy. ventas'!K89</f>
        <v>54</v>
      </c>
      <c r="K84" s="342">
        <f t="shared" si="19"/>
        <v>67500</v>
      </c>
      <c r="L84" s="414">
        <f>'Proy. ventas'!M89</f>
        <v>54</v>
      </c>
      <c r="M84" s="342">
        <f t="shared" si="20"/>
        <v>67500</v>
      </c>
      <c r="N84" s="414">
        <f>'Proy. ventas'!O89</f>
        <v>36</v>
      </c>
      <c r="O84" s="342">
        <f t="shared" si="21"/>
        <v>45000</v>
      </c>
      <c r="P84" s="414">
        <f>'Proy. ventas'!Q89</f>
        <v>81</v>
      </c>
      <c r="Q84" s="342">
        <f t="shared" si="22"/>
        <v>101250</v>
      </c>
      <c r="R84" s="414">
        <f>'Proy. ventas'!S89</f>
        <v>45</v>
      </c>
      <c r="S84" s="342">
        <f t="shared" si="23"/>
        <v>56250</v>
      </c>
      <c r="T84" s="414">
        <f>'Proy. ventas'!U89</f>
        <v>81</v>
      </c>
      <c r="U84" s="342">
        <f t="shared" si="24"/>
        <v>101250</v>
      </c>
      <c r="V84" s="414">
        <f>'Proy. ventas'!W89</f>
        <v>90</v>
      </c>
      <c r="W84" s="342">
        <f t="shared" si="25"/>
        <v>112500</v>
      </c>
      <c r="X84" s="414">
        <f>'Proy. ventas'!Y89</f>
        <v>99</v>
      </c>
      <c r="Y84" s="342">
        <f t="shared" si="26"/>
        <v>123750</v>
      </c>
      <c r="Z84" s="414">
        <f>'Proy. ventas'!AA89</f>
        <v>108</v>
      </c>
      <c r="AA84" s="344">
        <f t="shared" si="27"/>
        <v>135000</v>
      </c>
      <c r="AB84" s="450">
        <f t="shared" si="28"/>
        <v>1125000</v>
      </c>
    </row>
    <row r="85" spans="1:28" x14ac:dyDescent="0.25">
      <c r="A85" s="916"/>
      <c r="B85" s="419"/>
      <c r="C85" s="420">
        <v>350</v>
      </c>
      <c r="D85" s="417">
        <f>'Proy. ventas'!E90</f>
        <v>80.3</v>
      </c>
      <c r="E85" s="342">
        <f t="shared" si="16"/>
        <v>28105</v>
      </c>
      <c r="F85" s="414">
        <f>'Proy. ventas'!G90</f>
        <v>73</v>
      </c>
      <c r="G85" s="342">
        <f t="shared" si="17"/>
        <v>25550</v>
      </c>
      <c r="H85" s="414">
        <f>'Proy. ventas'!I90</f>
        <v>51.1</v>
      </c>
      <c r="I85" s="342">
        <f t="shared" si="18"/>
        <v>17885</v>
      </c>
      <c r="J85" s="414">
        <f>'Proy. ventas'!K90</f>
        <v>43.8</v>
      </c>
      <c r="K85" s="342">
        <f t="shared" si="19"/>
        <v>15329.999999999998</v>
      </c>
      <c r="L85" s="414">
        <f>'Proy. ventas'!M90</f>
        <v>43.8</v>
      </c>
      <c r="M85" s="342">
        <f t="shared" si="20"/>
        <v>15329.999999999998</v>
      </c>
      <c r="N85" s="414">
        <f>'Proy. ventas'!O90</f>
        <v>29.2</v>
      </c>
      <c r="O85" s="342">
        <f t="shared" si="21"/>
        <v>10220</v>
      </c>
      <c r="P85" s="414">
        <f>'Proy. ventas'!Q90</f>
        <v>65.7</v>
      </c>
      <c r="Q85" s="342">
        <f t="shared" si="22"/>
        <v>22995</v>
      </c>
      <c r="R85" s="414">
        <f>'Proy. ventas'!S90</f>
        <v>36.5</v>
      </c>
      <c r="S85" s="342">
        <f t="shared" si="23"/>
        <v>12775</v>
      </c>
      <c r="T85" s="414">
        <f>'Proy. ventas'!U90</f>
        <v>65.7</v>
      </c>
      <c r="U85" s="342">
        <f t="shared" si="24"/>
        <v>22995</v>
      </c>
      <c r="V85" s="414">
        <f>'Proy. ventas'!W90</f>
        <v>73</v>
      </c>
      <c r="W85" s="342">
        <f t="shared" si="25"/>
        <v>25550</v>
      </c>
      <c r="X85" s="414">
        <f>'Proy. ventas'!Y90</f>
        <v>80.3</v>
      </c>
      <c r="Y85" s="342">
        <f t="shared" si="26"/>
        <v>28105</v>
      </c>
      <c r="Z85" s="414">
        <f>'Proy. ventas'!AA90</f>
        <v>87.6</v>
      </c>
      <c r="AA85" s="344">
        <f t="shared" si="27"/>
        <v>30659.999999999996</v>
      </c>
      <c r="AB85" s="450">
        <f t="shared" si="28"/>
        <v>255500</v>
      </c>
    </row>
    <row r="86" spans="1:28" x14ac:dyDescent="0.25">
      <c r="A86" s="916"/>
      <c r="B86" s="419"/>
      <c r="C86" s="420">
        <v>950</v>
      </c>
      <c r="D86" s="417">
        <f>'Proy. ventas'!E91</f>
        <v>80.3</v>
      </c>
      <c r="E86" s="342">
        <f t="shared" si="16"/>
        <v>76285</v>
      </c>
      <c r="F86" s="414">
        <f>'Proy. ventas'!G91</f>
        <v>73</v>
      </c>
      <c r="G86" s="342">
        <f t="shared" si="17"/>
        <v>69350</v>
      </c>
      <c r="H86" s="414">
        <f>'Proy. ventas'!I91</f>
        <v>51.1</v>
      </c>
      <c r="I86" s="342">
        <f t="shared" si="18"/>
        <v>48545</v>
      </c>
      <c r="J86" s="414">
        <f>'Proy. ventas'!K91</f>
        <v>43.8</v>
      </c>
      <c r="K86" s="342">
        <f t="shared" si="19"/>
        <v>41610</v>
      </c>
      <c r="L86" s="414">
        <f>'Proy. ventas'!M91</f>
        <v>43.8</v>
      </c>
      <c r="M86" s="342">
        <f t="shared" si="20"/>
        <v>41610</v>
      </c>
      <c r="N86" s="414">
        <f>'Proy. ventas'!O91</f>
        <v>29.2</v>
      </c>
      <c r="O86" s="342">
        <f t="shared" si="21"/>
        <v>27740</v>
      </c>
      <c r="P86" s="414">
        <f>'Proy. ventas'!Q91</f>
        <v>65.7</v>
      </c>
      <c r="Q86" s="342">
        <f t="shared" si="22"/>
        <v>62415</v>
      </c>
      <c r="R86" s="414">
        <f>'Proy. ventas'!S91</f>
        <v>36.5</v>
      </c>
      <c r="S86" s="342">
        <f t="shared" si="23"/>
        <v>34675</v>
      </c>
      <c r="T86" s="414">
        <f>'Proy. ventas'!U91</f>
        <v>65.7</v>
      </c>
      <c r="U86" s="342">
        <f t="shared" si="24"/>
        <v>62415</v>
      </c>
      <c r="V86" s="414">
        <f>'Proy. ventas'!W91</f>
        <v>73</v>
      </c>
      <c r="W86" s="342">
        <f t="shared" si="25"/>
        <v>69350</v>
      </c>
      <c r="X86" s="414">
        <f>'Proy. ventas'!Y91</f>
        <v>80.3</v>
      </c>
      <c r="Y86" s="342">
        <f t="shared" si="26"/>
        <v>76285</v>
      </c>
      <c r="Z86" s="414">
        <f>'Proy. ventas'!AA91</f>
        <v>87.6</v>
      </c>
      <c r="AA86" s="344">
        <f t="shared" si="27"/>
        <v>83220</v>
      </c>
      <c r="AB86" s="450">
        <f t="shared" si="28"/>
        <v>693500</v>
      </c>
    </row>
    <row r="87" spans="1:28" x14ac:dyDescent="0.25">
      <c r="A87" s="916"/>
      <c r="B87" s="419"/>
      <c r="C87" s="420">
        <v>200</v>
      </c>
      <c r="D87" s="417">
        <f>'Proy. ventas'!E92</f>
        <v>81.95</v>
      </c>
      <c r="E87" s="342">
        <f t="shared" si="16"/>
        <v>16390</v>
      </c>
      <c r="F87" s="414">
        <f>'Proy. ventas'!G92</f>
        <v>74.5</v>
      </c>
      <c r="G87" s="342">
        <f t="shared" si="17"/>
        <v>14900</v>
      </c>
      <c r="H87" s="414">
        <f>'Proy. ventas'!I92</f>
        <v>52.150000000000006</v>
      </c>
      <c r="I87" s="342">
        <f t="shared" si="18"/>
        <v>10430.000000000002</v>
      </c>
      <c r="J87" s="414">
        <f>'Proy. ventas'!K92</f>
        <v>44.699999999999996</v>
      </c>
      <c r="K87" s="342">
        <f t="shared" si="19"/>
        <v>8940</v>
      </c>
      <c r="L87" s="414">
        <f>'Proy. ventas'!M92</f>
        <v>44.699999999999996</v>
      </c>
      <c r="M87" s="342">
        <f t="shared" si="20"/>
        <v>8940</v>
      </c>
      <c r="N87" s="414">
        <f>'Proy. ventas'!O92</f>
        <v>29.8</v>
      </c>
      <c r="O87" s="342">
        <f t="shared" si="21"/>
        <v>5960</v>
      </c>
      <c r="P87" s="414">
        <f>'Proy. ventas'!Q92</f>
        <v>67.05</v>
      </c>
      <c r="Q87" s="342">
        <f t="shared" si="22"/>
        <v>13410</v>
      </c>
      <c r="R87" s="414">
        <f>'Proy. ventas'!S92</f>
        <v>37.25</v>
      </c>
      <c r="S87" s="342">
        <f t="shared" si="23"/>
        <v>7450</v>
      </c>
      <c r="T87" s="414">
        <f>'Proy. ventas'!U92</f>
        <v>67.05</v>
      </c>
      <c r="U87" s="342">
        <f t="shared" si="24"/>
        <v>13410</v>
      </c>
      <c r="V87" s="414">
        <f>'Proy. ventas'!W92</f>
        <v>74.5</v>
      </c>
      <c r="W87" s="342">
        <f t="shared" si="25"/>
        <v>14900</v>
      </c>
      <c r="X87" s="414">
        <f>'Proy. ventas'!Y92</f>
        <v>81.95</v>
      </c>
      <c r="Y87" s="342">
        <f t="shared" si="26"/>
        <v>16390</v>
      </c>
      <c r="Z87" s="414">
        <f>'Proy. ventas'!AA92</f>
        <v>89.399999999999991</v>
      </c>
      <c r="AA87" s="344">
        <f t="shared" si="27"/>
        <v>17880</v>
      </c>
      <c r="AB87" s="450">
        <f t="shared" si="28"/>
        <v>149000</v>
      </c>
    </row>
    <row r="88" spans="1:28" ht="15.75" thickBot="1" x14ac:dyDescent="0.3">
      <c r="A88" s="917"/>
      <c r="B88" s="430"/>
      <c r="C88" s="431">
        <v>1150</v>
      </c>
      <c r="D88" s="432">
        <f>'Proy. ventas'!E93</f>
        <v>170.5</v>
      </c>
      <c r="E88" s="365">
        <f t="shared" si="16"/>
        <v>196075</v>
      </c>
      <c r="F88" s="457">
        <f>'Proy. ventas'!G93</f>
        <v>155</v>
      </c>
      <c r="G88" s="365">
        <f t="shared" si="17"/>
        <v>178250</v>
      </c>
      <c r="H88" s="457">
        <f>'Proy. ventas'!I93</f>
        <v>108.50000000000001</v>
      </c>
      <c r="I88" s="365">
        <f t="shared" si="18"/>
        <v>124775.00000000001</v>
      </c>
      <c r="J88" s="457">
        <f>'Proy. ventas'!K93</f>
        <v>93</v>
      </c>
      <c r="K88" s="365">
        <f t="shared" si="19"/>
        <v>106950</v>
      </c>
      <c r="L88" s="457">
        <f>'Proy. ventas'!M93</f>
        <v>93</v>
      </c>
      <c r="M88" s="365">
        <f t="shared" si="20"/>
        <v>106950</v>
      </c>
      <c r="N88" s="457">
        <f>'Proy. ventas'!O93</f>
        <v>62</v>
      </c>
      <c r="O88" s="365">
        <f t="shared" si="21"/>
        <v>71300</v>
      </c>
      <c r="P88" s="457">
        <f>'Proy. ventas'!Q93</f>
        <v>139.5</v>
      </c>
      <c r="Q88" s="365">
        <f t="shared" si="22"/>
        <v>160425</v>
      </c>
      <c r="R88" s="457">
        <f>'Proy. ventas'!S93</f>
        <v>77.5</v>
      </c>
      <c r="S88" s="365">
        <f t="shared" si="23"/>
        <v>89125</v>
      </c>
      <c r="T88" s="457">
        <f>'Proy. ventas'!U93</f>
        <v>139.5</v>
      </c>
      <c r="U88" s="365">
        <f t="shared" si="24"/>
        <v>160425</v>
      </c>
      <c r="V88" s="457">
        <f>'Proy. ventas'!W93</f>
        <v>155</v>
      </c>
      <c r="W88" s="365">
        <f t="shared" si="25"/>
        <v>178250</v>
      </c>
      <c r="X88" s="457">
        <f>'Proy. ventas'!Y93</f>
        <v>170.5</v>
      </c>
      <c r="Y88" s="365">
        <f t="shared" si="26"/>
        <v>196075</v>
      </c>
      <c r="Z88" s="457">
        <f>'Proy. ventas'!AA93</f>
        <v>186</v>
      </c>
      <c r="AA88" s="366">
        <f t="shared" si="27"/>
        <v>213900</v>
      </c>
      <c r="AB88" s="451">
        <f t="shared" si="28"/>
        <v>1782500</v>
      </c>
    </row>
    <row r="89" spans="1:28" ht="30.75" thickBot="1" x14ac:dyDescent="0.3">
      <c r="A89" s="466" t="s">
        <v>194</v>
      </c>
      <c r="B89" s="467"/>
      <c r="C89" s="468">
        <v>300</v>
      </c>
      <c r="D89" s="462">
        <v>50</v>
      </c>
      <c r="E89" s="442">
        <f t="shared" si="16"/>
        <v>15000</v>
      </c>
      <c r="F89" s="463">
        <v>20</v>
      </c>
      <c r="G89" s="442">
        <f t="shared" si="17"/>
        <v>6000</v>
      </c>
      <c r="H89" s="463">
        <v>10</v>
      </c>
      <c r="I89" s="442">
        <f t="shared" si="18"/>
        <v>3000</v>
      </c>
      <c r="J89" s="463">
        <v>5</v>
      </c>
      <c r="K89" s="442">
        <f t="shared" si="19"/>
        <v>1500</v>
      </c>
      <c r="L89" s="463">
        <v>0</v>
      </c>
      <c r="M89" s="442">
        <f t="shared" si="20"/>
        <v>0</v>
      </c>
      <c r="N89" s="463">
        <v>5</v>
      </c>
      <c r="O89" s="442">
        <f t="shared" si="21"/>
        <v>1500</v>
      </c>
      <c r="P89" s="463">
        <v>5</v>
      </c>
      <c r="Q89" s="442">
        <f t="shared" si="22"/>
        <v>1500</v>
      </c>
      <c r="R89" s="463">
        <v>0</v>
      </c>
      <c r="S89" s="442">
        <f t="shared" si="23"/>
        <v>0</v>
      </c>
      <c r="T89" s="463">
        <v>10</v>
      </c>
      <c r="U89" s="442">
        <f t="shared" si="24"/>
        <v>3000</v>
      </c>
      <c r="V89" s="463">
        <v>10</v>
      </c>
      <c r="W89" s="442">
        <f t="shared" si="25"/>
        <v>3000</v>
      </c>
      <c r="X89" s="463">
        <v>15</v>
      </c>
      <c r="Y89" s="442">
        <f t="shared" si="26"/>
        <v>4500</v>
      </c>
      <c r="Z89" s="463">
        <v>10</v>
      </c>
      <c r="AA89" s="464">
        <f t="shared" si="27"/>
        <v>3000</v>
      </c>
      <c r="AB89" s="465">
        <f t="shared" si="28"/>
        <v>42000</v>
      </c>
    </row>
    <row r="90" spans="1:28" x14ac:dyDescent="0.25">
      <c r="A90" s="910" t="s">
        <v>197</v>
      </c>
      <c r="B90" s="445"/>
      <c r="C90" s="418">
        <v>182000</v>
      </c>
      <c r="D90" s="416">
        <v>1</v>
      </c>
      <c r="E90" s="355">
        <f t="shared" si="16"/>
        <v>182000</v>
      </c>
      <c r="F90" s="415">
        <v>1</v>
      </c>
      <c r="G90" s="355">
        <f t="shared" si="17"/>
        <v>182000</v>
      </c>
      <c r="H90" s="415">
        <v>0</v>
      </c>
      <c r="I90" s="355">
        <f t="shared" si="18"/>
        <v>0</v>
      </c>
      <c r="J90" s="415">
        <v>1</v>
      </c>
      <c r="K90" s="355">
        <f t="shared" si="19"/>
        <v>182000</v>
      </c>
      <c r="L90" s="415">
        <v>1</v>
      </c>
      <c r="M90" s="355">
        <f t="shared" si="20"/>
        <v>182000</v>
      </c>
      <c r="N90" s="415">
        <v>0</v>
      </c>
      <c r="O90" s="355">
        <f t="shared" si="21"/>
        <v>0</v>
      </c>
      <c r="P90" s="415">
        <v>0</v>
      </c>
      <c r="Q90" s="355">
        <f t="shared" si="22"/>
        <v>0</v>
      </c>
      <c r="R90" s="415">
        <v>0</v>
      </c>
      <c r="S90" s="355">
        <f t="shared" si="23"/>
        <v>0</v>
      </c>
      <c r="T90" s="415">
        <v>1</v>
      </c>
      <c r="U90" s="355">
        <f t="shared" si="24"/>
        <v>182000</v>
      </c>
      <c r="V90" s="415">
        <v>0</v>
      </c>
      <c r="W90" s="355">
        <f t="shared" si="25"/>
        <v>0</v>
      </c>
      <c r="X90" s="415">
        <v>0</v>
      </c>
      <c r="Y90" s="355">
        <f t="shared" si="26"/>
        <v>0</v>
      </c>
      <c r="Z90" s="415">
        <v>1</v>
      </c>
      <c r="AA90" s="356">
        <f t="shared" si="27"/>
        <v>182000</v>
      </c>
      <c r="AB90" s="453">
        <f t="shared" si="28"/>
        <v>1092000</v>
      </c>
    </row>
    <row r="91" spans="1:28" x14ac:dyDescent="0.25">
      <c r="A91" s="911"/>
      <c r="B91" s="446"/>
      <c r="C91" s="420">
        <v>130000</v>
      </c>
      <c r="D91" s="417">
        <v>1</v>
      </c>
      <c r="E91" s="342">
        <f t="shared" si="16"/>
        <v>130000</v>
      </c>
      <c r="F91" s="414">
        <v>0</v>
      </c>
      <c r="G91" s="342">
        <f t="shared" si="17"/>
        <v>0</v>
      </c>
      <c r="H91" s="414">
        <v>0</v>
      </c>
      <c r="I91" s="342">
        <f t="shared" si="18"/>
        <v>0</v>
      </c>
      <c r="J91" s="414">
        <v>0</v>
      </c>
      <c r="K91" s="342">
        <f t="shared" si="19"/>
        <v>0</v>
      </c>
      <c r="L91" s="414">
        <v>1</v>
      </c>
      <c r="M91" s="342">
        <f t="shared" si="20"/>
        <v>130000</v>
      </c>
      <c r="N91" s="414">
        <v>0</v>
      </c>
      <c r="O91" s="342">
        <f t="shared" si="21"/>
        <v>0</v>
      </c>
      <c r="P91" s="414">
        <v>0</v>
      </c>
      <c r="Q91" s="342">
        <f t="shared" si="22"/>
        <v>0</v>
      </c>
      <c r="R91" s="414">
        <v>0</v>
      </c>
      <c r="S91" s="342">
        <f t="shared" si="23"/>
        <v>0</v>
      </c>
      <c r="T91" s="414">
        <v>1</v>
      </c>
      <c r="U91" s="342">
        <f t="shared" si="24"/>
        <v>130000</v>
      </c>
      <c r="V91" s="414">
        <v>0</v>
      </c>
      <c r="W91" s="342">
        <f t="shared" si="25"/>
        <v>0</v>
      </c>
      <c r="X91" s="414">
        <v>0</v>
      </c>
      <c r="Y91" s="342">
        <f t="shared" si="26"/>
        <v>0</v>
      </c>
      <c r="Z91" s="414">
        <v>1</v>
      </c>
      <c r="AA91" s="344">
        <f t="shared" si="27"/>
        <v>130000</v>
      </c>
      <c r="AB91" s="450">
        <f t="shared" si="28"/>
        <v>520000</v>
      </c>
    </row>
    <row r="92" spans="1:28" x14ac:dyDescent="0.25">
      <c r="A92" s="911"/>
      <c r="B92" s="421"/>
      <c r="C92" s="420">
        <v>250000</v>
      </c>
      <c r="D92" s="417">
        <v>0</v>
      </c>
      <c r="E92" s="342">
        <f t="shared" si="16"/>
        <v>0</v>
      </c>
      <c r="F92" s="414">
        <v>0</v>
      </c>
      <c r="G92" s="342">
        <f t="shared" si="17"/>
        <v>0</v>
      </c>
      <c r="H92" s="414">
        <v>0</v>
      </c>
      <c r="I92" s="342">
        <f t="shared" si="18"/>
        <v>0</v>
      </c>
      <c r="J92" s="414">
        <v>0</v>
      </c>
      <c r="K92" s="342">
        <f t="shared" si="19"/>
        <v>0</v>
      </c>
      <c r="L92" s="414">
        <v>0</v>
      </c>
      <c r="M92" s="342">
        <f t="shared" si="20"/>
        <v>0</v>
      </c>
      <c r="N92" s="414">
        <v>0</v>
      </c>
      <c r="O92" s="342">
        <f t="shared" si="21"/>
        <v>0</v>
      </c>
      <c r="P92" s="414">
        <v>0</v>
      </c>
      <c r="Q92" s="342">
        <f t="shared" si="22"/>
        <v>0</v>
      </c>
      <c r="R92" s="414">
        <v>0</v>
      </c>
      <c r="S92" s="342">
        <f t="shared" si="23"/>
        <v>0</v>
      </c>
      <c r="T92" s="414">
        <v>1</v>
      </c>
      <c r="U92" s="342">
        <f t="shared" si="24"/>
        <v>250000</v>
      </c>
      <c r="V92" s="414">
        <v>0</v>
      </c>
      <c r="W92" s="342">
        <f t="shared" si="25"/>
        <v>0</v>
      </c>
      <c r="X92" s="414">
        <v>0</v>
      </c>
      <c r="Y92" s="342">
        <f t="shared" si="26"/>
        <v>0</v>
      </c>
      <c r="Z92" s="414">
        <v>0</v>
      </c>
      <c r="AA92" s="344">
        <f t="shared" si="27"/>
        <v>0</v>
      </c>
      <c r="AB92" s="450">
        <f t="shared" si="28"/>
        <v>250000</v>
      </c>
    </row>
    <row r="93" spans="1:28" ht="15.75" thickBot="1" x14ac:dyDescent="0.3">
      <c r="A93" s="912"/>
      <c r="B93" s="437"/>
      <c r="C93" s="438">
        <v>0</v>
      </c>
      <c r="D93" s="439">
        <v>0</v>
      </c>
      <c r="E93" s="365">
        <v>0</v>
      </c>
      <c r="F93" s="459">
        <v>0</v>
      </c>
      <c r="G93" s="365">
        <v>0</v>
      </c>
      <c r="H93" s="459">
        <v>0</v>
      </c>
      <c r="I93" s="365">
        <v>0</v>
      </c>
      <c r="J93" s="459">
        <v>0</v>
      </c>
      <c r="K93" s="365">
        <v>0</v>
      </c>
      <c r="L93" s="459">
        <v>0</v>
      </c>
      <c r="M93" s="365">
        <f>($C$53*L77 + $C$54*L78+$C$55*L79)*0.15</f>
        <v>75946.05</v>
      </c>
      <c r="N93" s="459">
        <v>0</v>
      </c>
      <c r="O93" s="365">
        <f>($C$53*N77 + $C$54*N78+$C$55*N79)*0.15</f>
        <v>50630.7</v>
      </c>
      <c r="P93" s="459">
        <v>0</v>
      </c>
      <c r="Q93" s="365">
        <f>($C$53*P77 + $C$54*P78+$C$55*P79)*0.15</f>
        <v>113919.075</v>
      </c>
      <c r="R93" s="459">
        <v>0</v>
      </c>
      <c r="S93" s="365">
        <v>0</v>
      </c>
      <c r="T93" s="459">
        <v>0</v>
      </c>
      <c r="U93" s="365">
        <v>0</v>
      </c>
      <c r="V93" s="459">
        <v>0</v>
      </c>
      <c r="W93" s="365">
        <v>0</v>
      </c>
      <c r="X93" s="459">
        <v>0</v>
      </c>
      <c r="Y93" s="365">
        <v>0</v>
      </c>
      <c r="Z93" s="459">
        <v>0</v>
      </c>
      <c r="AA93" s="366">
        <v>0</v>
      </c>
      <c r="AB93" s="451">
        <f>E93+G93+I93+K93+M93+O93+Q93+S93+U93+W93+Y93+AA93</f>
        <v>240495.82500000001</v>
      </c>
    </row>
    <row r="94" spans="1:28" ht="15.75" thickBot="1" x14ac:dyDescent="0.3">
      <c r="A94" s="433" t="s">
        <v>195</v>
      </c>
      <c r="B94" s="434"/>
      <c r="C94" s="443">
        <v>0</v>
      </c>
      <c r="D94" s="444">
        <v>0</v>
      </c>
      <c r="E94" s="373">
        <f>(D79+D78+D77)*75</f>
        <v>18892.5</v>
      </c>
      <c r="F94" s="460">
        <v>0</v>
      </c>
      <c r="G94" s="373">
        <f>(F79+F78+F77)*75</f>
        <v>17175</v>
      </c>
      <c r="H94" s="460">
        <v>0</v>
      </c>
      <c r="I94" s="373">
        <f>(H79+H78+H77)*75</f>
        <v>12022.5</v>
      </c>
      <c r="J94" s="460">
        <v>0</v>
      </c>
      <c r="K94" s="373">
        <f>(J79+J78+J77)*75</f>
        <v>10304.999999999998</v>
      </c>
      <c r="L94" s="460">
        <v>0</v>
      </c>
      <c r="M94" s="373">
        <f>(L79+L78+L77)*75</f>
        <v>10304.999999999998</v>
      </c>
      <c r="N94" s="460">
        <v>0</v>
      </c>
      <c r="O94" s="373">
        <f>(N79+N78+N77)*75</f>
        <v>6870</v>
      </c>
      <c r="P94" s="460">
        <v>0</v>
      </c>
      <c r="Q94" s="373">
        <f>(P79+P78+P77)*75</f>
        <v>15457.5</v>
      </c>
      <c r="R94" s="460">
        <v>0</v>
      </c>
      <c r="S94" s="373">
        <f>(R79+R78+R77)*75</f>
        <v>8587.5</v>
      </c>
      <c r="T94" s="460">
        <v>0</v>
      </c>
      <c r="U94" s="373">
        <f>(T79+T78+T77)*75</f>
        <v>15457.5</v>
      </c>
      <c r="V94" s="460">
        <v>0</v>
      </c>
      <c r="W94" s="373">
        <f>(V79+V78+V77)*75</f>
        <v>17175</v>
      </c>
      <c r="X94" s="460">
        <v>0</v>
      </c>
      <c r="Y94" s="373">
        <f>(X79+X78+X77)*75</f>
        <v>18892.5</v>
      </c>
      <c r="Z94" s="460">
        <v>0</v>
      </c>
      <c r="AA94" s="373">
        <f>(Z79+Z78+Z77)*75</f>
        <v>20609.999999999996</v>
      </c>
      <c r="AB94" s="451">
        <f>E94+G94+I94+K94+M94+O94+Q94+S94+U94+W94+Y94+AA94</f>
        <v>171750</v>
      </c>
    </row>
    <row r="95" spans="1:28" ht="15.75" thickBot="1" x14ac:dyDescent="0.3">
      <c r="B95" s="448" t="s">
        <v>196</v>
      </c>
      <c r="C95" s="440"/>
      <c r="D95" s="441"/>
      <c r="E95" s="455">
        <f>SUM(E77:E94)</f>
        <v>2037467</v>
      </c>
      <c r="F95" s="461"/>
      <c r="G95" s="455">
        <f>SUM(G77:G94)</f>
        <v>1742970</v>
      </c>
      <c r="H95" s="461"/>
      <c r="I95" s="455">
        <f>SUM(I77:I94)</f>
        <v>1091479.0000000002</v>
      </c>
      <c r="J95" s="461"/>
      <c r="K95" s="455">
        <f>SUM(K77:K94)</f>
        <v>1116482</v>
      </c>
      <c r="L95" s="461"/>
      <c r="M95" s="455">
        <f>SUM(M77:M94)</f>
        <v>1320928.05</v>
      </c>
      <c r="N95" s="441"/>
      <c r="O95" s="455">
        <f>SUM(O77:O94)</f>
        <v>674118.7</v>
      </c>
      <c r="P95" s="461"/>
      <c r="Q95" s="455">
        <f>SUM(Q77:Q94)</f>
        <v>1514892.075</v>
      </c>
      <c r="R95" s="461"/>
      <c r="S95" s="455">
        <f>SUM(S77:S94)</f>
        <v>777485</v>
      </c>
      <c r="T95" s="461"/>
      <c r="U95" s="455">
        <f>SUM(U77:U94)</f>
        <v>1964473</v>
      </c>
      <c r="V95" s="461"/>
      <c r="W95" s="455">
        <f>SUM(W77:W94)</f>
        <v>1557970</v>
      </c>
      <c r="X95" s="461"/>
      <c r="Y95" s="455">
        <f>SUM(Y77:Y94)</f>
        <v>1714967</v>
      </c>
      <c r="Z95" s="461"/>
      <c r="AA95" s="454">
        <f>SUM(AA77:AA94)</f>
        <v>2180964</v>
      </c>
      <c r="AB95" s="447">
        <f>SUM(E95:AA95)</f>
        <v>17694195.824999999</v>
      </c>
    </row>
    <row r="97" spans="1:28" ht="15.75" thickBot="1" x14ac:dyDescent="0.3"/>
    <row r="98" spans="1:28" ht="27" thickBot="1" x14ac:dyDescent="0.45">
      <c r="B98" s="744" t="s">
        <v>199</v>
      </c>
      <c r="C98" s="745"/>
      <c r="D98" s="745"/>
      <c r="E98" s="745"/>
      <c r="F98" s="745"/>
      <c r="G98" s="745"/>
      <c r="H98" s="745"/>
      <c r="I98" s="745"/>
      <c r="J98" s="745"/>
      <c r="K98" s="745"/>
      <c r="L98" s="745"/>
      <c r="M98" s="745"/>
      <c r="N98" s="745"/>
      <c r="O98" s="745"/>
      <c r="P98" s="745"/>
      <c r="Q98" s="745"/>
      <c r="R98" s="745"/>
      <c r="S98" s="745"/>
      <c r="T98" s="745"/>
      <c r="U98" s="745"/>
      <c r="V98" s="745"/>
      <c r="W98" s="745"/>
      <c r="X98" s="745"/>
      <c r="Y98" s="745"/>
      <c r="Z98" s="745"/>
      <c r="AA98" s="745"/>
      <c r="AB98" s="746"/>
    </row>
    <row r="99" spans="1:28" x14ac:dyDescent="0.25">
      <c r="B99" s="919" t="s">
        <v>67</v>
      </c>
      <c r="C99" s="920"/>
      <c r="D99" s="918" t="s">
        <v>42</v>
      </c>
      <c r="E99" s="914"/>
      <c r="F99" s="913" t="s">
        <v>43</v>
      </c>
      <c r="G99" s="914"/>
      <c r="H99" s="913" t="s">
        <v>44</v>
      </c>
      <c r="I99" s="914"/>
      <c r="J99" s="913" t="s">
        <v>45</v>
      </c>
      <c r="K99" s="914"/>
      <c r="L99" s="913" t="s">
        <v>46</v>
      </c>
      <c r="M99" s="914"/>
      <c r="N99" s="913" t="s">
        <v>47</v>
      </c>
      <c r="O99" s="914"/>
      <c r="P99" s="913" t="s">
        <v>48</v>
      </c>
      <c r="Q99" s="914"/>
      <c r="R99" s="913" t="s">
        <v>49</v>
      </c>
      <c r="S99" s="914"/>
      <c r="T99" s="913" t="s">
        <v>50</v>
      </c>
      <c r="U99" s="914"/>
      <c r="V99" s="913" t="s">
        <v>51</v>
      </c>
      <c r="W99" s="914"/>
      <c r="X99" s="913" t="s">
        <v>52</v>
      </c>
      <c r="Y99" s="914"/>
      <c r="Z99" s="913" t="s">
        <v>53</v>
      </c>
      <c r="AA99" s="918"/>
      <c r="AB99" s="921" t="s">
        <v>19</v>
      </c>
    </row>
    <row r="100" spans="1:28" ht="15.75" thickBot="1" x14ac:dyDescent="0.3">
      <c r="B100" s="422" t="s">
        <v>127</v>
      </c>
      <c r="C100" s="423" t="s">
        <v>180</v>
      </c>
      <c r="D100" s="424" t="s">
        <v>63</v>
      </c>
      <c r="E100" s="425" t="s">
        <v>112</v>
      </c>
      <c r="F100" s="425" t="s">
        <v>63</v>
      </c>
      <c r="G100" s="425" t="s">
        <v>112</v>
      </c>
      <c r="H100" s="425" t="s">
        <v>63</v>
      </c>
      <c r="I100" s="425" t="s">
        <v>112</v>
      </c>
      <c r="J100" s="425" t="s">
        <v>63</v>
      </c>
      <c r="K100" s="425" t="s">
        <v>112</v>
      </c>
      <c r="L100" s="425" t="s">
        <v>63</v>
      </c>
      <c r="M100" s="425" t="s">
        <v>112</v>
      </c>
      <c r="N100" s="425" t="s">
        <v>63</v>
      </c>
      <c r="O100" s="425" t="s">
        <v>112</v>
      </c>
      <c r="P100" s="425" t="s">
        <v>63</v>
      </c>
      <c r="Q100" s="425" t="s">
        <v>112</v>
      </c>
      <c r="R100" s="425" t="s">
        <v>63</v>
      </c>
      <c r="S100" s="425" t="s">
        <v>112</v>
      </c>
      <c r="T100" s="425" t="s">
        <v>63</v>
      </c>
      <c r="U100" s="425" t="s">
        <v>112</v>
      </c>
      <c r="V100" s="425" t="s">
        <v>63</v>
      </c>
      <c r="W100" s="425" t="s">
        <v>112</v>
      </c>
      <c r="X100" s="425" t="s">
        <v>63</v>
      </c>
      <c r="Y100" s="425" t="s">
        <v>112</v>
      </c>
      <c r="Z100" s="425" t="s">
        <v>63</v>
      </c>
      <c r="AA100" s="426" t="s">
        <v>112</v>
      </c>
      <c r="AB100" s="922"/>
    </row>
    <row r="101" spans="1:28" x14ac:dyDescent="0.25">
      <c r="A101" s="915" t="s">
        <v>192</v>
      </c>
      <c r="B101" s="427"/>
      <c r="C101" s="428">
        <f>$E$20</f>
        <v>1360</v>
      </c>
      <c r="D101" s="429">
        <f>'Proy. ventas'!E144</f>
        <v>203.5</v>
      </c>
      <c r="E101" s="361">
        <f t="shared" ref="E101:E116" si="29">D101*C101</f>
        <v>276760</v>
      </c>
      <c r="F101" s="456">
        <f>'Proy. ventas'!G144</f>
        <v>166.5</v>
      </c>
      <c r="G101" s="361">
        <f t="shared" ref="G101:G116" si="30">F101*C101</f>
        <v>226440</v>
      </c>
      <c r="H101" s="456">
        <f>'Proy. ventas'!I144</f>
        <v>148</v>
      </c>
      <c r="I101" s="361">
        <f t="shared" ref="I101:I116" si="31">H101*C101</f>
        <v>201280</v>
      </c>
      <c r="J101" s="456">
        <f>'Proy. ventas'!K144</f>
        <v>111</v>
      </c>
      <c r="K101" s="361">
        <f t="shared" ref="K101:K116" si="32">J101*C101</f>
        <v>150960</v>
      </c>
      <c r="L101" s="456">
        <f>'Proy. ventas'!M144</f>
        <v>111</v>
      </c>
      <c r="M101" s="361">
        <f t="shared" ref="M101:M116" si="33">L101*C101</f>
        <v>150960</v>
      </c>
      <c r="N101" s="456">
        <f>'Proy. ventas'!O144</f>
        <v>92.5</v>
      </c>
      <c r="O101" s="361">
        <f t="shared" ref="O101:O116" si="34">N101*C101</f>
        <v>125800</v>
      </c>
      <c r="P101" s="456">
        <f>'Proy. ventas'!Q144</f>
        <v>185</v>
      </c>
      <c r="Q101" s="361">
        <f t="shared" ref="Q101:Q116" si="35">P101*C101</f>
        <v>251600</v>
      </c>
      <c r="R101" s="456">
        <f>'Proy. ventas'!S144</f>
        <v>92.5</v>
      </c>
      <c r="S101" s="361">
        <f t="shared" ref="S101:S116" si="36">R101*C101</f>
        <v>125800</v>
      </c>
      <c r="T101" s="456">
        <f>'Proy. ventas'!U144</f>
        <v>148</v>
      </c>
      <c r="U101" s="361">
        <f t="shared" ref="U101:U116" si="37">T101*C101</f>
        <v>201280</v>
      </c>
      <c r="V101" s="456">
        <f>'Proy. ventas'!W144</f>
        <v>185</v>
      </c>
      <c r="W101" s="361">
        <f t="shared" ref="W101:W116" si="38">V101*C101</f>
        <v>251600</v>
      </c>
      <c r="X101" s="456">
        <f>'Proy. ventas'!Y144</f>
        <v>185</v>
      </c>
      <c r="Y101" s="361">
        <f t="shared" ref="Y101:Y116" si="39">X101*C101</f>
        <v>251600</v>
      </c>
      <c r="Z101" s="456">
        <f>'Proy. ventas'!AA144</f>
        <v>222</v>
      </c>
      <c r="AA101" s="362">
        <f t="shared" ref="AA101:AA116" si="40">Z101*C101</f>
        <v>301920</v>
      </c>
      <c r="AB101" s="449">
        <f>E101+G101+I101+K101+M101+O101+Q101+S101++U101+W101+Y101+AA101</f>
        <v>2516000</v>
      </c>
    </row>
    <row r="102" spans="1:28" x14ac:dyDescent="0.25">
      <c r="A102" s="916"/>
      <c r="B102" s="419"/>
      <c r="C102" s="420">
        <f>$E$33</f>
        <v>5705</v>
      </c>
      <c r="D102" s="417">
        <f>'Proy. ventas'!E145</f>
        <v>159.5</v>
      </c>
      <c r="E102" s="342">
        <f t="shared" si="29"/>
        <v>909947.5</v>
      </c>
      <c r="F102" s="414">
        <f>'Proy. ventas'!G145</f>
        <v>130.5</v>
      </c>
      <c r="G102" s="342">
        <f t="shared" si="30"/>
        <v>744502.5</v>
      </c>
      <c r="H102" s="414">
        <f>'Proy. ventas'!I145</f>
        <v>116</v>
      </c>
      <c r="I102" s="342">
        <f t="shared" si="31"/>
        <v>661780</v>
      </c>
      <c r="J102" s="414">
        <f>'Proy. ventas'!K145</f>
        <v>87</v>
      </c>
      <c r="K102" s="342">
        <f t="shared" si="32"/>
        <v>496335</v>
      </c>
      <c r="L102" s="414">
        <f>'Proy. ventas'!M145</f>
        <v>87</v>
      </c>
      <c r="M102" s="342">
        <f t="shared" si="33"/>
        <v>496335</v>
      </c>
      <c r="N102" s="414">
        <f>'Proy. ventas'!O145</f>
        <v>72.5</v>
      </c>
      <c r="O102" s="342">
        <f t="shared" si="34"/>
        <v>413612.5</v>
      </c>
      <c r="P102" s="414">
        <f>'Proy. ventas'!Q145</f>
        <v>145</v>
      </c>
      <c r="Q102" s="342">
        <f t="shared" si="35"/>
        <v>827225</v>
      </c>
      <c r="R102" s="414">
        <f>'Proy. ventas'!S145</f>
        <v>72.5</v>
      </c>
      <c r="S102" s="342">
        <f t="shared" si="36"/>
        <v>413612.5</v>
      </c>
      <c r="T102" s="414">
        <f>'Proy. ventas'!U145</f>
        <v>116</v>
      </c>
      <c r="U102" s="342">
        <f t="shared" si="37"/>
        <v>661780</v>
      </c>
      <c r="V102" s="414">
        <f>'Proy. ventas'!W145</f>
        <v>145</v>
      </c>
      <c r="W102" s="342">
        <f t="shared" si="38"/>
        <v>827225</v>
      </c>
      <c r="X102" s="414">
        <f>'Proy. ventas'!Y145</f>
        <v>145</v>
      </c>
      <c r="Y102" s="342">
        <f t="shared" si="39"/>
        <v>827225</v>
      </c>
      <c r="Z102" s="414">
        <f>'Proy. ventas'!AA145</f>
        <v>174</v>
      </c>
      <c r="AA102" s="344">
        <f t="shared" si="40"/>
        <v>992670</v>
      </c>
      <c r="AB102" s="450">
        <f t="shared" ref="AB102:AB116" si="41">E102+G102+I102+K102+M102+O102+Q102+S102++U102+W102+Y102+AA102</f>
        <v>8272250</v>
      </c>
    </row>
    <row r="103" spans="1:28" ht="15.75" thickBot="1" x14ac:dyDescent="0.3">
      <c r="A103" s="917"/>
      <c r="B103" s="430"/>
      <c r="C103" s="431">
        <f>$E$46</f>
        <v>8105</v>
      </c>
      <c r="D103" s="432">
        <f>'Proy. ventas'!E146</f>
        <v>69.3</v>
      </c>
      <c r="E103" s="365">
        <f t="shared" si="29"/>
        <v>561676.5</v>
      </c>
      <c r="F103" s="457">
        <f>'Proy. ventas'!G146</f>
        <v>56.699999999999996</v>
      </c>
      <c r="G103" s="365">
        <f t="shared" si="30"/>
        <v>459553.49999999994</v>
      </c>
      <c r="H103" s="457">
        <f>'Proy. ventas'!I146</f>
        <v>50.4</v>
      </c>
      <c r="I103" s="365">
        <f t="shared" si="31"/>
        <v>408492</v>
      </c>
      <c r="J103" s="457">
        <f>'Proy. ventas'!K146</f>
        <v>37.799999999999997</v>
      </c>
      <c r="K103" s="365">
        <f t="shared" si="32"/>
        <v>306369</v>
      </c>
      <c r="L103" s="457">
        <f>'Proy. ventas'!M146</f>
        <v>37.799999999999997</v>
      </c>
      <c r="M103" s="365">
        <f t="shared" si="33"/>
        <v>306369</v>
      </c>
      <c r="N103" s="457">
        <f>'Proy. ventas'!O146</f>
        <v>31.5</v>
      </c>
      <c r="O103" s="365">
        <f t="shared" si="34"/>
        <v>255307.5</v>
      </c>
      <c r="P103" s="457">
        <f>'Proy. ventas'!Q146</f>
        <v>63</v>
      </c>
      <c r="Q103" s="365">
        <f t="shared" si="35"/>
        <v>510615</v>
      </c>
      <c r="R103" s="457">
        <f>'Proy. ventas'!S146</f>
        <v>31.5</v>
      </c>
      <c r="S103" s="365">
        <f t="shared" si="36"/>
        <v>255307.5</v>
      </c>
      <c r="T103" s="457">
        <f>'Proy. ventas'!U146</f>
        <v>50.4</v>
      </c>
      <c r="U103" s="365">
        <f t="shared" si="37"/>
        <v>408492</v>
      </c>
      <c r="V103" s="457">
        <f>'Proy. ventas'!W146</f>
        <v>63</v>
      </c>
      <c r="W103" s="365">
        <f t="shared" si="38"/>
        <v>510615</v>
      </c>
      <c r="X103" s="457">
        <f>'Proy. ventas'!Y146</f>
        <v>63</v>
      </c>
      <c r="Y103" s="365">
        <f t="shared" si="39"/>
        <v>510615</v>
      </c>
      <c r="Z103" s="457">
        <f>'Proy. ventas'!AA146</f>
        <v>75.599999999999994</v>
      </c>
      <c r="AA103" s="366">
        <f t="shared" si="40"/>
        <v>612738</v>
      </c>
      <c r="AB103" s="451">
        <f t="shared" si="41"/>
        <v>5106150</v>
      </c>
    </row>
    <row r="104" spans="1:28" x14ac:dyDescent="0.25">
      <c r="A104" s="915" t="s">
        <v>193</v>
      </c>
      <c r="B104" s="427"/>
      <c r="C104" s="428">
        <v>420</v>
      </c>
      <c r="D104" s="429">
        <f>'Proy. ventas'!E147</f>
        <v>417.23</v>
      </c>
      <c r="E104" s="361">
        <f t="shared" si="29"/>
        <v>175236.6</v>
      </c>
      <c r="F104" s="456">
        <f>'Proy. ventas'!G147</f>
        <v>341.37</v>
      </c>
      <c r="G104" s="361">
        <f t="shared" si="30"/>
        <v>143375.4</v>
      </c>
      <c r="H104" s="456">
        <f>'Proy. ventas'!I147</f>
        <v>303.44</v>
      </c>
      <c r="I104" s="361">
        <f t="shared" si="31"/>
        <v>127444.8</v>
      </c>
      <c r="J104" s="456">
        <f>'Proy. ventas'!K147</f>
        <v>227.57999999999998</v>
      </c>
      <c r="K104" s="361">
        <f t="shared" si="32"/>
        <v>95583.599999999991</v>
      </c>
      <c r="L104" s="456">
        <f>'Proy. ventas'!M147</f>
        <v>227.57999999999998</v>
      </c>
      <c r="M104" s="361">
        <f t="shared" si="33"/>
        <v>95583.599999999991</v>
      </c>
      <c r="N104" s="456">
        <f>'Proy. ventas'!O147</f>
        <v>189.65</v>
      </c>
      <c r="O104" s="361">
        <f t="shared" si="34"/>
        <v>79653</v>
      </c>
      <c r="P104" s="456">
        <f>'Proy. ventas'!Q147</f>
        <v>379.3</v>
      </c>
      <c r="Q104" s="361">
        <f t="shared" si="35"/>
        <v>159306</v>
      </c>
      <c r="R104" s="456">
        <f>'Proy. ventas'!S147</f>
        <v>189.65</v>
      </c>
      <c r="S104" s="361">
        <f t="shared" si="36"/>
        <v>79653</v>
      </c>
      <c r="T104" s="456">
        <f>'Proy. ventas'!U147</f>
        <v>303.44</v>
      </c>
      <c r="U104" s="361">
        <f t="shared" si="37"/>
        <v>127444.8</v>
      </c>
      <c r="V104" s="456">
        <f>'Proy. ventas'!W147</f>
        <v>379.3</v>
      </c>
      <c r="W104" s="361">
        <f t="shared" si="38"/>
        <v>159306</v>
      </c>
      <c r="X104" s="456">
        <f>'Proy. ventas'!Y147</f>
        <v>379.3</v>
      </c>
      <c r="Y104" s="361">
        <f t="shared" si="39"/>
        <v>159306</v>
      </c>
      <c r="Z104" s="456">
        <f>'Proy. ventas'!AA147</f>
        <v>455.15999999999997</v>
      </c>
      <c r="AA104" s="362">
        <f t="shared" si="40"/>
        <v>191167.19999999998</v>
      </c>
      <c r="AB104" s="449">
        <f t="shared" si="41"/>
        <v>1593060</v>
      </c>
    </row>
    <row r="105" spans="1:28" x14ac:dyDescent="0.25">
      <c r="A105" s="916"/>
      <c r="B105" s="419"/>
      <c r="C105" s="420">
        <v>300</v>
      </c>
      <c r="D105" s="417">
        <f>'Proy. ventas'!E148</f>
        <v>413.6</v>
      </c>
      <c r="E105" s="342">
        <f t="shared" si="29"/>
        <v>124080</v>
      </c>
      <c r="F105" s="414">
        <f>'Proy. ventas'!G148</f>
        <v>338.4</v>
      </c>
      <c r="G105" s="342">
        <f t="shared" si="30"/>
        <v>101520</v>
      </c>
      <c r="H105" s="414">
        <f>'Proy. ventas'!I148</f>
        <v>300.8</v>
      </c>
      <c r="I105" s="342">
        <f t="shared" si="31"/>
        <v>90240</v>
      </c>
      <c r="J105" s="414">
        <f>'Proy. ventas'!K148</f>
        <v>225.6</v>
      </c>
      <c r="K105" s="342">
        <f t="shared" si="32"/>
        <v>67680</v>
      </c>
      <c r="L105" s="414">
        <f>'Proy. ventas'!M148</f>
        <v>225.6</v>
      </c>
      <c r="M105" s="342">
        <f t="shared" si="33"/>
        <v>67680</v>
      </c>
      <c r="N105" s="414">
        <f>'Proy. ventas'!O148</f>
        <v>188</v>
      </c>
      <c r="O105" s="342">
        <f t="shared" si="34"/>
        <v>56400</v>
      </c>
      <c r="P105" s="414">
        <f>'Proy. ventas'!Q148</f>
        <v>376</v>
      </c>
      <c r="Q105" s="342">
        <f t="shared" si="35"/>
        <v>112800</v>
      </c>
      <c r="R105" s="414">
        <f>'Proy. ventas'!S148</f>
        <v>188</v>
      </c>
      <c r="S105" s="342">
        <f t="shared" si="36"/>
        <v>56400</v>
      </c>
      <c r="T105" s="414">
        <f>'Proy. ventas'!U148</f>
        <v>300.8</v>
      </c>
      <c r="U105" s="342">
        <f t="shared" si="37"/>
        <v>90240</v>
      </c>
      <c r="V105" s="414">
        <f>'Proy. ventas'!W148</f>
        <v>376</v>
      </c>
      <c r="W105" s="342">
        <f t="shared" si="38"/>
        <v>112800</v>
      </c>
      <c r="X105" s="414">
        <f>'Proy. ventas'!Y148</f>
        <v>376</v>
      </c>
      <c r="Y105" s="342">
        <f t="shared" si="39"/>
        <v>112800</v>
      </c>
      <c r="Z105" s="414">
        <f>'Proy. ventas'!AA148</f>
        <v>451.2</v>
      </c>
      <c r="AA105" s="344">
        <f t="shared" si="40"/>
        <v>135360</v>
      </c>
      <c r="AB105" s="450">
        <f t="shared" si="41"/>
        <v>1128000</v>
      </c>
    </row>
    <row r="106" spans="1:28" x14ac:dyDescent="0.25">
      <c r="A106" s="916"/>
      <c r="B106" s="419"/>
      <c r="C106" s="420">
        <v>1800</v>
      </c>
      <c r="D106" s="417">
        <f>'Proy. ventas'!E149</f>
        <v>187</v>
      </c>
      <c r="E106" s="342">
        <f t="shared" si="29"/>
        <v>336600</v>
      </c>
      <c r="F106" s="414">
        <f>'Proy. ventas'!G149</f>
        <v>153</v>
      </c>
      <c r="G106" s="342">
        <f t="shared" si="30"/>
        <v>275400</v>
      </c>
      <c r="H106" s="414">
        <f>'Proy. ventas'!I149</f>
        <v>136</v>
      </c>
      <c r="I106" s="342">
        <f t="shared" si="31"/>
        <v>244800</v>
      </c>
      <c r="J106" s="414">
        <f>'Proy. ventas'!K149</f>
        <v>102</v>
      </c>
      <c r="K106" s="342">
        <f t="shared" si="32"/>
        <v>183600</v>
      </c>
      <c r="L106" s="414">
        <f>'Proy. ventas'!M149</f>
        <v>102</v>
      </c>
      <c r="M106" s="342">
        <f t="shared" si="33"/>
        <v>183600</v>
      </c>
      <c r="N106" s="414">
        <f>'Proy. ventas'!O149</f>
        <v>85</v>
      </c>
      <c r="O106" s="342">
        <f t="shared" si="34"/>
        <v>153000</v>
      </c>
      <c r="P106" s="414">
        <f>'Proy. ventas'!Q149</f>
        <v>170</v>
      </c>
      <c r="Q106" s="342">
        <f t="shared" si="35"/>
        <v>306000</v>
      </c>
      <c r="R106" s="414">
        <f>'Proy. ventas'!S149</f>
        <v>85</v>
      </c>
      <c r="S106" s="342">
        <f t="shared" si="36"/>
        <v>153000</v>
      </c>
      <c r="T106" s="414">
        <f>'Proy. ventas'!U149</f>
        <v>136</v>
      </c>
      <c r="U106" s="342">
        <f t="shared" si="37"/>
        <v>244800</v>
      </c>
      <c r="V106" s="414">
        <f>'Proy. ventas'!W149</f>
        <v>170</v>
      </c>
      <c r="W106" s="342">
        <f t="shared" si="38"/>
        <v>306000</v>
      </c>
      <c r="X106" s="414">
        <f>'Proy. ventas'!Y149</f>
        <v>170</v>
      </c>
      <c r="Y106" s="342">
        <f t="shared" si="39"/>
        <v>306000</v>
      </c>
      <c r="Z106" s="414">
        <f>'Proy. ventas'!AA149</f>
        <v>204</v>
      </c>
      <c r="AA106" s="344">
        <f t="shared" si="40"/>
        <v>367200</v>
      </c>
      <c r="AB106" s="450">
        <f t="shared" si="41"/>
        <v>3060000</v>
      </c>
    </row>
    <row r="107" spans="1:28" x14ac:dyDescent="0.25">
      <c r="A107" s="916"/>
      <c r="B107" s="419"/>
      <c r="C107" s="420">
        <v>180</v>
      </c>
      <c r="D107" s="417">
        <f>'Proy. ventas'!E150</f>
        <v>352</v>
      </c>
      <c r="E107" s="342">
        <f t="shared" si="29"/>
        <v>63360</v>
      </c>
      <c r="F107" s="414">
        <f>'Proy. ventas'!G150</f>
        <v>288</v>
      </c>
      <c r="G107" s="342">
        <f t="shared" si="30"/>
        <v>51840</v>
      </c>
      <c r="H107" s="414">
        <f>'Proy. ventas'!I150</f>
        <v>256</v>
      </c>
      <c r="I107" s="342">
        <f t="shared" si="31"/>
        <v>46080</v>
      </c>
      <c r="J107" s="414">
        <f>'Proy. ventas'!K150</f>
        <v>192</v>
      </c>
      <c r="K107" s="342">
        <f t="shared" si="32"/>
        <v>34560</v>
      </c>
      <c r="L107" s="414">
        <f>'Proy. ventas'!M150</f>
        <v>192</v>
      </c>
      <c r="M107" s="342">
        <f t="shared" si="33"/>
        <v>34560</v>
      </c>
      <c r="N107" s="414">
        <f>'Proy. ventas'!O150</f>
        <v>160</v>
      </c>
      <c r="O107" s="342">
        <f t="shared" si="34"/>
        <v>28800</v>
      </c>
      <c r="P107" s="414">
        <f>'Proy. ventas'!Q150</f>
        <v>320</v>
      </c>
      <c r="Q107" s="342">
        <f t="shared" si="35"/>
        <v>57600</v>
      </c>
      <c r="R107" s="414">
        <f>'Proy. ventas'!S150</f>
        <v>160</v>
      </c>
      <c r="S107" s="342">
        <f t="shared" si="36"/>
        <v>28800</v>
      </c>
      <c r="T107" s="414">
        <f>'Proy. ventas'!U150</f>
        <v>256</v>
      </c>
      <c r="U107" s="342">
        <f t="shared" si="37"/>
        <v>46080</v>
      </c>
      <c r="V107" s="414">
        <f>'Proy. ventas'!W150</f>
        <v>320</v>
      </c>
      <c r="W107" s="342">
        <f t="shared" si="38"/>
        <v>57600</v>
      </c>
      <c r="X107" s="414">
        <f>'Proy. ventas'!Y150</f>
        <v>320</v>
      </c>
      <c r="Y107" s="342">
        <f t="shared" si="39"/>
        <v>57600</v>
      </c>
      <c r="Z107" s="414">
        <f>'Proy. ventas'!AA150</f>
        <v>384</v>
      </c>
      <c r="AA107" s="344">
        <f t="shared" si="40"/>
        <v>69120</v>
      </c>
      <c r="AB107" s="450">
        <f t="shared" si="41"/>
        <v>576000</v>
      </c>
    </row>
    <row r="108" spans="1:28" x14ac:dyDescent="0.25">
      <c r="A108" s="916"/>
      <c r="B108" s="419"/>
      <c r="C108" s="420">
        <v>1250</v>
      </c>
      <c r="D108" s="417">
        <f>'Proy. ventas'!E151</f>
        <v>110</v>
      </c>
      <c r="E108" s="342">
        <f t="shared" si="29"/>
        <v>137500</v>
      </c>
      <c r="F108" s="414">
        <f>'Proy. ventas'!G151</f>
        <v>90</v>
      </c>
      <c r="G108" s="342">
        <f t="shared" si="30"/>
        <v>112500</v>
      </c>
      <c r="H108" s="414">
        <f>'Proy. ventas'!I151</f>
        <v>80</v>
      </c>
      <c r="I108" s="342">
        <f t="shared" si="31"/>
        <v>100000</v>
      </c>
      <c r="J108" s="414">
        <f>'Proy. ventas'!K151</f>
        <v>60</v>
      </c>
      <c r="K108" s="342">
        <f t="shared" si="32"/>
        <v>75000</v>
      </c>
      <c r="L108" s="414">
        <f>'Proy. ventas'!M151</f>
        <v>60</v>
      </c>
      <c r="M108" s="342">
        <f t="shared" si="33"/>
        <v>75000</v>
      </c>
      <c r="N108" s="414">
        <f>'Proy. ventas'!O151</f>
        <v>50</v>
      </c>
      <c r="O108" s="342">
        <f t="shared" si="34"/>
        <v>62500</v>
      </c>
      <c r="P108" s="414">
        <f>'Proy. ventas'!Q151</f>
        <v>100</v>
      </c>
      <c r="Q108" s="342">
        <f t="shared" si="35"/>
        <v>125000</v>
      </c>
      <c r="R108" s="414">
        <f>'Proy. ventas'!S151</f>
        <v>50</v>
      </c>
      <c r="S108" s="342">
        <f t="shared" si="36"/>
        <v>62500</v>
      </c>
      <c r="T108" s="414">
        <f>'Proy. ventas'!U151</f>
        <v>80</v>
      </c>
      <c r="U108" s="342">
        <f t="shared" si="37"/>
        <v>100000</v>
      </c>
      <c r="V108" s="414">
        <f>'Proy. ventas'!W151</f>
        <v>100</v>
      </c>
      <c r="W108" s="342">
        <f t="shared" si="38"/>
        <v>125000</v>
      </c>
      <c r="X108" s="414">
        <f>'Proy. ventas'!Y151</f>
        <v>100</v>
      </c>
      <c r="Y108" s="342">
        <f t="shared" si="39"/>
        <v>125000</v>
      </c>
      <c r="Z108" s="414">
        <f>'Proy. ventas'!AA151</f>
        <v>120</v>
      </c>
      <c r="AA108" s="344">
        <f t="shared" si="40"/>
        <v>150000</v>
      </c>
      <c r="AB108" s="450">
        <f t="shared" si="41"/>
        <v>1250000</v>
      </c>
    </row>
    <row r="109" spans="1:28" x14ac:dyDescent="0.25">
      <c r="A109" s="916"/>
      <c r="B109" s="419"/>
      <c r="C109" s="420">
        <v>350</v>
      </c>
      <c r="D109" s="417">
        <f>'Proy. ventas'!E152</f>
        <v>99</v>
      </c>
      <c r="E109" s="342">
        <f t="shared" si="29"/>
        <v>34650</v>
      </c>
      <c r="F109" s="414">
        <f>'Proy. ventas'!G152</f>
        <v>81</v>
      </c>
      <c r="G109" s="342">
        <f t="shared" si="30"/>
        <v>28350</v>
      </c>
      <c r="H109" s="414">
        <f>'Proy. ventas'!I152</f>
        <v>72</v>
      </c>
      <c r="I109" s="342">
        <f t="shared" si="31"/>
        <v>25200</v>
      </c>
      <c r="J109" s="414">
        <f>'Proy. ventas'!K152</f>
        <v>54</v>
      </c>
      <c r="K109" s="342">
        <f t="shared" si="32"/>
        <v>18900</v>
      </c>
      <c r="L109" s="414">
        <f>'Proy. ventas'!M152</f>
        <v>54</v>
      </c>
      <c r="M109" s="342">
        <f t="shared" si="33"/>
        <v>18900</v>
      </c>
      <c r="N109" s="414">
        <f>'Proy. ventas'!O152</f>
        <v>45</v>
      </c>
      <c r="O109" s="342">
        <f t="shared" si="34"/>
        <v>15750</v>
      </c>
      <c r="P109" s="414">
        <f>'Proy. ventas'!Q152</f>
        <v>90</v>
      </c>
      <c r="Q109" s="342">
        <f t="shared" si="35"/>
        <v>31500</v>
      </c>
      <c r="R109" s="414">
        <f>'Proy. ventas'!S152</f>
        <v>45</v>
      </c>
      <c r="S109" s="342">
        <f t="shared" si="36"/>
        <v>15750</v>
      </c>
      <c r="T109" s="414">
        <f>'Proy. ventas'!U152</f>
        <v>72</v>
      </c>
      <c r="U109" s="342">
        <f t="shared" si="37"/>
        <v>25200</v>
      </c>
      <c r="V109" s="414">
        <f>'Proy. ventas'!W152</f>
        <v>90</v>
      </c>
      <c r="W109" s="342">
        <f t="shared" si="38"/>
        <v>31500</v>
      </c>
      <c r="X109" s="414">
        <f>'Proy. ventas'!Y152</f>
        <v>90</v>
      </c>
      <c r="Y109" s="342">
        <f t="shared" si="39"/>
        <v>31500</v>
      </c>
      <c r="Z109" s="414">
        <f>'Proy. ventas'!AA152</f>
        <v>108</v>
      </c>
      <c r="AA109" s="344">
        <f t="shared" si="40"/>
        <v>37800</v>
      </c>
      <c r="AB109" s="450">
        <f t="shared" si="41"/>
        <v>315000</v>
      </c>
    </row>
    <row r="110" spans="1:28" x14ac:dyDescent="0.25">
      <c r="A110" s="916"/>
      <c r="B110" s="419"/>
      <c r="C110" s="420">
        <v>950</v>
      </c>
      <c r="D110" s="417">
        <f>'Proy. ventas'!E153</f>
        <v>99</v>
      </c>
      <c r="E110" s="342">
        <f t="shared" si="29"/>
        <v>94050</v>
      </c>
      <c r="F110" s="414">
        <f>'Proy. ventas'!G153</f>
        <v>81</v>
      </c>
      <c r="G110" s="342">
        <f t="shared" si="30"/>
        <v>76950</v>
      </c>
      <c r="H110" s="414">
        <f>'Proy. ventas'!I153</f>
        <v>72</v>
      </c>
      <c r="I110" s="342">
        <f t="shared" si="31"/>
        <v>68400</v>
      </c>
      <c r="J110" s="414">
        <f>'Proy. ventas'!K153</f>
        <v>54</v>
      </c>
      <c r="K110" s="342">
        <f t="shared" si="32"/>
        <v>51300</v>
      </c>
      <c r="L110" s="414">
        <f>'Proy. ventas'!M153</f>
        <v>54</v>
      </c>
      <c r="M110" s="342">
        <f t="shared" si="33"/>
        <v>51300</v>
      </c>
      <c r="N110" s="414">
        <f>'Proy. ventas'!O153</f>
        <v>45</v>
      </c>
      <c r="O110" s="342">
        <f t="shared" si="34"/>
        <v>42750</v>
      </c>
      <c r="P110" s="414">
        <f>'Proy. ventas'!Q153</f>
        <v>90</v>
      </c>
      <c r="Q110" s="342">
        <f t="shared" si="35"/>
        <v>85500</v>
      </c>
      <c r="R110" s="414">
        <f>'Proy. ventas'!S153</f>
        <v>45</v>
      </c>
      <c r="S110" s="342">
        <f t="shared" si="36"/>
        <v>42750</v>
      </c>
      <c r="T110" s="414">
        <f>'Proy. ventas'!U153</f>
        <v>72</v>
      </c>
      <c r="U110" s="342">
        <f t="shared" si="37"/>
        <v>68400</v>
      </c>
      <c r="V110" s="414">
        <f>'Proy. ventas'!W153</f>
        <v>90</v>
      </c>
      <c r="W110" s="342">
        <f t="shared" si="38"/>
        <v>85500</v>
      </c>
      <c r="X110" s="414">
        <f>'Proy. ventas'!Y153</f>
        <v>90</v>
      </c>
      <c r="Y110" s="342">
        <f t="shared" si="39"/>
        <v>85500</v>
      </c>
      <c r="Z110" s="414">
        <f>'Proy. ventas'!AA153</f>
        <v>108</v>
      </c>
      <c r="AA110" s="344">
        <f t="shared" si="40"/>
        <v>102600</v>
      </c>
      <c r="AB110" s="450">
        <f t="shared" si="41"/>
        <v>855000</v>
      </c>
    </row>
    <row r="111" spans="1:28" x14ac:dyDescent="0.25">
      <c r="A111" s="916"/>
      <c r="B111" s="419"/>
      <c r="C111" s="420">
        <v>200</v>
      </c>
      <c r="D111" s="417">
        <f>'Proy. ventas'!E154</f>
        <v>99</v>
      </c>
      <c r="E111" s="342">
        <f t="shared" si="29"/>
        <v>19800</v>
      </c>
      <c r="F111" s="414">
        <f>'Proy. ventas'!G154</f>
        <v>81</v>
      </c>
      <c r="G111" s="342">
        <f t="shared" si="30"/>
        <v>16200</v>
      </c>
      <c r="H111" s="414">
        <f>'Proy. ventas'!I154</f>
        <v>72</v>
      </c>
      <c r="I111" s="342">
        <f t="shared" si="31"/>
        <v>14400</v>
      </c>
      <c r="J111" s="414">
        <f>'Proy. ventas'!K154</f>
        <v>54</v>
      </c>
      <c r="K111" s="342">
        <f t="shared" si="32"/>
        <v>10800</v>
      </c>
      <c r="L111" s="414">
        <f>'Proy. ventas'!M154</f>
        <v>54</v>
      </c>
      <c r="M111" s="342">
        <f t="shared" si="33"/>
        <v>10800</v>
      </c>
      <c r="N111" s="414">
        <f>'Proy. ventas'!O154</f>
        <v>45</v>
      </c>
      <c r="O111" s="342">
        <f t="shared" si="34"/>
        <v>9000</v>
      </c>
      <c r="P111" s="414">
        <f>'Proy. ventas'!Q154</f>
        <v>90</v>
      </c>
      <c r="Q111" s="342">
        <f t="shared" si="35"/>
        <v>18000</v>
      </c>
      <c r="R111" s="414">
        <f>'Proy. ventas'!S154</f>
        <v>45</v>
      </c>
      <c r="S111" s="342">
        <f t="shared" si="36"/>
        <v>9000</v>
      </c>
      <c r="T111" s="414">
        <f>'Proy. ventas'!U154</f>
        <v>72</v>
      </c>
      <c r="U111" s="342">
        <f t="shared" si="37"/>
        <v>14400</v>
      </c>
      <c r="V111" s="414">
        <f>'Proy. ventas'!W154</f>
        <v>90</v>
      </c>
      <c r="W111" s="342">
        <f t="shared" si="38"/>
        <v>18000</v>
      </c>
      <c r="X111" s="414">
        <f>'Proy. ventas'!Y154</f>
        <v>90</v>
      </c>
      <c r="Y111" s="342">
        <f t="shared" si="39"/>
        <v>18000</v>
      </c>
      <c r="Z111" s="414">
        <f>'Proy. ventas'!AA154</f>
        <v>108</v>
      </c>
      <c r="AA111" s="344">
        <f t="shared" si="40"/>
        <v>21600</v>
      </c>
      <c r="AB111" s="450">
        <f t="shared" si="41"/>
        <v>180000</v>
      </c>
    </row>
    <row r="112" spans="1:28" ht="15.75" thickBot="1" x14ac:dyDescent="0.3">
      <c r="A112" s="917"/>
      <c r="B112" s="430"/>
      <c r="C112" s="431">
        <v>1150</v>
      </c>
      <c r="D112" s="432">
        <f>'Proy. ventas'!E155</f>
        <v>214.5</v>
      </c>
      <c r="E112" s="365">
        <f t="shared" si="29"/>
        <v>246675</v>
      </c>
      <c r="F112" s="457">
        <f>'Proy. ventas'!G155</f>
        <v>175.5</v>
      </c>
      <c r="G112" s="365">
        <f t="shared" si="30"/>
        <v>201825</v>
      </c>
      <c r="H112" s="457">
        <f>'Proy. ventas'!I155</f>
        <v>156</v>
      </c>
      <c r="I112" s="365">
        <f t="shared" si="31"/>
        <v>179400</v>
      </c>
      <c r="J112" s="457">
        <f>'Proy. ventas'!K155</f>
        <v>117</v>
      </c>
      <c r="K112" s="365">
        <f t="shared" si="32"/>
        <v>134550</v>
      </c>
      <c r="L112" s="457">
        <f>'Proy. ventas'!M155</f>
        <v>117</v>
      </c>
      <c r="M112" s="365">
        <f t="shared" si="33"/>
        <v>134550</v>
      </c>
      <c r="N112" s="457">
        <f>'Proy. ventas'!O155</f>
        <v>97.5</v>
      </c>
      <c r="O112" s="365">
        <f t="shared" si="34"/>
        <v>112125</v>
      </c>
      <c r="P112" s="457">
        <f>'Proy. ventas'!Q155</f>
        <v>195</v>
      </c>
      <c r="Q112" s="365">
        <f t="shared" si="35"/>
        <v>224250</v>
      </c>
      <c r="R112" s="457">
        <f>'Proy. ventas'!S155</f>
        <v>97.5</v>
      </c>
      <c r="S112" s="365">
        <f t="shared" si="36"/>
        <v>112125</v>
      </c>
      <c r="T112" s="457">
        <f>'Proy. ventas'!U155</f>
        <v>156</v>
      </c>
      <c r="U112" s="365">
        <f t="shared" si="37"/>
        <v>179400</v>
      </c>
      <c r="V112" s="457">
        <f>'Proy. ventas'!W155</f>
        <v>195</v>
      </c>
      <c r="W112" s="365">
        <f t="shared" si="38"/>
        <v>224250</v>
      </c>
      <c r="X112" s="457">
        <f>'Proy. ventas'!Y155</f>
        <v>195</v>
      </c>
      <c r="Y112" s="365">
        <f t="shared" si="39"/>
        <v>224250</v>
      </c>
      <c r="Z112" s="457">
        <f>'Proy. ventas'!AA155</f>
        <v>234</v>
      </c>
      <c r="AA112" s="366">
        <f t="shared" si="40"/>
        <v>269100</v>
      </c>
      <c r="AB112" s="451">
        <f t="shared" si="41"/>
        <v>2242500</v>
      </c>
    </row>
    <row r="113" spans="1:28" ht="30.75" thickBot="1" x14ac:dyDescent="0.3">
      <c r="A113" s="433" t="s">
        <v>194</v>
      </c>
      <c r="B113" s="467"/>
      <c r="C113" s="468">
        <v>300</v>
      </c>
      <c r="D113" s="462">
        <v>50</v>
      </c>
      <c r="E113" s="442">
        <f t="shared" si="29"/>
        <v>15000</v>
      </c>
      <c r="F113" s="463">
        <v>20</v>
      </c>
      <c r="G113" s="442">
        <f t="shared" si="30"/>
        <v>6000</v>
      </c>
      <c r="H113" s="463">
        <v>10</v>
      </c>
      <c r="I113" s="442">
        <f t="shared" si="31"/>
        <v>3000</v>
      </c>
      <c r="J113" s="463">
        <v>5</v>
      </c>
      <c r="K113" s="442">
        <f t="shared" si="32"/>
        <v>1500</v>
      </c>
      <c r="L113" s="463">
        <v>0</v>
      </c>
      <c r="M113" s="442">
        <f t="shared" si="33"/>
        <v>0</v>
      </c>
      <c r="N113" s="463">
        <v>5</v>
      </c>
      <c r="O113" s="442">
        <f t="shared" si="34"/>
        <v>1500</v>
      </c>
      <c r="P113" s="463">
        <v>5</v>
      </c>
      <c r="Q113" s="442">
        <f t="shared" si="35"/>
        <v>1500</v>
      </c>
      <c r="R113" s="463">
        <v>0</v>
      </c>
      <c r="S113" s="442">
        <f t="shared" si="36"/>
        <v>0</v>
      </c>
      <c r="T113" s="463">
        <v>10</v>
      </c>
      <c r="U113" s="442">
        <f t="shared" si="37"/>
        <v>3000</v>
      </c>
      <c r="V113" s="463">
        <v>10</v>
      </c>
      <c r="W113" s="442">
        <f t="shared" si="38"/>
        <v>3000</v>
      </c>
      <c r="X113" s="463">
        <v>15</v>
      </c>
      <c r="Y113" s="442">
        <f t="shared" si="39"/>
        <v>4500</v>
      </c>
      <c r="Z113" s="463">
        <v>10</v>
      </c>
      <c r="AA113" s="464">
        <f t="shared" si="40"/>
        <v>3000</v>
      </c>
      <c r="AB113" s="465">
        <f t="shared" si="41"/>
        <v>42000</v>
      </c>
    </row>
    <row r="114" spans="1:28" x14ac:dyDescent="0.25">
      <c r="A114" s="910" t="s">
        <v>197</v>
      </c>
      <c r="B114" s="445"/>
      <c r="C114" s="418">
        <v>182000</v>
      </c>
      <c r="D114" s="416">
        <v>1</v>
      </c>
      <c r="E114" s="355">
        <f t="shared" si="29"/>
        <v>182000</v>
      </c>
      <c r="F114" s="415">
        <v>1</v>
      </c>
      <c r="G114" s="355">
        <f t="shared" si="30"/>
        <v>182000</v>
      </c>
      <c r="H114" s="415">
        <v>0</v>
      </c>
      <c r="I114" s="355">
        <f t="shared" si="31"/>
        <v>0</v>
      </c>
      <c r="J114" s="415">
        <v>1</v>
      </c>
      <c r="K114" s="355">
        <f t="shared" si="32"/>
        <v>182000</v>
      </c>
      <c r="L114" s="415">
        <v>1</v>
      </c>
      <c r="M114" s="355">
        <f t="shared" si="33"/>
        <v>182000</v>
      </c>
      <c r="N114" s="415">
        <v>0</v>
      </c>
      <c r="O114" s="355">
        <f t="shared" si="34"/>
        <v>0</v>
      </c>
      <c r="P114" s="415">
        <v>0</v>
      </c>
      <c r="Q114" s="355">
        <f t="shared" si="35"/>
        <v>0</v>
      </c>
      <c r="R114" s="415">
        <v>0</v>
      </c>
      <c r="S114" s="355">
        <f t="shared" si="36"/>
        <v>0</v>
      </c>
      <c r="T114" s="415">
        <v>1</v>
      </c>
      <c r="U114" s="355">
        <f t="shared" si="37"/>
        <v>182000</v>
      </c>
      <c r="V114" s="415">
        <v>0</v>
      </c>
      <c r="W114" s="355">
        <f t="shared" si="38"/>
        <v>0</v>
      </c>
      <c r="X114" s="415">
        <v>0</v>
      </c>
      <c r="Y114" s="355">
        <f t="shared" si="39"/>
        <v>0</v>
      </c>
      <c r="Z114" s="415">
        <v>1</v>
      </c>
      <c r="AA114" s="356">
        <f t="shared" si="40"/>
        <v>182000</v>
      </c>
      <c r="AB114" s="453">
        <f t="shared" si="41"/>
        <v>1092000</v>
      </c>
    </row>
    <row r="115" spans="1:28" x14ac:dyDescent="0.25">
      <c r="A115" s="911"/>
      <c r="B115" s="446"/>
      <c r="C115" s="420">
        <v>130000</v>
      </c>
      <c r="D115" s="417">
        <v>1</v>
      </c>
      <c r="E115" s="342">
        <f t="shared" si="29"/>
        <v>130000</v>
      </c>
      <c r="F115" s="414">
        <v>0</v>
      </c>
      <c r="G115" s="342">
        <f t="shared" si="30"/>
        <v>0</v>
      </c>
      <c r="H115" s="414">
        <v>0</v>
      </c>
      <c r="I115" s="342">
        <f t="shared" si="31"/>
        <v>0</v>
      </c>
      <c r="J115" s="414">
        <v>0</v>
      </c>
      <c r="K115" s="342">
        <f t="shared" si="32"/>
        <v>0</v>
      </c>
      <c r="L115" s="414">
        <v>1</v>
      </c>
      <c r="M115" s="342">
        <f t="shared" si="33"/>
        <v>130000</v>
      </c>
      <c r="N115" s="414">
        <v>0</v>
      </c>
      <c r="O115" s="342">
        <f t="shared" si="34"/>
        <v>0</v>
      </c>
      <c r="P115" s="414">
        <v>0</v>
      </c>
      <c r="Q115" s="342">
        <f t="shared" si="35"/>
        <v>0</v>
      </c>
      <c r="R115" s="414">
        <v>0</v>
      </c>
      <c r="S115" s="342">
        <f t="shared" si="36"/>
        <v>0</v>
      </c>
      <c r="T115" s="414">
        <v>1</v>
      </c>
      <c r="U115" s="342">
        <f t="shared" si="37"/>
        <v>130000</v>
      </c>
      <c r="V115" s="414">
        <v>0</v>
      </c>
      <c r="W115" s="342">
        <f t="shared" si="38"/>
        <v>0</v>
      </c>
      <c r="X115" s="414">
        <v>0</v>
      </c>
      <c r="Y115" s="342">
        <f t="shared" si="39"/>
        <v>0</v>
      </c>
      <c r="Z115" s="414">
        <v>1</v>
      </c>
      <c r="AA115" s="344">
        <f t="shared" si="40"/>
        <v>130000</v>
      </c>
      <c r="AB115" s="450">
        <f t="shared" si="41"/>
        <v>520000</v>
      </c>
    </row>
    <row r="116" spans="1:28" x14ac:dyDescent="0.25">
      <c r="A116" s="911"/>
      <c r="B116" s="421"/>
      <c r="C116" s="420">
        <v>250000</v>
      </c>
      <c r="D116" s="417">
        <v>0</v>
      </c>
      <c r="E116" s="342">
        <f t="shared" si="29"/>
        <v>0</v>
      </c>
      <c r="F116" s="414">
        <v>0</v>
      </c>
      <c r="G116" s="342">
        <f t="shared" si="30"/>
        <v>0</v>
      </c>
      <c r="H116" s="414">
        <v>0</v>
      </c>
      <c r="I116" s="342">
        <f t="shared" si="31"/>
        <v>0</v>
      </c>
      <c r="J116" s="414">
        <v>0</v>
      </c>
      <c r="K116" s="342">
        <f t="shared" si="32"/>
        <v>0</v>
      </c>
      <c r="L116" s="414">
        <v>0</v>
      </c>
      <c r="M116" s="342">
        <f t="shared" si="33"/>
        <v>0</v>
      </c>
      <c r="N116" s="414">
        <v>0</v>
      </c>
      <c r="O116" s="342">
        <f t="shared" si="34"/>
        <v>0</v>
      </c>
      <c r="P116" s="414">
        <v>0</v>
      </c>
      <c r="Q116" s="342">
        <f t="shared" si="35"/>
        <v>0</v>
      </c>
      <c r="R116" s="414">
        <v>0</v>
      </c>
      <c r="S116" s="342">
        <f t="shared" si="36"/>
        <v>0</v>
      </c>
      <c r="T116" s="414">
        <v>1</v>
      </c>
      <c r="U116" s="342">
        <f t="shared" si="37"/>
        <v>250000</v>
      </c>
      <c r="V116" s="414">
        <v>0</v>
      </c>
      <c r="W116" s="342">
        <f t="shared" si="38"/>
        <v>0</v>
      </c>
      <c r="X116" s="414">
        <v>0</v>
      </c>
      <c r="Y116" s="342">
        <f t="shared" si="39"/>
        <v>0</v>
      </c>
      <c r="Z116" s="414">
        <v>0</v>
      </c>
      <c r="AA116" s="344">
        <f t="shared" si="40"/>
        <v>0</v>
      </c>
      <c r="AB116" s="450">
        <f t="shared" si="41"/>
        <v>250000</v>
      </c>
    </row>
    <row r="117" spans="1:28" ht="15.75" thickBot="1" x14ac:dyDescent="0.3">
      <c r="A117" s="912"/>
      <c r="B117" s="437"/>
      <c r="C117" s="438">
        <v>0</v>
      </c>
      <c r="D117" s="439">
        <v>0</v>
      </c>
      <c r="E117" s="365">
        <v>0</v>
      </c>
      <c r="F117" s="459">
        <v>0</v>
      </c>
      <c r="G117" s="365">
        <v>0</v>
      </c>
      <c r="H117" s="459">
        <v>0</v>
      </c>
      <c r="I117" s="365">
        <v>0</v>
      </c>
      <c r="J117" s="459">
        <v>0</v>
      </c>
      <c r="K117" s="365">
        <v>0</v>
      </c>
      <c r="L117" s="459">
        <v>0</v>
      </c>
      <c r="M117" s="365">
        <f>($C$53*L101 + $C$54*L102+$C$55*L103)*0.15</f>
        <v>143049.60000000001</v>
      </c>
      <c r="N117" s="459">
        <v>0</v>
      </c>
      <c r="O117" s="365">
        <f>($C$53*N101 + $C$54*N102+$C$55*N103)*0.15</f>
        <v>119208</v>
      </c>
      <c r="P117" s="459">
        <v>0</v>
      </c>
      <c r="Q117" s="365">
        <f>($C$53*P101 + $C$54*P102+$C$55*P103)*0.15</f>
        <v>238416</v>
      </c>
      <c r="R117" s="459">
        <v>0</v>
      </c>
      <c r="S117" s="365">
        <v>0</v>
      </c>
      <c r="T117" s="459">
        <v>0</v>
      </c>
      <c r="U117" s="365">
        <v>0</v>
      </c>
      <c r="V117" s="459">
        <v>0</v>
      </c>
      <c r="W117" s="365">
        <v>0</v>
      </c>
      <c r="X117" s="459">
        <v>0</v>
      </c>
      <c r="Y117" s="365">
        <v>0</v>
      </c>
      <c r="Z117" s="459">
        <v>0</v>
      </c>
      <c r="AA117" s="366">
        <v>0</v>
      </c>
      <c r="AB117" s="451">
        <f>E117+G117+I117+K117+M117+O117+Q117+S117+U117+W117+Y117+AA117</f>
        <v>500673.6</v>
      </c>
    </row>
    <row r="118" spans="1:28" ht="15.75" thickBot="1" x14ac:dyDescent="0.3">
      <c r="A118" s="433" t="s">
        <v>195</v>
      </c>
      <c r="B118" s="434"/>
      <c r="C118" s="443">
        <v>0</v>
      </c>
      <c r="D118" s="444">
        <v>0</v>
      </c>
      <c r="E118" s="373">
        <f>(D103+D102+D101)*75</f>
        <v>32422.5</v>
      </c>
      <c r="F118" s="460">
        <v>0</v>
      </c>
      <c r="G118" s="373">
        <f>(F103+F102+F101)*75</f>
        <v>26527.5</v>
      </c>
      <c r="H118" s="460">
        <v>0</v>
      </c>
      <c r="I118" s="373">
        <f>(H103+H102+H101)*75</f>
        <v>23580</v>
      </c>
      <c r="J118" s="460">
        <v>0</v>
      </c>
      <c r="K118" s="373">
        <f>(J103+J102+J101)*75</f>
        <v>17685</v>
      </c>
      <c r="L118" s="460">
        <v>0</v>
      </c>
      <c r="M118" s="373">
        <f>(L103+L102+L101)*75</f>
        <v>17685</v>
      </c>
      <c r="N118" s="460">
        <v>0</v>
      </c>
      <c r="O118" s="373">
        <f>(N103+N102+N101)*75</f>
        <v>14737.5</v>
      </c>
      <c r="P118" s="460">
        <v>0</v>
      </c>
      <c r="Q118" s="373">
        <f>(P103+P102+P101)*75</f>
        <v>29475</v>
      </c>
      <c r="R118" s="460">
        <v>0</v>
      </c>
      <c r="S118" s="373">
        <f>(R103+R102+R101)*75</f>
        <v>14737.5</v>
      </c>
      <c r="T118" s="460">
        <v>0</v>
      </c>
      <c r="U118" s="373">
        <f>(T103+T102+T101)*75</f>
        <v>23580</v>
      </c>
      <c r="V118" s="460">
        <v>0</v>
      </c>
      <c r="W118" s="373">
        <f>(V103+V102+V101)*75</f>
        <v>29475</v>
      </c>
      <c r="X118" s="460">
        <v>0</v>
      </c>
      <c r="Y118" s="373">
        <f>(X103+X102+X101)*75</f>
        <v>29475</v>
      </c>
      <c r="Z118" s="460">
        <v>0</v>
      </c>
      <c r="AA118" s="373">
        <f>(Z103+Z102+Z101)*75</f>
        <v>35370</v>
      </c>
      <c r="AB118" s="451">
        <f>E118+G118+I118+K118+M118+O118+Q118+S118+U118+W118+Y118+AA118</f>
        <v>294750</v>
      </c>
    </row>
    <row r="119" spans="1:28" ht="15.75" thickBot="1" x14ac:dyDescent="0.3">
      <c r="B119" s="448" t="s">
        <v>196</v>
      </c>
      <c r="C119" s="440"/>
      <c r="D119" s="441"/>
      <c r="E119" s="455">
        <f>SUM(E101:E118)</f>
        <v>3339758.1</v>
      </c>
      <c r="F119" s="461"/>
      <c r="G119" s="455">
        <f>SUM(G101:G118)</f>
        <v>2652983.9</v>
      </c>
      <c r="H119" s="461"/>
      <c r="I119" s="455">
        <f>SUM(I101:I118)</f>
        <v>2194096.7999999998</v>
      </c>
      <c r="J119" s="461"/>
      <c r="K119" s="455">
        <f>SUM(K101:K118)</f>
        <v>1826822.6</v>
      </c>
      <c r="L119" s="461"/>
      <c r="M119" s="455">
        <f>SUM(M101:M118)</f>
        <v>2098372.2000000002</v>
      </c>
      <c r="N119" s="441"/>
      <c r="O119" s="455">
        <f>SUM(O101:O118)</f>
        <v>1490143.5</v>
      </c>
      <c r="P119" s="461"/>
      <c r="Q119" s="455">
        <f>SUM(Q101:Q118)</f>
        <v>2978787</v>
      </c>
      <c r="R119" s="461"/>
      <c r="S119" s="455">
        <f>SUM(S101:S118)</f>
        <v>1369435.5</v>
      </c>
      <c r="T119" s="461"/>
      <c r="U119" s="455">
        <f>SUM(U101:U118)</f>
        <v>2756096.8</v>
      </c>
      <c r="V119" s="461"/>
      <c r="W119" s="455">
        <f>SUM(W101:W118)</f>
        <v>2741871</v>
      </c>
      <c r="X119" s="461"/>
      <c r="Y119" s="455">
        <f>SUM(Y101:Y118)</f>
        <v>2743371</v>
      </c>
      <c r="Z119" s="461"/>
      <c r="AA119" s="454">
        <f>SUM(AA101:AA118)</f>
        <v>3601645.2</v>
      </c>
      <c r="AB119" s="447">
        <f>SUM(E119:AA119)</f>
        <v>29793383.600000001</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1"/>
  <sheetViews>
    <sheetView zoomScale="80" zoomScaleNormal="80" workbookViewId="0">
      <pane xSplit="2" ySplit="1" topLeftCell="C52" activePane="bottomRight" state="frozen"/>
      <selection pane="topRight" activeCell="C1" sqref="C1"/>
      <selection pane="bottomLeft" activeCell="A2" sqref="A2"/>
      <selection pane="bottomRight" sqref="A1:AE1"/>
    </sheetView>
  </sheetViews>
  <sheetFormatPr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703" customFormat="1" ht="58.5" customHeight="1" x14ac:dyDescent="0.25">
      <c r="A1" s="706"/>
      <c r="B1" s="706"/>
      <c r="C1" s="706"/>
      <c r="D1" s="706"/>
      <c r="E1" s="711" t="s">
        <v>6</v>
      </c>
      <c r="F1" s="714"/>
      <c r="G1" s="714"/>
      <c r="H1" s="706"/>
      <c r="I1" s="706"/>
      <c r="J1" s="706"/>
      <c r="K1" s="706"/>
      <c r="L1" s="706"/>
      <c r="M1" s="706"/>
      <c r="N1" s="706"/>
      <c r="O1" s="706"/>
      <c r="P1" s="706"/>
      <c r="Q1" s="706"/>
      <c r="R1" s="706"/>
      <c r="S1" s="706"/>
      <c r="T1" s="706"/>
      <c r="U1" s="706"/>
      <c r="V1" s="706"/>
      <c r="W1" s="706"/>
      <c r="X1" s="706"/>
      <c r="Y1" s="706"/>
      <c r="Z1" s="706"/>
      <c r="AA1" s="706"/>
      <c r="AB1" s="706"/>
      <c r="AC1" s="706"/>
      <c r="AD1" s="706"/>
      <c r="AE1" s="706"/>
    </row>
    <row r="3" spans="1:31" ht="15.75" thickBot="1" x14ac:dyDescent="0.3"/>
    <row r="4" spans="1:31" ht="27" thickBot="1" x14ac:dyDescent="0.45">
      <c r="B4" s="717" t="s">
        <v>36</v>
      </c>
      <c r="C4" s="718"/>
      <c r="D4" s="719"/>
      <c r="E4" s="45"/>
      <c r="H4" s="717" t="s">
        <v>201</v>
      </c>
      <c r="I4" s="718"/>
      <c r="J4" s="719"/>
    </row>
    <row r="5" spans="1:31" x14ac:dyDescent="0.25">
      <c r="B5" s="40">
        <v>2019</v>
      </c>
      <c r="C5" s="40">
        <v>2020</v>
      </c>
      <c r="D5" s="40">
        <v>2021</v>
      </c>
      <c r="E5" s="292"/>
      <c r="H5" s="125">
        <v>2019</v>
      </c>
      <c r="I5" s="40">
        <v>2020</v>
      </c>
      <c r="J5" s="126">
        <v>2021</v>
      </c>
    </row>
    <row r="6" spans="1:31" ht="15.75" thickBot="1" x14ac:dyDescent="0.3">
      <c r="B6" s="46">
        <f>Hipótesis!C24</f>
        <v>0.03</v>
      </c>
      <c r="C6" s="46">
        <f>Hipótesis!C25</f>
        <v>0.05</v>
      </c>
      <c r="D6" s="46">
        <f>Hipótesis!C26</f>
        <v>0.09</v>
      </c>
      <c r="E6" s="393"/>
      <c r="H6" s="129">
        <f>$AA$51</f>
        <v>7341662.4450000012</v>
      </c>
      <c r="I6" s="130">
        <f>$AA$69</f>
        <v>8446303.9266666677</v>
      </c>
      <c r="J6" s="131">
        <f>$AA$87</f>
        <v>10262133.115833335</v>
      </c>
    </row>
    <row r="7" spans="1:31" x14ac:dyDescent="0.25">
      <c r="B7" s="39">
        <f>Hipótesis!D24</f>
        <v>0</v>
      </c>
      <c r="C7" s="39">
        <f>Hipótesis!D25</f>
        <v>0</v>
      </c>
      <c r="D7" s="39">
        <f>Hipótesis!D26</f>
        <v>0</v>
      </c>
      <c r="E7" s="390"/>
    </row>
    <row r="10" spans="1:31" ht="15.75" thickBot="1" x14ac:dyDescent="0.3"/>
    <row r="11" spans="1:31" ht="27" thickBot="1" x14ac:dyDescent="0.45">
      <c r="B11" s="717" t="s">
        <v>217</v>
      </c>
      <c r="C11" s="718"/>
      <c r="D11" s="718"/>
      <c r="E11" s="718"/>
      <c r="F11" s="718"/>
      <c r="G11" s="718"/>
      <c r="H11" s="718"/>
      <c r="I11" s="718"/>
      <c r="J11" s="718"/>
      <c r="K11" s="718"/>
      <c r="L11" s="719"/>
    </row>
    <row r="12" spans="1:31" ht="15.75" x14ac:dyDescent="0.25">
      <c r="B12" s="931" t="s">
        <v>208</v>
      </c>
      <c r="C12" s="941" t="s">
        <v>209</v>
      </c>
      <c r="D12" s="939" t="s">
        <v>210</v>
      </c>
      <c r="E12" s="476" t="s">
        <v>202</v>
      </c>
      <c r="F12" s="412" t="s">
        <v>203</v>
      </c>
      <c r="G12" s="412" t="s">
        <v>204</v>
      </c>
      <c r="H12" s="412" t="s">
        <v>205</v>
      </c>
      <c r="I12" s="469" t="s">
        <v>206</v>
      </c>
      <c r="J12" s="486" t="s">
        <v>207</v>
      </c>
      <c r="K12" s="933" t="s">
        <v>219</v>
      </c>
      <c r="L12" s="933" t="s">
        <v>220</v>
      </c>
    </row>
    <row r="13" spans="1:31" ht="16.5" thickBot="1" x14ac:dyDescent="0.3">
      <c r="B13" s="932"/>
      <c r="C13" s="942"/>
      <c r="D13" s="940"/>
      <c r="E13" s="477">
        <v>0.1047</v>
      </c>
      <c r="F13" s="470">
        <v>1.54E-2</v>
      </c>
      <c r="G13" s="471">
        <v>0.06</v>
      </c>
      <c r="H13" s="470">
        <v>9.1999999999999998E-3</v>
      </c>
      <c r="I13" s="471" t="s">
        <v>218</v>
      </c>
      <c r="J13" s="487">
        <v>0.03</v>
      </c>
      <c r="K13" s="934"/>
      <c r="L13" s="934"/>
    </row>
    <row r="14" spans="1:31" ht="15.75" thickBot="1" x14ac:dyDescent="0.3">
      <c r="B14" s="472" t="s">
        <v>211</v>
      </c>
      <c r="C14" s="473"/>
      <c r="D14" s="478">
        <v>80000</v>
      </c>
      <c r="E14" s="382">
        <f>$D$14*E13</f>
        <v>8376</v>
      </c>
      <c r="F14" s="373">
        <f>$D$14*F13</f>
        <v>1232</v>
      </c>
      <c r="G14" s="373">
        <f>$D$14*G13</f>
        <v>4800</v>
      </c>
      <c r="H14" s="373">
        <f>$D$14*H13</f>
        <v>736</v>
      </c>
      <c r="I14" s="373">
        <v>18.57</v>
      </c>
      <c r="J14" s="374">
        <f>$D$14*J13</f>
        <v>2400</v>
      </c>
      <c r="K14" s="488">
        <f>SUM(E14:J14)</f>
        <v>17562.57</v>
      </c>
      <c r="L14" s="482">
        <f>D14+K14</f>
        <v>97562.57</v>
      </c>
    </row>
    <row r="15" spans="1:31" x14ac:dyDescent="0.25">
      <c r="B15" s="935" t="s">
        <v>214</v>
      </c>
      <c r="C15" s="474"/>
      <c r="D15" s="479">
        <v>60000</v>
      </c>
      <c r="E15" s="378">
        <f>$D$15*E13</f>
        <v>6282</v>
      </c>
      <c r="F15" s="361">
        <f>$D$15*F13</f>
        <v>924</v>
      </c>
      <c r="G15" s="361">
        <f>$D$15*G13</f>
        <v>3600</v>
      </c>
      <c r="H15" s="361">
        <f>$D$15*H13</f>
        <v>552</v>
      </c>
      <c r="I15" s="361">
        <v>18.57</v>
      </c>
      <c r="J15" s="362">
        <f>$D$15*J13</f>
        <v>1800</v>
      </c>
      <c r="K15" s="489">
        <f t="shared" ref="K15:K34" si="0">SUM(E15:J15)</f>
        <v>13176.57</v>
      </c>
      <c r="L15" s="483">
        <f t="shared" ref="L15:L34" si="1">D15+K15</f>
        <v>73176.570000000007</v>
      </c>
    </row>
    <row r="16" spans="1:31" x14ac:dyDescent="0.25">
      <c r="B16" s="936"/>
      <c r="C16" s="244"/>
      <c r="D16" s="480">
        <v>52000</v>
      </c>
      <c r="E16" s="379">
        <f>$D$16*E13</f>
        <v>5444.4</v>
      </c>
      <c r="F16" s="342">
        <f>$D$16*F13</f>
        <v>800.80000000000007</v>
      </c>
      <c r="G16" s="342">
        <f>$D$16*G13</f>
        <v>3120</v>
      </c>
      <c r="H16" s="342">
        <f>$D$16*H13</f>
        <v>478.4</v>
      </c>
      <c r="I16" s="342">
        <v>18.57</v>
      </c>
      <c r="J16" s="344">
        <f>$D$16*J13</f>
        <v>1560</v>
      </c>
      <c r="K16" s="490">
        <f t="shared" si="0"/>
        <v>11422.17</v>
      </c>
      <c r="L16" s="484">
        <f t="shared" si="1"/>
        <v>63422.17</v>
      </c>
    </row>
    <row r="17" spans="2:12" x14ac:dyDescent="0.25">
      <c r="B17" s="936"/>
      <c r="C17" s="244"/>
      <c r="D17" s="480">
        <v>52000</v>
      </c>
      <c r="E17" s="379">
        <f>$D$17*E13</f>
        <v>5444.4</v>
      </c>
      <c r="F17" s="342">
        <f>$D$17*F13</f>
        <v>800.80000000000007</v>
      </c>
      <c r="G17" s="342">
        <f>$D$17*G13</f>
        <v>3120</v>
      </c>
      <c r="H17" s="342">
        <f>$D$17*H13</f>
        <v>478.4</v>
      </c>
      <c r="I17" s="342">
        <v>18.57</v>
      </c>
      <c r="J17" s="344">
        <f>$D$17*J13</f>
        <v>1560</v>
      </c>
      <c r="K17" s="490">
        <f t="shared" si="0"/>
        <v>11422.17</v>
      </c>
      <c r="L17" s="484">
        <f t="shared" si="1"/>
        <v>63422.17</v>
      </c>
    </row>
    <row r="18" spans="2:12" x14ac:dyDescent="0.25">
      <c r="B18" s="936"/>
      <c r="C18" s="244"/>
      <c r="D18" s="480">
        <v>48000</v>
      </c>
      <c r="E18" s="379">
        <f>$D$18*E13</f>
        <v>5025.6000000000004</v>
      </c>
      <c r="F18" s="342">
        <f>$D$18*F13</f>
        <v>739.2</v>
      </c>
      <c r="G18" s="342">
        <f>$D$18*G13</f>
        <v>2880</v>
      </c>
      <c r="H18" s="342">
        <f>$D$18*H13</f>
        <v>441.59999999999997</v>
      </c>
      <c r="I18" s="342">
        <v>18.57</v>
      </c>
      <c r="J18" s="344">
        <f>$D$18*J13</f>
        <v>1440</v>
      </c>
      <c r="K18" s="490">
        <f t="shared" si="0"/>
        <v>10544.97</v>
      </c>
      <c r="L18" s="484">
        <f t="shared" si="1"/>
        <v>58544.97</v>
      </c>
    </row>
    <row r="19" spans="2:12" ht="15.75" thickBot="1" x14ac:dyDescent="0.3">
      <c r="B19" s="937"/>
      <c r="C19" s="475"/>
      <c r="D19" s="481">
        <v>40000</v>
      </c>
      <c r="E19" s="380">
        <f>$D$19*E13</f>
        <v>4188</v>
      </c>
      <c r="F19" s="365">
        <f>$D$19*F13</f>
        <v>616</v>
      </c>
      <c r="G19" s="365">
        <f>$D$19*G13</f>
        <v>2400</v>
      </c>
      <c r="H19" s="365">
        <f>$D$19*H13</f>
        <v>368</v>
      </c>
      <c r="I19" s="365">
        <v>18.57</v>
      </c>
      <c r="J19" s="366">
        <f>$D$19*J13</f>
        <v>1200</v>
      </c>
      <c r="K19" s="491">
        <f t="shared" si="0"/>
        <v>8790.57</v>
      </c>
      <c r="L19" s="485">
        <f t="shared" si="1"/>
        <v>48790.57</v>
      </c>
    </row>
    <row r="20" spans="2:12" x14ac:dyDescent="0.25">
      <c r="B20" s="935" t="s">
        <v>212</v>
      </c>
      <c r="C20" s="474"/>
      <c r="D20" s="479">
        <v>52000</v>
      </c>
      <c r="E20" s="378">
        <f>$D$20*E13</f>
        <v>5444.4</v>
      </c>
      <c r="F20" s="361">
        <f>$D$20*F13</f>
        <v>800.80000000000007</v>
      </c>
      <c r="G20" s="361">
        <f>$D$20*G13</f>
        <v>3120</v>
      </c>
      <c r="H20" s="361">
        <f>$D$20*H13</f>
        <v>478.4</v>
      </c>
      <c r="I20" s="361">
        <v>18.57</v>
      </c>
      <c r="J20" s="362">
        <f>$D$20*J13</f>
        <v>1560</v>
      </c>
      <c r="K20" s="489">
        <f t="shared" si="0"/>
        <v>11422.17</v>
      </c>
      <c r="L20" s="483">
        <f t="shared" si="1"/>
        <v>63422.17</v>
      </c>
    </row>
    <row r="21" spans="2:12" ht="15.75" thickBot="1" x14ac:dyDescent="0.3">
      <c r="B21" s="937"/>
      <c r="C21" s="475"/>
      <c r="D21" s="481">
        <v>35000</v>
      </c>
      <c r="E21" s="380">
        <f>$D$21*E13</f>
        <v>3664.5</v>
      </c>
      <c r="F21" s="365">
        <f>$D$21*F13</f>
        <v>539</v>
      </c>
      <c r="G21" s="365">
        <f>$D$21*G13</f>
        <v>2100</v>
      </c>
      <c r="H21" s="365">
        <f>$D$21*H13</f>
        <v>322</v>
      </c>
      <c r="I21" s="365">
        <v>18.57</v>
      </c>
      <c r="J21" s="366">
        <f>$D$21*J13</f>
        <v>1050</v>
      </c>
      <c r="K21" s="491">
        <f t="shared" si="0"/>
        <v>7694.07</v>
      </c>
      <c r="L21" s="485">
        <f t="shared" si="1"/>
        <v>42694.07</v>
      </c>
    </row>
    <row r="22" spans="2:12" x14ac:dyDescent="0.25">
      <c r="B22" s="935" t="s">
        <v>215</v>
      </c>
      <c r="C22" s="474"/>
      <c r="D22" s="479">
        <v>48000</v>
      </c>
      <c r="E22" s="378">
        <f>$D$22*E13</f>
        <v>5025.6000000000004</v>
      </c>
      <c r="F22" s="361">
        <f>$D$22*F13</f>
        <v>739.2</v>
      </c>
      <c r="G22" s="361">
        <f>$D$22*G13</f>
        <v>2880</v>
      </c>
      <c r="H22" s="361">
        <f>$D$22*H13</f>
        <v>441.59999999999997</v>
      </c>
      <c r="I22" s="361">
        <v>18.57</v>
      </c>
      <c r="J22" s="362">
        <f>$D$22*J13</f>
        <v>1440</v>
      </c>
      <c r="K22" s="489">
        <f t="shared" si="0"/>
        <v>10544.97</v>
      </c>
      <c r="L22" s="483">
        <f t="shared" si="1"/>
        <v>58544.97</v>
      </c>
    </row>
    <row r="23" spans="2:12" x14ac:dyDescent="0.25">
      <c r="B23" s="936"/>
      <c r="C23" s="244"/>
      <c r="D23" s="480">
        <v>32000</v>
      </c>
      <c r="E23" s="379">
        <f>$D$23*E13</f>
        <v>3350.4</v>
      </c>
      <c r="F23" s="342">
        <f>$D$23*F13</f>
        <v>492.8</v>
      </c>
      <c r="G23" s="342">
        <f>$D$23*G13</f>
        <v>1920</v>
      </c>
      <c r="H23" s="342">
        <f>$D$23*H13</f>
        <v>294.39999999999998</v>
      </c>
      <c r="I23" s="342">
        <v>18.57</v>
      </c>
      <c r="J23" s="344">
        <f>$D$23*J13</f>
        <v>960</v>
      </c>
      <c r="K23" s="490">
        <f t="shared" si="0"/>
        <v>7036.17</v>
      </c>
      <c r="L23" s="484">
        <f t="shared" si="1"/>
        <v>39036.17</v>
      </c>
    </row>
    <row r="24" spans="2:12" x14ac:dyDescent="0.25">
      <c r="B24" s="938"/>
      <c r="C24" s="244"/>
      <c r="D24" s="480">
        <v>32000</v>
      </c>
      <c r="E24" s="379">
        <f>$D$24*E13</f>
        <v>3350.4</v>
      </c>
      <c r="F24" s="379">
        <f>$D$24*F13</f>
        <v>492.8</v>
      </c>
      <c r="G24" s="379">
        <f>$D$24*G13</f>
        <v>1920</v>
      </c>
      <c r="H24" s="379">
        <f>$D$24*H13</f>
        <v>294.39999999999998</v>
      </c>
      <c r="I24" s="342">
        <v>18.57</v>
      </c>
      <c r="J24" s="379">
        <f>$D$24*J13</f>
        <v>960</v>
      </c>
      <c r="K24" s="490">
        <f t="shared" si="0"/>
        <v>7036.17</v>
      </c>
      <c r="L24" s="484">
        <f>D24+K24</f>
        <v>39036.17</v>
      </c>
    </row>
    <row r="25" spans="2:12" x14ac:dyDescent="0.25">
      <c r="B25" s="938"/>
      <c r="C25" s="306"/>
      <c r="D25" s="492">
        <v>16000</v>
      </c>
      <c r="E25" s="383">
        <f>$D$25*E13</f>
        <v>1675.2</v>
      </c>
      <c r="F25" s="383">
        <f>$D$25*F13</f>
        <v>246.4</v>
      </c>
      <c r="G25" s="383">
        <f>$D$25*G13</f>
        <v>960</v>
      </c>
      <c r="H25" s="383">
        <f>$D$25*H13</f>
        <v>147.19999999999999</v>
      </c>
      <c r="I25" s="342">
        <v>18.57</v>
      </c>
      <c r="J25" s="383">
        <f>$D$25*J13</f>
        <v>480</v>
      </c>
      <c r="K25" s="490">
        <f t="shared" si="0"/>
        <v>3527.3700000000003</v>
      </c>
      <c r="L25" s="484">
        <f>D25+K25</f>
        <v>19527.37</v>
      </c>
    </row>
    <row r="26" spans="2:12" ht="15.75" thickBot="1" x14ac:dyDescent="0.3">
      <c r="B26" s="937"/>
      <c r="C26" s="475"/>
      <c r="D26" s="481">
        <v>32000</v>
      </c>
      <c r="E26" s="380">
        <f>$D$26*E13</f>
        <v>3350.4</v>
      </c>
      <c r="F26" s="365">
        <f>$D$26*F13</f>
        <v>492.8</v>
      </c>
      <c r="G26" s="365">
        <f>$D$26*G13</f>
        <v>1920</v>
      </c>
      <c r="H26" s="365">
        <f>$D$26*H13</f>
        <v>294.39999999999998</v>
      </c>
      <c r="I26" s="365">
        <v>18.57</v>
      </c>
      <c r="J26" s="366">
        <f>$D$26*J13</f>
        <v>960</v>
      </c>
      <c r="K26" s="491">
        <f>SUM(E26:J26)</f>
        <v>7036.17</v>
      </c>
      <c r="L26" s="485">
        <f>D26+K26</f>
        <v>39036.17</v>
      </c>
    </row>
    <row r="27" spans="2:12" x14ac:dyDescent="0.25">
      <c r="B27" s="935" t="s">
        <v>213</v>
      </c>
      <c r="C27" s="474"/>
      <c r="D27" s="479">
        <v>52000</v>
      </c>
      <c r="E27" s="378">
        <f>$D$27*E13</f>
        <v>5444.4</v>
      </c>
      <c r="F27" s="361">
        <f>$D$27*F13</f>
        <v>800.80000000000007</v>
      </c>
      <c r="G27" s="361">
        <f>$D$27*G13</f>
        <v>3120</v>
      </c>
      <c r="H27" s="361">
        <f>$D$27*H13</f>
        <v>478.4</v>
      </c>
      <c r="I27" s="361">
        <v>18.57</v>
      </c>
      <c r="J27" s="362">
        <f>$D$27*J13</f>
        <v>1560</v>
      </c>
      <c r="K27" s="489">
        <f t="shared" si="0"/>
        <v>11422.17</v>
      </c>
      <c r="L27" s="483">
        <f t="shared" si="1"/>
        <v>63422.17</v>
      </c>
    </row>
    <row r="28" spans="2:12" x14ac:dyDescent="0.25">
      <c r="B28" s="936"/>
      <c r="C28" s="244"/>
      <c r="D28" s="480">
        <v>42000</v>
      </c>
      <c r="E28" s="379">
        <f>$D$28*E13</f>
        <v>4397.3999999999996</v>
      </c>
      <c r="F28" s="342">
        <f>$D$28*F13</f>
        <v>646.80000000000007</v>
      </c>
      <c r="G28" s="342">
        <f>$D$28*G13</f>
        <v>2520</v>
      </c>
      <c r="H28" s="342">
        <f>$D$28*H13</f>
        <v>386.4</v>
      </c>
      <c r="I28" s="342">
        <v>18.57</v>
      </c>
      <c r="J28" s="344">
        <f>$D$28*J13</f>
        <v>1260</v>
      </c>
      <c r="K28" s="490">
        <f t="shared" si="0"/>
        <v>9229.1699999999983</v>
      </c>
      <c r="L28" s="484">
        <f t="shared" si="1"/>
        <v>51229.17</v>
      </c>
    </row>
    <row r="29" spans="2:12" ht="15.75" thickBot="1" x14ac:dyDescent="0.3">
      <c r="B29" s="937"/>
      <c r="C29" s="475"/>
      <c r="D29" s="481">
        <v>40000</v>
      </c>
      <c r="E29" s="380">
        <f>$D$29*E13</f>
        <v>4188</v>
      </c>
      <c r="F29" s="365">
        <f>$D$29*F13</f>
        <v>616</v>
      </c>
      <c r="G29" s="365">
        <f>$D$29*G13</f>
        <v>2400</v>
      </c>
      <c r="H29" s="365">
        <f>$D$29*H13</f>
        <v>368</v>
      </c>
      <c r="I29" s="365">
        <v>18.57</v>
      </c>
      <c r="J29" s="366">
        <f>$D$29*J13</f>
        <v>1200</v>
      </c>
      <c r="K29" s="491">
        <f t="shared" si="0"/>
        <v>8790.57</v>
      </c>
      <c r="L29" s="485">
        <f t="shared" si="1"/>
        <v>48790.57</v>
      </c>
    </row>
    <row r="30" spans="2:12" x14ac:dyDescent="0.25">
      <c r="B30" s="935" t="s">
        <v>216</v>
      </c>
      <c r="C30" s="474"/>
      <c r="D30" s="479">
        <v>48000</v>
      </c>
      <c r="E30" s="378">
        <f>$D$30*E13</f>
        <v>5025.6000000000004</v>
      </c>
      <c r="F30" s="361">
        <f>$D$30*F13</f>
        <v>739.2</v>
      </c>
      <c r="G30" s="361">
        <f>$D$30*G13</f>
        <v>2880</v>
      </c>
      <c r="H30" s="361">
        <f>$D$30*H13</f>
        <v>441.59999999999997</v>
      </c>
      <c r="I30" s="361">
        <v>18.57</v>
      </c>
      <c r="J30" s="362">
        <f>$D$30*J13</f>
        <v>1440</v>
      </c>
      <c r="K30" s="489">
        <f t="shared" si="0"/>
        <v>10544.97</v>
      </c>
      <c r="L30" s="483">
        <f t="shared" si="1"/>
        <v>58544.97</v>
      </c>
    </row>
    <row r="31" spans="2:12" x14ac:dyDescent="0.25">
      <c r="B31" s="936"/>
      <c r="C31" s="244"/>
      <c r="D31" s="480">
        <v>40000</v>
      </c>
      <c r="E31" s="379">
        <f>$D$31*E13</f>
        <v>4188</v>
      </c>
      <c r="F31" s="342">
        <f>$D$31*F13</f>
        <v>616</v>
      </c>
      <c r="G31" s="342">
        <f>$D$31*G13</f>
        <v>2400</v>
      </c>
      <c r="H31" s="342">
        <f>$D$31*H13</f>
        <v>368</v>
      </c>
      <c r="I31" s="342">
        <v>18.57</v>
      </c>
      <c r="J31" s="344">
        <f>$D$31*J13</f>
        <v>1200</v>
      </c>
      <c r="K31" s="490">
        <f t="shared" si="0"/>
        <v>8790.57</v>
      </c>
      <c r="L31" s="484">
        <f t="shared" si="1"/>
        <v>48790.57</v>
      </c>
    </row>
    <row r="32" spans="2:12" x14ac:dyDescent="0.25">
      <c r="B32" s="936"/>
      <c r="C32" s="244"/>
      <c r="D32" s="480">
        <v>35000</v>
      </c>
      <c r="E32" s="379">
        <f>$D$32*E13</f>
        <v>3664.5</v>
      </c>
      <c r="F32" s="342">
        <f>$D$32*F13</f>
        <v>539</v>
      </c>
      <c r="G32" s="342">
        <f>$D$32*G13</f>
        <v>2100</v>
      </c>
      <c r="H32" s="342">
        <f>$D$32*H13</f>
        <v>322</v>
      </c>
      <c r="I32" s="342">
        <v>18.57</v>
      </c>
      <c r="J32" s="344">
        <f>$D$32*J13</f>
        <v>1050</v>
      </c>
      <c r="K32" s="490">
        <f t="shared" si="0"/>
        <v>7694.07</v>
      </c>
      <c r="L32" s="484">
        <f t="shared" si="1"/>
        <v>42694.07</v>
      </c>
    </row>
    <row r="33" spans="2:27" x14ac:dyDescent="0.25">
      <c r="B33" s="936"/>
      <c r="C33" s="244"/>
      <c r="D33" s="480">
        <v>38000</v>
      </c>
      <c r="E33" s="379">
        <f>$D$33*E13</f>
        <v>3978.6</v>
      </c>
      <c r="F33" s="342">
        <f>$D$33*F13</f>
        <v>585.20000000000005</v>
      </c>
      <c r="G33" s="342">
        <f>$D$33*G13</f>
        <v>2280</v>
      </c>
      <c r="H33" s="342">
        <f>$D$33*H13</f>
        <v>349.59999999999997</v>
      </c>
      <c r="I33" s="342">
        <v>18.57</v>
      </c>
      <c r="J33" s="344">
        <f>$D$33*J13</f>
        <v>1140</v>
      </c>
      <c r="K33" s="490">
        <f t="shared" si="0"/>
        <v>8351.9700000000012</v>
      </c>
      <c r="L33" s="484">
        <f t="shared" si="1"/>
        <v>46351.97</v>
      </c>
    </row>
    <row r="34" spans="2:27" ht="15.75" thickBot="1" x14ac:dyDescent="0.3">
      <c r="B34" s="937"/>
      <c r="C34" s="475"/>
      <c r="D34" s="481">
        <v>42000</v>
      </c>
      <c r="E34" s="380">
        <f>$D$34*E13</f>
        <v>4397.3999999999996</v>
      </c>
      <c r="F34" s="365">
        <f>$D$34*F13</f>
        <v>646.80000000000007</v>
      </c>
      <c r="G34" s="365">
        <f>$D$34*G13</f>
        <v>2520</v>
      </c>
      <c r="H34" s="365">
        <f>$D$34*H13</f>
        <v>386.4</v>
      </c>
      <c r="I34" s="365">
        <v>18.57</v>
      </c>
      <c r="J34" s="366">
        <f>$D$34*J13</f>
        <v>1260</v>
      </c>
      <c r="K34" s="491">
        <f t="shared" si="0"/>
        <v>9229.1699999999983</v>
      </c>
      <c r="L34" s="485">
        <f t="shared" si="1"/>
        <v>51229.17</v>
      </c>
    </row>
    <row r="37" spans="2:27" ht="15.75" thickBot="1" x14ac:dyDescent="0.3"/>
    <row r="38" spans="2:27" ht="27" thickBot="1" x14ac:dyDescent="0.45">
      <c r="B38" s="744" t="s">
        <v>223</v>
      </c>
      <c r="C38" s="745"/>
      <c r="D38" s="745"/>
      <c r="E38" s="745"/>
      <c r="F38" s="745"/>
      <c r="G38" s="745"/>
      <c r="H38" s="745"/>
      <c r="I38" s="745"/>
      <c r="J38" s="745"/>
      <c r="K38" s="745"/>
      <c r="L38" s="745"/>
      <c r="M38" s="745"/>
      <c r="N38" s="745"/>
      <c r="O38" s="745"/>
      <c r="P38" s="745"/>
      <c r="Q38" s="745"/>
      <c r="R38" s="745"/>
      <c r="S38" s="745"/>
      <c r="T38" s="745"/>
      <c r="U38" s="745"/>
      <c r="V38" s="745"/>
      <c r="W38" s="745"/>
      <c r="X38" s="745"/>
      <c r="Y38" s="745"/>
      <c r="Z38" s="745"/>
      <c r="AA38" s="746"/>
    </row>
    <row r="39" spans="2:27" ht="15.75" x14ac:dyDescent="0.25">
      <c r="B39" s="926" t="s">
        <v>209</v>
      </c>
      <c r="C39" s="928" t="s">
        <v>42</v>
      </c>
      <c r="D39" s="928"/>
      <c r="E39" s="928" t="s">
        <v>43</v>
      </c>
      <c r="F39" s="928"/>
      <c r="G39" s="928" t="s">
        <v>44</v>
      </c>
      <c r="H39" s="928"/>
      <c r="I39" s="928" t="s">
        <v>45</v>
      </c>
      <c r="J39" s="928"/>
      <c r="K39" s="928" t="s">
        <v>46</v>
      </c>
      <c r="L39" s="928"/>
      <c r="M39" s="928" t="s">
        <v>221</v>
      </c>
      <c r="N39" s="928"/>
      <c r="O39" s="928" t="s">
        <v>48</v>
      </c>
      <c r="P39" s="928"/>
      <c r="Q39" s="928" t="s">
        <v>49</v>
      </c>
      <c r="R39" s="928"/>
      <c r="S39" s="928" t="s">
        <v>50</v>
      </c>
      <c r="T39" s="928"/>
      <c r="U39" s="928" t="s">
        <v>51</v>
      </c>
      <c r="V39" s="928"/>
      <c r="W39" s="928" t="s">
        <v>52</v>
      </c>
      <c r="X39" s="928"/>
      <c r="Y39" s="928" t="s">
        <v>222</v>
      </c>
      <c r="Z39" s="928"/>
      <c r="AA39" s="929" t="s">
        <v>162</v>
      </c>
    </row>
    <row r="40" spans="2:27" ht="15.75" x14ac:dyDescent="0.25">
      <c r="B40" s="927"/>
      <c r="C40" s="493" t="s">
        <v>63</v>
      </c>
      <c r="D40" s="493" t="s">
        <v>112</v>
      </c>
      <c r="E40" s="493" t="s">
        <v>63</v>
      </c>
      <c r="F40" s="493" t="s">
        <v>112</v>
      </c>
      <c r="G40" s="493" t="s">
        <v>63</v>
      </c>
      <c r="H40" s="493" t="s">
        <v>112</v>
      </c>
      <c r="I40" s="493" t="s">
        <v>63</v>
      </c>
      <c r="J40" s="493" t="s">
        <v>112</v>
      </c>
      <c r="K40" s="493" t="s">
        <v>63</v>
      </c>
      <c r="L40" s="493" t="s">
        <v>112</v>
      </c>
      <c r="M40" s="493" t="s">
        <v>63</v>
      </c>
      <c r="N40" s="493" t="s">
        <v>112</v>
      </c>
      <c r="O40" s="493" t="s">
        <v>63</v>
      </c>
      <c r="P40" s="493" t="s">
        <v>112</v>
      </c>
      <c r="Q40" s="493" t="s">
        <v>63</v>
      </c>
      <c r="R40" s="493" t="s">
        <v>112</v>
      </c>
      <c r="S40" s="493" t="s">
        <v>63</v>
      </c>
      <c r="T40" s="493" t="s">
        <v>112</v>
      </c>
      <c r="U40" s="493" t="s">
        <v>63</v>
      </c>
      <c r="V40" s="493" t="s">
        <v>112</v>
      </c>
      <c r="W40" s="493" t="s">
        <v>63</v>
      </c>
      <c r="X40" s="493" t="s">
        <v>112</v>
      </c>
      <c r="Y40" s="493" t="s">
        <v>63</v>
      </c>
      <c r="Z40" s="493" t="s">
        <v>112</v>
      </c>
      <c r="AA40" s="930"/>
    </row>
    <row r="41" spans="2:27" x14ac:dyDescent="0.25">
      <c r="B41" s="507"/>
      <c r="C41" s="391">
        <v>1</v>
      </c>
      <c r="D41" s="392">
        <f>C41*$L$14</f>
        <v>97562.57</v>
      </c>
      <c r="E41" s="391">
        <v>1</v>
      </c>
      <c r="F41" s="392">
        <f>E41*$L$14</f>
        <v>97562.57</v>
      </c>
      <c r="G41" s="391">
        <v>1</v>
      </c>
      <c r="H41" s="392">
        <f>G41*$L$14</f>
        <v>97562.57</v>
      </c>
      <c r="I41" s="391">
        <v>1</v>
      </c>
      <c r="J41" s="392">
        <f>I41*$L$14</f>
        <v>97562.57</v>
      </c>
      <c r="K41" s="391">
        <v>1</v>
      </c>
      <c r="L41" s="392">
        <f>K41*$L$14</f>
        <v>97562.57</v>
      </c>
      <c r="M41" s="391">
        <v>1</v>
      </c>
      <c r="N41" s="392">
        <f>M41*$L$14*1.5</f>
        <v>146343.85500000001</v>
      </c>
      <c r="O41" s="391">
        <v>1</v>
      </c>
      <c r="P41" s="392">
        <f>O41*$L$14</f>
        <v>97562.57</v>
      </c>
      <c r="Q41" s="391">
        <v>1</v>
      </c>
      <c r="R41" s="392">
        <f>Q41*$L$14</f>
        <v>97562.57</v>
      </c>
      <c r="S41" s="391">
        <v>1</v>
      </c>
      <c r="T41" s="392">
        <f>S41*$L$14</f>
        <v>97562.57</v>
      </c>
      <c r="U41" s="391">
        <v>1</v>
      </c>
      <c r="V41" s="392">
        <f>U41*$L$14</f>
        <v>97562.57</v>
      </c>
      <c r="W41" s="391">
        <v>1</v>
      </c>
      <c r="X41" s="392">
        <f>W41*$L$14</f>
        <v>97562.57</v>
      </c>
      <c r="Y41" s="391">
        <v>1</v>
      </c>
      <c r="Z41" s="392">
        <f>Y41*$L$14*1.5</f>
        <v>146343.85500000001</v>
      </c>
      <c r="AA41" s="508">
        <f>D41+F41+H41+J41+L41+N41+P41+R41+T41+V41+X41+Z41</f>
        <v>1268313.4100000004</v>
      </c>
    </row>
    <row r="42" spans="2:27" x14ac:dyDescent="0.25">
      <c r="B42" s="509"/>
      <c r="C42" s="391">
        <v>1</v>
      </c>
      <c r="D42" s="392">
        <f>C42*$L$15</f>
        <v>73176.570000000007</v>
      </c>
      <c r="E42" s="391">
        <v>1</v>
      </c>
      <c r="F42" s="392">
        <f>E42*$L$15</f>
        <v>73176.570000000007</v>
      </c>
      <c r="G42" s="391">
        <v>1</v>
      </c>
      <c r="H42" s="392">
        <f>G42*$L$15</f>
        <v>73176.570000000007</v>
      </c>
      <c r="I42" s="391">
        <v>1</v>
      </c>
      <c r="J42" s="392">
        <f>I42*$L$15</f>
        <v>73176.570000000007</v>
      </c>
      <c r="K42" s="391">
        <v>1</v>
      </c>
      <c r="L42" s="392">
        <f>K42*$L$15</f>
        <v>73176.570000000007</v>
      </c>
      <c r="M42" s="391">
        <v>1</v>
      </c>
      <c r="N42" s="392">
        <f>M42*$L$15*1.5</f>
        <v>109764.85500000001</v>
      </c>
      <c r="O42" s="391">
        <v>1</v>
      </c>
      <c r="P42" s="392">
        <f>O42*$L$15</f>
        <v>73176.570000000007</v>
      </c>
      <c r="Q42" s="391">
        <v>1</v>
      </c>
      <c r="R42" s="392">
        <f>Q42*$L$15</f>
        <v>73176.570000000007</v>
      </c>
      <c r="S42" s="391">
        <v>1</v>
      </c>
      <c r="T42" s="392">
        <f>S42*$L$15</f>
        <v>73176.570000000007</v>
      </c>
      <c r="U42" s="391">
        <v>1</v>
      </c>
      <c r="V42" s="392">
        <f>U42*$L$15</f>
        <v>73176.570000000007</v>
      </c>
      <c r="W42" s="391">
        <v>1</v>
      </c>
      <c r="X42" s="392">
        <f>W42*$L$15</f>
        <v>73176.570000000007</v>
      </c>
      <c r="Y42" s="391">
        <v>1</v>
      </c>
      <c r="Z42" s="392">
        <f>Y42*$L$15*1.5</f>
        <v>109764.85500000001</v>
      </c>
      <c r="AA42" s="508">
        <f t="shared" ref="AA42:AA50" si="2">D42+F42+H42+J42+L42+N42+P42+R42+T42+V42+X42+Z42</f>
        <v>951295.41000000038</v>
      </c>
    </row>
    <row r="43" spans="2:27" x14ac:dyDescent="0.25">
      <c r="B43" s="509"/>
      <c r="C43" s="391">
        <v>1</v>
      </c>
      <c r="D43" s="392">
        <f>C43*$L$27</f>
        <v>63422.17</v>
      </c>
      <c r="E43" s="391">
        <v>1</v>
      </c>
      <c r="F43" s="392">
        <f>E43*$L$27</f>
        <v>63422.17</v>
      </c>
      <c r="G43" s="391">
        <v>1</v>
      </c>
      <c r="H43" s="392">
        <f>G43*$L$27</f>
        <v>63422.17</v>
      </c>
      <c r="I43" s="391">
        <v>1</v>
      </c>
      <c r="J43" s="392">
        <f>I43*$L$27</f>
        <v>63422.17</v>
      </c>
      <c r="K43" s="391">
        <v>1</v>
      </c>
      <c r="L43" s="392">
        <f>K43*$L$27</f>
        <v>63422.17</v>
      </c>
      <c r="M43" s="391">
        <v>1</v>
      </c>
      <c r="N43" s="392">
        <f>M43*$L$27*1.5</f>
        <v>95133.255000000005</v>
      </c>
      <c r="O43" s="391">
        <v>1</v>
      </c>
      <c r="P43" s="392">
        <f>O43*$L$27</f>
        <v>63422.17</v>
      </c>
      <c r="Q43" s="391">
        <v>1</v>
      </c>
      <c r="R43" s="392">
        <f>Q43*$L$27</f>
        <v>63422.17</v>
      </c>
      <c r="S43" s="391">
        <v>1</v>
      </c>
      <c r="T43" s="392">
        <f>S43*$L$27</f>
        <v>63422.17</v>
      </c>
      <c r="U43" s="391">
        <v>1</v>
      </c>
      <c r="V43" s="392">
        <f>U43*$L$27</f>
        <v>63422.17</v>
      </c>
      <c r="W43" s="391">
        <v>1</v>
      </c>
      <c r="X43" s="392">
        <f>W43*$L$27</f>
        <v>63422.17</v>
      </c>
      <c r="Y43" s="391">
        <v>1</v>
      </c>
      <c r="Z43" s="392">
        <f>Y43*$L$27*1.5</f>
        <v>95133.255000000005</v>
      </c>
      <c r="AA43" s="508">
        <f t="shared" si="2"/>
        <v>824488.21000000008</v>
      </c>
    </row>
    <row r="44" spans="2:27" x14ac:dyDescent="0.25">
      <c r="B44" s="509"/>
      <c r="C44" s="391">
        <v>0</v>
      </c>
      <c r="D44" s="392">
        <v>0</v>
      </c>
      <c r="E44" s="391">
        <v>0</v>
      </c>
      <c r="F44" s="392">
        <v>0</v>
      </c>
      <c r="G44" s="391">
        <v>0</v>
      </c>
      <c r="H44" s="392">
        <v>0</v>
      </c>
      <c r="I44" s="391">
        <v>0</v>
      </c>
      <c r="J44" s="392">
        <v>0</v>
      </c>
      <c r="K44" s="391">
        <v>0</v>
      </c>
      <c r="L44" s="392">
        <v>0</v>
      </c>
      <c r="M44" s="391">
        <v>0</v>
      </c>
      <c r="N44" s="392">
        <v>0</v>
      </c>
      <c r="O44" s="391">
        <v>0</v>
      </c>
      <c r="P44" s="392">
        <v>0</v>
      </c>
      <c r="Q44" s="391">
        <v>0</v>
      </c>
      <c r="R44" s="392">
        <v>0</v>
      </c>
      <c r="S44" s="391">
        <v>0</v>
      </c>
      <c r="T44" s="392">
        <v>0</v>
      </c>
      <c r="U44" s="391">
        <v>0</v>
      </c>
      <c r="V44" s="392">
        <v>0</v>
      </c>
      <c r="W44" s="495">
        <v>1</v>
      </c>
      <c r="X44" s="392">
        <f>$L$28*W44</f>
        <v>51229.17</v>
      </c>
      <c r="Y44" s="391">
        <v>1</v>
      </c>
      <c r="Z44" s="392">
        <f>$L$28*Y44*(1+2/12)</f>
        <v>59767.365000000005</v>
      </c>
      <c r="AA44" s="508">
        <f t="shared" si="2"/>
        <v>110996.535</v>
      </c>
    </row>
    <row r="45" spans="2:27" x14ac:dyDescent="0.25">
      <c r="B45" s="509"/>
      <c r="C45" s="391">
        <v>1</v>
      </c>
      <c r="D45" s="392">
        <f>C45*$L$30</f>
        <v>58544.97</v>
      </c>
      <c r="E45" s="391">
        <v>1</v>
      </c>
      <c r="F45" s="392">
        <f>E45*$L$30</f>
        <v>58544.97</v>
      </c>
      <c r="G45" s="391">
        <v>1</v>
      </c>
      <c r="H45" s="392">
        <f>G45*$L$30</f>
        <v>58544.97</v>
      </c>
      <c r="I45" s="391">
        <v>1</v>
      </c>
      <c r="J45" s="392">
        <f>I45*$L$30</f>
        <v>58544.97</v>
      </c>
      <c r="K45" s="391">
        <v>1</v>
      </c>
      <c r="L45" s="392">
        <f>K45*$L$30</f>
        <v>58544.97</v>
      </c>
      <c r="M45" s="391">
        <v>1</v>
      </c>
      <c r="N45" s="392">
        <f>M45*$L$30*1.5</f>
        <v>87817.455000000002</v>
      </c>
      <c r="O45" s="391">
        <v>1</v>
      </c>
      <c r="P45" s="392">
        <f>O45*$L$30</f>
        <v>58544.97</v>
      </c>
      <c r="Q45" s="391">
        <v>1</v>
      </c>
      <c r="R45" s="392">
        <f>Q45*$L$30</f>
        <v>58544.97</v>
      </c>
      <c r="S45" s="391">
        <v>1</v>
      </c>
      <c r="T45" s="392">
        <f>S45*$L$30</f>
        <v>58544.97</v>
      </c>
      <c r="U45" s="391">
        <v>1</v>
      </c>
      <c r="V45" s="392">
        <f>U45*$L$30</f>
        <v>58544.97</v>
      </c>
      <c r="W45" s="391">
        <v>1</v>
      </c>
      <c r="X45" s="392">
        <f>W45*$L$30</f>
        <v>58544.97</v>
      </c>
      <c r="Y45" s="391">
        <v>1</v>
      </c>
      <c r="Z45" s="392">
        <f>Y45*$L$30*1.5</f>
        <v>87817.455000000002</v>
      </c>
      <c r="AA45" s="508">
        <f t="shared" si="2"/>
        <v>761084.60999999987</v>
      </c>
    </row>
    <row r="46" spans="2:27" x14ac:dyDescent="0.25">
      <c r="B46" s="509"/>
      <c r="C46" s="391">
        <v>1</v>
      </c>
      <c r="D46" s="392">
        <f>C46*$L$31</f>
        <v>48790.57</v>
      </c>
      <c r="E46" s="391">
        <v>1</v>
      </c>
      <c r="F46" s="392">
        <f>E46*$L$31</f>
        <v>48790.57</v>
      </c>
      <c r="G46" s="391">
        <v>1</v>
      </c>
      <c r="H46" s="392">
        <f>G46*$L$31</f>
        <v>48790.57</v>
      </c>
      <c r="I46" s="391">
        <v>1</v>
      </c>
      <c r="J46" s="392">
        <f>I46*$L$31</f>
        <v>48790.57</v>
      </c>
      <c r="K46" s="391">
        <v>1</v>
      </c>
      <c r="L46" s="392">
        <f>K46*$L$31</f>
        <v>48790.57</v>
      </c>
      <c r="M46" s="391">
        <v>1</v>
      </c>
      <c r="N46" s="392">
        <f>M46*$L$31*1.5</f>
        <v>73185.854999999996</v>
      </c>
      <c r="O46" s="391">
        <v>1</v>
      </c>
      <c r="P46" s="392">
        <f>O46*$L$31</f>
        <v>48790.57</v>
      </c>
      <c r="Q46" s="391">
        <v>1</v>
      </c>
      <c r="R46" s="392">
        <f>Q46*$L$31</f>
        <v>48790.57</v>
      </c>
      <c r="S46" s="391">
        <v>1</v>
      </c>
      <c r="T46" s="392">
        <f>S46*$L$31</f>
        <v>48790.57</v>
      </c>
      <c r="U46" s="391">
        <v>1</v>
      </c>
      <c r="V46" s="392">
        <f>U46*$L$31</f>
        <v>48790.57</v>
      </c>
      <c r="W46" s="391">
        <v>1</v>
      </c>
      <c r="X46" s="392">
        <f>W46*$L$31</f>
        <v>48790.57</v>
      </c>
      <c r="Y46" s="391">
        <v>1</v>
      </c>
      <c r="Z46" s="392">
        <f>Y46*$L$31*1.5</f>
        <v>73185.854999999996</v>
      </c>
      <c r="AA46" s="508">
        <f t="shared" si="2"/>
        <v>634277.41</v>
      </c>
    </row>
    <row r="47" spans="2:27" x14ac:dyDescent="0.25">
      <c r="B47" s="509"/>
      <c r="C47" s="391">
        <v>1</v>
      </c>
      <c r="D47" s="392">
        <f>C47*$L$23</f>
        <v>39036.17</v>
      </c>
      <c r="E47" s="391">
        <v>1</v>
      </c>
      <c r="F47" s="392">
        <f>E47*$L$23</f>
        <v>39036.17</v>
      </c>
      <c r="G47" s="391">
        <v>1</v>
      </c>
      <c r="H47" s="392">
        <f>G47*$L$23</f>
        <v>39036.17</v>
      </c>
      <c r="I47" s="391">
        <v>1</v>
      </c>
      <c r="J47" s="392">
        <f>I47*$L$23</f>
        <v>39036.17</v>
      </c>
      <c r="K47" s="391">
        <v>1</v>
      </c>
      <c r="L47" s="392">
        <f>K47*$L$23</f>
        <v>39036.17</v>
      </c>
      <c r="M47" s="391">
        <v>1</v>
      </c>
      <c r="N47" s="392">
        <f>M47*$L$23*1.5</f>
        <v>58554.254999999997</v>
      </c>
      <c r="O47" s="391">
        <v>1</v>
      </c>
      <c r="P47" s="392">
        <f>O47*$L$23</f>
        <v>39036.17</v>
      </c>
      <c r="Q47" s="391">
        <v>1</v>
      </c>
      <c r="R47" s="392">
        <f>Q47*$L$23</f>
        <v>39036.17</v>
      </c>
      <c r="S47" s="391">
        <v>1</v>
      </c>
      <c r="T47" s="392">
        <f>S47*$L$23</f>
        <v>39036.17</v>
      </c>
      <c r="U47" s="391">
        <v>1</v>
      </c>
      <c r="V47" s="392">
        <f>U47*$L$23</f>
        <v>39036.17</v>
      </c>
      <c r="W47" s="391">
        <v>1</v>
      </c>
      <c r="X47" s="392">
        <f>W47*$L$23</f>
        <v>39036.17</v>
      </c>
      <c r="Y47" s="391">
        <v>1</v>
      </c>
      <c r="Z47" s="392">
        <f>Y47*$L$23*1.5</f>
        <v>58554.254999999997</v>
      </c>
      <c r="AA47" s="508">
        <f t="shared" si="2"/>
        <v>507470.2099999999</v>
      </c>
    </row>
    <row r="48" spans="2:27" x14ac:dyDescent="0.25">
      <c r="B48" s="509"/>
      <c r="C48" s="391">
        <v>2</v>
      </c>
      <c r="D48" s="392">
        <f>C48*$L$26</f>
        <v>78072.34</v>
      </c>
      <c r="E48" s="391">
        <v>2</v>
      </c>
      <c r="F48" s="392">
        <f>E48*$L$26</f>
        <v>78072.34</v>
      </c>
      <c r="G48" s="391">
        <v>2</v>
      </c>
      <c r="H48" s="392">
        <f>G48*$L$26</f>
        <v>78072.34</v>
      </c>
      <c r="I48" s="391">
        <v>2</v>
      </c>
      <c r="J48" s="392">
        <f>I48*$L$26</f>
        <v>78072.34</v>
      </c>
      <c r="K48" s="391">
        <v>2</v>
      </c>
      <c r="L48" s="392">
        <f>K48*$L$26</f>
        <v>78072.34</v>
      </c>
      <c r="M48" s="391">
        <v>2</v>
      </c>
      <c r="N48" s="392">
        <f>M48*$L$26*1.5</f>
        <v>117108.51</v>
      </c>
      <c r="O48" s="391">
        <v>2</v>
      </c>
      <c r="P48" s="392">
        <f>O48*$L$26</f>
        <v>78072.34</v>
      </c>
      <c r="Q48" s="391">
        <v>2</v>
      </c>
      <c r="R48" s="392">
        <f>Q48*$L$26</f>
        <v>78072.34</v>
      </c>
      <c r="S48" s="391">
        <v>2</v>
      </c>
      <c r="T48" s="392">
        <f>S48*$L$26</f>
        <v>78072.34</v>
      </c>
      <c r="U48" s="391">
        <v>2</v>
      </c>
      <c r="V48" s="392">
        <f>U48*$L$26</f>
        <v>78072.34</v>
      </c>
      <c r="W48" s="391">
        <v>2</v>
      </c>
      <c r="X48" s="392">
        <f>W48*$L$26</f>
        <v>78072.34</v>
      </c>
      <c r="Y48" s="391">
        <v>2</v>
      </c>
      <c r="Z48" s="392">
        <f>Y48*$L$26*1.5</f>
        <v>117108.51</v>
      </c>
      <c r="AA48" s="508">
        <f t="shared" si="2"/>
        <v>1014940.4199999998</v>
      </c>
    </row>
    <row r="49" spans="2:27" x14ac:dyDescent="0.25">
      <c r="B49" s="509"/>
      <c r="C49" s="391">
        <v>2</v>
      </c>
      <c r="D49" s="392">
        <f>C49*$L$24</f>
        <v>78072.34</v>
      </c>
      <c r="E49" s="391">
        <v>2</v>
      </c>
      <c r="F49" s="392">
        <f>E49*$L$24</f>
        <v>78072.34</v>
      </c>
      <c r="G49" s="391">
        <v>2</v>
      </c>
      <c r="H49" s="392">
        <f>G49*$L$24</f>
        <v>78072.34</v>
      </c>
      <c r="I49" s="391">
        <v>2</v>
      </c>
      <c r="J49" s="392">
        <f>I49*$L$24</f>
        <v>78072.34</v>
      </c>
      <c r="K49" s="391">
        <v>2</v>
      </c>
      <c r="L49" s="392">
        <f>K49*$L$24</f>
        <v>78072.34</v>
      </c>
      <c r="M49" s="391">
        <v>2</v>
      </c>
      <c r="N49" s="392">
        <f>M49*$L$24*1.5</f>
        <v>117108.51</v>
      </c>
      <c r="O49" s="391">
        <v>2</v>
      </c>
      <c r="P49" s="392">
        <f>O49*$L$24</f>
        <v>78072.34</v>
      </c>
      <c r="Q49" s="391">
        <v>2</v>
      </c>
      <c r="R49" s="392">
        <f>Q49*$L$24</f>
        <v>78072.34</v>
      </c>
      <c r="S49" s="391">
        <v>2</v>
      </c>
      <c r="T49" s="392">
        <f>S49*$L$24</f>
        <v>78072.34</v>
      </c>
      <c r="U49" s="391">
        <v>2</v>
      </c>
      <c r="V49" s="392">
        <f>U49*$L$24</f>
        <v>78072.34</v>
      </c>
      <c r="W49" s="391">
        <v>2</v>
      </c>
      <c r="X49" s="392">
        <f>W49*$L$24</f>
        <v>78072.34</v>
      </c>
      <c r="Y49" s="391">
        <v>2</v>
      </c>
      <c r="Z49" s="392">
        <f>Y49*$L$24*1.5</f>
        <v>117108.51</v>
      </c>
      <c r="AA49" s="508">
        <f t="shared" si="2"/>
        <v>1014940.4199999998</v>
      </c>
    </row>
    <row r="50" spans="2:27" x14ac:dyDescent="0.25">
      <c r="B50" s="507"/>
      <c r="C50" s="391">
        <v>1</v>
      </c>
      <c r="D50" s="392">
        <f>C50*$L$25</f>
        <v>19527.37</v>
      </c>
      <c r="E50" s="391">
        <v>1</v>
      </c>
      <c r="F50" s="392">
        <f>E50*$L$25</f>
        <v>19527.37</v>
      </c>
      <c r="G50" s="391">
        <v>1</v>
      </c>
      <c r="H50" s="392">
        <f>G50*$L$25</f>
        <v>19527.37</v>
      </c>
      <c r="I50" s="391">
        <v>1</v>
      </c>
      <c r="J50" s="392">
        <f>I50*$L$25</f>
        <v>19527.37</v>
      </c>
      <c r="K50" s="391">
        <v>1</v>
      </c>
      <c r="L50" s="392">
        <f>K50*$L$25</f>
        <v>19527.37</v>
      </c>
      <c r="M50" s="391">
        <v>1</v>
      </c>
      <c r="N50" s="392">
        <f>M50*$L$25*1.5</f>
        <v>29291.055</v>
      </c>
      <c r="O50" s="391">
        <v>1</v>
      </c>
      <c r="P50" s="392">
        <f>O50*$L$25</f>
        <v>19527.37</v>
      </c>
      <c r="Q50" s="391">
        <v>1</v>
      </c>
      <c r="R50" s="392">
        <f>Q50*$L$25</f>
        <v>19527.37</v>
      </c>
      <c r="S50" s="391">
        <v>1</v>
      </c>
      <c r="T50" s="392">
        <f>S50*$L$25</f>
        <v>19527.37</v>
      </c>
      <c r="U50" s="391">
        <v>1</v>
      </c>
      <c r="V50" s="392">
        <f>U50*$L$25</f>
        <v>19527.37</v>
      </c>
      <c r="W50" s="391">
        <v>1</v>
      </c>
      <c r="X50" s="392">
        <f>W50*$L$25</f>
        <v>19527.37</v>
      </c>
      <c r="Y50" s="391">
        <v>1</v>
      </c>
      <c r="Z50" s="392">
        <f>Y50*$L$25*1.5</f>
        <v>29291.055</v>
      </c>
      <c r="AA50" s="508">
        <f t="shared" si="2"/>
        <v>253855.80999999997</v>
      </c>
    </row>
    <row r="51" spans="2:27" ht="16.5" thickBot="1" x14ac:dyDescent="0.3">
      <c r="B51" s="510" t="s">
        <v>224</v>
      </c>
      <c r="C51" s="511">
        <f t="shared" ref="C51:Z51" si="3">SUM(C41:C50)</f>
        <v>11</v>
      </c>
      <c r="D51" s="512">
        <f t="shared" si="3"/>
        <v>556205.06999999995</v>
      </c>
      <c r="E51" s="511">
        <f t="shared" si="3"/>
        <v>11</v>
      </c>
      <c r="F51" s="512">
        <f t="shared" si="3"/>
        <v>556205.06999999995</v>
      </c>
      <c r="G51" s="511">
        <f t="shared" si="3"/>
        <v>11</v>
      </c>
      <c r="H51" s="512">
        <f t="shared" si="3"/>
        <v>556205.06999999995</v>
      </c>
      <c r="I51" s="511">
        <f t="shared" si="3"/>
        <v>11</v>
      </c>
      <c r="J51" s="512">
        <f t="shared" si="3"/>
        <v>556205.06999999995</v>
      </c>
      <c r="K51" s="511">
        <f t="shared" si="3"/>
        <v>11</v>
      </c>
      <c r="L51" s="512">
        <f t="shared" si="3"/>
        <v>556205.06999999995</v>
      </c>
      <c r="M51" s="511">
        <f t="shared" si="3"/>
        <v>11</v>
      </c>
      <c r="N51" s="512">
        <f t="shared" si="3"/>
        <v>834307.6050000001</v>
      </c>
      <c r="O51" s="511">
        <f t="shared" si="3"/>
        <v>11</v>
      </c>
      <c r="P51" s="512">
        <f t="shared" si="3"/>
        <v>556205.06999999995</v>
      </c>
      <c r="Q51" s="511">
        <f t="shared" si="3"/>
        <v>11</v>
      </c>
      <c r="R51" s="512">
        <f t="shared" si="3"/>
        <v>556205.06999999995</v>
      </c>
      <c r="S51" s="511">
        <f t="shared" si="3"/>
        <v>11</v>
      </c>
      <c r="T51" s="512">
        <f t="shared" si="3"/>
        <v>556205.06999999995</v>
      </c>
      <c r="U51" s="511">
        <f t="shared" si="3"/>
        <v>11</v>
      </c>
      <c r="V51" s="512">
        <f t="shared" si="3"/>
        <v>556205.06999999995</v>
      </c>
      <c r="W51" s="511">
        <f t="shared" si="3"/>
        <v>12</v>
      </c>
      <c r="X51" s="512">
        <f t="shared" si="3"/>
        <v>607434.23999999987</v>
      </c>
      <c r="Y51" s="511">
        <f t="shared" si="3"/>
        <v>12</v>
      </c>
      <c r="Z51" s="512">
        <f t="shared" si="3"/>
        <v>894074.97000000009</v>
      </c>
      <c r="AA51" s="513">
        <f>Z51+X51+V51+T51+R51+P51+N51+L51+J51+H51+F51+D51</f>
        <v>7341662.4450000012</v>
      </c>
    </row>
    <row r="54" spans="2:27" ht="15.75" thickBot="1" x14ac:dyDescent="0.3"/>
    <row r="55" spans="2:27" ht="27" thickBot="1" x14ac:dyDescent="0.45">
      <c r="B55" s="744" t="s">
        <v>225</v>
      </c>
      <c r="C55" s="745"/>
      <c r="D55" s="745"/>
      <c r="E55" s="745"/>
      <c r="F55" s="745"/>
      <c r="G55" s="745"/>
      <c r="H55" s="745"/>
      <c r="I55" s="745"/>
      <c r="J55" s="745"/>
      <c r="K55" s="745"/>
      <c r="L55" s="745"/>
      <c r="M55" s="745"/>
      <c r="N55" s="745"/>
      <c r="O55" s="745"/>
      <c r="P55" s="745"/>
      <c r="Q55" s="745"/>
      <c r="R55" s="745"/>
      <c r="S55" s="745"/>
      <c r="T55" s="745"/>
      <c r="U55" s="745"/>
      <c r="V55" s="745"/>
      <c r="W55" s="745"/>
      <c r="X55" s="745"/>
      <c r="Y55" s="745"/>
      <c r="Z55" s="745"/>
      <c r="AA55" s="746"/>
    </row>
    <row r="56" spans="2:27" ht="15.75" x14ac:dyDescent="0.25">
      <c r="B56" s="926" t="s">
        <v>209</v>
      </c>
      <c r="C56" s="928" t="s">
        <v>42</v>
      </c>
      <c r="D56" s="928"/>
      <c r="E56" s="928" t="s">
        <v>43</v>
      </c>
      <c r="F56" s="928"/>
      <c r="G56" s="928" t="s">
        <v>44</v>
      </c>
      <c r="H56" s="928"/>
      <c r="I56" s="928" t="s">
        <v>45</v>
      </c>
      <c r="J56" s="928"/>
      <c r="K56" s="928" t="s">
        <v>46</v>
      </c>
      <c r="L56" s="928"/>
      <c r="M56" s="928" t="s">
        <v>221</v>
      </c>
      <c r="N56" s="928"/>
      <c r="O56" s="928" t="s">
        <v>48</v>
      </c>
      <c r="P56" s="928"/>
      <c r="Q56" s="928" t="s">
        <v>49</v>
      </c>
      <c r="R56" s="928"/>
      <c r="S56" s="928" t="s">
        <v>50</v>
      </c>
      <c r="T56" s="928"/>
      <c r="U56" s="928" t="s">
        <v>51</v>
      </c>
      <c r="V56" s="928"/>
      <c r="W56" s="928" t="s">
        <v>52</v>
      </c>
      <c r="X56" s="928"/>
      <c r="Y56" s="928" t="s">
        <v>222</v>
      </c>
      <c r="Z56" s="928"/>
      <c r="AA56" s="929" t="s">
        <v>162</v>
      </c>
    </row>
    <row r="57" spans="2:27" ht="15.75" x14ac:dyDescent="0.25">
      <c r="B57" s="927"/>
      <c r="C57" s="493" t="s">
        <v>63</v>
      </c>
      <c r="D57" s="493" t="s">
        <v>112</v>
      </c>
      <c r="E57" s="493" t="s">
        <v>63</v>
      </c>
      <c r="F57" s="493" t="s">
        <v>112</v>
      </c>
      <c r="G57" s="493" t="s">
        <v>63</v>
      </c>
      <c r="H57" s="493" t="s">
        <v>112</v>
      </c>
      <c r="I57" s="493" t="s">
        <v>63</v>
      </c>
      <c r="J57" s="493" t="s">
        <v>112</v>
      </c>
      <c r="K57" s="493" t="s">
        <v>63</v>
      </c>
      <c r="L57" s="493" t="s">
        <v>112</v>
      </c>
      <c r="M57" s="493" t="s">
        <v>63</v>
      </c>
      <c r="N57" s="493" t="s">
        <v>112</v>
      </c>
      <c r="O57" s="493" t="s">
        <v>63</v>
      </c>
      <c r="P57" s="493" t="s">
        <v>112</v>
      </c>
      <c r="Q57" s="493" t="s">
        <v>63</v>
      </c>
      <c r="R57" s="493" t="s">
        <v>112</v>
      </c>
      <c r="S57" s="493" t="s">
        <v>63</v>
      </c>
      <c r="T57" s="493" t="s">
        <v>112</v>
      </c>
      <c r="U57" s="493" t="s">
        <v>63</v>
      </c>
      <c r="V57" s="493" t="s">
        <v>112</v>
      </c>
      <c r="W57" s="493" t="s">
        <v>63</v>
      </c>
      <c r="X57" s="493" t="s">
        <v>112</v>
      </c>
      <c r="Y57" s="493" t="s">
        <v>63</v>
      </c>
      <c r="Z57" s="493" t="s">
        <v>112</v>
      </c>
      <c r="AA57" s="930"/>
    </row>
    <row r="58" spans="2:27" x14ac:dyDescent="0.25">
      <c r="B58" s="507"/>
      <c r="C58" s="391">
        <v>1</v>
      </c>
      <c r="D58" s="392">
        <f>C58*$L$14</f>
        <v>97562.57</v>
      </c>
      <c r="E58" s="391">
        <v>1</v>
      </c>
      <c r="F58" s="392">
        <f>E58*$L$14</f>
        <v>97562.57</v>
      </c>
      <c r="G58" s="391">
        <v>1</v>
      </c>
      <c r="H58" s="392">
        <f>G58*$L$14</f>
        <v>97562.57</v>
      </c>
      <c r="I58" s="391">
        <v>1</v>
      </c>
      <c r="J58" s="392">
        <f>I58*$L$14</f>
        <v>97562.57</v>
      </c>
      <c r="K58" s="391">
        <v>1</v>
      </c>
      <c r="L58" s="392">
        <f>K58*$L$14</f>
        <v>97562.57</v>
      </c>
      <c r="M58" s="391">
        <v>1</v>
      </c>
      <c r="N58" s="392">
        <f>M58*$L$14*1.5</f>
        <v>146343.85500000001</v>
      </c>
      <c r="O58" s="391">
        <v>1</v>
      </c>
      <c r="P58" s="392">
        <f>O58*$L$14</f>
        <v>97562.57</v>
      </c>
      <c r="Q58" s="391">
        <v>1</v>
      </c>
      <c r="R58" s="392">
        <f>Q58*$L$14</f>
        <v>97562.57</v>
      </c>
      <c r="S58" s="391">
        <v>1</v>
      </c>
      <c r="T58" s="392">
        <f>S58*$L$14</f>
        <v>97562.57</v>
      </c>
      <c r="U58" s="391">
        <v>1</v>
      </c>
      <c r="V58" s="392">
        <f>U58*$L$14</f>
        <v>97562.57</v>
      </c>
      <c r="W58" s="391">
        <v>1</v>
      </c>
      <c r="X58" s="392">
        <f>W58*$L$14</f>
        <v>97562.57</v>
      </c>
      <c r="Y58" s="391">
        <v>1</v>
      </c>
      <c r="Z58" s="392">
        <f>Y58*$L$14*1.5</f>
        <v>146343.85500000001</v>
      </c>
      <c r="AA58" s="508">
        <f>D58+F58+H58+J58+L58+N58+P58+R58+T58+V58+X58+Z58</f>
        <v>1268313.4100000004</v>
      </c>
    </row>
    <row r="59" spans="2:27" x14ac:dyDescent="0.25">
      <c r="B59" s="509"/>
      <c r="C59" s="391">
        <v>1</v>
      </c>
      <c r="D59" s="392">
        <f>C59*$L$15</f>
        <v>73176.570000000007</v>
      </c>
      <c r="E59" s="391">
        <v>1</v>
      </c>
      <c r="F59" s="392">
        <f>E59*$L$15</f>
        <v>73176.570000000007</v>
      </c>
      <c r="G59" s="391">
        <v>1</v>
      </c>
      <c r="H59" s="392">
        <f>G59*$L$15</f>
        <v>73176.570000000007</v>
      </c>
      <c r="I59" s="391">
        <v>1</v>
      </c>
      <c r="J59" s="392">
        <f>I59*$L$15</f>
        <v>73176.570000000007</v>
      </c>
      <c r="K59" s="391">
        <v>1</v>
      </c>
      <c r="L59" s="392">
        <f>K59*$L$15</f>
        <v>73176.570000000007</v>
      </c>
      <c r="M59" s="391">
        <v>1</v>
      </c>
      <c r="N59" s="392">
        <f>M59*$L$15*1.5</f>
        <v>109764.85500000001</v>
      </c>
      <c r="O59" s="391">
        <v>1</v>
      </c>
      <c r="P59" s="392">
        <f>O59*$L$15</f>
        <v>73176.570000000007</v>
      </c>
      <c r="Q59" s="391">
        <v>1</v>
      </c>
      <c r="R59" s="392">
        <f>Q59*$L$15</f>
        <v>73176.570000000007</v>
      </c>
      <c r="S59" s="391">
        <v>1</v>
      </c>
      <c r="T59" s="392">
        <f>S59*$L$15</f>
        <v>73176.570000000007</v>
      </c>
      <c r="U59" s="391">
        <v>1</v>
      </c>
      <c r="V59" s="392">
        <f>U59*$L$15</f>
        <v>73176.570000000007</v>
      </c>
      <c r="W59" s="391">
        <v>1</v>
      </c>
      <c r="X59" s="392">
        <f>W59*$L$15</f>
        <v>73176.570000000007</v>
      </c>
      <c r="Y59" s="391">
        <v>1</v>
      </c>
      <c r="Z59" s="392">
        <f>Y59*$L$15*1.5</f>
        <v>109764.85500000001</v>
      </c>
      <c r="AA59" s="508">
        <f t="shared" ref="AA59:AA68" si="4">D59+F59+H59+J59+L59+N59+P59+R59+T59+V59+X59+Z59</f>
        <v>951295.41000000038</v>
      </c>
    </row>
    <row r="60" spans="2:27" x14ac:dyDescent="0.25">
      <c r="B60" s="509"/>
      <c r="C60" s="391">
        <v>1</v>
      </c>
      <c r="D60" s="392">
        <f>C60*$L$27</f>
        <v>63422.17</v>
      </c>
      <c r="E60" s="391">
        <v>1</v>
      </c>
      <c r="F60" s="392">
        <f>E60*$L$27</f>
        <v>63422.17</v>
      </c>
      <c r="G60" s="391">
        <v>1</v>
      </c>
      <c r="H60" s="392">
        <f>G60*$L$27</f>
        <v>63422.17</v>
      </c>
      <c r="I60" s="391">
        <v>1</v>
      </c>
      <c r="J60" s="392">
        <f>I60*$L$27</f>
        <v>63422.17</v>
      </c>
      <c r="K60" s="391">
        <v>1</v>
      </c>
      <c r="L60" s="392">
        <f>K60*$L$27</f>
        <v>63422.17</v>
      </c>
      <c r="M60" s="391">
        <v>1</v>
      </c>
      <c r="N60" s="392">
        <f>M60*$L$27*1.5</f>
        <v>95133.255000000005</v>
      </c>
      <c r="O60" s="391">
        <v>1</v>
      </c>
      <c r="P60" s="392">
        <f>O60*$L$27</f>
        <v>63422.17</v>
      </c>
      <c r="Q60" s="391">
        <v>1</v>
      </c>
      <c r="R60" s="392">
        <f>Q60*$L$27</f>
        <v>63422.17</v>
      </c>
      <c r="S60" s="391">
        <v>1</v>
      </c>
      <c r="T60" s="392">
        <f>S60*$L$27</f>
        <v>63422.17</v>
      </c>
      <c r="U60" s="391">
        <v>1</v>
      </c>
      <c r="V60" s="392">
        <f>U60*$L$27</f>
        <v>63422.17</v>
      </c>
      <c r="W60" s="391">
        <v>1</v>
      </c>
      <c r="X60" s="392">
        <f>W60*$L$27</f>
        <v>63422.17</v>
      </c>
      <c r="Y60" s="391">
        <v>1</v>
      </c>
      <c r="Z60" s="392">
        <f>Y60*$L$27*1.5</f>
        <v>95133.255000000005</v>
      </c>
      <c r="AA60" s="508">
        <f t="shared" si="4"/>
        <v>824488.21000000008</v>
      </c>
    </row>
    <row r="61" spans="2:27" x14ac:dyDescent="0.25">
      <c r="B61" s="509"/>
      <c r="C61" s="391">
        <v>1</v>
      </c>
      <c r="D61" s="392">
        <f>C61*$L$28</f>
        <v>51229.17</v>
      </c>
      <c r="E61" s="391">
        <v>1</v>
      </c>
      <c r="F61" s="392">
        <f>E61*$L$28</f>
        <v>51229.17</v>
      </c>
      <c r="G61" s="391">
        <v>1</v>
      </c>
      <c r="H61" s="392">
        <f>G61*$L$28</f>
        <v>51229.17</v>
      </c>
      <c r="I61" s="391">
        <v>1</v>
      </c>
      <c r="J61" s="392">
        <f>I61*$L$28</f>
        <v>51229.17</v>
      </c>
      <c r="K61" s="391">
        <v>1</v>
      </c>
      <c r="L61" s="392">
        <f>K61*$L$28</f>
        <v>51229.17</v>
      </c>
      <c r="M61" s="391">
        <v>1</v>
      </c>
      <c r="N61" s="392">
        <f>$L$28*M61*(1+6/12)</f>
        <v>76843.755000000005</v>
      </c>
      <c r="O61" s="391">
        <v>1</v>
      </c>
      <c r="P61" s="392">
        <f>O61*$L$28</f>
        <v>51229.17</v>
      </c>
      <c r="Q61" s="391">
        <v>1</v>
      </c>
      <c r="R61" s="392">
        <f>Q61*$L$28</f>
        <v>51229.17</v>
      </c>
      <c r="S61" s="391">
        <v>1</v>
      </c>
      <c r="T61" s="392">
        <f>S61*$L$28</f>
        <v>51229.17</v>
      </c>
      <c r="U61" s="391">
        <v>1</v>
      </c>
      <c r="V61" s="392">
        <f>U61*$L$28</f>
        <v>51229.17</v>
      </c>
      <c r="W61" s="391">
        <v>1</v>
      </c>
      <c r="X61" s="392">
        <f>$L$28*W61</f>
        <v>51229.17</v>
      </c>
      <c r="Y61" s="391">
        <v>1</v>
      </c>
      <c r="Z61" s="392">
        <f>$L$28*Y61*(1+6/12)</f>
        <v>76843.755000000005</v>
      </c>
      <c r="AA61" s="508">
        <f t="shared" si="4"/>
        <v>665979.21</v>
      </c>
    </row>
    <row r="62" spans="2:27" x14ac:dyDescent="0.25">
      <c r="B62" s="509"/>
      <c r="C62" s="391">
        <v>1</v>
      </c>
      <c r="D62" s="392">
        <f>C62*$L$30</f>
        <v>58544.97</v>
      </c>
      <c r="E62" s="391">
        <v>1</v>
      </c>
      <c r="F62" s="392">
        <f>E62*$L$30</f>
        <v>58544.97</v>
      </c>
      <c r="G62" s="391">
        <v>1</v>
      </c>
      <c r="H62" s="392">
        <f>G62*$L$30</f>
        <v>58544.97</v>
      </c>
      <c r="I62" s="391">
        <v>1</v>
      </c>
      <c r="J62" s="392">
        <f>I62*$L$30</f>
        <v>58544.97</v>
      </c>
      <c r="K62" s="391">
        <v>1</v>
      </c>
      <c r="L62" s="392">
        <f>K62*$L$30</f>
        <v>58544.97</v>
      </c>
      <c r="M62" s="391">
        <v>1</v>
      </c>
      <c r="N62" s="392">
        <f>M62*$L$30*1.5</f>
        <v>87817.455000000002</v>
      </c>
      <c r="O62" s="391">
        <v>1</v>
      </c>
      <c r="P62" s="392">
        <f>O62*$L$30</f>
        <v>58544.97</v>
      </c>
      <c r="Q62" s="391">
        <v>1</v>
      </c>
      <c r="R62" s="392">
        <f>Q62*$L$30</f>
        <v>58544.97</v>
      </c>
      <c r="S62" s="391">
        <v>1</v>
      </c>
      <c r="T62" s="392">
        <f>S62*$L$30</f>
        <v>58544.97</v>
      </c>
      <c r="U62" s="391">
        <v>1</v>
      </c>
      <c r="V62" s="392">
        <f>U62*$L$30</f>
        <v>58544.97</v>
      </c>
      <c r="W62" s="391">
        <v>1</v>
      </c>
      <c r="X62" s="392">
        <f>W62*$L$30</f>
        <v>58544.97</v>
      </c>
      <c r="Y62" s="391">
        <v>1</v>
      </c>
      <c r="Z62" s="392">
        <f>Y62*$L$30*1.5</f>
        <v>87817.455000000002</v>
      </c>
      <c r="AA62" s="508">
        <f t="shared" si="4"/>
        <v>761084.60999999987</v>
      </c>
    </row>
    <row r="63" spans="2:27" x14ac:dyDescent="0.25">
      <c r="B63" s="509"/>
      <c r="C63" s="391">
        <v>1</v>
      </c>
      <c r="D63" s="392">
        <f>C63*$L$31</f>
        <v>48790.57</v>
      </c>
      <c r="E63" s="391">
        <v>1</v>
      </c>
      <c r="F63" s="392">
        <f>E63*$L$31</f>
        <v>48790.57</v>
      </c>
      <c r="G63" s="391">
        <v>1</v>
      </c>
      <c r="H63" s="392">
        <f>G63*$L$31</f>
        <v>48790.57</v>
      </c>
      <c r="I63" s="391">
        <v>1</v>
      </c>
      <c r="J63" s="392">
        <f>I63*$L$31</f>
        <v>48790.57</v>
      </c>
      <c r="K63" s="391">
        <v>1</v>
      </c>
      <c r="L63" s="392">
        <f>K63*$L$31</f>
        <v>48790.57</v>
      </c>
      <c r="M63" s="391">
        <v>1</v>
      </c>
      <c r="N63" s="392">
        <f>M63*$L$31*1.5</f>
        <v>73185.854999999996</v>
      </c>
      <c r="O63" s="391">
        <v>1</v>
      </c>
      <c r="P63" s="392">
        <f>O63*$L$31</f>
        <v>48790.57</v>
      </c>
      <c r="Q63" s="391">
        <v>1</v>
      </c>
      <c r="R63" s="392">
        <f>Q63*$L$31</f>
        <v>48790.57</v>
      </c>
      <c r="S63" s="391">
        <v>1</v>
      </c>
      <c r="T63" s="392">
        <f>S63*$L$31</f>
        <v>48790.57</v>
      </c>
      <c r="U63" s="391">
        <v>1</v>
      </c>
      <c r="V63" s="392">
        <f>U63*$L$31</f>
        <v>48790.57</v>
      </c>
      <c r="W63" s="391">
        <v>1</v>
      </c>
      <c r="X63" s="392">
        <f>W63*$L$31</f>
        <v>48790.57</v>
      </c>
      <c r="Y63" s="391">
        <v>1</v>
      </c>
      <c r="Z63" s="392">
        <f>Y63*$L$31*1.5</f>
        <v>73185.854999999996</v>
      </c>
      <c r="AA63" s="508">
        <f t="shared" si="4"/>
        <v>634277.41</v>
      </c>
    </row>
    <row r="64" spans="2:27" x14ac:dyDescent="0.25">
      <c r="B64" s="509"/>
      <c r="C64" s="391">
        <v>1</v>
      </c>
      <c r="D64" s="392">
        <f>C64*$L$23</f>
        <v>39036.17</v>
      </c>
      <c r="E64" s="391">
        <v>1</v>
      </c>
      <c r="F64" s="392">
        <f>E64*$L$23</f>
        <v>39036.17</v>
      </c>
      <c r="G64" s="391">
        <v>1</v>
      </c>
      <c r="H64" s="392">
        <f>G64*$L$23</f>
        <v>39036.17</v>
      </c>
      <c r="I64" s="391">
        <v>1</v>
      </c>
      <c r="J64" s="392">
        <f>I64*$L$23</f>
        <v>39036.17</v>
      </c>
      <c r="K64" s="391">
        <v>1</v>
      </c>
      <c r="L64" s="392">
        <f>K64*$L$23</f>
        <v>39036.17</v>
      </c>
      <c r="M64" s="391">
        <v>1</v>
      </c>
      <c r="N64" s="392">
        <f>M64*$L$23*1.5</f>
        <v>58554.254999999997</v>
      </c>
      <c r="O64" s="391">
        <v>1</v>
      </c>
      <c r="P64" s="392">
        <f>O64*$L$23</f>
        <v>39036.17</v>
      </c>
      <c r="Q64" s="391">
        <v>1</v>
      </c>
      <c r="R64" s="392">
        <f>Q64*$L$23</f>
        <v>39036.17</v>
      </c>
      <c r="S64" s="391">
        <v>1</v>
      </c>
      <c r="T64" s="392">
        <f>S64*$L$23</f>
        <v>39036.17</v>
      </c>
      <c r="U64" s="391">
        <v>1</v>
      </c>
      <c r="V64" s="392">
        <f>U64*$L$23</f>
        <v>39036.17</v>
      </c>
      <c r="W64" s="391">
        <v>1</v>
      </c>
      <c r="X64" s="392">
        <f>W64*$L$23</f>
        <v>39036.17</v>
      </c>
      <c r="Y64" s="391">
        <v>1</v>
      </c>
      <c r="Z64" s="392">
        <f>Y64*$L$23*1.5</f>
        <v>58554.254999999997</v>
      </c>
      <c r="AA64" s="508">
        <f t="shared" si="4"/>
        <v>507470.2099999999</v>
      </c>
    </row>
    <row r="65" spans="2:29" x14ac:dyDescent="0.25">
      <c r="B65" s="509"/>
      <c r="C65" s="391">
        <v>2</v>
      </c>
      <c r="D65" s="392">
        <f>C65*$L$26</f>
        <v>78072.34</v>
      </c>
      <c r="E65" s="391">
        <v>2</v>
      </c>
      <c r="F65" s="392">
        <f>E65*$L$26</f>
        <v>78072.34</v>
      </c>
      <c r="G65" s="391">
        <v>2</v>
      </c>
      <c r="H65" s="392">
        <f>G65*$L$26</f>
        <v>78072.34</v>
      </c>
      <c r="I65" s="391">
        <v>2</v>
      </c>
      <c r="J65" s="392">
        <f>I65*$L$26</f>
        <v>78072.34</v>
      </c>
      <c r="K65" s="391">
        <v>2</v>
      </c>
      <c r="L65" s="392">
        <f>K65*$L$26</f>
        <v>78072.34</v>
      </c>
      <c r="M65" s="391">
        <v>2</v>
      </c>
      <c r="N65" s="392">
        <f>M65*$L$26*1.5</f>
        <v>117108.51</v>
      </c>
      <c r="O65" s="391">
        <v>2</v>
      </c>
      <c r="P65" s="392">
        <f>O65*$L$26</f>
        <v>78072.34</v>
      </c>
      <c r="Q65" s="391">
        <v>2</v>
      </c>
      <c r="R65" s="392">
        <f>Q65*$L$26</f>
        <v>78072.34</v>
      </c>
      <c r="S65" s="391">
        <v>2</v>
      </c>
      <c r="T65" s="392">
        <f>S65*$L$26</f>
        <v>78072.34</v>
      </c>
      <c r="U65" s="391">
        <v>2</v>
      </c>
      <c r="V65" s="392">
        <f>U65*$L$26</f>
        <v>78072.34</v>
      </c>
      <c r="W65" s="391">
        <v>2</v>
      </c>
      <c r="X65" s="392">
        <f>W65*$L$26</f>
        <v>78072.34</v>
      </c>
      <c r="Y65" s="391">
        <v>2</v>
      </c>
      <c r="Z65" s="392">
        <f>Y65*$L$26*1.5</f>
        <v>117108.51</v>
      </c>
      <c r="AA65" s="508">
        <f t="shared" si="4"/>
        <v>1014940.4199999998</v>
      </c>
    </row>
    <row r="66" spans="2:29" x14ac:dyDescent="0.25">
      <c r="B66" s="509"/>
      <c r="C66" s="391">
        <v>2</v>
      </c>
      <c r="D66" s="392">
        <f>C66*$L$24</f>
        <v>78072.34</v>
      </c>
      <c r="E66" s="391">
        <v>2</v>
      </c>
      <c r="F66" s="392">
        <f>E66*$L$24</f>
        <v>78072.34</v>
      </c>
      <c r="G66" s="391">
        <v>2</v>
      </c>
      <c r="H66" s="392">
        <f>G66*$L$24</f>
        <v>78072.34</v>
      </c>
      <c r="I66" s="391">
        <v>2</v>
      </c>
      <c r="J66" s="392">
        <f>I66*$L$24</f>
        <v>78072.34</v>
      </c>
      <c r="K66" s="391">
        <v>2</v>
      </c>
      <c r="L66" s="392">
        <f>K66*$L$24</f>
        <v>78072.34</v>
      </c>
      <c r="M66" s="391">
        <v>2</v>
      </c>
      <c r="N66" s="392">
        <f>M66*$L$24*1.5</f>
        <v>117108.51</v>
      </c>
      <c r="O66" s="391">
        <v>2</v>
      </c>
      <c r="P66" s="392">
        <f>O66*$L$24</f>
        <v>78072.34</v>
      </c>
      <c r="Q66" s="391">
        <v>2</v>
      </c>
      <c r="R66" s="392">
        <f>Q66*$L$24</f>
        <v>78072.34</v>
      </c>
      <c r="S66" s="391">
        <v>2</v>
      </c>
      <c r="T66" s="392">
        <f>S66*$L$24</f>
        <v>78072.34</v>
      </c>
      <c r="U66" s="391">
        <v>2</v>
      </c>
      <c r="V66" s="392">
        <f>U66*$L$24</f>
        <v>78072.34</v>
      </c>
      <c r="W66" s="391">
        <v>2</v>
      </c>
      <c r="X66" s="392">
        <f>W66*$L$24</f>
        <v>78072.34</v>
      </c>
      <c r="Y66" s="391">
        <v>2</v>
      </c>
      <c r="Z66" s="392">
        <f>Y66*$L$24*1.5</f>
        <v>117108.51</v>
      </c>
      <c r="AA66" s="508">
        <f t="shared" si="4"/>
        <v>1014940.4199999998</v>
      </c>
    </row>
    <row r="67" spans="2:29" x14ac:dyDescent="0.25">
      <c r="B67" s="507"/>
      <c r="C67" s="391">
        <v>1</v>
      </c>
      <c r="D67" s="392">
        <f>C67*$L$25</f>
        <v>19527.37</v>
      </c>
      <c r="E67" s="391">
        <v>1</v>
      </c>
      <c r="F67" s="392">
        <f>E67*$L$25</f>
        <v>19527.37</v>
      </c>
      <c r="G67" s="391">
        <v>1</v>
      </c>
      <c r="H67" s="392">
        <f>G67*$L$25</f>
        <v>19527.37</v>
      </c>
      <c r="I67" s="391">
        <v>1</v>
      </c>
      <c r="J67" s="392">
        <f>I67*$L$25</f>
        <v>19527.37</v>
      </c>
      <c r="K67" s="391">
        <v>1</v>
      </c>
      <c r="L67" s="392">
        <f>K67*$L$25</f>
        <v>19527.37</v>
      </c>
      <c r="M67" s="391">
        <v>1</v>
      </c>
      <c r="N67" s="392">
        <f>M67*$L$25*1.5</f>
        <v>29291.055</v>
      </c>
      <c r="O67" s="391">
        <v>1</v>
      </c>
      <c r="P67" s="392">
        <f>O67*$L$25</f>
        <v>19527.37</v>
      </c>
      <c r="Q67" s="391">
        <v>1</v>
      </c>
      <c r="R67" s="392">
        <f>Q67*$L$25</f>
        <v>19527.37</v>
      </c>
      <c r="S67" s="391">
        <v>1</v>
      </c>
      <c r="T67" s="392">
        <f>S67*$L$25</f>
        <v>19527.37</v>
      </c>
      <c r="U67" s="391">
        <v>1</v>
      </c>
      <c r="V67" s="392">
        <f>U67*$L$25</f>
        <v>19527.37</v>
      </c>
      <c r="W67" s="391">
        <v>1</v>
      </c>
      <c r="X67" s="392">
        <f>W67*$L$25</f>
        <v>19527.37</v>
      </c>
      <c r="Y67" s="391">
        <v>1</v>
      </c>
      <c r="Z67" s="392">
        <f>Y67*$L$25*1.5</f>
        <v>29291.055</v>
      </c>
      <c r="AA67" s="508">
        <f t="shared" si="4"/>
        <v>253855.80999999997</v>
      </c>
    </row>
    <row r="68" spans="2:29" x14ac:dyDescent="0.25">
      <c r="B68" s="507"/>
      <c r="C68" s="391">
        <v>0</v>
      </c>
      <c r="D68" s="392">
        <f>C68*D20</f>
        <v>0</v>
      </c>
      <c r="E68" s="391">
        <v>0</v>
      </c>
      <c r="F68" s="392">
        <f>E68*F20</f>
        <v>0</v>
      </c>
      <c r="G68" s="391">
        <v>0</v>
      </c>
      <c r="H68" s="392">
        <f>G68*H20</f>
        <v>0</v>
      </c>
      <c r="I68" s="391">
        <v>0</v>
      </c>
      <c r="J68" s="392">
        <f>I68*J20</f>
        <v>0</v>
      </c>
      <c r="K68" s="495">
        <v>1</v>
      </c>
      <c r="L68" s="392">
        <f>K68*$L$20</f>
        <v>63422.17</v>
      </c>
      <c r="M68" s="391">
        <v>1</v>
      </c>
      <c r="N68" s="392">
        <f>M68*$L$20*(1+2/12)</f>
        <v>73992.531666666662</v>
      </c>
      <c r="O68" s="391">
        <v>1</v>
      </c>
      <c r="P68" s="392">
        <f>O68*$L$20</f>
        <v>63422.17</v>
      </c>
      <c r="Q68" s="391">
        <v>1</v>
      </c>
      <c r="R68" s="392">
        <f>Q68*$L$20</f>
        <v>63422.17</v>
      </c>
      <c r="S68" s="391">
        <v>1</v>
      </c>
      <c r="T68" s="392">
        <f>S68*$L$20</f>
        <v>63422.17</v>
      </c>
      <c r="U68" s="391">
        <v>1</v>
      </c>
      <c r="V68" s="392">
        <f>U68*$L$20</f>
        <v>63422.17</v>
      </c>
      <c r="W68" s="391">
        <v>1</v>
      </c>
      <c r="X68" s="392">
        <f>W68*$L$20</f>
        <v>63422.17</v>
      </c>
      <c r="Y68" s="391">
        <v>1</v>
      </c>
      <c r="Z68" s="392">
        <f>Y68*$L$20*(1+6/12)</f>
        <v>95133.255000000005</v>
      </c>
      <c r="AA68" s="508">
        <f t="shared" si="4"/>
        <v>549658.80666666664</v>
      </c>
    </row>
    <row r="69" spans="2:29" ht="15.75" x14ac:dyDescent="0.25">
      <c r="B69" s="514" t="s">
        <v>224</v>
      </c>
      <c r="C69" s="40">
        <f t="shared" ref="C69:Z69" si="5">SUM(C58:C68)</f>
        <v>12</v>
      </c>
      <c r="D69" s="494">
        <f t="shared" si="5"/>
        <v>607434.23999999987</v>
      </c>
      <c r="E69" s="40">
        <f t="shared" si="5"/>
        <v>12</v>
      </c>
      <c r="F69" s="494">
        <f t="shared" si="5"/>
        <v>607434.23999999987</v>
      </c>
      <c r="G69" s="40">
        <f t="shared" si="5"/>
        <v>12</v>
      </c>
      <c r="H69" s="494">
        <f t="shared" si="5"/>
        <v>607434.23999999987</v>
      </c>
      <c r="I69" s="40">
        <f t="shared" si="5"/>
        <v>12</v>
      </c>
      <c r="J69" s="494">
        <f t="shared" si="5"/>
        <v>607434.23999999987</v>
      </c>
      <c r="K69" s="40">
        <f t="shared" si="5"/>
        <v>13</v>
      </c>
      <c r="L69" s="494">
        <f t="shared" si="5"/>
        <v>670856.40999999992</v>
      </c>
      <c r="M69" s="40">
        <f t="shared" si="5"/>
        <v>13</v>
      </c>
      <c r="N69" s="494">
        <f t="shared" si="5"/>
        <v>985143.89166666672</v>
      </c>
      <c r="O69" s="40">
        <f t="shared" si="5"/>
        <v>13</v>
      </c>
      <c r="P69" s="494">
        <f t="shared" si="5"/>
        <v>670856.40999999992</v>
      </c>
      <c r="Q69" s="40">
        <f t="shared" si="5"/>
        <v>13</v>
      </c>
      <c r="R69" s="494">
        <f t="shared" si="5"/>
        <v>670856.40999999992</v>
      </c>
      <c r="S69" s="40">
        <f t="shared" si="5"/>
        <v>13</v>
      </c>
      <c r="T69" s="494">
        <f t="shared" si="5"/>
        <v>670856.40999999992</v>
      </c>
      <c r="U69" s="40">
        <f t="shared" si="5"/>
        <v>13</v>
      </c>
      <c r="V69" s="494">
        <f t="shared" si="5"/>
        <v>670856.40999999992</v>
      </c>
      <c r="W69" s="40">
        <f t="shared" si="5"/>
        <v>13</v>
      </c>
      <c r="X69" s="494">
        <f t="shared" si="5"/>
        <v>670856.40999999992</v>
      </c>
      <c r="Y69" s="40">
        <f t="shared" si="5"/>
        <v>13</v>
      </c>
      <c r="Z69" s="494">
        <f t="shared" si="5"/>
        <v>1006284.6150000001</v>
      </c>
      <c r="AA69" s="515">
        <f>Z69+X69+V69+T69+R69+P69+N69+L69+J69+H69+F69+D69</f>
        <v>8446303.9266666677</v>
      </c>
    </row>
    <row r="70" spans="2:29" ht="15.75" thickBot="1" x14ac:dyDescent="0.3">
      <c r="B70" s="516"/>
      <c r="C70" s="517"/>
      <c r="D70" s="517"/>
      <c r="E70" s="517"/>
      <c r="F70" s="517"/>
      <c r="G70" s="517"/>
      <c r="H70" s="517"/>
      <c r="I70" s="517"/>
      <c r="J70" s="517"/>
      <c r="K70" s="517"/>
      <c r="L70" s="517"/>
      <c r="M70" s="517"/>
      <c r="N70" s="517"/>
      <c r="O70" s="517"/>
      <c r="P70" s="517"/>
      <c r="Q70" s="517"/>
      <c r="R70" s="517"/>
      <c r="S70" s="517"/>
      <c r="T70" s="517"/>
      <c r="U70" s="517"/>
      <c r="V70" s="517"/>
      <c r="W70" s="517"/>
      <c r="X70" s="517"/>
      <c r="Y70" s="517"/>
      <c r="Z70" s="517"/>
      <c r="AA70" s="518"/>
    </row>
    <row r="71" spans="2:29" ht="15.75" thickBot="1" x14ac:dyDescent="0.3"/>
    <row r="72" spans="2:29" ht="27" thickBot="1" x14ac:dyDescent="0.45">
      <c r="B72" s="744" t="s">
        <v>226</v>
      </c>
      <c r="C72" s="745"/>
      <c r="D72" s="745"/>
      <c r="E72" s="745"/>
      <c r="F72" s="745"/>
      <c r="G72" s="745"/>
      <c r="H72" s="745"/>
      <c r="I72" s="745"/>
      <c r="J72" s="745"/>
      <c r="K72" s="745"/>
      <c r="L72" s="745"/>
      <c r="M72" s="745"/>
      <c r="N72" s="745"/>
      <c r="O72" s="745"/>
      <c r="P72" s="745"/>
      <c r="Q72" s="745"/>
      <c r="R72" s="745"/>
      <c r="S72" s="745"/>
      <c r="T72" s="745"/>
      <c r="U72" s="745"/>
      <c r="V72" s="745"/>
      <c r="W72" s="745"/>
      <c r="X72" s="745"/>
      <c r="Y72" s="745"/>
      <c r="Z72" s="745"/>
      <c r="AA72" s="746"/>
    </row>
    <row r="73" spans="2:29" ht="15.75" x14ac:dyDescent="0.25">
      <c r="B73" s="926" t="s">
        <v>209</v>
      </c>
      <c r="C73" s="928" t="s">
        <v>42</v>
      </c>
      <c r="D73" s="928"/>
      <c r="E73" s="928" t="s">
        <v>43</v>
      </c>
      <c r="F73" s="928"/>
      <c r="G73" s="928" t="s">
        <v>44</v>
      </c>
      <c r="H73" s="928"/>
      <c r="I73" s="928" t="s">
        <v>45</v>
      </c>
      <c r="J73" s="928"/>
      <c r="K73" s="928" t="s">
        <v>46</v>
      </c>
      <c r="L73" s="928"/>
      <c r="M73" s="928" t="s">
        <v>221</v>
      </c>
      <c r="N73" s="928"/>
      <c r="O73" s="928" t="s">
        <v>48</v>
      </c>
      <c r="P73" s="928"/>
      <c r="Q73" s="928" t="s">
        <v>49</v>
      </c>
      <c r="R73" s="928"/>
      <c r="S73" s="928" t="s">
        <v>50</v>
      </c>
      <c r="T73" s="928"/>
      <c r="U73" s="928" t="s">
        <v>51</v>
      </c>
      <c r="V73" s="928"/>
      <c r="W73" s="928" t="s">
        <v>52</v>
      </c>
      <c r="X73" s="928"/>
      <c r="Y73" s="928" t="s">
        <v>222</v>
      </c>
      <c r="Z73" s="928"/>
      <c r="AA73" s="929" t="s">
        <v>162</v>
      </c>
    </row>
    <row r="74" spans="2:29" ht="15.75" x14ac:dyDescent="0.25">
      <c r="B74" s="927"/>
      <c r="C74" s="493" t="s">
        <v>63</v>
      </c>
      <c r="D74" s="493" t="s">
        <v>112</v>
      </c>
      <c r="E74" s="493" t="s">
        <v>63</v>
      </c>
      <c r="F74" s="493" t="s">
        <v>112</v>
      </c>
      <c r="G74" s="493" t="s">
        <v>63</v>
      </c>
      <c r="H74" s="493" t="s">
        <v>112</v>
      </c>
      <c r="I74" s="493" t="s">
        <v>63</v>
      </c>
      <c r="J74" s="493" t="s">
        <v>112</v>
      </c>
      <c r="K74" s="493" t="s">
        <v>63</v>
      </c>
      <c r="L74" s="493" t="s">
        <v>112</v>
      </c>
      <c r="M74" s="493" t="s">
        <v>63</v>
      </c>
      <c r="N74" s="493" t="s">
        <v>112</v>
      </c>
      <c r="O74" s="493" t="s">
        <v>63</v>
      </c>
      <c r="P74" s="493" t="s">
        <v>112</v>
      </c>
      <c r="Q74" s="493" t="s">
        <v>63</v>
      </c>
      <c r="R74" s="493" t="s">
        <v>112</v>
      </c>
      <c r="S74" s="493" t="s">
        <v>63</v>
      </c>
      <c r="T74" s="493" t="s">
        <v>112</v>
      </c>
      <c r="U74" s="493" t="s">
        <v>63</v>
      </c>
      <c r="V74" s="493" t="s">
        <v>112</v>
      </c>
      <c r="W74" s="493" t="s">
        <v>63</v>
      </c>
      <c r="X74" s="493" t="s">
        <v>112</v>
      </c>
      <c r="Y74" s="493" t="s">
        <v>63</v>
      </c>
      <c r="Z74" s="493" t="s">
        <v>112</v>
      </c>
      <c r="AA74" s="930"/>
    </row>
    <row r="75" spans="2:29" x14ac:dyDescent="0.25">
      <c r="B75" s="507"/>
      <c r="C75" s="391">
        <v>1</v>
      </c>
      <c r="D75" s="392">
        <f>C75*$L$14</f>
        <v>97562.57</v>
      </c>
      <c r="E75" s="391">
        <v>1</v>
      </c>
      <c r="F75" s="392">
        <f>E75*$L$14</f>
        <v>97562.57</v>
      </c>
      <c r="G75" s="391">
        <v>1</v>
      </c>
      <c r="H75" s="392">
        <f>G75*$L$14</f>
        <v>97562.57</v>
      </c>
      <c r="I75" s="391">
        <v>1</v>
      </c>
      <c r="J75" s="392">
        <f>I75*$L$14</f>
        <v>97562.57</v>
      </c>
      <c r="K75" s="391">
        <v>1</v>
      </c>
      <c r="L75" s="392">
        <f>K75*$L$14</f>
        <v>97562.57</v>
      </c>
      <c r="M75" s="391">
        <v>1</v>
      </c>
      <c r="N75" s="392">
        <f>M75*$L$14*1.5</f>
        <v>146343.85500000001</v>
      </c>
      <c r="O75" s="391">
        <v>1</v>
      </c>
      <c r="P75" s="392">
        <f>O75*$L$14</f>
        <v>97562.57</v>
      </c>
      <c r="Q75" s="391">
        <v>1</v>
      </c>
      <c r="R75" s="392">
        <f>Q75*$L$14</f>
        <v>97562.57</v>
      </c>
      <c r="S75" s="391">
        <v>1</v>
      </c>
      <c r="T75" s="392">
        <f>S75*$L$14</f>
        <v>97562.57</v>
      </c>
      <c r="U75" s="391">
        <v>1</v>
      </c>
      <c r="V75" s="392">
        <f>U75*$L$14</f>
        <v>97562.57</v>
      </c>
      <c r="W75" s="391">
        <v>1</v>
      </c>
      <c r="X75" s="392">
        <f>W75*$L$14</f>
        <v>97562.57</v>
      </c>
      <c r="Y75" s="391">
        <v>1</v>
      </c>
      <c r="Z75" s="392">
        <f>Y75*$L$14*1.5</f>
        <v>146343.85500000001</v>
      </c>
      <c r="AA75" s="508">
        <f>D75+F75+H75+J75+L75+N75+P75+R75+T75+V75+X75+Z75</f>
        <v>1268313.4100000004</v>
      </c>
    </row>
    <row r="76" spans="2:29" x14ac:dyDescent="0.25">
      <c r="B76" s="509"/>
      <c r="C76" s="391">
        <v>1</v>
      </c>
      <c r="D76" s="392">
        <f>C76*$L$15</f>
        <v>73176.570000000007</v>
      </c>
      <c r="E76" s="391">
        <v>1</v>
      </c>
      <c r="F76" s="392">
        <f>E76*$L$15</f>
        <v>73176.570000000007</v>
      </c>
      <c r="G76" s="391">
        <v>1</v>
      </c>
      <c r="H76" s="392">
        <f>G76*$L$15</f>
        <v>73176.570000000007</v>
      </c>
      <c r="I76" s="391">
        <v>1</v>
      </c>
      <c r="J76" s="392">
        <f>I76*$L$15</f>
        <v>73176.570000000007</v>
      </c>
      <c r="K76" s="391">
        <v>1</v>
      </c>
      <c r="L76" s="392">
        <f>K76*$L$15</f>
        <v>73176.570000000007</v>
      </c>
      <c r="M76" s="391">
        <v>1</v>
      </c>
      <c r="N76" s="392">
        <f>M76*$L$15*1.5</f>
        <v>109764.85500000001</v>
      </c>
      <c r="O76" s="391">
        <v>1</v>
      </c>
      <c r="P76" s="392">
        <f>O76*$L$15</f>
        <v>73176.570000000007</v>
      </c>
      <c r="Q76" s="391">
        <v>1</v>
      </c>
      <c r="R76" s="392">
        <f>Q76*$L$15</f>
        <v>73176.570000000007</v>
      </c>
      <c r="S76" s="391">
        <v>1</v>
      </c>
      <c r="T76" s="392">
        <f>S76*$L$15</f>
        <v>73176.570000000007</v>
      </c>
      <c r="U76" s="391">
        <v>1</v>
      </c>
      <c r="V76" s="392">
        <f>U76*$L$15</f>
        <v>73176.570000000007</v>
      </c>
      <c r="W76" s="391">
        <v>1</v>
      </c>
      <c r="X76" s="392">
        <f>W76*$L$15</f>
        <v>73176.570000000007</v>
      </c>
      <c r="Y76" s="391">
        <v>1</v>
      </c>
      <c r="Z76" s="392">
        <f>Y76*$L$15*1.5</f>
        <v>109764.85500000001</v>
      </c>
      <c r="AA76" s="508">
        <f t="shared" ref="AA76:AA85" si="6">D76+F76+H76+J76+L76+N76+P76+R76+T76+V76+X76+Z76</f>
        <v>951295.41000000038</v>
      </c>
    </row>
    <row r="77" spans="2:29" x14ac:dyDescent="0.25">
      <c r="B77" s="509"/>
      <c r="C77" s="391">
        <v>1</v>
      </c>
      <c r="D77" s="392">
        <f>C77*$L$27</f>
        <v>63422.17</v>
      </c>
      <c r="E77" s="391">
        <v>1</v>
      </c>
      <c r="F77" s="392">
        <f>E77*$L$27</f>
        <v>63422.17</v>
      </c>
      <c r="G77" s="391">
        <v>1</v>
      </c>
      <c r="H77" s="392">
        <f>G77*$L$27</f>
        <v>63422.17</v>
      </c>
      <c r="I77" s="391">
        <v>1</v>
      </c>
      <c r="J77" s="392">
        <f>I77*$L$27</f>
        <v>63422.17</v>
      </c>
      <c r="K77" s="391">
        <v>1</v>
      </c>
      <c r="L77" s="392">
        <f>K77*$L$27</f>
        <v>63422.17</v>
      </c>
      <c r="M77" s="391">
        <v>1</v>
      </c>
      <c r="N77" s="392">
        <f>M77*$L$27*1.5</f>
        <v>95133.255000000005</v>
      </c>
      <c r="O77" s="391">
        <v>1</v>
      </c>
      <c r="P77" s="392">
        <f>O77*$L$27</f>
        <v>63422.17</v>
      </c>
      <c r="Q77" s="391">
        <v>1</v>
      </c>
      <c r="R77" s="392">
        <f>Q77*$L$27</f>
        <v>63422.17</v>
      </c>
      <c r="S77" s="391">
        <v>1</v>
      </c>
      <c r="T77" s="392">
        <f>S77*$L$27</f>
        <v>63422.17</v>
      </c>
      <c r="U77" s="391">
        <v>1</v>
      </c>
      <c r="V77" s="392">
        <f>U77*$L$27</f>
        <v>63422.17</v>
      </c>
      <c r="W77" s="391">
        <v>1</v>
      </c>
      <c r="X77" s="392">
        <f>W77*$L$27</f>
        <v>63422.17</v>
      </c>
      <c r="Y77" s="391">
        <v>1</v>
      </c>
      <c r="Z77" s="392">
        <f>Y77*$L$27*1.5</f>
        <v>95133.255000000005</v>
      </c>
      <c r="AA77" s="508">
        <f t="shared" si="6"/>
        <v>824488.21000000008</v>
      </c>
    </row>
    <row r="78" spans="2:29" x14ac:dyDescent="0.25">
      <c r="B78" s="509"/>
      <c r="C78" s="391">
        <v>1</v>
      </c>
      <c r="D78" s="392">
        <f>C78*$L$28</f>
        <v>51229.17</v>
      </c>
      <c r="E78" s="391">
        <v>1</v>
      </c>
      <c r="F78" s="392">
        <f>E78*$L$28</f>
        <v>51229.17</v>
      </c>
      <c r="G78" s="391">
        <v>1</v>
      </c>
      <c r="H78" s="392">
        <f>G78*$L$28</f>
        <v>51229.17</v>
      </c>
      <c r="I78" s="391">
        <v>1</v>
      </c>
      <c r="J78" s="392">
        <f>I78*$L$28</f>
        <v>51229.17</v>
      </c>
      <c r="K78" s="391">
        <v>1</v>
      </c>
      <c r="L78" s="392">
        <f>K78*$L$28</f>
        <v>51229.17</v>
      </c>
      <c r="M78" s="391">
        <v>1</v>
      </c>
      <c r="N78" s="392">
        <f>$L$28*M78*(1+6/12)</f>
        <v>76843.755000000005</v>
      </c>
      <c r="O78" s="391">
        <v>1</v>
      </c>
      <c r="P78" s="392">
        <f>O78*$L$28</f>
        <v>51229.17</v>
      </c>
      <c r="Q78" s="391">
        <v>1</v>
      </c>
      <c r="R78" s="392">
        <f>Q78*$L$28</f>
        <v>51229.17</v>
      </c>
      <c r="S78" s="391">
        <v>1</v>
      </c>
      <c r="T78" s="392">
        <f>S78*$L$28</f>
        <v>51229.17</v>
      </c>
      <c r="U78" s="391">
        <v>1</v>
      </c>
      <c r="V78" s="392">
        <f>U78*$L$28</f>
        <v>51229.17</v>
      </c>
      <c r="W78" s="391">
        <v>1</v>
      </c>
      <c r="X78" s="392">
        <f>$L$28*W78</f>
        <v>51229.17</v>
      </c>
      <c r="Y78" s="391">
        <v>1</v>
      </c>
      <c r="Z78" s="392">
        <f>$L$28*Y78*(1+6/12)</f>
        <v>76843.755000000005</v>
      </c>
      <c r="AA78" s="508">
        <f t="shared" si="6"/>
        <v>665979.21</v>
      </c>
    </row>
    <row r="79" spans="2:29" x14ac:dyDescent="0.25">
      <c r="B79" s="509"/>
      <c r="C79" s="391">
        <v>1</v>
      </c>
      <c r="D79" s="392">
        <f>C79*$L$30</f>
        <v>58544.97</v>
      </c>
      <c r="E79" s="391">
        <v>1</v>
      </c>
      <c r="F79" s="392">
        <f>E79*$L$30</f>
        <v>58544.97</v>
      </c>
      <c r="G79" s="391">
        <v>1</v>
      </c>
      <c r="H79" s="392">
        <f>G79*$L$30</f>
        <v>58544.97</v>
      </c>
      <c r="I79" s="391">
        <v>1</v>
      </c>
      <c r="J79" s="392">
        <f>I79*$L$30</f>
        <v>58544.97</v>
      </c>
      <c r="K79" s="391">
        <v>1</v>
      </c>
      <c r="L79" s="392">
        <f>K79*$L$30</f>
        <v>58544.97</v>
      </c>
      <c r="M79" s="391">
        <v>1</v>
      </c>
      <c r="N79" s="392">
        <f>M79*$L$30*1.5</f>
        <v>87817.455000000002</v>
      </c>
      <c r="O79" s="391">
        <v>1</v>
      </c>
      <c r="P79" s="392">
        <f>O79*$L$30</f>
        <v>58544.97</v>
      </c>
      <c r="Q79" s="391">
        <v>1</v>
      </c>
      <c r="R79" s="392">
        <f>Q79*$L$30</f>
        <v>58544.97</v>
      </c>
      <c r="S79" s="391">
        <v>1</v>
      </c>
      <c r="T79" s="392">
        <f>S79*$L$30</f>
        <v>58544.97</v>
      </c>
      <c r="U79" s="391">
        <v>1</v>
      </c>
      <c r="V79" s="392">
        <f>U79*$L$30</f>
        <v>58544.97</v>
      </c>
      <c r="W79" s="391">
        <v>1</v>
      </c>
      <c r="X79" s="392">
        <f>W79*$L$30</f>
        <v>58544.97</v>
      </c>
      <c r="Y79" s="391">
        <v>1</v>
      </c>
      <c r="Z79" s="392">
        <f>Y79*$L$30*1.5</f>
        <v>87817.455000000002</v>
      </c>
      <c r="AA79" s="508">
        <f t="shared" si="6"/>
        <v>761084.60999999987</v>
      </c>
    </row>
    <row r="80" spans="2:29" x14ac:dyDescent="0.25">
      <c r="B80" s="509"/>
      <c r="C80" s="495">
        <v>2</v>
      </c>
      <c r="D80" s="392">
        <f>C80*$L$31</f>
        <v>97581.14</v>
      </c>
      <c r="E80" s="391">
        <v>2</v>
      </c>
      <c r="F80" s="392">
        <f>E80*$L$31</f>
        <v>97581.14</v>
      </c>
      <c r="G80" s="391">
        <v>2</v>
      </c>
      <c r="H80" s="392">
        <f>G80*$L$31</f>
        <v>97581.14</v>
      </c>
      <c r="I80" s="391">
        <v>2</v>
      </c>
      <c r="J80" s="392">
        <f>I80*$L$31</f>
        <v>97581.14</v>
      </c>
      <c r="K80" s="391">
        <v>2</v>
      </c>
      <c r="L80" s="392">
        <f>K80*$L$31</f>
        <v>97581.14</v>
      </c>
      <c r="M80" s="391">
        <v>2</v>
      </c>
      <c r="N80" s="392">
        <f>M80*$L$31*1.5</f>
        <v>146371.71</v>
      </c>
      <c r="O80" s="391">
        <v>2</v>
      </c>
      <c r="P80" s="392">
        <f>O80*$L$31</f>
        <v>97581.14</v>
      </c>
      <c r="Q80" s="391">
        <v>2</v>
      </c>
      <c r="R80" s="392">
        <f>Q80*$L$31</f>
        <v>97581.14</v>
      </c>
      <c r="S80" s="391">
        <v>2</v>
      </c>
      <c r="T80" s="392">
        <f>S80*$L$31</f>
        <v>97581.14</v>
      </c>
      <c r="U80" s="391">
        <v>2</v>
      </c>
      <c r="V80" s="392">
        <f>U80*$L$31</f>
        <v>97581.14</v>
      </c>
      <c r="W80" s="391">
        <v>2</v>
      </c>
      <c r="X80" s="392">
        <f>W80*$L$31</f>
        <v>97581.14</v>
      </c>
      <c r="Y80" s="391">
        <v>2</v>
      </c>
      <c r="Z80" s="392">
        <f>Y80*$L$31*1.5</f>
        <v>146371.71</v>
      </c>
      <c r="AA80" s="508">
        <f t="shared" si="6"/>
        <v>1268554.82</v>
      </c>
      <c r="AC80" s="41"/>
    </row>
    <row r="81" spans="2:27" x14ac:dyDescent="0.25">
      <c r="B81" s="509"/>
      <c r="C81" s="391">
        <v>1</v>
      </c>
      <c r="D81" s="392">
        <f>C81*$L$23</f>
        <v>39036.17</v>
      </c>
      <c r="E81" s="391">
        <v>1</v>
      </c>
      <c r="F81" s="392">
        <f>E81*$L$23</f>
        <v>39036.17</v>
      </c>
      <c r="G81" s="391">
        <v>1</v>
      </c>
      <c r="H81" s="392">
        <f>G81*$L$23</f>
        <v>39036.17</v>
      </c>
      <c r="I81" s="391">
        <v>1</v>
      </c>
      <c r="J81" s="392">
        <f>I81*$L$23</f>
        <v>39036.17</v>
      </c>
      <c r="K81" s="391">
        <v>1</v>
      </c>
      <c r="L81" s="392">
        <f>K81*$L$23</f>
        <v>39036.17</v>
      </c>
      <c r="M81" s="391">
        <v>1</v>
      </c>
      <c r="N81" s="392">
        <f>M81*$L$23*1.5</f>
        <v>58554.254999999997</v>
      </c>
      <c r="O81" s="391">
        <v>1</v>
      </c>
      <c r="P81" s="392">
        <f>O81*$L$23</f>
        <v>39036.17</v>
      </c>
      <c r="Q81" s="391">
        <v>1</v>
      </c>
      <c r="R81" s="392">
        <f>Q81*$L$23</f>
        <v>39036.17</v>
      </c>
      <c r="S81" s="391">
        <v>1</v>
      </c>
      <c r="T81" s="392">
        <f>S81*$L$23</f>
        <v>39036.17</v>
      </c>
      <c r="U81" s="391">
        <v>1</v>
      </c>
      <c r="V81" s="392">
        <f>U81*$L$23</f>
        <v>39036.17</v>
      </c>
      <c r="W81" s="391">
        <v>1</v>
      </c>
      <c r="X81" s="392">
        <f>W81*$L$23</f>
        <v>39036.17</v>
      </c>
      <c r="Y81" s="391">
        <v>1</v>
      </c>
      <c r="Z81" s="392">
        <f>Y81*$L$23*1.5</f>
        <v>58554.254999999997</v>
      </c>
      <c r="AA81" s="508">
        <f t="shared" si="6"/>
        <v>507470.2099999999</v>
      </c>
    </row>
    <row r="82" spans="2:27" x14ac:dyDescent="0.25">
      <c r="B82" s="509"/>
      <c r="C82" s="391">
        <v>2</v>
      </c>
      <c r="D82" s="392">
        <f>C82*$L$26</f>
        <v>78072.34</v>
      </c>
      <c r="E82" s="391">
        <v>2</v>
      </c>
      <c r="F82" s="392">
        <f>E82*$L$26</f>
        <v>78072.34</v>
      </c>
      <c r="G82" s="391">
        <v>2</v>
      </c>
      <c r="H82" s="392">
        <f>G82*$L$26</f>
        <v>78072.34</v>
      </c>
      <c r="I82" s="391">
        <v>2</v>
      </c>
      <c r="J82" s="392">
        <f>I82*$L$26</f>
        <v>78072.34</v>
      </c>
      <c r="K82" s="391">
        <v>2</v>
      </c>
      <c r="L82" s="392">
        <f>K82*$L$26</f>
        <v>78072.34</v>
      </c>
      <c r="M82" s="391">
        <v>2</v>
      </c>
      <c r="N82" s="392">
        <f>M82*$L$26*1.5</f>
        <v>117108.51</v>
      </c>
      <c r="O82" s="391">
        <v>2</v>
      </c>
      <c r="P82" s="392">
        <f>O82*$L$26</f>
        <v>78072.34</v>
      </c>
      <c r="Q82" s="391">
        <v>2</v>
      </c>
      <c r="R82" s="392">
        <f>Q82*$L$26</f>
        <v>78072.34</v>
      </c>
      <c r="S82" s="495">
        <v>3</v>
      </c>
      <c r="T82" s="392">
        <f>S82*$L$26</f>
        <v>117108.51</v>
      </c>
      <c r="U82" s="391">
        <v>3</v>
      </c>
      <c r="V82" s="392">
        <f>U82*$L$26</f>
        <v>117108.51</v>
      </c>
      <c r="W82" s="391">
        <v>3</v>
      </c>
      <c r="X82" s="392">
        <f>W82*$L$26</f>
        <v>117108.51</v>
      </c>
      <c r="Y82" s="391">
        <v>3</v>
      </c>
      <c r="Z82" s="392">
        <f>Y82*$L$26*1.5- (2/6)*$L$26</f>
        <v>162650.70833333331</v>
      </c>
      <c r="AA82" s="508">
        <f t="shared" si="6"/>
        <v>1177591.1283333332</v>
      </c>
    </row>
    <row r="83" spans="2:27" x14ac:dyDescent="0.25">
      <c r="B83" s="509"/>
      <c r="C83" s="391">
        <v>2</v>
      </c>
      <c r="D83" s="392">
        <f>C83*$L$24</f>
        <v>78072.34</v>
      </c>
      <c r="E83" s="391">
        <v>2</v>
      </c>
      <c r="F83" s="392">
        <f>E83*$L$24</f>
        <v>78072.34</v>
      </c>
      <c r="G83" s="391">
        <v>2</v>
      </c>
      <c r="H83" s="392">
        <f>G83*$L$24</f>
        <v>78072.34</v>
      </c>
      <c r="I83" s="391">
        <v>2</v>
      </c>
      <c r="J83" s="392">
        <f>I83*$L$24</f>
        <v>78072.34</v>
      </c>
      <c r="K83" s="391">
        <v>2</v>
      </c>
      <c r="L83" s="392">
        <f>K83*$L$24</f>
        <v>78072.34</v>
      </c>
      <c r="M83" s="391">
        <v>2</v>
      </c>
      <c r="N83" s="392">
        <f>M83*$L$24*1.5</f>
        <v>117108.51</v>
      </c>
      <c r="O83" s="391">
        <v>2</v>
      </c>
      <c r="P83" s="392">
        <f>O83*$L$24</f>
        <v>78072.34</v>
      </c>
      <c r="Q83" s="391">
        <v>2</v>
      </c>
      <c r="R83" s="392">
        <f>Q83*$L$24</f>
        <v>78072.34</v>
      </c>
      <c r="S83" s="495">
        <v>3</v>
      </c>
      <c r="T83" s="392">
        <f>S83*$L$24</f>
        <v>117108.51</v>
      </c>
      <c r="U83" s="391">
        <v>3</v>
      </c>
      <c r="V83" s="392">
        <f>U83*$L$24</f>
        <v>117108.51</v>
      </c>
      <c r="W83" s="391">
        <v>3</v>
      </c>
      <c r="X83" s="392">
        <f>W83*$L$24</f>
        <v>117108.51</v>
      </c>
      <c r="Y83" s="391">
        <v>3</v>
      </c>
      <c r="Z83" s="392">
        <f>Y83*$L$24*1.5 - (2/6)*$L$24</f>
        <v>162650.70833333331</v>
      </c>
      <c r="AA83" s="508">
        <f t="shared" si="6"/>
        <v>1177591.1283333332</v>
      </c>
    </row>
    <row r="84" spans="2:27" x14ac:dyDescent="0.25">
      <c r="B84" s="507"/>
      <c r="C84" s="391">
        <v>1</v>
      </c>
      <c r="D84" s="392">
        <f>C84*$L$25</f>
        <v>19527.37</v>
      </c>
      <c r="E84" s="391">
        <v>1</v>
      </c>
      <c r="F84" s="392">
        <f>E84*$L$25</f>
        <v>19527.37</v>
      </c>
      <c r="G84" s="391">
        <v>1</v>
      </c>
      <c r="H84" s="392">
        <f>G84*$L$25</f>
        <v>19527.37</v>
      </c>
      <c r="I84" s="391">
        <v>1</v>
      </c>
      <c r="J84" s="392">
        <f>I84*$L$25</f>
        <v>19527.37</v>
      </c>
      <c r="K84" s="391">
        <v>1</v>
      </c>
      <c r="L84" s="392">
        <f>K84*$L$25</f>
        <v>19527.37</v>
      </c>
      <c r="M84" s="391">
        <v>1</v>
      </c>
      <c r="N84" s="392">
        <f>M84*$L$25*1.5</f>
        <v>29291.055</v>
      </c>
      <c r="O84" s="391">
        <v>1</v>
      </c>
      <c r="P84" s="392">
        <f>O84*$L$25</f>
        <v>19527.37</v>
      </c>
      <c r="Q84" s="391">
        <v>1</v>
      </c>
      <c r="R84" s="392">
        <f>Q84*$L$25</f>
        <v>19527.37</v>
      </c>
      <c r="S84" s="391">
        <v>1</v>
      </c>
      <c r="T84" s="392">
        <f>S84*$L$25</f>
        <v>19527.37</v>
      </c>
      <c r="U84" s="391">
        <v>1</v>
      </c>
      <c r="V84" s="392">
        <f>U84*$L$25</f>
        <v>19527.37</v>
      </c>
      <c r="W84" s="391">
        <v>1</v>
      </c>
      <c r="X84" s="392">
        <f>W84*$L$25</f>
        <v>19527.37</v>
      </c>
      <c r="Y84" s="391">
        <v>1</v>
      </c>
      <c r="Z84" s="392">
        <f>Y84*$L$25*1.5</f>
        <v>29291.055</v>
      </c>
      <c r="AA84" s="508">
        <f t="shared" si="6"/>
        <v>253855.80999999997</v>
      </c>
    </row>
    <row r="85" spans="2:27" x14ac:dyDescent="0.25">
      <c r="B85" s="507"/>
      <c r="C85" s="391">
        <v>1</v>
      </c>
      <c r="D85" s="392">
        <f>C85*$L$20</f>
        <v>63422.17</v>
      </c>
      <c r="E85" s="391">
        <v>1</v>
      </c>
      <c r="F85" s="392">
        <f>E85*$L$20</f>
        <v>63422.17</v>
      </c>
      <c r="G85" s="391">
        <v>1</v>
      </c>
      <c r="H85" s="392">
        <f>G85*$L$20</f>
        <v>63422.17</v>
      </c>
      <c r="I85" s="391">
        <v>1</v>
      </c>
      <c r="J85" s="392">
        <f>I85*$L$20</f>
        <v>63422.17</v>
      </c>
      <c r="K85" s="391">
        <v>1</v>
      </c>
      <c r="L85" s="392">
        <f>K85*$L$20</f>
        <v>63422.17</v>
      </c>
      <c r="M85" s="391">
        <v>1</v>
      </c>
      <c r="N85" s="392">
        <f>M85*$L$20*(1+6/12)</f>
        <v>95133.255000000005</v>
      </c>
      <c r="O85" s="391">
        <v>1</v>
      </c>
      <c r="P85" s="392">
        <f>O85*$L$20</f>
        <v>63422.17</v>
      </c>
      <c r="Q85" s="391">
        <v>1</v>
      </c>
      <c r="R85" s="392">
        <f>Q85*$L$20</f>
        <v>63422.17</v>
      </c>
      <c r="S85" s="391">
        <v>1</v>
      </c>
      <c r="T85" s="392">
        <f>S85*$L$20</f>
        <v>63422.17</v>
      </c>
      <c r="U85" s="391">
        <v>1</v>
      </c>
      <c r="V85" s="392">
        <f>U85*$L$20</f>
        <v>63422.17</v>
      </c>
      <c r="W85" s="391">
        <v>1</v>
      </c>
      <c r="X85" s="392">
        <f>W85*$L$20</f>
        <v>63422.17</v>
      </c>
      <c r="Y85" s="391">
        <v>1</v>
      </c>
      <c r="Z85" s="392">
        <f>Y85*$L$20*(1+6/12)</f>
        <v>95133.255000000005</v>
      </c>
      <c r="AA85" s="508">
        <f t="shared" si="6"/>
        <v>824488.21000000008</v>
      </c>
    </row>
    <row r="86" spans="2:27" x14ac:dyDescent="0.25">
      <c r="B86" s="507"/>
      <c r="C86" s="391">
        <v>0</v>
      </c>
      <c r="D86" s="392">
        <f>C86*$L$29</f>
        <v>0</v>
      </c>
      <c r="E86" s="495">
        <v>1</v>
      </c>
      <c r="F86" s="392">
        <f>E86*$L$29</f>
        <v>48790.57</v>
      </c>
      <c r="G86" s="391">
        <v>1</v>
      </c>
      <c r="H86" s="392">
        <f>G86*$L$29</f>
        <v>48790.57</v>
      </c>
      <c r="I86" s="391">
        <v>1</v>
      </c>
      <c r="J86" s="392">
        <f>I86*$L$29</f>
        <v>48790.57</v>
      </c>
      <c r="K86" s="391">
        <v>1</v>
      </c>
      <c r="L86" s="392">
        <f>K86*$L$29</f>
        <v>48790.57</v>
      </c>
      <c r="M86" s="391">
        <v>1</v>
      </c>
      <c r="N86" s="392">
        <f>M86*$L$29*(1+5/12)</f>
        <v>69119.974166666667</v>
      </c>
      <c r="O86" s="391">
        <v>1</v>
      </c>
      <c r="P86" s="392">
        <f>O86*$L$29</f>
        <v>48790.57</v>
      </c>
      <c r="Q86" s="391">
        <v>1</v>
      </c>
      <c r="R86" s="392">
        <f>Q86*$L$29</f>
        <v>48790.57</v>
      </c>
      <c r="S86" s="391">
        <v>1</v>
      </c>
      <c r="T86" s="392">
        <f>S86*$L$29</f>
        <v>48790.57</v>
      </c>
      <c r="U86" s="391">
        <v>1</v>
      </c>
      <c r="V86" s="392">
        <f>U86*$L$29</f>
        <v>48790.57</v>
      </c>
      <c r="W86" s="391">
        <v>1</v>
      </c>
      <c r="X86" s="392">
        <f>W86*$L$29</f>
        <v>48790.57</v>
      </c>
      <c r="Y86" s="391">
        <v>1</v>
      </c>
      <c r="Z86" s="392">
        <f>Y86*$L$29*(1+6/12)</f>
        <v>73185.854999999996</v>
      </c>
      <c r="AA86" s="508">
        <f>D86+F86+H86+J86+L86+N86+P86+R86+T86+V86+X86+Z86</f>
        <v>581420.95916666673</v>
      </c>
    </row>
    <row r="87" spans="2:27" ht="16.5" thickBot="1" x14ac:dyDescent="0.3">
      <c r="B87" s="510" t="s">
        <v>224</v>
      </c>
      <c r="C87" s="511">
        <f>SUM(C75:C86)</f>
        <v>14</v>
      </c>
      <c r="D87" s="512">
        <f t="shared" ref="D87:Z87" si="7">SUM(D75:D86)</f>
        <v>719646.98</v>
      </c>
      <c r="E87" s="511">
        <f t="shared" si="7"/>
        <v>15</v>
      </c>
      <c r="F87" s="512">
        <f t="shared" si="7"/>
        <v>768437.54999999993</v>
      </c>
      <c r="G87" s="511">
        <f t="shared" si="7"/>
        <v>15</v>
      </c>
      <c r="H87" s="512">
        <f t="shared" si="7"/>
        <v>768437.54999999993</v>
      </c>
      <c r="I87" s="511">
        <f t="shared" si="7"/>
        <v>15</v>
      </c>
      <c r="J87" s="512">
        <f t="shared" si="7"/>
        <v>768437.54999999993</v>
      </c>
      <c r="K87" s="511">
        <f t="shared" si="7"/>
        <v>15</v>
      </c>
      <c r="L87" s="512">
        <f t="shared" si="7"/>
        <v>768437.54999999993</v>
      </c>
      <c r="M87" s="511">
        <f t="shared" si="7"/>
        <v>15</v>
      </c>
      <c r="N87" s="512">
        <f t="shared" si="7"/>
        <v>1148590.4441666668</v>
      </c>
      <c r="O87" s="511">
        <f t="shared" si="7"/>
        <v>15</v>
      </c>
      <c r="P87" s="512">
        <f t="shared" si="7"/>
        <v>768437.54999999993</v>
      </c>
      <c r="Q87" s="511">
        <f t="shared" si="7"/>
        <v>15</v>
      </c>
      <c r="R87" s="512">
        <f t="shared" si="7"/>
        <v>768437.54999999993</v>
      </c>
      <c r="S87" s="511">
        <f t="shared" si="7"/>
        <v>17</v>
      </c>
      <c r="T87" s="512">
        <f t="shared" si="7"/>
        <v>846509.8899999999</v>
      </c>
      <c r="U87" s="511">
        <f t="shared" si="7"/>
        <v>17</v>
      </c>
      <c r="V87" s="512">
        <f t="shared" si="7"/>
        <v>846509.8899999999</v>
      </c>
      <c r="W87" s="511">
        <f t="shared" si="7"/>
        <v>17</v>
      </c>
      <c r="X87" s="512">
        <f t="shared" si="7"/>
        <v>846509.8899999999</v>
      </c>
      <c r="Y87" s="511">
        <f t="shared" si="7"/>
        <v>17</v>
      </c>
      <c r="Z87" s="512">
        <f t="shared" si="7"/>
        <v>1243740.7216666667</v>
      </c>
      <c r="AA87" s="513">
        <f>Z87+X87+V87+T87+R87+P87+N87+L87+J87+H87+F87+D87</f>
        <v>10262133.115833335</v>
      </c>
    </row>
    <row r="91" spans="2:27" x14ac:dyDescent="0.25">
      <c r="U91" s="41"/>
      <c r="W91" s="41"/>
      <c r="X91" s="41"/>
      <c r="Y91" s="41"/>
      <c r="Z91" s="41"/>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dc:creator>
  <cp:lastModifiedBy>Martin</cp:lastModifiedBy>
  <dcterms:created xsi:type="dcterms:W3CDTF">2019-08-27T12:23:32Z</dcterms:created>
  <dcterms:modified xsi:type="dcterms:W3CDTF">2021-09-04T14:32:13Z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