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Projects\my-news\"/>
    </mc:Choice>
  </mc:AlternateContent>
  <xr:revisionPtr revIDLastSave="0" documentId="13_ncr:1_{63F24DAF-743B-4CC1-8B54-A98283CC77B7}" xr6:coauthVersionLast="47" xr6:coauthVersionMax="47" xr10:uidLastSave="{00000000-0000-0000-0000-000000000000}"/>
  <bookViews>
    <workbookView xWindow="-120" yWindow="-120" windowWidth="29040" windowHeight="15990" tabRatio="986" activeTab="4" xr2:uid="{00000000-000D-0000-FFFF-FFFF00000000}"/>
  </bookViews>
  <sheets>
    <sheet name="Portada" sheetId="1" r:id="rId1"/>
    <sheet name="Indice" sheetId="2" r:id="rId2"/>
    <sheet name="Hipótesis" sheetId="3" r:id="rId3"/>
    <sheet name="Proy. ventas" sheetId="20" r:id="rId4"/>
    <sheet name="Anexo capacidad operativa" sheetId="34" r:id="rId5"/>
    <sheet name="Mod. ingresos" sheetId="26" r:id="rId6"/>
    <sheet name="Costos fijos" sheetId="22" r:id="rId7"/>
    <sheet name="Costos variables" sheetId="27" r:id="rId8"/>
    <sheet name="Costos RRHH" sheetId="25" r:id="rId9"/>
    <sheet name="Mod. egresos" sheetId="24" r:id="rId10"/>
    <sheet name="Mod. inversión" sheetId="23" r:id="rId11"/>
    <sheet name="Amortizaciones" sheetId="19" r:id="rId12"/>
    <sheet name="Presupuesto financiero" sheetId="21" r:id="rId13"/>
    <sheet name="Matriz riesgo" sheetId="18" r:id="rId14"/>
    <sheet name="Escenario 1" sheetId="29" r:id="rId15"/>
    <sheet name="Escenario 2" sheetId="37" r:id="rId16"/>
    <sheet name="Escenario 3" sheetId="38" r:id="rId17"/>
    <sheet name="Plan de contingencia" sheetId="30" r:id="rId18"/>
    <sheet name="Hoja auxiliar" sheetId="33"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20" l="1"/>
  <c r="C29" i="20"/>
  <c r="B7" i="20"/>
  <c r="A20" i="20"/>
  <c r="A21" i="20"/>
  <c r="A22" i="20"/>
  <c r="A23" i="20"/>
  <c r="A24" i="20"/>
  <c r="A25" i="20"/>
  <c r="A26" i="20"/>
  <c r="A19" i="20"/>
  <c r="N31" i="30" l="1"/>
  <c r="N30" i="30"/>
  <c r="E60" i="22" l="1"/>
  <c r="F60" i="22"/>
  <c r="G60" i="22"/>
  <c r="H60" i="22"/>
  <c r="I60" i="22"/>
  <c r="J60" i="22"/>
  <c r="K60" i="22"/>
  <c r="L60" i="22"/>
  <c r="M60" i="22"/>
  <c r="N60" i="22"/>
  <c r="O60" i="22"/>
  <c r="D60" i="22"/>
  <c r="E41" i="22"/>
  <c r="F41" i="22"/>
  <c r="G41" i="22"/>
  <c r="H41" i="22"/>
  <c r="I41" i="22"/>
  <c r="J41" i="22"/>
  <c r="K41" i="22"/>
  <c r="L41" i="22"/>
  <c r="M41" i="22"/>
  <c r="N41" i="22"/>
  <c r="O41" i="22"/>
  <c r="D41" i="22"/>
  <c r="E23" i="22"/>
  <c r="F23" i="22"/>
  <c r="G23" i="22"/>
  <c r="H23" i="22"/>
  <c r="I23" i="22"/>
  <c r="J23" i="22"/>
  <c r="K23" i="22"/>
  <c r="L23" i="22"/>
  <c r="M23" i="22"/>
  <c r="N23" i="22"/>
  <c r="O23" i="22"/>
  <c r="D23" i="22"/>
  <c r="AA76" i="20" l="1"/>
  <c r="AA77" i="20"/>
  <c r="AA78" i="20"/>
  <c r="AA79" i="20"/>
  <c r="AA80" i="20"/>
  <c r="AA81" i="20"/>
  <c r="AA82" i="20"/>
  <c r="AA75" i="20"/>
  <c r="Y76" i="20"/>
  <c r="Y77" i="20"/>
  <c r="Y78" i="20"/>
  <c r="Y79" i="20"/>
  <c r="Y80" i="20"/>
  <c r="Y81" i="20"/>
  <c r="Y82" i="20"/>
  <c r="Y75" i="20"/>
  <c r="W76" i="20"/>
  <c r="W77" i="20"/>
  <c r="W78" i="20"/>
  <c r="W79" i="20"/>
  <c r="W80" i="20"/>
  <c r="W81" i="20"/>
  <c r="W82" i="20"/>
  <c r="W75" i="20"/>
  <c r="U76" i="20"/>
  <c r="U77" i="20"/>
  <c r="U78" i="20"/>
  <c r="U79" i="20"/>
  <c r="U80" i="20"/>
  <c r="U81" i="20"/>
  <c r="U82" i="20"/>
  <c r="U75" i="20"/>
  <c r="S76" i="20"/>
  <c r="S77" i="20"/>
  <c r="S78" i="20"/>
  <c r="S79" i="20"/>
  <c r="S80" i="20"/>
  <c r="S81" i="20"/>
  <c r="S82" i="20"/>
  <c r="S75" i="20"/>
  <c r="Q76" i="20"/>
  <c r="Q77" i="20"/>
  <c r="Q78" i="20"/>
  <c r="Q79" i="20"/>
  <c r="Q80" i="20"/>
  <c r="Q81" i="20"/>
  <c r="Q82" i="20"/>
  <c r="Q75" i="20"/>
  <c r="O76" i="20"/>
  <c r="O77" i="20"/>
  <c r="O78" i="20"/>
  <c r="O79" i="20"/>
  <c r="O80" i="20"/>
  <c r="O81" i="20"/>
  <c r="O82" i="20"/>
  <c r="O75" i="20"/>
  <c r="M76" i="20"/>
  <c r="M77" i="20"/>
  <c r="M78" i="20"/>
  <c r="M79" i="20"/>
  <c r="M80" i="20"/>
  <c r="M81" i="20"/>
  <c r="M82" i="20"/>
  <c r="M75" i="20"/>
  <c r="K76" i="20"/>
  <c r="K77" i="20"/>
  <c r="K78" i="20"/>
  <c r="K79" i="20"/>
  <c r="K80" i="20"/>
  <c r="K81" i="20"/>
  <c r="K82" i="20"/>
  <c r="K75" i="20"/>
  <c r="I76" i="20"/>
  <c r="I77" i="20"/>
  <c r="I78" i="20"/>
  <c r="I79" i="20"/>
  <c r="I80" i="20"/>
  <c r="I81" i="20"/>
  <c r="I82" i="20"/>
  <c r="I75" i="20"/>
  <c r="G76" i="20"/>
  <c r="G77" i="20"/>
  <c r="G78" i="20"/>
  <c r="G79" i="20"/>
  <c r="G80" i="20"/>
  <c r="G81" i="20"/>
  <c r="G82" i="20"/>
  <c r="G75" i="20"/>
  <c r="E76" i="20"/>
  <c r="E77" i="20"/>
  <c r="E78" i="20"/>
  <c r="E79" i="20"/>
  <c r="E80" i="20"/>
  <c r="E81" i="20"/>
  <c r="E82" i="20"/>
  <c r="E75" i="20"/>
  <c r="AA135" i="20"/>
  <c r="AA136" i="20"/>
  <c r="AA137" i="20"/>
  <c r="AA138" i="20"/>
  <c r="AA139" i="20"/>
  <c r="AA140" i="20"/>
  <c r="AA141" i="20"/>
  <c r="AA134" i="20"/>
  <c r="Y135" i="20"/>
  <c r="Y136" i="20"/>
  <c r="Y137" i="20"/>
  <c r="Y138" i="20"/>
  <c r="Y139" i="20"/>
  <c r="Y140" i="20"/>
  <c r="Y141" i="20"/>
  <c r="Y134" i="20"/>
  <c r="W135" i="20"/>
  <c r="W136" i="20"/>
  <c r="W137" i="20"/>
  <c r="W138" i="20"/>
  <c r="W139" i="20"/>
  <c r="W140" i="20"/>
  <c r="W141" i="20"/>
  <c r="W134" i="20"/>
  <c r="U135" i="20"/>
  <c r="U136" i="20"/>
  <c r="U137" i="20"/>
  <c r="U138" i="20"/>
  <c r="U139" i="20"/>
  <c r="U140" i="20"/>
  <c r="U141" i="20"/>
  <c r="U134" i="20"/>
  <c r="S135" i="20"/>
  <c r="S136" i="20"/>
  <c r="S137" i="20"/>
  <c r="S138" i="20"/>
  <c r="S139" i="20"/>
  <c r="S140" i="20"/>
  <c r="S141" i="20"/>
  <c r="S134" i="20"/>
  <c r="Q135" i="20"/>
  <c r="Q136" i="20"/>
  <c r="Q137" i="20"/>
  <c r="Q138" i="20"/>
  <c r="Q139" i="20"/>
  <c r="Q140" i="20"/>
  <c r="Q141" i="20"/>
  <c r="Q134" i="20"/>
  <c r="O135" i="20"/>
  <c r="O136" i="20"/>
  <c r="O137" i="20"/>
  <c r="O138" i="20"/>
  <c r="O139" i="20"/>
  <c r="O140" i="20"/>
  <c r="O141" i="20"/>
  <c r="O134" i="20"/>
  <c r="M135" i="20"/>
  <c r="M136" i="20"/>
  <c r="M137" i="20"/>
  <c r="M138" i="20"/>
  <c r="M139" i="20"/>
  <c r="M140" i="20"/>
  <c r="M141" i="20"/>
  <c r="M134" i="20"/>
  <c r="K135" i="20"/>
  <c r="K136" i="20"/>
  <c r="K137" i="20"/>
  <c r="K138" i="20"/>
  <c r="K139" i="20"/>
  <c r="K140" i="20"/>
  <c r="K141" i="20"/>
  <c r="K134" i="20"/>
  <c r="I135" i="20"/>
  <c r="I136" i="20"/>
  <c r="I137" i="20"/>
  <c r="I138" i="20"/>
  <c r="I139" i="20"/>
  <c r="I140" i="20"/>
  <c r="I141" i="20"/>
  <c r="I134" i="20"/>
  <c r="G135" i="20"/>
  <c r="G136" i="20"/>
  <c r="G137" i="20"/>
  <c r="G138" i="20"/>
  <c r="G139" i="20"/>
  <c r="G140" i="20"/>
  <c r="G141" i="20"/>
  <c r="G134" i="20"/>
  <c r="E135" i="20"/>
  <c r="E136" i="20"/>
  <c r="E137" i="20"/>
  <c r="E138" i="20"/>
  <c r="E139" i="20"/>
  <c r="E140" i="20"/>
  <c r="E141" i="20"/>
  <c r="E134" i="20"/>
  <c r="M5" i="21" l="1"/>
  <c r="L5" i="21"/>
  <c r="K5" i="21"/>
  <c r="L36" i="19"/>
  <c r="L35" i="19"/>
  <c r="L28" i="19"/>
  <c r="M28" i="19"/>
  <c r="L23" i="19"/>
  <c r="K22" i="19"/>
  <c r="M14" i="19"/>
  <c r="M12" i="19"/>
  <c r="J38" i="19"/>
  <c r="J34" i="19"/>
  <c r="I37" i="19"/>
  <c r="M37" i="19" s="1"/>
  <c r="I33" i="19"/>
  <c r="M33" i="19" s="1"/>
  <c r="H32" i="19"/>
  <c r="M32" i="19" s="1"/>
  <c r="H36" i="19"/>
  <c r="M36" i="19" s="1"/>
  <c r="I30" i="19"/>
  <c r="M30" i="19" s="1"/>
  <c r="J27" i="19"/>
  <c r="J25" i="19"/>
  <c r="I24" i="19"/>
  <c r="M24" i="19" s="1"/>
  <c r="H23" i="19"/>
  <c r="M23" i="19" s="1"/>
  <c r="I15" i="19"/>
  <c r="M15" i="19" s="1"/>
  <c r="G35" i="19"/>
  <c r="M35" i="19" s="1"/>
  <c r="G12" i="19"/>
  <c r="K12" i="19" s="1"/>
  <c r="G14" i="19"/>
  <c r="L14" i="19" s="1"/>
  <c r="G16" i="19"/>
  <c r="L16" i="19" s="1"/>
  <c r="G18" i="19"/>
  <c r="K18" i="19" s="1"/>
  <c r="G20" i="19"/>
  <c r="K20" i="19" s="1"/>
  <c r="G22" i="19"/>
  <c r="L22" i="19" s="1"/>
  <c r="G26" i="19"/>
  <c r="L26" i="19" s="1"/>
  <c r="G28" i="19"/>
  <c r="K28" i="19" s="1"/>
  <c r="G29" i="19"/>
  <c r="L29" i="19" s="1"/>
  <c r="G31" i="19"/>
  <c r="K31" i="19" s="1"/>
  <c r="E19" i="19"/>
  <c r="I19" i="19" s="1"/>
  <c r="M19" i="19" s="1"/>
  <c r="E21" i="19"/>
  <c r="J21" i="19" s="1"/>
  <c r="E17" i="19"/>
  <c r="I17" i="19" s="1"/>
  <c r="M17" i="19" s="1"/>
  <c r="E15" i="19"/>
  <c r="E13" i="19"/>
  <c r="I13" i="19" s="1"/>
  <c r="M13" i="19" s="1"/>
  <c r="G11" i="19"/>
  <c r="L11" i="19" s="1"/>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M18" i="19" l="1"/>
  <c r="M31" i="19"/>
  <c r="L12" i="19"/>
  <c r="K16" i="19"/>
  <c r="L18" i="19"/>
  <c r="L31" i="19"/>
  <c r="K11" i="19"/>
  <c r="K14" i="19"/>
  <c r="M16" i="19"/>
  <c r="K26" i="19"/>
  <c r="K29" i="19"/>
  <c r="L32" i="19"/>
  <c r="M11" i="19"/>
  <c r="M26" i="19"/>
  <c r="M29" i="19"/>
  <c r="M22" i="19"/>
  <c r="K35" i="19"/>
  <c r="K39" i="19"/>
  <c r="I5" i="19" s="1"/>
  <c r="K16" i="21" s="1"/>
  <c r="G8" i="29"/>
  <c r="G8" i="38"/>
  <c r="J7" i="30" s="1"/>
  <c r="G9" i="37"/>
  <c r="H8" i="38"/>
  <c r="K7" i="30" s="1"/>
  <c r="H9" i="37"/>
  <c r="H8" i="29"/>
  <c r="F8" i="29"/>
  <c r="F9" i="37"/>
  <c r="F8" i="38"/>
  <c r="I7" i="30" s="1"/>
  <c r="M20" i="19"/>
  <c r="M39" i="19" s="1"/>
  <c r="K5" i="19" s="1"/>
  <c r="M16" i="21" s="1"/>
  <c r="L20" i="19"/>
  <c r="L39" i="19" s="1"/>
  <c r="J5" i="19" s="1"/>
  <c r="L16" i="21" s="1"/>
  <c r="E81" i="23"/>
  <c r="J5" i="23" s="1"/>
  <c r="M20" i="21" s="1"/>
  <c r="E63" i="23"/>
  <c r="I5" i="23" s="1"/>
  <c r="L20" i="21" s="1"/>
  <c r="E45" i="23"/>
  <c r="H5" i="23" s="1"/>
  <c r="K20" i="21" s="1"/>
  <c r="G16" i="38" l="1"/>
  <c r="J15" i="30" s="1"/>
  <c r="G17" i="37"/>
  <c r="G16" i="29"/>
  <c r="F16" i="29"/>
  <c r="F16" i="38"/>
  <c r="I15" i="30" s="1"/>
  <c r="F17" i="37"/>
  <c r="H20" i="29"/>
  <c r="H32" i="29" s="1"/>
  <c r="H21" i="37"/>
  <c r="H33" i="37" s="1"/>
  <c r="H20" i="38"/>
  <c r="F21" i="37"/>
  <c r="F33" i="37" s="1"/>
  <c r="F20" i="29"/>
  <c r="F32" i="29" s="1"/>
  <c r="F20" i="38"/>
  <c r="H16" i="38"/>
  <c r="K15" i="30" s="1"/>
  <c r="H17" i="37"/>
  <c r="H16" i="29"/>
  <c r="G20" i="38"/>
  <c r="G20" i="29"/>
  <c r="G32" i="29" s="1"/>
  <c r="G21" i="37"/>
  <c r="G33" i="37" s="1"/>
  <c r="F21" i="21"/>
  <c r="E21" i="21"/>
  <c r="G21" i="21"/>
  <c r="E15" i="23"/>
  <c r="D5" i="23"/>
  <c r="C5" i="23"/>
  <c r="B5" i="23"/>
  <c r="D5" i="24"/>
  <c r="C5" i="24"/>
  <c r="B5" i="24"/>
  <c r="F32" i="38" l="1"/>
  <c r="I19" i="30"/>
  <c r="I31" i="30" s="1"/>
  <c r="H32" i="38"/>
  <c r="K19" i="30"/>
  <c r="K31" i="30" s="1"/>
  <c r="G32" i="38"/>
  <c r="J19" i="30"/>
  <c r="J31" i="30" s="1"/>
  <c r="E51" i="25" l="1"/>
  <c r="G51" i="25"/>
  <c r="I51" i="25"/>
  <c r="K51" i="25"/>
  <c r="M51" i="25"/>
  <c r="O51" i="25"/>
  <c r="Q51" i="25"/>
  <c r="S51" i="25"/>
  <c r="U51" i="25"/>
  <c r="W51" i="25"/>
  <c r="Y51" i="25"/>
  <c r="E69" i="25"/>
  <c r="G69" i="25"/>
  <c r="I69" i="25"/>
  <c r="K69" i="25"/>
  <c r="M69" i="25"/>
  <c r="O69" i="25"/>
  <c r="Q69" i="25"/>
  <c r="S69" i="25"/>
  <c r="U69" i="25"/>
  <c r="W69" i="25"/>
  <c r="Y69" i="25"/>
  <c r="C69" i="25"/>
  <c r="E87" i="25"/>
  <c r="G87" i="25"/>
  <c r="I87" i="25"/>
  <c r="K87" i="25"/>
  <c r="M87" i="25"/>
  <c r="O87" i="25"/>
  <c r="Q87" i="25"/>
  <c r="S87" i="25"/>
  <c r="U87" i="25"/>
  <c r="W87" i="25"/>
  <c r="Y87" i="25"/>
  <c r="C87" i="25"/>
  <c r="D68" i="25"/>
  <c r="F25" i="25" l="1"/>
  <c r="G25" i="25"/>
  <c r="H25" i="25"/>
  <c r="J25" i="25"/>
  <c r="E25" i="25"/>
  <c r="F24" i="25"/>
  <c r="G24" i="25"/>
  <c r="H24" i="25"/>
  <c r="J24" i="25"/>
  <c r="E24" i="25"/>
  <c r="C51" i="25"/>
  <c r="F34" i="25"/>
  <c r="G34" i="25"/>
  <c r="H34" i="25"/>
  <c r="J34" i="25"/>
  <c r="F33" i="25"/>
  <c r="G33" i="25"/>
  <c r="H33" i="25"/>
  <c r="J33" i="25"/>
  <c r="F32" i="25"/>
  <c r="G32" i="25"/>
  <c r="H32" i="25"/>
  <c r="J32" i="25"/>
  <c r="F31" i="25"/>
  <c r="G31" i="25"/>
  <c r="H31" i="25"/>
  <c r="J31" i="25"/>
  <c r="F30" i="25"/>
  <c r="G30" i="25"/>
  <c r="H30" i="25"/>
  <c r="J30" i="25"/>
  <c r="F29" i="25"/>
  <c r="G29" i="25"/>
  <c r="H29" i="25"/>
  <c r="J29" i="25"/>
  <c r="F28" i="25"/>
  <c r="G28" i="25"/>
  <c r="H28" i="25"/>
  <c r="J28" i="25"/>
  <c r="F27" i="25"/>
  <c r="G27" i="25"/>
  <c r="H27" i="25"/>
  <c r="J27" i="25"/>
  <c r="F26" i="25"/>
  <c r="G26" i="25"/>
  <c r="H26" i="25"/>
  <c r="J26" i="25"/>
  <c r="F23" i="25"/>
  <c r="G23" i="25"/>
  <c r="H23" i="25"/>
  <c r="J23" i="25"/>
  <c r="F22" i="25"/>
  <c r="G22" i="25"/>
  <c r="H22" i="25"/>
  <c r="J22" i="25"/>
  <c r="F21" i="25"/>
  <c r="G21" i="25"/>
  <c r="H21" i="25"/>
  <c r="J21" i="25"/>
  <c r="F20" i="25"/>
  <c r="F68" i="25" s="1"/>
  <c r="G20" i="25"/>
  <c r="H20" i="25"/>
  <c r="H68" i="25" s="1"/>
  <c r="J20" i="25"/>
  <c r="J68" i="25" s="1"/>
  <c r="F19" i="25"/>
  <c r="G19" i="25"/>
  <c r="H19" i="25"/>
  <c r="J19" i="25"/>
  <c r="F18" i="25"/>
  <c r="G18" i="25"/>
  <c r="H18" i="25"/>
  <c r="J18" i="25"/>
  <c r="J17" i="25"/>
  <c r="F17" i="25"/>
  <c r="G17" i="25"/>
  <c r="H17" i="25"/>
  <c r="E34" i="25"/>
  <c r="E33" i="25"/>
  <c r="E32" i="25"/>
  <c r="E31" i="25"/>
  <c r="E30" i="25"/>
  <c r="E29" i="25"/>
  <c r="E28" i="25"/>
  <c r="E27" i="25"/>
  <c r="E26"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G113" i="27"/>
  <c r="Z78" i="27"/>
  <c r="Z79" i="27"/>
  <c r="Z80" i="27"/>
  <c r="AA80" i="27" s="1"/>
  <c r="Z81" i="27"/>
  <c r="AA81" i="27" s="1"/>
  <c r="Z82" i="27"/>
  <c r="AA82" i="27" s="1"/>
  <c r="Z83" i="27"/>
  <c r="AA83" i="27" s="1"/>
  <c r="Z84" i="27"/>
  <c r="AA84" i="27" s="1"/>
  <c r="Z85" i="27"/>
  <c r="AA85" i="27" s="1"/>
  <c r="Z86" i="27"/>
  <c r="AA86" i="27" s="1"/>
  <c r="Z87" i="27"/>
  <c r="AA87" i="27" s="1"/>
  <c r="Z88" i="27"/>
  <c r="AA88" i="27" s="1"/>
  <c r="Z77" i="27"/>
  <c r="X78" i="27"/>
  <c r="X79" i="27"/>
  <c r="X80" i="27"/>
  <c r="Y80" i="27" s="1"/>
  <c r="X81" i="27"/>
  <c r="Y81" i="27" s="1"/>
  <c r="X82" i="27"/>
  <c r="Y82" i="27" s="1"/>
  <c r="X83" i="27"/>
  <c r="Y83" i="27" s="1"/>
  <c r="X84" i="27"/>
  <c r="Y84" i="27" s="1"/>
  <c r="X85" i="27"/>
  <c r="Y85" i="27" s="1"/>
  <c r="X86" i="27"/>
  <c r="Y86" i="27" s="1"/>
  <c r="X87" i="27"/>
  <c r="Y87" i="27" s="1"/>
  <c r="X88" i="27"/>
  <c r="Y88" i="27" s="1"/>
  <c r="X77" i="27"/>
  <c r="V78" i="27"/>
  <c r="V79" i="27"/>
  <c r="V80" i="27"/>
  <c r="W80" i="27" s="1"/>
  <c r="V81" i="27"/>
  <c r="W81" i="27" s="1"/>
  <c r="V82" i="27"/>
  <c r="V83" i="27"/>
  <c r="W83" i="27" s="1"/>
  <c r="V84" i="27"/>
  <c r="W84" i="27" s="1"/>
  <c r="V85" i="27"/>
  <c r="W85" i="27" s="1"/>
  <c r="V86" i="27"/>
  <c r="W86" i="27" s="1"/>
  <c r="V87" i="27"/>
  <c r="W87" i="27" s="1"/>
  <c r="V88" i="27"/>
  <c r="V77" i="27"/>
  <c r="T78" i="27"/>
  <c r="T79" i="27"/>
  <c r="T80" i="27"/>
  <c r="U80" i="27" s="1"/>
  <c r="T81" i="27"/>
  <c r="U81" i="27" s="1"/>
  <c r="T82" i="27"/>
  <c r="U82" i="27" s="1"/>
  <c r="T83" i="27"/>
  <c r="U83" i="27" s="1"/>
  <c r="T84" i="27"/>
  <c r="U84" i="27" s="1"/>
  <c r="T85" i="27"/>
  <c r="U85" i="27" s="1"/>
  <c r="T86" i="27"/>
  <c r="U86" i="27" s="1"/>
  <c r="T87" i="27"/>
  <c r="U87" i="27" s="1"/>
  <c r="T88" i="27"/>
  <c r="U88" i="27" s="1"/>
  <c r="T77" i="27"/>
  <c r="R78" i="27"/>
  <c r="R79" i="27"/>
  <c r="R80" i="27"/>
  <c r="S80" i="27" s="1"/>
  <c r="R81" i="27"/>
  <c r="S81" i="27" s="1"/>
  <c r="R82" i="27"/>
  <c r="S82" i="27" s="1"/>
  <c r="R83" i="27"/>
  <c r="S83" i="27" s="1"/>
  <c r="R84" i="27"/>
  <c r="S84" i="27" s="1"/>
  <c r="R85" i="27"/>
  <c r="S85" i="27" s="1"/>
  <c r="R86" i="27"/>
  <c r="S86" i="27" s="1"/>
  <c r="R87" i="27"/>
  <c r="S87" i="27" s="1"/>
  <c r="R88" i="27"/>
  <c r="S88" i="27" s="1"/>
  <c r="R77" i="27"/>
  <c r="P78" i="27"/>
  <c r="P79" i="27"/>
  <c r="P80" i="27"/>
  <c r="Q80" i="27" s="1"/>
  <c r="P81" i="27"/>
  <c r="Q81" i="27" s="1"/>
  <c r="P82" i="27"/>
  <c r="P83" i="27"/>
  <c r="Q83" i="27" s="1"/>
  <c r="P84" i="27"/>
  <c r="Q84" i="27" s="1"/>
  <c r="P85" i="27"/>
  <c r="Q85" i="27" s="1"/>
  <c r="P86" i="27"/>
  <c r="Q86" i="27" s="1"/>
  <c r="P87" i="27"/>
  <c r="Q87" i="27" s="1"/>
  <c r="P88" i="27"/>
  <c r="Q88" i="27" s="1"/>
  <c r="P77" i="27"/>
  <c r="Q82" i="27"/>
  <c r="N78" i="27"/>
  <c r="N79" i="27"/>
  <c r="N80" i="27"/>
  <c r="O80" i="27" s="1"/>
  <c r="N81" i="27"/>
  <c r="O81" i="27" s="1"/>
  <c r="N82" i="27"/>
  <c r="O82" i="27" s="1"/>
  <c r="N83" i="27"/>
  <c r="O83" i="27" s="1"/>
  <c r="N84" i="27"/>
  <c r="N85" i="27"/>
  <c r="O85" i="27" s="1"/>
  <c r="N86" i="27"/>
  <c r="O86" i="27" s="1"/>
  <c r="N87" i="27"/>
  <c r="O87" i="27" s="1"/>
  <c r="N88" i="27"/>
  <c r="O88" i="27" s="1"/>
  <c r="N77" i="27"/>
  <c r="L78" i="27"/>
  <c r="L79" i="27"/>
  <c r="L80" i="27"/>
  <c r="M80" i="27" s="1"/>
  <c r="L81" i="27"/>
  <c r="M81" i="27" s="1"/>
  <c r="L82" i="27"/>
  <c r="M82" i="27" s="1"/>
  <c r="L83" i="27"/>
  <c r="M83" i="27" s="1"/>
  <c r="L84" i="27"/>
  <c r="L85" i="27"/>
  <c r="M85" i="27" s="1"/>
  <c r="L86" i="27"/>
  <c r="M86" i="27" s="1"/>
  <c r="L87" i="27"/>
  <c r="M87" i="27" s="1"/>
  <c r="L88" i="27"/>
  <c r="M88" i="27" s="1"/>
  <c r="L77" i="27"/>
  <c r="J78" i="27"/>
  <c r="J79" i="27"/>
  <c r="J80" i="27"/>
  <c r="K80" i="27" s="1"/>
  <c r="J81" i="27"/>
  <c r="K81" i="27" s="1"/>
  <c r="J82" i="27"/>
  <c r="K82" i="27" s="1"/>
  <c r="J83" i="27"/>
  <c r="K83" i="27" s="1"/>
  <c r="J84" i="27"/>
  <c r="K84" i="27" s="1"/>
  <c r="J85" i="27"/>
  <c r="K85" i="27" s="1"/>
  <c r="J86" i="27"/>
  <c r="K86" i="27" s="1"/>
  <c r="J87" i="27"/>
  <c r="K87" i="27" s="1"/>
  <c r="J88" i="27"/>
  <c r="K88" i="27" s="1"/>
  <c r="J77" i="27"/>
  <c r="H78" i="27"/>
  <c r="H79" i="27"/>
  <c r="H80" i="27"/>
  <c r="I80" i="27" s="1"/>
  <c r="H81" i="27"/>
  <c r="I81" i="27" s="1"/>
  <c r="H82" i="27"/>
  <c r="I82" i="27" s="1"/>
  <c r="H83" i="27"/>
  <c r="I83" i="27" s="1"/>
  <c r="H84" i="27"/>
  <c r="H85" i="27"/>
  <c r="I85" i="27" s="1"/>
  <c r="H86" i="27"/>
  <c r="I86" i="27" s="1"/>
  <c r="H87" i="27"/>
  <c r="I87" i="27" s="1"/>
  <c r="H88" i="27"/>
  <c r="I88" i="27" s="1"/>
  <c r="H77" i="27"/>
  <c r="F88" i="27"/>
  <c r="F78" i="27"/>
  <c r="F79" i="27"/>
  <c r="F80" i="27"/>
  <c r="G80" i="27" s="1"/>
  <c r="F81" i="27"/>
  <c r="G81" i="27" s="1"/>
  <c r="F82" i="27"/>
  <c r="G82" i="27" s="1"/>
  <c r="F83" i="27"/>
  <c r="F84" i="27"/>
  <c r="G84" i="27" s="1"/>
  <c r="F85" i="27"/>
  <c r="G85" i="27" s="1"/>
  <c r="F86" i="27"/>
  <c r="G86" i="27" s="1"/>
  <c r="F87" i="27"/>
  <c r="G87" i="27" s="1"/>
  <c r="G89" i="27"/>
  <c r="F77" i="27"/>
  <c r="D78" i="27"/>
  <c r="D79" i="27"/>
  <c r="D80" i="27"/>
  <c r="E80" i="27" s="1"/>
  <c r="D81" i="27"/>
  <c r="E81" i="27" s="1"/>
  <c r="D82" i="27"/>
  <c r="E82" i="27" s="1"/>
  <c r="D83" i="27"/>
  <c r="E83" i="27" s="1"/>
  <c r="D84" i="27"/>
  <c r="E84" i="27" s="1"/>
  <c r="D85" i="27"/>
  <c r="E85" i="27" s="1"/>
  <c r="D86" i="27"/>
  <c r="E86" i="27" s="1"/>
  <c r="D87" i="27"/>
  <c r="E87" i="27" s="1"/>
  <c r="D88" i="27"/>
  <c r="E88" i="27" s="1"/>
  <c r="D77" i="27"/>
  <c r="AA116" i="27"/>
  <c r="Y116" i="27"/>
  <c r="W116" i="27"/>
  <c r="U116" i="27"/>
  <c r="S116" i="27"/>
  <c r="Q116" i="27"/>
  <c r="O116" i="27"/>
  <c r="M116" i="27"/>
  <c r="K116" i="27"/>
  <c r="I116" i="27"/>
  <c r="G116" i="27"/>
  <c r="E116" i="27"/>
  <c r="AA115" i="27"/>
  <c r="Y115" i="27"/>
  <c r="W115" i="27"/>
  <c r="U115" i="27"/>
  <c r="S115" i="27"/>
  <c r="Q115" i="27"/>
  <c r="O115" i="27"/>
  <c r="M115" i="27"/>
  <c r="K115" i="27"/>
  <c r="I115" i="27"/>
  <c r="G115" i="27"/>
  <c r="E115" i="27"/>
  <c r="AA114" i="27"/>
  <c r="Y114" i="27"/>
  <c r="W114" i="27"/>
  <c r="U114" i="27"/>
  <c r="S114" i="27"/>
  <c r="Q114" i="27"/>
  <c r="O114" i="27"/>
  <c r="M114" i="27"/>
  <c r="K114" i="27"/>
  <c r="I114" i="27"/>
  <c r="G114" i="27"/>
  <c r="E114" i="27"/>
  <c r="AA113" i="27"/>
  <c r="Y113" i="27"/>
  <c r="W113" i="27"/>
  <c r="U113" i="27"/>
  <c r="S113" i="27"/>
  <c r="Q113" i="27"/>
  <c r="O113" i="27"/>
  <c r="M113" i="27"/>
  <c r="K113" i="27"/>
  <c r="I113" i="27"/>
  <c r="E113" i="27"/>
  <c r="AA92" i="27"/>
  <c r="Y92" i="27"/>
  <c r="W92" i="27"/>
  <c r="U92" i="27"/>
  <c r="S92" i="27"/>
  <c r="Q92" i="27"/>
  <c r="O92" i="27"/>
  <c r="M92" i="27"/>
  <c r="K92" i="27"/>
  <c r="I92" i="27"/>
  <c r="G92" i="27"/>
  <c r="E92" i="27"/>
  <c r="AA91" i="27"/>
  <c r="Y91" i="27"/>
  <c r="W91" i="27"/>
  <c r="U91" i="27"/>
  <c r="S91" i="27"/>
  <c r="Q91" i="27"/>
  <c r="O91" i="27"/>
  <c r="M91" i="27"/>
  <c r="K91" i="27"/>
  <c r="I91" i="27"/>
  <c r="G91" i="27"/>
  <c r="E91" i="27"/>
  <c r="AA90" i="27"/>
  <c r="Y90" i="27"/>
  <c r="W90" i="27"/>
  <c r="U90" i="27"/>
  <c r="S90" i="27"/>
  <c r="Q90" i="27"/>
  <c r="O90" i="27"/>
  <c r="M90" i="27"/>
  <c r="K90" i="27"/>
  <c r="I90" i="27"/>
  <c r="G90" i="27"/>
  <c r="E90" i="27"/>
  <c r="AA89" i="27"/>
  <c r="Y89" i="27"/>
  <c r="W89" i="27"/>
  <c r="U89" i="27"/>
  <c r="S89" i="27"/>
  <c r="Q89" i="27"/>
  <c r="O89" i="27"/>
  <c r="M89" i="27"/>
  <c r="K89" i="27"/>
  <c r="I89" i="27"/>
  <c r="E89" i="27"/>
  <c r="W88" i="27"/>
  <c r="G88" i="27"/>
  <c r="O84" i="27"/>
  <c r="M84" i="27"/>
  <c r="I84" i="27"/>
  <c r="G83" i="27"/>
  <c r="W82" i="27"/>
  <c r="K65" i="27"/>
  <c r="K66" i="27"/>
  <c r="K67" i="27"/>
  <c r="K68" i="27"/>
  <c r="G65" i="27"/>
  <c r="G66" i="27"/>
  <c r="G67" i="27"/>
  <c r="G68" i="27"/>
  <c r="AA65" i="27"/>
  <c r="AA66" i="27"/>
  <c r="AA67" i="27"/>
  <c r="AA68" i="27"/>
  <c r="Y65" i="27"/>
  <c r="Y66" i="27"/>
  <c r="Y67" i="27"/>
  <c r="Y68" i="27"/>
  <c r="W65" i="27"/>
  <c r="W66" i="27"/>
  <c r="W67" i="27"/>
  <c r="W68" i="27"/>
  <c r="U65" i="27"/>
  <c r="U66" i="27"/>
  <c r="U67" i="27"/>
  <c r="U68" i="27"/>
  <c r="S65" i="27"/>
  <c r="S66" i="27"/>
  <c r="S67" i="27"/>
  <c r="S68" i="27"/>
  <c r="Q65" i="27"/>
  <c r="Q66" i="27"/>
  <c r="Q67" i="27"/>
  <c r="Q68" i="27"/>
  <c r="O65" i="27"/>
  <c r="O66" i="27"/>
  <c r="O67" i="27"/>
  <c r="O68" i="27"/>
  <c r="M65" i="27"/>
  <c r="M66" i="27"/>
  <c r="M67" i="27"/>
  <c r="M68" i="27"/>
  <c r="I65" i="27"/>
  <c r="I66" i="27"/>
  <c r="I67" i="27"/>
  <c r="I68" i="27"/>
  <c r="E66" i="27"/>
  <c r="E67" i="27"/>
  <c r="E68" i="27"/>
  <c r="D6" i="27"/>
  <c r="C6" i="27"/>
  <c r="B6" i="27"/>
  <c r="E65" i="27"/>
  <c r="E45" i="27"/>
  <c r="E44" i="27"/>
  <c r="E43" i="27"/>
  <c r="E42" i="27"/>
  <c r="E41" i="27"/>
  <c r="E40" i="27"/>
  <c r="E39" i="27"/>
  <c r="E38" i="27"/>
  <c r="E37" i="27"/>
  <c r="E25" i="27"/>
  <c r="E26" i="27"/>
  <c r="E27" i="27"/>
  <c r="E28" i="27"/>
  <c r="E29" i="27"/>
  <c r="E30" i="27"/>
  <c r="E31" i="27"/>
  <c r="E32" i="27"/>
  <c r="E24" i="27"/>
  <c r="E14" i="27"/>
  <c r="E15" i="27"/>
  <c r="E16" i="27"/>
  <c r="E17" i="27"/>
  <c r="E18" i="27"/>
  <c r="E19" i="27"/>
  <c r="E13" i="27"/>
  <c r="K94" i="27" l="1"/>
  <c r="M94" i="27"/>
  <c r="O94" i="27"/>
  <c r="I94" i="27"/>
  <c r="U94" i="27"/>
  <c r="W94" i="27"/>
  <c r="Y94" i="27"/>
  <c r="AA94" i="27"/>
  <c r="E94" i="27"/>
  <c r="G94" i="27"/>
  <c r="Q94" i="27"/>
  <c r="S94" i="27"/>
  <c r="K24" i="25"/>
  <c r="L24" i="25" s="1"/>
  <c r="K25" i="25"/>
  <c r="L25" i="25" s="1"/>
  <c r="K16" i="25"/>
  <c r="L16" i="25" s="1"/>
  <c r="K15" i="25"/>
  <c r="L15" i="25" s="1"/>
  <c r="K17" i="25"/>
  <c r="L17" i="25" s="1"/>
  <c r="K18" i="25"/>
  <c r="L18" i="25" s="1"/>
  <c r="K20" i="25"/>
  <c r="L20" i="25" s="1"/>
  <c r="K21" i="25"/>
  <c r="L21" i="25" s="1"/>
  <c r="K22" i="25"/>
  <c r="L22" i="25" s="1"/>
  <c r="K27" i="25"/>
  <c r="L27" i="25" s="1"/>
  <c r="K28" i="25"/>
  <c r="K30" i="25"/>
  <c r="L30" i="25" s="1"/>
  <c r="K31" i="25"/>
  <c r="L31" i="25" s="1"/>
  <c r="K32" i="25"/>
  <c r="L32" i="25" s="1"/>
  <c r="K34" i="25"/>
  <c r="K14" i="25"/>
  <c r="L14" i="25" s="1"/>
  <c r="K19" i="25"/>
  <c r="L19" i="25" s="1"/>
  <c r="K23" i="25"/>
  <c r="L23" i="25" s="1"/>
  <c r="K29" i="25"/>
  <c r="L29" i="25" s="1"/>
  <c r="K33" i="25"/>
  <c r="L33" i="25" s="1"/>
  <c r="K26" i="25"/>
  <c r="L26" i="25" s="1"/>
  <c r="AB114" i="27"/>
  <c r="AB115" i="27"/>
  <c r="AB113" i="27"/>
  <c r="AB116" i="27"/>
  <c r="AB84" i="27"/>
  <c r="AB90" i="27"/>
  <c r="AB91" i="27"/>
  <c r="AB92" i="27"/>
  <c r="AB85" i="27"/>
  <c r="AB89" i="27"/>
  <c r="AB81" i="27"/>
  <c r="AB82" i="27"/>
  <c r="AB83" i="27"/>
  <c r="AB86" i="27"/>
  <c r="AB87" i="27"/>
  <c r="AB88" i="27"/>
  <c r="AB80" i="27"/>
  <c r="AB65" i="27"/>
  <c r="AB68" i="27"/>
  <c r="AB66" i="27"/>
  <c r="AB67" i="27"/>
  <c r="E33" i="27"/>
  <c r="D12" i="23" s="1"/>
  <c r="E12" i="23" s="1"/>
  <c r="E46" i="27"/>
  <c r="D13" i="23" s="1"/>
  <c r="E20" i="27"/>
  <c r="D11" i="23" s="1"/>
  <c r="E11" i="23" s="1"/>
  <c r="J56" i="22"/>
  <c r="D56" i="22"/>
  <c r="E37" i="22"/>
  <c r="F37" i="22"/>
  <c r="G37" i="22"/>
  <c r="H37" i="22"/>
  <c r="I37" i="22"/>
  <c r="J37" i="22" s="1"/>
  <c r="D37" i="22"/>
  <c r="O59" i="22"/>
  <c r="N59" i="22"/>
  <c r="M59" i="22"/>
  <c r="L59" i="22"/>
  <c r="K59" i="22"/>
  <c r="J59" i="22"/>
  <c r="I59" i="22"/>
  <c r="H59" i="22"/>
  <c r="G59" i="22"/>
  <c r="F59" i="22"/>
  <c r="E59" i="22"/>
  <c r="D59" i="22"/>
  <c r="P58" i="22"/>
  <c r="P57" i="22"/>
  <c r="P55" i="22"/>
  <c r="O54" i="22"/>
  <c r="N54" i="22"/>
  <c r="M54" i="22"/>
  <c r="L54" i="22"/>
  <c r="K54" i="22"/>
  <c r="J54" i="22"/>
  <c r="I54" i="22"/>
  <c r="H54" i="22"/>
  <c r="G54" i="22"/>
  <c r="F54" i="22"/>
  <c r="E54" i="22"/>
  <c r="D54" i="22"/>
  <c r="P53" i="22"/>
  <c r="O52" i="22"/>
  <c r="N52" i="22"/>
  <c r="M52" i="22"/>
  <c r="L52" i="22"/>
  <c r="K52" i="22"/>
  <c r="J52" i="22"/>
  <c r="I52" i="22"/>
  <c r="H52" i="22"/>
  <c r="G52" i="22"/>
  <c r="F52" i="22"/>
  <c r="F61" i="22" s="1"/>
  <c r="E52" i="22"/>
  <c r="D52" i="22"/>
  <c r="P51" i="22"/>
  <c r="P50" i="22"/>
  <c r="P49" i="22"/>
  <c r="P48" i="22"/>
  <c r="O40" i="22"/>
  <c r="N40" i="22"/>
  <c r="M40" i="22"/>
  <c r="L40" i="22"/>
  <c r="K40" i="22"/>
  <c r="J40" i="22"/>
  <c r="I40" i="22"/>
  <c r="H40" i="22"/>
  <c r="G40" i="22"/>
  <c r="F40" i="22"/>
  <c r="E40" i="22"/>
  <c r="D40" i="22"/>
  <c r="P39" i="22"/>
  <c r="P38" i="22"/>
  <c r="P36" i="22"/>
  <c r="O35" i="22"/>
  <c r="N35" i="22"/>
  <c r="M35" i="22"/>
  <c r="L35" i="22"/>
  <c r="K35" i="22"/>
  <c r="J35" i="22"/>
  <c r="I35" i="22"/>
  <c r="H35" i="22"/>
  <c r="G35" i="22"/>
  <c r="F35" i="22"/>
  <c r="E35" i="22"/>
  <c r="D35" i="22"/>
  <c r="P34" i="22"/>
  <c r="O33" i="22"/>
  <c r="N33" i="22"/>
  <c r="M33" i="22"/>
  <c r="L33" i="22"/>
  <c r="K33" i="22"/>
  <c r="J33" i="22"/>
  <c r="I33" i="22"/>
  <c r="H33" i="22"/>
  <c r="G33" i="22"/>
  <c r="F33" i="22"/>
  <c r="E33" i="22"/>
  <c r="D33" i="22"/>
  <c r="P32" i="22"/>
  <c r="P31" i="22"/>
  <c r="P30" i="22"/>
  <c r="P29" i="22"/>
  <c r="E22" i="22"/>
  <c r="F22" i="22"/>
  <c r="G22" i="22"/>
  <c r="H22" i="22"/>
  <c r="I22" i="22"/>
  <c r="J22" i="22"/>
  <c r="K22" i="22"/>
  <c r="L22" i="22"/>
  <c r="M22" i="22"/>
  <c r="M24" i="22" s="1"/>
  <c r="N22" i="22"/>
  <c r="O22" i="22"/>
  <c r="D22" i="22"/>
  <c r="P19" i="22"/>
  <c r="P20" i="22"/>
  <c r="P21" i="22"/>
  <c r="E17" i="22"/>
  <c r="F17" i="22"/>
  <c r="G17" i="22"/>
  <c r="H17" i="22"/>
  <c r="I17" i="22"/>
  <c r="J17" i="22"/>
  <c r="K17" i="22"/>
  <c r="L17" i="22"/>
  <c r="M17" i="22"/>
  <c r="N17" i="22"/>
  <c r="O17" i="22"/>
  <c r="D17" i="22"/>
  <c r="P16" i="22"/>
  <c r="E15" i="22"/>
  <c r="F15" i="22"/>
  <c r="G15" i="22"/>
  <c r="H15" i="22"/>
  <c r="I15" i="22"/>
  <c r="J15" i="22"/>
  <c r="K15" i="22"/>
  <c r="L15" i="22"/>
  <c r="M15" i="22"/>
  <c r="N15" i="22"/>
  <c r="O15" i="22"/>
  <c r="D15" i="22"/>
  <c r="P13" i="22"/>
  <c r="P14" i="22"/>
  <c r="P12" i="22"/>
  <c r="P18" i="22"/>
  <c r="P11" i="22"/>
  <c r="E5" i="22"/>
  <c r="D5" i="22"/>
  <c r="C5" i="22"/>
  <c r="AB94" i="27" l="1"/>
  <c r="E14" i="23"/>
  <c r="E28" i="23" s="1"/>
  <c r="G5" i="23" s="1"/>
  <c r="J20" i="21" s="1"/>
  <c r="E13" i="23"/>
  <c r="I24" i="22"/>
  <c r="P37" i="22"/>
  <c r="L24" i="22"/>
  <c r="G24" i="22"/>
  <c r="J61" i="22"/>
  <c r="R82" i="25"/>
  <c r="J82" i="25"/>
  <c r="T82" i="25"/>
  <c r="D82" i="25"/>
  <c r="X82" i="25"/>
  <c r="P82" i="25"/>
  <c r="H82" i="25"/>
  <c r="Z82" i="25"/>
  <c r="L82" i="25"/>
  <c r="V82" i="25"/>
  <c r="N82" i="25"/>
  <c r="F82" i="25"/>
  <c r="Z80" i="25"/>
  <c r="X80" i="25"/>
  <c r="P80" i="25"/>
  <c r="H80" i="25"/>
  <c r="J80" i="25"/>
  <c r="V80" i="25"/>
  <c r="N80" i="25"/>
  <c r="F80" i="25"/>
  <c r="R80" i="25"/>
  <c r="T80" i="25"/>
  <c r="L80" i="25"/>
  <c r="D80" i="25"/>
  <c r="Z83" i="25"/>
  <c r="T83" i="25"/>
  <c r="L83" i="25"/>
  <c r="D83" i="25"/>
  <c r="V83" i="25"/>
  <c r="R83" i="25"/>
  <c r="J83" i="25"/>
  <c r="N83" i="25"/>
  <c r="X83" i="25"/>
  <c r="P83" i="25"/>
  <c r="H83" i="25"/>
  <c r="F83" i="25"/>
  <c r="Z81" i="25"/>
  <c r="R81" i="25"/>
  <c r="J81" i="25"/>
  <c r="D81" i="25"/>
  <c r="X81" i="25"/>
  <c r="P81" i="25"/>
  <c r="H81" i="25"/>
  <c r="T81" i="25"/>
  <c r="V81" i="25"/>
  <c r="N81" i="25"/>
  <c r="F81" i="25"/>
  <c r="L81" i="25"/>
  <c r="V84" i="25"/>
  <c r="N84" i="25"/>
  <c r="F84" i="25"/>
  <c r="P84" i="25"/>
  <c r="T84" i="25"/>
  <c r="L84" i="25"/>
  <c r="D84" i="25"/>
  <c r="H84" i="25"/>
  <c r="Z84" i="25"/>
  <c r="R84" i="25"/>
  <c r="J84" i="25"/>
  <c r="X84" i="25"/>
  <c r="X75" i="25"/>
  <c r="P75" i="25"/>
  <c r="H75" i="25"/>
  <c r="D75" i="25"/>
  <c r="Z75" i="25"/>
  <c r="J75" i="25"/>
  <c r="V75" i="25"/>
  <c r="N75" i="25"/>
  <c r="F75" i="25"/>
  <c r="T75" i="25"/>
  <c r="R75" i="25"/>
  <c r="L75" i="25"/>
  <c r="X79" i="25"/>
  <c r="P79" i="25"/>
  <c r="H79" i="25"/>
  <c r="V79" i="25"/>
  <c r="N79" i="25"/>
  <c r="F79" i="25"/>
  <c r="Z79" i="25"/>
  <c r="J79" i="25"/>
  <c r="T79" i="25"/>
  <c r="L79" i="25"/>
  <c r="D79" i="25"/>
  <c r="R79" i="25"/>
  <c r="X76" i="25"/>
  <c r="P76" i="25"/>
  <c r="H76" i="25"/>
  <c r="D76" i="25"/>
  <c r="R76" i="25"/>
  <c r="V76" i="25"/>
  <c r="N76" i="25"/>
  <c r="F76" i="25"/>
  <c r="L76" i="25"/>
  <c r="Z76" i="25"/>
  <c r="J76" i="25"/>
  <c r="T76" i="25"/>
  <c r="X77" i="25"/>
  <c r="P77" i="25"/>
  <c r="H77" i="25"/>
  <c r="T77" i="25"/>
  <c r="J77" i="25"/>
  <c r="V77" i="25"/>
  <c r="N77" i="25"/>
  <c r="F77" i="25"/>
  <c r="D77" i="25"/>
  <c r="R77" i="25"/>
  <c r="L77" i="25"/>
  <c r="Z77" i="25"/>
  <c r="X86" i="25"/>
  <c r="P86" i="25"/>
  <c r="F86" i="25"/>
  <c r="R86" i="25"/>
  <c r="V86" i="25"/>
  <c r="L86" i="25"/>
  <c r="D86" i="25"/>
  <c r="N86" i="25"/>
  <c r="H86" i="25"/>
  <c r="Z86" i="25"/>
  <c r="T86" i="25"/>
  <c r="J86" i="25"/>
  <c r="H85" i="25"/>
  <c r="X85" i="25"/>
  <c r="P85" i="25"/>
  <c r="N68" i="25"/>
  <c r="R68" i="25"/>
  <c r="L68" i="25"/>
  <c r="J85" i="25"/>
  <c r="F85" i="25"/>
  <c r="V85" i="25"/>
  <c r="L85" i="25"/>
  <c r="X68" i="25"/>
  <c r="P68" i="25"/>
  <c r="V68" i="25"/>
  <c r="R85" i="25"/>
  <c r="Z68" i="25"/>
  <c r="N85" i="25"/>
  <c r="D85" i="25"/>
  <c r="T85" i="25"/>
  <c r="Z85" i="25"/>
  <c r="T68" i="25"/>
  <c r="C55" i="27"/>
  <c r="C103" i="27"/>
  <c r="C79" i="27"/>
  <c r="C54" i="27"/>
  <c r="C102" i="27"/>
  <c r="C78" i="27"/>
  <c r="C53" i="27"/>
  <c r="C101" i="27"/>
  <c r="C77" i="27"/>
  <c r="Z62" i="25"/>
  <c r="R62" i="25"/>
  <c r="D62" i="25"/>
  <c r="H62" i="25"/>
  <c r="L62" i="25"/>
  <c r="J62" i="25"/>
  <c r="F62" i="25"/>
  <c r="X62" i="25"/>
  <c r="P62" i="25"/>
  <c r="V62" i="25"/>
  <c r="N62" i="25"/>
  <c r="T62" i="25"/>
  <c r="J59" i="25"/>
  <c r="F59" i="25"/>
  <c r="Z59" i="25"/>
  <c r="R59" i="25"/>
  <c r="D59" i="25"/>
  <c r="X59" i="25"/>
  <c r="P59" i="25"/>
  <c r="T59" i="25"/>
  <c r="H59" i="25"/>
  <c r="V59" i="25"/>
  <c r="N59" i="25"/>
  <c r="L59" i="25"/>
  <c r="V64" i="25"/>
  <c r="N64" i="25"/>
  <c r="F64" i="25"/>
  <c r="P64" i="25"/>
  <c r="H64" i="25"/>
  <c r="T64" i="25"/>
  <c r="L64" i="25"/>
  <c r="X64" i="25"/>
  <c r="Z64" i="25"/>
  <c r="R64" i="25"/>
  <c r="D64" i="25"/>
  <c r="J64" i="25"/>
  <c r="X60" i="25"/>
  <c r="P60" i="25"/>
  <c r="J60" i="25"/>
  <c r="D60" i="25"/>
  <c r="H60" i="25"/>
  <c r="V60" i="25"/>
  <c r="N60" i="25"/>
  <c r="F60" i="25"/>
  <c r="Z60" i="25"/>
  <c r="T60" i="25"/>
  <c r="L60" i="25"/>
  <c r="R60" i="25"/>
  <c r="J67" i="25"/>
  <c r="F67" i="25"/>
  <c r="X67" i="25"/>
  <c r="P67" i="25"/>
  <c r="Z67" i="25"/>
  <c r="V67" i="25"/>
  <c r="N67" i="25"/>
  <c r="D67" i="25"/>
  <c r="H67" i="25"/>
  <c r="T67" i="25"/>
  <c r="L67" i="25"/>
  <c r="R67" i="25"/>
  <c r="T58" i="25"/>
  <c r="L58" i="25"/>
  <c r="V58" i="25"/>
  <c r="J58" i="25"/>
  <c r="F58" i="25"/>
  <c r="Z58" i="25"/>
  <c r="R58" i="25"/>
  <c r="H58" i="25"/>
  <c r="N58" i="25"/>
  <c r="X58" i="25"/>
  <c r="P58" i="25"/>
  <c r="D58" i="25"/>
  <c r="H65" i="25"/>
  <c r="T65" i="25"/>
  <c r="L65" i="25"/>
  <c r="N65" i="25"/>
  <c r="Z65" i="25"/>
  <c r="R65" i="25"/>
  <c r="D65" i="25"/>
  <c r="J65" i="25"/>
  <c r="F65" i="25"/>
  <c r="X65" i="25"/>
  <c r="P65" i="25"/>
  <c r="V65" i="25"/>
  <c r="J63" i="25"/>
  <c r="F63" i="25"/>
  <c r="X63" i="25"/>
  <c r="P63" i="25"/>
  <c r="D63" i="25"/>
  <c r="V63" i="25"/>
  <c r="N63" i="25"/>
  <c r="R63" i="25"/>
  <c r="H63" i="25"/>
  <c r="T63" i="25"/>
  <c r="L63" i="25"/>
  <c r="Z63" i="25"/>
  <c r="Z66" i="25"/>
  <c r="R66" i="25"/>
  <c r="D66" i="25"/>
  <c r="T66" i="25"/>
  <c r="J66" i="25"/>
  <c r="F66" i="25"/>
  <c r="X66" i="25"/>
  <c r="P66" i="25"/>
  <c r="H66" i="25"/>
  <c r="L66" i="25"/>
  <c r="V66" i="25"/>
  <c r="N66" i="25"/>
  <c r="N49" i="25"/>
  <c r="X49" i="25"/>
  <c r="H49" i="25"/>
  <c r="T49" i="25"/>
  <c r="P49" i="25"/>
  <c r="L49" i="25"/>
  <c r="D49" i="25"/>
  <c r="Z49" i="25"/>
  <c r="R49" i="25"/>
  <c r="V49" i="25"/>
  <c r="F49" i="25"/>
  <c r="J49" i="25"/>
  <c r="T47" i="25"/>
  <c r="P47" i="25"/>
  <c r="L47" i="25"/>
  <c r="D47" i="25"/>
  <c r="N47" i="25"/>
  <c r="X47" i="25"/>
  <c r="H47" i="25"/>
  <c r="V47" i="25"/>
  <c r="Z47" i="25"/>
  <c r="R47" i="25"/>
  <c r="J47" i="25"/>
  <c r="F47" i="25"/>
  <c r="Z43" i="25"/>
  <c r="R43" i="25"/>
  <c r="J43" i="25"/>
  <c r="V43" i="25"/>
  <c r="F43" i="25"/>
  <c r="T43" i="25"/>
  <c r="L43" i="25"/>
  <c r="N43" i="25"/>
  <c r="X43" i="25"/>
  <c r="P43" i="25"/>
  <c r="H43" i="25"/>
  <c r="D43" i="25"/>
  <c r="Z48" i="25"/>
  <c r="R48" i="25"/>
  <c r="J48" i="25"/>
  <c r="V48" i="25"/>
  <c r="F48" i="25"/>
  <c r="T48" i="25"/>
  <c r="L48" i="25"/>
  <c r="D48" i="25"/>
  <c r="N48" i="25"/>
  <c r="X48" i="25"/>
  <c r="P48" i="25"/>
  <c r="H48" i="25"/>
  <c r="V46" i="25"/>
  <c r="F46" i="25"/>
  <c r="Z46" i="25"/>
  <c r="R46" i="25"/>
  <c r="J46" i="25"/>
  <c r="N46" i="25"/>
  <c r="X46" i="25"/>
  <c r="P46" i="25"/>
  <c r="T46" i="25"/>
  <c r="L46" i="25"/>
  <c r="D46" i="25"/>
  <c r="H46" i="25"/>
  <c r="V50" i="25"/>
  <c r="F50" i="25"/>
  <c r="Z50" i="25"/>
  <c r="R50" i="25"/>
  <c r="J50" i="25"/>
  <c r="N50" i="25"/>
  <c r="X50" i="25"/>
  <c r="H50" i="25"/>
  <c r="T50" i="25"/>
  <c r="L50" i="25"/>
  <c r="D50" i="25"/>
  <c r="P50" i="25"/>
  <c r="V41" i="25"/>
  <c r="F41" i="25"/>
  <c r="Z41" i="25"/>
  <c r="R41" i="25"/>
  <c r="J41" i="25"/>
  <c r="N41" i="25"/>
  <c r="X41" i="25"/>
  <c r="P41" i="25"/>
  <c r="H41" i="25"/>
  <c r="T41" i="25"/>
  <c r="L41" i="25"/>
  <c r="D41" i="25"/>
  <c r="N45" i="25"/>
  <c r="X45" i="25"/>
  <c r="H45" i="25"/>
  <c r="T45" i="25"/>
  <c r="P45" i="25"/>
  <c r="L45" i="25"/>
  <c r="D45" i="25"/>
  <c r="R45" i="25"/>
  <c r="J45" i="25"/>
  <c r="V45" i="25"/>
  <c r="F45" i="25"/>
  <c r="Z45" i="25"/>
  <c r="T42" i="25"/>
  <c r="P42" i="25"/>
  <c r="L42" i="25"/>
  <c r="D42" i="25"/>
  <c r="N42" i="25"/>
  <c r="X42" i="25"/>
  <c r="H42" i="25"/>
  <c r="V42" i="25"/>
  <c r="F42" i="25"/>
  <c r="Z42" i="25"/>
  <c r="R42" i="25"/>
  <c r="J42" i="25"/>
  <c r="L34" i="25"/>
  <c r="L28" i="25"/>
  <c r="P22" i="22"/>
  <c r="E24" i="22"/>
  <c r="H61" i="22"/>
  <c r="F42" i="22"/>
  <c r="P23" i="22"/>
  <c r="O42" i="22"/>
  <c r="P40" i="22"/>
  <c r="P41" i="22"/>
  <c r="N42" i="22"/>
  <c r="O24" i="22"/>
  <c r="P17" i="22"/>
  <c r="E61" i="22"/>
  <c r="I61" i="22"/>
  <c r="J42" i="22"/>
  <c r="N24" i="22"/>
  <c r="G42" i="22"/>
  <c r="K42" i="22"/>
  <c r="P54" i="22"/>
  <c r="P59" i="22"/>
  <c r="P60" i="22"/>
  <c r="J24" i="22"/>
  <c r="D42" i="22"/>
  <c r="L42" i="22"/>
  <c r="D24" i="22"/>
  <c r="F24" i="22"/>
  <c r="K24" i="22"/>
  <c r="E42" i="22"/>
  <c r="I42" i="22"/>
  <c r="M42" i="22"/>
  <c r="P35" i="22"/>
  <c r="G61" i="22"/>
  <c r="K61" i="22"/>
  <c r="O61" i="22"/>
  <c r="L61" i="22"/>
  <c r="P56" i="22"/>
  <c r="M61" i="22"/>
  <c r="N61" i="22"/>
  <c r="D61" i="22"/>
  <c r="H42" i="22"/>
  <c r="P52" i="22"/>
  <c r="H24" i="22"/>
  <c r="P33" i="22"/>
  <c r="P15" i="22"/>
  <c r="E20" i="38" l="1"/>
  <c r="E21" i="37"/>
  <c r="E33" i="37" s="1"/>
  <c r="E34" i="37" s="1"/>
  <c r="E20" i="29"/>
  <c r="E32" i="29" s="1"/>
  <c r="E33" i="29" s="1"/>
  <c r="D21" i="21"/>
  <c r="D22" i="21" s="1"/>
  <c r="T51" i="25"/>
  <c r="M93" i="27"/>
  <c r="O93" i="27"/>
  <c r="Q93" i="27"/>
  <c r="AA80" i="25"/>
  <c r="N51" i="25"/>
  <c r="F51" i="25"/>
  <c r="AA76" i="25"/>
  <c r="AA81" i="25"/>
  <c r="AA83" i="25"/>
  <c r="J51" i="25"/>
  <c r="V51" i="25"/>
  <c r="AA86" i="25"/>
  <c r="AA79" i="25"/>
  <c r="AA84" i="25"/>
  <c r="X78" i="25"/>
  <c r="X87" i="25" s="1"/>
  <c r="P78" i="25"/>
  <c r="P87" i="25" s="1"/>
  <c r="H78" i="25"/>
  <c r="H87" i="25" s="1"/>
  <c r="T61" i="25"/>
  <c r="T69" i="25" s="1"/>
  <c r="Z78" i="25"/>
  <c r="Z87" i="25" s="1"/>
  <c r="J78" i="25"/>
  <c r="V61" i="25"/>
  <c r="V78" i="25"/>
  <c r="V87" i="25" s="1"/>
  <c r="N78" i="25"/>
  <c r="N87" i="25" s="1"/>
  <c r="F78" i="25"/>
  <c r="Z61" i="25"/>
  <c r="R61" i="25"/>
  <c r="R69" i="25" s="1"/>
  <c r="D78" i="25"/>
  <c r="D87" i="25" s="1"/>
  <c r="N61" i="25"/>
  <c r="N69" i="25" s="1"/>
  <c r="R78" i="25"/>
  <c r="T78" i="25"/>
  <c r="T87" i="25" s="1"/>
  <c r="L78" i="25"/>
  <c r="L87" i="25" s="1"/>
  <c r="P61" i="25"/>
  <c r="L61" i="25"/>
  <c r="L69" i="25" s="1"/>
  <c r="Z69" i="25"/>
  <c r="AA75" i="25"/>
  <c r="AA82" i="25"/>
  <c r="H51" i="25"/>
  <c r="AA41" i="25"/>
  <c r="D51" i="25"/>
  <c r="P51" i="25"/>
  <c r="R51" i="25"/>
  <c r="AA48" i="25"/>
  <c r="AA58" i="25"/>
  <c r="AA67" i="25"/>
  <c r="AA68" i="25"/>
  <c r="L51" i="25"/>
  <c r="P69" i="25"/>
  <c r="V69" i="25"/>
  <c r="AA85" i="25"/>
  <c r="AA77" i="25"/>
  <c r="F87" i="25"/>
  <c r="R87" i="25"/>
  <c r="J87" i="25"/>
  <c r="M79" i="27"/>
  <c r="U79" i="27"/>
  <c r="I79" i="27"/>
  <c r="Y79" i="27"/>
  <c r="E79" i="27"/>
  <c r="S79" i="27"/>
  <c r="Q79" i="27"/>
  <c r="AA79" i="27"/>
  <c r="W79" i="27"/>
  <c r="G79" i="27"/>
  <c r="K79" i="27"/>
  <c r="O79" i="27"/>
  <c r="W78" i="27"/>
  <c r="Q78" i="27"/>
  <c r="O78" i="27"/>
  <c r="U78" i="27"/>
  <c r="E78" i="27"/>
  <c r="S78" i="27"/>
  <c r="AA78" i="27"/>
  <c r="Y78" i="27"/>
  <c r="M78" i="27"/>
  <c r="I78" i="27"/>
  <c r="G78" i="27"/>
  <c r="K78" i="27"/>
  <c r="W77" i="27"/>
  <c r="U77" i="27"/>
  <c r="Q77" i="27"/>
  <c r="Y77" i="27"/>
  <c r="E77" i="27"/>
  <c r="I77" i="27"/>
  <c r="AA77" i="27"/>
  <c r="O77" i="27"/>
  <c r="M77" i="27"/>
  <c r="G77" i="27"/>
  <c r="K77" i="27"/>
  <c r="S77" i="27"/>
  <c r="AA42" i="25"/>
  <c r="AA60" i="25"/>
  <c r="AA66" i="25"/>
  <c r="AA65" i="25"/>
  <c r="AA64" i="25"/>
  <c r="AA62" i="25"/>
  <c r="H61" i="25"/>
  <c r="H69" i="25" s="1"/>
  <c r="J61" i="25"/>
  <c r="J69" i="25" s="1"/>
  <c r="F61" i="25"/>
  <c r="F69" i="25" s="1"/>
  <c r="D61" i="25"/>
  <c r="D69" i="25" s="1"/>
  <c r="X61" i="25"/>
  <c r="X69" i="25" s="1"/>
  <c r="AA63" i="25"/>
  <c r="AA59" i="25"/>
  <c r="AA49" i="25"/>
  <c r="Z44" i="25"/>
  <c r="Z51" i="25" s="1"/>
  <c r="X44" i="25"/>
  <c r="X51" i="25" s="1"/>
  <c r="AA50" i="25"/>
  <c r="AA46" i="25"/>
  <c r="AA43" i="25"/>
  <c r="AA45" i="25"/>
  <c r="AA47" i="25"/>
  <c r="P24" i="22"/>
  <c r="G5" i="22" s="1"/>
  <c r="K10" i="21" s="1"/>
  <c r="P42" i="22"/>
  <c r="H5" i="22" s="1"/>
  <c r="L10" i="21" s="1"/>
  <c r="P61" i="22"/>
  <c r="I5" i="22" s="1"/>
  <c r="M10" i="21" s="1"/>
  <c r="W95" i="27" l="1"/>
  <c r="AB93" i="27"/>
  <c r="I95" i="27"/>
  <c r="G95" i="27"/>
  <c r="F11" i="37"/>
  <c r="F25" i="37" s="1"/>
  <c r="F10" i="38"/>
  <c r="F10" i="29"/>
  <c r="F24" i="29" s="1"/>
  <c r="Y95" i="27"/>
  <c r="H10" i="29"/>
  <c r="H24" i="29" s="1"/>
  <c r="H11" i="37"/>
  <c r="H25" i="37" s="1"/>
  <c r="H10" i="38"/>
  <c r="G10" i="38"/>
  <c r="G11" i="37"/>
  <c r="G25" i="37" s="1"/>
  <c r="G10" i="29"/>
  <c r="G24" i="29" s="1"/>
  <c r="M95" i="27"/>
  <c r="O95" i="27"/>
  <c r="E32" i="38"/>
  <c r="E33" i="38" s="1"/>
  <c r="H19" i="30"/>
  <c r="H31" i="30" s="1"/>
  <c r="H32" i="30" s="1"/>
  <c r="AA87" i="25"/>
  <c r="J6" i="25" s="1"/>
  <c r="AA78" i="25"/>
  <c r="G13" i="21"/>
  <c r="D10" i="24"/>
  <c r="F13" i="21"/>
  <c r="C10" i="24"/>
  <c r="E13" i="21"/>
  <c r="B10" i="24"/>
  <c r="S95" i="27"/>
  <c r="Q95" i="27"/>
  <c r="AA95" i="27"/>
  <c r="AB79" i="27"/>
  <c r="K95" i="27"/>
  <c r="U95" i="27"/>
  <c r="AB78" i="27"/>
  <c r="E95" i="27"/>
  <c r="AB77" i="27"/>
  <c r="AA69" i="25"/>
  <c r="I6" i="25" s="1"/>
  <c r="AA61" i="25"/>
  <c r="AA44" i="25"/>
  <c r="D12" i="3"/>
  <c r="D25" i="3" s="1"/>
  <c r="G24" i="38" l="1"/>
  <c r="J9" i="30"/>
  <c r="J23" i="30" s="1"/>
  <c r="F24" i="38"/>
  <c r="I9" i="30"/>
  <c r="I23" i="30" s="1"/>
  <c r="H24" i="38"/>
  <c r="K9" i="30"/>
  <c r="K23" i="30" s="1"/>
  <c r="G9" i="29"/>
  <c r="G23" i="29" s="1"/>
  <c r="G28" i="29" s="1"/>
  <c r="L6" i="21"/>
  <c r="C6" i="19"/>
  <c r="C6" i="23"/>
  <c r="C6" i="24"/>
  <c r="C14" i="24" s="1"/>
  <c r="C7" i="25"/>
  <c r="C7" i="27"/>
  <c r="D6" i="22"/>
  <c r="M12" i="21"/>
  <c r="D12" i="24"/>
  <c r="L12" i="21"/>
  <c r="C12" i="24"/>
  <c r="AB95" i="27"/>
  <c r="I6" i="27" s="1"/>
  <c r="L11" i="21" s="1"/>
  <c r="D24" i="3"/>
  <c r="D26" i="3"/>
  <c r="H9" i="29" s="1"/>
  <c r="H23" i="29" s="1"/>
  <c r="H28" i="29" s="1"/>
  <c r="Y66" i="34"/>
  <c r="Y65" i="34"/>
  <c r="Y64" i="34"/>
  <c r="W66" i="34"/>
  <c r="W65" i="34"/>
  <c r="W64" i="34"/>
  <c r="U66" i="34"/>
  <c r="U65" i="34"/>
  <c r="U64" i="34"/>
  <c r="S66" i="34"/>
  <c r="S65" i="34"/>
  <c r="S64" i="34"/>
  <c r="Q66" i="34"/>
  <c r="Q65" i="34"/>
  <c r="Q64" i="34"/>
  <c r="O66" i="34"/>
  <c r="O65" i="34"/>
  <c r="O64" i="34"/>
  <c r="M66" i="34"/>
  <c r="M65" i="34"/>
  <c r="M64" i="34"/>
  <c r="K66" i="34"/>
  <c r="K65" i="34"/>
  <c r="K64" i="34"/>
  <c r="I66" i="34"/>
  <c r="I65" i="34"/>
  <c r="I64" i="34"/>
  <c r="G66" i="34"/>
  <c r="G65" i="34"/>
  <c r="G64" i="34"/>
  <c r="E66" i="34"/>
  <c r="E65" i="34"/>
  <c r="E64" i="34"/>
  <c r="C66" i="34"/>
  <c r="C65" i="34"/>
  <c r="G11" i="29" l="1"/>
  <c r="G25" i="29" s="1"/>
  <c r="F14" i="21"/>
  <c r="G11" i="38"/>
  <c r="G12" i="37"/>
  <c r="G26" i="37" s="1"/>
  <c r="F9" i="29"/>
  <c r="F23" i="29" s="1"/>
  <c r="F28" i="29" s="1"/>
  <c r="K6" i="21"/>
  <c r="B6" i="19"/>
  <c r="B6" i="24"/>
  <c r="B14" i="24" s="1"/>
  <c r="B6" i="23"/>
  <c r="B7" i="25"/>
  <c r="B7" i="27"/>
  <c r="C6" i="22"/>
  <c r="G9" i="38"/>
  <c r="G10" i="37"/>
  <c r="G24" i="37" s="1"/>
  <c r="G29" i="37" s="1"/>
  <c r="H13" i="37"/>
  <c r="H27" i="37" s="1"/>
  <c r="H12" i="29"/>
  <c r="H26" i="29" s="1"/>
  <c r="G15" i="21"/>
  <c r="H12" i="38"/>
  <c r="G12" i="38"/>
  <c r="G13" i="37"/>
  <c r="G27" i="37" s="1"/>
  <c r="G12" i="29"/>
  <c r="G26" i="29" s="1"/>
  <c r="F15" i="21"/>
  <c r="C11" i="24"/>
  <c r="C13" i="24" s="1"/>
  <c r="M6" i="21"/>
  <c r="D6" i="19"/>
  <c r="D6" i="23"/>
  <c r="D6" i="24"/>
  <c r="D14" i="24" s="1"/>
  <c r="D7" i="25"/>
  <c r="D7" i="27"/>
  <c r="E6" i="22"/>
  <c r="G67" i="34"/>
  <c r="K67" i="34"/>
  <c r="O67" i="34"/>
  <c r="S67" i="34"/>
  <c r="W67" i="34"/>
  <c r="E67" i="34"/>
  <c r="I67" i="34"/>
  <c r="M67" i="34"/>
  <c r="Q67" i="34"/>
  <c r="U67" i="34"/>
  <c r="Y67" i="34"/>
  <c r="E46" i="34"/>
  <c r="E45" i="34"/>
  <c r="E44" i="34"/>
  <c r="E43" i="34"/>
  <c r="E42" i="34"/>
  <c r="E31" i="34"/>
  <c r="E32" i="34"/>
  <c r="E33" i="34"/>
  <c r="E34" i="34"/>
  <c r="E30" i="34"/>
  <c r="E21" i="34"/>
  <c r="E22" i="34"/>
  <c r="E20" i="34"/>
  <c r="B14" i="34"/>
  <c r="B10" i="34"/>
  <c r="B12" i="34" s="1"/>
  <c r="C148" i="20"/>
  <c r="C147" i="20"/>
  <c r="C146" i="20"/>
  <c r="C145" i="20"/>
  <c r="C144" i="20"/>
  <c r="C143" i="20"/>
  <c r="C89" i="20"/>
  <c r="C88" i="20"/>
  <c r="C87" i="20"/>
  <c r="C86" i="20"/>
  <c r="C85" i="20"/>
  <c r="C84" i="20"/>
  <c r="E19" i="20"/>
  <c r="C18" i="33"/>
  <c r="C19" i="33" s="1"/>
  <c r="G27" i="29" l="1"/>
  <c r="G29" i="29" s="1"/>
  <c r="H30" i="29" s="1"/>
  <c r="E28" i="20"/>
  <c r="C56" i="34" s="1"/>
  <c r="D53" i="27"/>
  <c r="E53" i="27" s="1"/>
  <c r="G25" i="38"/>
  <c r="J10" i="30"/>
  <c r="J24" i="30" s="1"/>
  <c r="G23" i="38"/>
  <c r="G28" i="38" s="1"/>
  <c r="J8" i="30"/>
  <c r="J22" i="30" s="1"/>
  <c r="J27" i="30" s="1"/>
  <c r="F9" i="38"/>
  <c r="F10" i="37"/>
  <c r="F24" i="37" s="1"/>
  <c r="F29" i="37" s="1"/>
  <c r="G28" i="37"/>
  <c r="G30" i="37" s="1"/>
  <c r="H9" i="38"/>
  <c r="H10" i="37"/>
  <c r="H24" i="37" s="1"/>
  <c r="H29" i="37" s="1"/>
  <c r="K11" i="30"/>
  <c r="H26" i="38"/>
  <c r="J11" i="30"/>
  <c r="J25" i="30" s="1"/>
  <c r="G26" i="38"/>
  <c r="E47" i="34"/>
  <c r="E35" i="34"/>
  <c r="E23" i="34"/>
  <c r="AA148" i="20"/>
  <c r="Y148" i="20"/>
  <c r="W148" i="20"/>
  <c r="U148" i="20"/>
  <c r="S148" i="20"/>
  <c r="Q148" i="20"/>
  <c r="O148" i="20"/>
  <c r="M148" i="20"/>
  <c r="K148" i="20"/>
  <c r="I148" i="20"/>
  <c r="G148" i="20"/>
  <c r="E148" i="20"/>
  <c r="Z112" i="27"/>
  <c r="AA112" i="27" s="1"/>
  <c r="X112" i="27"/>
  <c r="Y112" i="27" s="1"/>
  <c r="V112" i="27"/>
  <c r="W112" i="27" s="1"/>
  <c r="T112" i="27"/>
  <c r="U112" i="27" s="1"/>
  <c r="R112" i="27"/>
  <c r="S112" i="27" s="1"/>
  <c r="P112" i="27"/>
  <c r="Q112" i="27" s="1"/>
  <c r="N112" i="27"/>
  <c r="O112" i="27" s="1"/>
  <c r="L112" i="27"/>
  <c r="M112" i="27" s="1"/>
  <c r="J112" i="27"/>
  <c r="K112" i="27" s="1"/>
  <c r="H112" i="27"/>
  <c r="I112" i="27" s="1"/>
  <c r="F112" i="27"/>
  <c r="G112" i="27" s="1"/>
  <c r="D112" i="27"/>
  <c r="E112" i="27" s="1"/>
  <c r="Z111" i="27"/>
  <c r="AA111" i="27" s="1"/>
  <c r="X111" i="27"/>
  <c r="Y111" i="27" s="1"/>
  <c r="V111" i="27"/>
  <c r="W111" i="27" s="1"/>
  <c r="T111" i="27"/>
  <c r="U111" i="27" s="1"/>
  <c r="R111" i="27"/>
  <c r="S111" i="27" s="1"/>
  <c r="P111" i="27"/>
  <c r="Q111" i="27" s="1"/>
  <c r="N111" i="27"/>
  <c r="O111" i="27" s="1"/>
  <c r="L111" i="27"/>
  <c r="M111" i="27" s="1"/>
  <c r="J111" i="27"/>
  <c r="K111" i="27" s="1"/>
  <c r="H111" i="27"/>
  <c r="I111" i="27" s="1"/>
  <c r="F111" i="27"/>
  <c r="G111" i="27" s="1"/>
  <c r="D111" i="27"/>
  <c r="E111" i="27" s="1"/>
  <c r="Z110" i="27"/>
  <c r="AA110" i="27" s="1"/>
  <c r="X110" i="27"/>
  <c r="Y110" i="27" s="1"/>
  <c r="V110" i="27"/>
  <c r="W110" i="27" s="1"/>
  <c r="T110" i="27"/>
  <c r="U110" i="27" s="1"/>
  <c r="R110" i="27"/>
  <c r="S110" i="27" s="1"/>
  <c r="P110" i="27"/>
  <c r="Q110" i="27" s="1"/>
  <c r="N110" i="27"/>
  <c r="O110" i="27" s="1"/>
  <c r="L110" i="27"/>
  <c r="M110" i="27" s="1"/>
  <c r="J110" i="27"/>
  <c r="K110" i="27" s="1"/>
  <c r="H110" i="27"/>
  <c r="I110" i="27" s="1"/>
  <c r="F110" i="27"/>
  <c r="G110" i="27" s="1"/>
  <c r="D110" i="27"/>
  <c r="E110" i="27" s="1"/>
  <c r="Z109" i="27"/>
  <c r="AA109" i="27" s="1"/>
  <c r="X109" i="27"/>
  <c r="Y109" i="27" s="1"/>
  <c r="V109" i="27"/>
  <c r="W109" i="27" s="1"/>
  <c r="T109" i="27"/>
  <c r="U109" i="27" s="1"/>
  <c r="R109" i="27"/>
  <c r="S109" i="27" s="1"/>
  <c r="P109" i="27"/>
  <c r="Q109" i="27" s="1"/>
  <c r="N109" i="27"/>
  <c r="O109" i="27" s="1"/>
  <c r="L109" i="27"/>
  <c r="M109" i="27" s="1"/>
  <c r="J109" i="27"/>
  <c r="K109" i="27" s="1"/>
  <c r="H109" i="27"/>
  <c r="I109" i="27" s="1"/>
  <c r="F109" i="27"/>
  <c r="G109" i="27" s="1"/>
  <c r="D109" i="27"/>
  <c r="E109" i="27" s="1"/>
  <c r="Z107" i="27"/>
  <c r="AA107" i="27" s="1"/>
  <c r="X107" i="27"/>
  <c r="Y107" i="27" s="1"/>
  <c r="V107" i="27"/>
  <c r="W107" i="27" s="1"/>
  <c r="T107" i="27"/>
  <c r="U107" i="27" s="1"/>
  <c r="R107" i="27"/>
  <c r="S107" i="27" s="1"/>
  <c r="P107" i="27"/>
  <c r="Q107" i="27" s="1"/>
  <c r="N107" i="27"/>
  <c r="O107" i="27" s="1"/>
  <c r="L107" i="27"/>
  <c r="M107" i="27" s="1"/>
  <c r="J107" i="27"/>
  <c r="K107" i="27" s="1"/>
  <c r="H107" i="27"/>
  <c r="I107" i="27" s="1"/>
  <c r="F107" i="27"/>
  <c r="G107" i="27" s="1"/>
  <c r="D107" i="27"/>
  <c r="E107" i="27" s="1"/>
  <c r="Z106" i="27"/>
  <c r="AA106" i="27" s="1"/>
  <c r="X106" i="27"/>
  <c r="Y106" i="27" s="1"/>
  <c r="V106" i="27"/>
  <c r="W106" i="27" s="1"/>
  <c r="T106" i="27"/>
  <c r="U106" i="27" s="1"/>
  <c r="R106" i="27"/>
  <c r="S106" i="27" s="1"/>
  <c r="P106" i="27"/>
  <c r="Q106" i="27" s="1"/>
  <c r="N106" i="27"/>
  <c r="O106" i="27" s="1"/>
  <c r="L106" i="27"/>
  <c r="M106" i="27" s="1"/>
  <c r="J106" i="27"/>
  <c r="K106" i="27" s="1"/>
  <c r="H106" i="27"/>
  <c r="I106" i="27" s="1"/>
  <c r="F106" i="27"/>
  <c r="G106" i="27" s="1"/>
  <c r="D106" i="27"/>
  <c r="E106" i="27" s="1"/>
  <c r="Z105" i="27"/>
  <c r="AA105" i="27" s="1"/>
  <c r="X105" i="27"/>
  <c r="Y105" i="27" s="1"/>
  <c r="V105" i="27"/>
  <c r="W105" i="27" s="1"/>
  <c r="T105" i="27"/>
  <c r="U105" i="27" s="1"/>
  <c r="R105" i="27"/>
  <c r="S105" i="27" s="1"/>
  <c r="P105" i="27"/>
  <c r="Q105" i="27" s="1"/>
  <c r="N105" i="27"/>
  <c r="O105" i="27" s="1"/>
  <c r="L105" i="27"/>
  <c r="M105" i="27" s="1"/>
  <c r="J105" i="27"/>
  <c r="K105" i="27" s="1"/>
  <c r="H105" i="27"/>
  <c r="I105" i="27" s="1"/>
  <c r="F105" i="27"/>
  <c r="G105" i="27" s="1"/>
  <c r="D105" i="27"/>
  <c r="E105" i="27" s="1"/>
  <c r="AA89" i="20"/>
  <c r="Y89" i="20"/>
  <c r="W89" i="20"/>
  <c r="U89" i="20"/>
  <c r="S89" i="20"/>
  <c r="Q89" i="20"/>
  <c r="O89" i="20"/>
  <c r="M89" i="20"/>
  <c r="K89" i="20"/>
  <c r="I89" i="20"/>
  <c r="G89" i="20"/>
  <c r="E89" i="20"/>
  <c r="AA88" i="20"/>
  <c r="Y88" i="20"/>
  <c r="W88" i="20"/>
  <c r="U88" i="20"/>
  <c r="S88" i="20"/>
  <c r="Q88" i="20"/>
  <c r="O88" i="20"/>
  <c r="M88" i="20"/>
  <c r="K88" i="20"/>
  <c r="I88" i="20"/>
  <c r="G88" i="20"/>
  <c r="E88" i="20"/>
  <c r="AA87" i="20"/>
  <c r="Y87" i="20"/>
  <c r="W87" i="20"/>
  <c r="U87" i="20"/>
  <c r="S87" i="20"/>
  <c r="Q87" i="20"/>
  <c r="O87" i="20"/>
  <c r="M87" i="20"/>
  <c r="K87" i="20"/>
  <c r="I87" i="20"/>
  <c r="G87" i="20"/>
  <c r="E87" i="20"/>
  <c r="AA86" i="20"/>
  <c r="Y86" i="20"/>
  <c r="W86" i="20"/>
  <c r="U86" i="20"/>
  <c r="S86" i="20"/>
  <c r="Q86" i="20"/>
  <c r="O86" i="20"/>
  <c r="M86" i="20"/>
  <c r="K86" i="20"/>
  <c r="I86" i="20"/>
  <c r="G86" i="20"/>
  <c r="E86" i="20"/>
  <c r="AA85" i="20"/>
  <c r="Y85" i="20"/>
  <c r="W85" i="20"/>
  <c r="U85" i="20"/>
  <c r="S85" i="20"/>
  <c r="Q85" i="20"/>
  <c r="O85" i="20"/>
  <c r="M85" i="20"/>
  <c r="K85" i="20"/>
  <c r="I85" i="20"/>
  <c r="G85" i="20"/>
  <c r="E85" i="20"/>
  <c r="AA84" i="20"/>
  <c r="Y84" i="20"/>
  <c r="W84" i="20"/>
  <c r="U84" i="20"/>
  <c r="S84" i="20"/>
  <c r="Q84" i="20"/>
  <c r="O84" i="20"/>
  <c r="M84" i="20"/>
  <c r="K84" i="20"/>
  <c r="I84" i="20"/>
  <c r="G84" i="20"/>
  <c r="E84" i="20"/>
  <c r="C64" i="34" s="1"/>
  <c r="AA21" i="20"/>
  <c r="AA22" i="20"/>
  <c r="Z56" i="27" s="1"/>
  <c r="AA56" i="27" s="1"/>
  <c r="AA23" i="20"/>
  <c r="Z57" i="27" s="1"/>
  <c r="AA57" i="27" s="1"/>
  <c r="AA24" i="20"/>
  <c r="Z58" i="27" s="1"/>
  <c r="AA58" i="27" s="1"/>
  <c r="AA25" i="20"/>
  <c r="Z59" i="27" s="1"/>
  <c r="AA59" i="27" s="1"/>
  <c r="AA26" i="20"/>
  <c r="Z60" i="27" s="1"/>
  <c r="AA60" i="27" s="1"/>
  <c r="Z61" i="27"/>
  <c r="AA61" i="27" s="1"/>
  <c r="Z62" i="27"/>
  <c r="AA62" i="27" s="1"/>
  <c r="Z63" i="27"/>
  <c r="AA63" i="27" s="1"/>
  <c r="Z64" i="27"/>
  <c r="AA64" i="27" s="1"/>
  <c r="AA20" i="20"/>
  <c r="AA19" i="20"/>
  <c r="Y21" i="20"/>
  <c r="Y22" i="20"/>
  <c r="X56" i="27" s="1"/>
  <c r="Y56" i="27" s="1"/>
  <c r="Y23" i="20"/>
  <c r="X57" i="27" s="1"/>
  <c r="Y57" i="27" s="1"/>
  <c r="Y24" i="20"/>
  <c r="X58" i="27" s="1"/>
  <c r="Y58" i="27" s="1"/>
  <c r="Y25" i="20"/>
  <c r="X59" i="27" s="1"/>
  <c r="Y59" i="27" s="1"/>
  <c r="Y26" i="20"/>
  <c r="X60" i="27" s="1"/>
  <c r="Y60" i="27" s="1"/>
  <c r="X61" i="27"/>
  <c r="Y61" i="27" s="1"/>
  <c r="X62" i="27"/>
  <c r="Y62" i="27" s="1"/>
  <c r="X63" i="27"/>
  <c r="Y63" i="27" s="1"/>
  <c r="X64" i="27"/>
  <c r="Y64" i="27" s="1"/>
  <c r="Y20" i="20"/>
  <c r="Y19" i="20"/>
  <c r="W21" i="20"/>
  <c r="W22" i="20"/>
  <c r="W23" i="20"/>
  <c r="V57" i="27" s="1"/>
  <c r="W57" i="27" s="1"/>
  <c r="W24" i="20"/>
  <c r="V58" i="27" s="1"/>
  <c r="W58" i="27" s="1"/>
  <c r="W25" i="20"/>
  <c r="V59" i="27" s="1"/>
  <c r="W59" i="27" s="1"/>
  <c r="W26" i="20"/>
  <c r="V60" i="27" s="1"/>
  <c r="W60" i="27" s="1"/>
  <c r="V61" i="27"/>
  <c r="W61" i="27" s="1"/>
  <c r="V62" i="27"/>
  <c r="W62" i="27" s="1"/>
  <c r="V63" i="27"/>
  <c r="W63" i="27" s="1"/>
  <c r="V64" i="27"/>
  <c r="W64" i="27" s="1"/>
  <c r="W20" i="20"/>
  <c r="W19" i="20"/>
  <c r="U21" i="20"/>
  <c r="U22" i="20"/>
  <c r="T56" i="27" s="1"/>
  <c r="U56" i="27" s="1"/>
  <c r="U23" i="20"/>
  <c r="T57" i="27" s="1"/>
  <c r="U57" i="27" s="1"/>
  <c r="U24" i="20"/>
  <c r="T58" i="27" s="1"/>
  <c r="U58" i="27" s="1"/>
  <c r="U25" i="20"/>
  <c r="T59" i="27" s="1"/>
  <c r="U59" i="27" s="1"/>
  <c r="U26" i="20"/>
  <c r="T60" i="27" s="1"/>
  <c r="U60" i="27" s="1"/>
  <c r="T61" i="27"/>
  <c r="U61" i="27" s="1"/>
  <c r="T62" i="27"/>
  <c r="U62" i="27" s="1"/>
  <c r="T63" i="27"/>
  <c r="U63" i="27" s="1"/>
  <c r="T64" i="27"/>
  <c r="U64" i="27" s="1"/>
  <c r="U20" i="20"/>
  <c r="U19" i="20"/>
  <c r="S21" i="20"/>
  <c r="S22" i="20"/>
  <c r="R56" i="27" s="1"/>
  <c r="S56" i="27" s="1"/>
  <c r="S23" i="20"/>
  <c r="R57" i="27" s="1"/>
  <c r="S57" i="27" s="1"/>
  <c r="S24" i="20"/>
  <c r="R58" i="27" s="1"/>
  <c r="S58" i="27" s="1"/>
  <c r="S25" i="20"/>
  <c r="R59" i="27" s="1"/>
  <c r="S59" i="27" s="1"/>
  <c r="S26" i="20"/>
  <c r="R60" i="27" s="1"/>
  <c r="S60" i="27" s="1"/>
  <c r="R61" i="27"/>
  <c r="S61" i="27" s="1"/>
  <c r="R62" i="27"/>
  <c r="S62" i="27" s="1"/>
  <c r="R63" i="27"/>
  <c r="S63" i="27" s="1"/>
  <c r="R64" i="27"/>
  <c r="S64" i="27" s="1"/>
  <c r="S20" i="20"/>
  <c r="S19" i="20"/>
  <c r="Q21" i="20"/>
  <c r="Q22" i="20"/>
  <c r="P56" i="27" s="1"/>
  <c r="Q56" i="27" s="1"/>
  <c r="Q23" i="20"/>
  <c r="P57" i="27" s="1"/>
  <c r="Q57" i="27" s="1"/>
  <c r="Q24" i="20"/>
  <c r="P58" i="27" s="1"/>
  <c r="Q58" i="27" s="1"/>
  <c r="Q25" i="20"/>
  <c r="P59" i="27" s="1"/>
  <c r="Q59" i="27" s="1"/>
  <c r="Q26" i="20"/>
  <c r="P60" i="27" s="1"/>
  <c r="Q60" i="27" s="1"/>
  <c r="P61" i="27"/>
  <c r="Q61" i="27" s="1"/>
  <c r="P62" i="27"/>
  <c r="Q62" i="27" s="1"/>
  <c r="P63" i="27"/>
  <c r="Q63" i="27" s="1"/>
  <c r="P64" i="27"/>
  <c r="Q64" i="27" s="1"/>
  <c r="Q20" i="20"/>
  <c r="Q19" i="20"/>
  <c r="O21" i="20"/>
  <c r="O22" i="20"/>
  <c r="O23" i="20"/>
  <c r="N57" i="27" s="1"/>
  <c r="O57" i="27" s="1"/>
  <c r="O24" i="20"/>
  <c r="N58" i="27" s="1"/>
  <c r="O58" i="27" s="1"/>
  <c r="O25" i="20"/>
  <c r="N59" i="27" s="1"/>
  <c r="O59" i="27" s="1"/>
  <c r="O26" i="20"/>
  <c r="N60" i="27" s="1"/>
  <c r="O60" i="27" s="1"/>
  <c r="N61" i="27"/>
  <c r="O61" i="27" s="1"/>
  <c r="N62" i="27"/>
  <c r="O62" i="27" s="1"/>
  <c r="N63" i="27"/>
  <c r="O63" i="27" s="1"/>
  <c r="N64" i="27"/>
  <c r="O64" i="27" s="1"/>
  <c r="O20" i="20"/>
  <c r="O19" i="20"/>
  <c r="M20" i="20"/>
  <c r="M21" i="20"/>
  <c r="M22" i="20"/>
  <c r="L56" i="27" s="1"/>
  <c r="M56" i="27" s="1"/>
  <c r="M23" i="20"/>
  <c r="L57" i="27" s="1"/>
  <c r="M57" i="27" s="1"/>
  <c r="M24" i="20"/>
  <c r="L58" i="27" s="1"/>
  <c r="M58" i="27" s="1"/>
  <c r="M25" i="20"/>
  <c r="L59" i="27" s="1"/>
  <c r="M59" i="27" s="1"/>
  <c r="M26" i="20"/>
  <c r="L60" i="27" s="1"/>
  <c r="M60" i="27" s="1"/>
  <c r="L61" i="27"/>
  <c r="M61" i="27" s="1"/>
  <c r="L62" i="27"/>
  <c r="M62" i="27" s="1"/>
  <c r="L63" i="27"/>
  <c r="M63" i="27" s="1"/>
  <c r="L64" i="27"/>
  <c r="M64" i="27" s="1"/>
  <c r="M19" i="20"/>
  <c r="K21" i="20"/>
  <c r="K22" i="20"/>
  <c r="J56" i="27" s="1"/>
  <c r="K56" i="27" s="1"/>
  <c r="K23" i="20"/>
  <c r="J57" i="27" s="1"/>
  <c r="K57" i="27" s="1"/>
  <c r="K24" i="20"/>
  <c r="J58" i="27" s="1"/>
  <c r="K58" i="27" s="1"/>
  <c r="K25" i="20"/>
  <c r="J59" i="27" s="1"/>
  <c r="K59" i="27" s="1"/>
  <c r="K26" i="20"/>
  <c r="J60" i="27" s="1"/>
  <c r="K60" i="27" s="1"/>
  <c r="J61" i="27"/>
  <c r="K61" i="27" s="1"/>
  <c r="J62" i="27"/>
  <c r="K62" i="27" s="1"/>
  <c r="J63" i="27"/>
  <c r="K63" i="27" s="1"/>
  <c r="J64" i="27"/>
  <c r="K64" i="27" s="1"/>
  <c r="K20" i="20"/>
  <c r="K19" i="20"/>
  <c r="I21" i="20"/>
  <c r="I22" i="20"/>
  <c r="H56" i="27" s="1"/>
  <c r="I56" i="27" s="1"/>
  <c r="I23" i="20"/>
  <c r="H57" i="27" s="1"/>
  <c r="I57" i="27" s="1"/>
  <c r="I24" i="20"/>
  <c r="H58" i="27" s="1"/>
  <c r="I58" i="27" s="1"/>
  <c r="I25" i="20"/>
  <c r="H59" i="27" s="1"/>
  <c r="I59" i="27" s="1"/>
  <c r="I26" i="20"/>
  <c r="H60" i="27" s="1"/>
  <c r="I60" i="27" s="1"/>
  <c r="H61" i="27"/>
  <c r="I61" i="27" s="1"/>
  <c r="H62" i="27"/>
  <c r="I62" i="27" s="1"/>
  <c r="H63" i="27"/>
  <c r="I63" i="27" s="1"/>
  <c r="H64" i="27"/>
  <c r="I64" i="27" s="1"/>
  <c r="I20" i="20"/>
  <c r="I19" i="20"/>
  <c r="G20" i="20"/>
  <c r="G21" i="20"/>
  <c r="G22" i="20"/>
  <c r="F56" i="27" s="1"/>
  <c r="G56" i="27" s="1"/>
  <c r="G23" i="20"/>
  <c r="F57" i="27" s="1"/>
  <c r="G57" i="27" s="1"/>
  <c r="G24" i="20"/>
  <c r="F58" i="27" s="1"/>
  <c r="G58" i="27" s="1"/>
  <c r="G25" i="20"/>
  <c r="F59" i="27" s="1"/>
  <c r="G59" i="27" s="1"/>
  <c r="G26" i="20"/>
  <c r="F60" i="27" s="1"/>
  <c r="G60" i="27" s="1"/>
  <c r="F61" i="27"/>
  <c r="G61" i="27" s="1"/>
  <c r="F62" i="27"/>
  <c r="G62" i="27" s="1"/>
  <c r="F63" i="27"/>
  <c r="G63" i="27" s="1"/>
  <c r="F64" i="27"/>
  <c r="G64" i="27" s="1"/>
  <c r="G19" i="20"/>
  <c r="E20" i="20"/>
  <c r="E21" i="20"/>
  <c r="E22" i="20"/>
  <c r="D56" i="27" s="1"/>
  <c r="E56" i="27" s="1"/>
  <c r="E23" i="20"/>
  <c r="D57" i="27" s="1"/>
  <c r="E57" i="27" s="1"/>
  <c r="E24" i="20"/>
  <c r="D58" i="27" s="1"/>
  <c r="E58" i="27" s="1"/>
  <c r="E25" i="20"/>
  <c r="D59" i="27" s="1"/>
  <c r="E59" i="27" s="1"/>
  <c r="E26" i="20"/>
  <c r="D60" i="27" s="1"/>
  <c r="E60" i="27" s="1"/>
  <c r="D61" i="27"/>
  <c r="E61" i="27" s="1"/>
  <c r="D62" i="27"/>
  <c r="E62" i="27" s="1"/>
  <c r="D63" i="27"/>
  <c r="E63" i="27" s="1"/>
  <c r="D64" i="27"/>
  <c r="E64" i="27" s="1"/>
  <c r="G31" i="29" l="1"/>
  <c r="G33" i="29" s="1"/>
  <c r="AB59" i="27"/>
  <c r="AB58" i="27"/>
  <c r="S58" i="34"/>
  <c r="T58" i="34" s="1"/>
  <c r="T55" i="27"/>
  <c r="V56" i="27"/>
  <c r="W56" i="27" s="1"/>
  <c r="AB63" i="27"/>
  <c r="AB57" i="27"/>
  <c r="I29" i="20"/>
  <c r="G57" i="34" s="1"/>
  <c r="H57" i="34" s="1"/>
  <c r="H54" i="27"/>
  <c r="I54" i="27" s="1"/>
  <c r="K28" i="20"/>
  <c r="I56" i="34" s="1"/>
  <c r="J56" i="34" s="1"/>
  <c r="J53" i="27"/>
  <c r="K53" i="27" s="1"/>
  <c r="I58" i="34"/>
  <c r="J58" i="34" s="1"/>
  <c r="J55" i="27"/>
  <c r="K58" i="34"/>
  <c r="L58" i="34" s="1"/>
  <c r="L55" i="27"/>
  <c r="U29" i="20"/>
  <c r="S57" i="34" s="1"/>
  <c r="T57" i="34" s="1"/>
  <c r="T54" i="27"/>
  <c r="U54" i="27" s="1"/>
  <c r="W28" i="20"/>
  <c r="U56" i="34" s="1"/>
  <c r="V56" i="34" s="1"/>
  <c r="V53" i="27"/>
  <c r="W53" i="27" s="1"/>
  <c r="U58" i="34"/>
  <c r="V58" i="34" s="1"/>
  <c r="V55" i="27"/>
  <c r="AB64" i="27"/>
  <c r="I28" i="20"/>
  <c r="G56" i="34" s="1"/>
  <c r="H53" i="27"/>
  <c r="I53" i="27" s="1"/>
  <c r="G58" i="34"/>
  <c r="H58" i="34" s="1"/>
  <c r="H55" i="27"/>
  <c r="S29" i="20"/>
  <c r="Q57" i="34" s="1"/>
  <c r="R57" i="34" s="1"/>
  <c r="R54" i="27"/>
  <c r="S54" i="27" s="1"/>
  <c r="U28" i="20"/>
  <c r="S56" i="34" s="1"/>
  <c r="T53" i="27"/>
  <c r="U53" i="27" s="1"/>
  <c r="E48" i="34"/>
  <c r="T66" i="34"/>
  <c r="V66" i="34"/>
  <c r="F66" i="34"/>
  <c r="P66" i="34"/>
  <c r="D66" i="34"/>
  <c r="J66" i="34"/>
  <c r="Z66" i="34"/>
  <c r="X66" i="34"/>
  <c r="H66" i="34"/>
  <c r="N66" i="34"/>
  <c r="L66" i="34"/>
  <c r="R66" i="34"/>
  <c r="AB62" i="27"/>
  <c r="K29" i="20"/>
  <c r="I57" i="34" s="1"/>
  <c r="J57" i="34" s="1"/>
  <c r="J54" i="27"/>
  <c r="K54" i="27" s="1"/>
  <c r="M28" i="20"/>
  <c r="K56" i="34" s="1"/>
  <c r="L56" i="34" s="1"/>
  <c r="L53" i="27"/>
  <c r="M29" i="20"/>
  <c r="K57" i="34" s="1"/>
  <c r="L57" i="34" s="1"/>
  <c r="L54" i="27"/>
  <c r="M54" i="27" s="1"/>
  <c r="N56" i="27"/>
  <c r="O56" i="27" s="1"/>
  <c r="W29" i="20"/>
  <c r="U57" i="34" s="1"/>
  <c r="V57" i="34" s="1"/>
  <c r="V54" i="27"/>
  <c r="W54" i="27" s="1"/>
  <c r="Y28" i="20"/>
  <c r="W56" i="34" s="1"/>
  <c r="X56" i="34" s="1"/>
  <c r="X53" i="27"/>
  <c r="Y53" i="27" s="1"/>
  <c r="W58" i="34"/>
  <c r="X58" i="34" s="1"/>
  <c r="X55" i="27"/>
  <c r="G27" i="38"/>
  <c r="G31" i="38" s="1"/>
  <c r="G33" i="38" s="1"/>
  <c r="Q58" i="34"/>
  <c r="R58" i="34" s="1"/>
  <c r="R55" i="27"/>
  <c r="V65" i="34"/>
  <c r="P65" i="34"/>
  <c r="D65" i="34"/>
  <c r="Z65" i="34"/>
  <c r="R65" i="34"/>
  <c r="X65" i="34"/>
  <c r="L65" i="34"/>
  <c r="F65" i="34"/>
  <c r="T65" i="34"/>
  <c r="H65" i="34"/>
  <c r="J65" i="34"/>
  <c r="N65" i="34"/>
  <c r="AB61" i="27"/>
  <c r="C58" i="34"/>
  <c r="D55" i="27"/>
  <c r="O28" i="20"/>
  <c r="M56" i="34" s="1"/>
  <c r="N56" i="34" s="1"/>
  <c r="N53" i="27"/>
  <c r="M58" i="34"/>
  <c r="N58" i="34" s="1"/>
  <c r="N55" i="27"/>
  <c r="Y29" i="20"/>
  <c r="W57" i="34" s="1"/>
  <c r="X57" i="34" s="1"/>
  <c r="X54" i="27"/>
  <c r="Y54" i="27" s="1"/>
  <c r="AA28" i="20"/>
  <c r="Y56" i="34" s="1"/>
  <c r="Z56" i="34" s="1"/>
  <c r="Z53" i="27"/>
  <c r="AA53" i="27" s="1"/>
  <c r="Y58" i="34"/>
  <c r="Z58" i="34" s="1"/>
  <c r="Z55" i="27"/>
  <c r="G28" i="20"/>
  <c r="E56" i="34" s="1"/>
  <c r="F56" i="34" s="1"/>
  <c r="F53" i="27"/>
  <c r="G53" i="27" s="1"/>
  <c r="G29" i="20"/>
  <c r="E57" i="34" s="1"/>
  <c r="F57" i="34" s="1"/>
  <c r="F54" i="27"/>
  <c r="G54" i="27" s="1"/>
  <c r="Q29" i="20"/>
  <c r="O57" i="34" s="1"/>
  <c r="P57" i="34" s="1"/>
  <c r="P54" i="27"/>
  <c r="Q54" i="27" s="1"/>
  <c r="S28" i="20"/>
  <c r="Q56" i="34" s="1"/>
  <c r="R53" i="27"/>
  <c r="S53" i="27" s="1"/>
  <c r="AB60" i="27"/>
  <c r="E29" i="20"/>
  <c r="C57" i="34" s="1"/>
  <c r="D57" i="34" s="1"/>
  <c r="D54" i="27"/>
  <c r="E54" i="27" s="1"/>
  <c r="E58" i="34"/>
  <c r="F58" i="34" s="1"/>
  <c r="F55" i="27"/>
  <c r="O29" i="20"/>
  <c r="M57" i="34" s="1"/>
  <c r="N57" i="34" s="1"/>
  <c r="N54" i="27"/>
  <c r="O54" i="27" s="1"/>
  <c r="Q28" i="20"/>
  <c r="O56" i="34" s="1"/>
  <c r="P56" i="34" s="1"/>
  <c r="P53" i="27"/>
  <c r="O58" i="34"/>
  <c r="P58" i="34" s="1"/>
  <c r="P55" i="27"/>
  <c r="AA29" i="20"/>
  <c r="Y57" i="34" s="1"/>
  <c r="Z57" i="34" s="1"/>
  <c r="Z54" i="27"/>
  <c r="AA54" i="27" s="1"/>
  <c r="J64" i="34"/>
  <c r="Z64" i="34"/>
  <c r="H64" i="34"/>
  <c r="T64" i="34"/>
  <c r="P64" i="34"/>
  <c r="F64" i="34"/>
  <c r="L64" i="34"/>
  <c r="R64" i="34"/>
  <c r="N64" i="34"/>
  <c r="X64" i="34"/>
  <c r="V64" i="34"/>
  <c r="G32" i="37"/>
  <c r="G34" i="37" s="1"/>
  <c r="F23" i="38"/>
  <c r="F28" i="38" s="1"/>
  <c r="I8" i="30"/>
  <c r="I22" i="30" s="1"/>
  <c r="I27" i="30" s="1"/>
  <c r="K8" i="30"/>
  <c r="K22" i="30" s="1"/>
  <c r="K27" i="30" s="1"/>
  <c r="H23" i="38"/>
  <c r="H28" i="38" s="1"/>
  <c r="K25" i="30"/>
  <c r="J26" i="30"/>
  <c r="D64" i="34"/>
  <c r="C67" i="34"/>
  <c r="AB109" i="27"/>
  <c r="AB110" i="27"/>
  <c r="AB111" i="27"/>
  <c r="AB112" i="27"/>
  <c r="AB107" i="27"/>
  <c r="AB105" i="27"/>
  <c r="M147" i="20"/>
  <c r="L108" i="27"/>
  <c r="M108" i="27" s="1"/>
  <c r="G147" i="20"/>
  <c r="F108" i="27"/>
  <c r="G108" i="27" s="1"/>
  <c r="O147" i="20"/>
  <c r="N108" i="27"/>
  <c r="O108" i="27" s="1"/>
  <c r="W147" i="20"/>
  <c r="V108" i="27"/>
  <c r="W108" i="27" s="1"/>
  <c r="U147" i="20"/>
  <c r="T108" i="27"/>
  <c r="U108" i="27" s="1"/>
  <c r="I147" i="20"/>
  <c r="H108" i="27"/>
  <c r="I108" i="27" s="1"/>
  <c r="Q147" i="20"/>
  <c r="P108" i="27"/>
  <c r="Q108" i="27" s="1"/>
  <c r="Y147" i="20"/>
  <c r="X108" i="27"/>
  <c r="Y108" i="27" s="1"/>
  <c r="E147" i="20"/>
  <c r="D108" i="27"/>
  <c r="E108" i="27" s="1"/>
  <c r="K147" i="20"/>
  <c r="J108" i="27"/>
  <c r="K108" i="27" s="1"/>
  <c r="S147" i="20"/>
  <c r="R108" i="27"/>
  <c r="S108" i="27" s="1"/>
  <c r="AA147" i="20"/>
  <c r="Z108" i="27"/>
  <c r="AA108" i="27" s="1"/>
  <c r="AB106" i="27"/>
  <c r="M144" i="20"/>
  <c r="L102" i="27"/>
  <c r="M102" i="27" s="1"/>
  <c r="K73" i="34"/>
  <c r="L73" i="34" s="1"/>
  <c r="G144" i="20"/>
  <c r="F102" i="27"/>
  <c r="G102" i="27" s="1"/>
  <c r="E73" i="34"/>
  <c r="F73" i="34" s="1"/>
  <c r="O144" i="20"/>
  <c r="N102" i="27"/>
  <c r="O102" i="27" s="1"/>
  <c r="M73" i="34"/>
  <c r="N73" i="34" s="1"/>
  <c r="W144" i="20"/>
  <c r="V102" i="27"/>
  <c r="W102" i="27" s="1"/>
  <c r="U73" i="34"/>
  <c r="V73" i="34" s="1"/>
  <c r="E144" i="20"/>
  <c r="D102" i="27"/>
  <c r="E102" i="27" s="1"/>
  <c r="C73" i="34"/>
  <c r="D73" i="34" s="1"/>
  <c r="I144" i="20"/>
  <c r="H102" i="27"/>
  <c r="I102" i="27" s="1"/>
  <c r="G73" i="34"/>
  <c r="H73" i="34" s="1"/>
  <c r="Q144" i="20"/>
  <c r="P102" i="27"/>
  <c r="Q102" i="27" s="1"/>
  <c r="O73" i="34"/>
  <c r="P73" i="34" s="1"/>
  <c r="Y144" i="20"/>
  <c r="X102" i="27"/>
  <c r="Y102" i="27" s="1"/>
  <c r="W73" i="34"/>
  <c r="X73" i="34" s="1"/>
  <c r="U144" i="20"/>
  <c r="T102" i="27"/>
  <c r="U102" i="27" s="1"/>
  <c r="S73" i="34"/>
  <c r="T73" i="34" s="1"/>
  <c r="K144" i="20"/>
  <c r="J102" i="27"/>
  <c r="K102" i="27" s="1"/>
  <c r="I73" i="34"/>
  <c r="J73" i="34" s="1"/>
  <c r="S144" i="20"/>
  <c r="R102" i="27"/>
  <c r="S102" i="27" s="1"/>
  <c r="Q73" i="34"/>
  <c r="R73" i="34" s="1"/>
  <c r="AA144" i="20"/>
  <c r="Z102" i="27"/>
  <c r="AA102" i="27" s="1"/>
  <c r="Y73" i="34"/>
  <c r="Z73" i="34" s="1"/>
  <c r="E146" i="20"/>
  <c r="D104" i="27"/>
  <c r="E104" i="27" s="1"/>
  <c r="G146" i="20"/>
  <c r="F104" i="27"/>
  <c r="G104" i="27" s="1"/>
  <c r="O146" i="20"/>
  <c r="N104" i="27"/>
  <c r="O104" i="27" s="1"/>
  <c r="W146" i="20"/>
  <c r="V104" i="27"/>
  <c r="W104" i="27" s="1"/>
  <c r="M146" i="20"/>
  <c r="L104" i="27"/>
  <c r="M104" i="27" s="1"/>
  <c r="I146" i="20"/>
  <c r="H104" i="27"/>
  <c r="I104" i="27" s="1"/>
  <c r="Q146" i="20"/>
  <c r="P104" i="27"/>
  <c r="Q104" i="27" s="1"/>
  <c r="Y146" i="20"/>
  <c r="X104" i="27"/>
  <c r="Y104" i="27" s="1"/>
  <c r="U146" i="20"/>
  <c r="T104" i="27"/>
  <c r="U104" i="27" s="1"/>
  <c r="K146" i="20"/>
  <c r="J104" i="27"/>
  <c r="K104" i="27" s="1"/>
  <c r="S146" i="20"/>
  <c r="R104" i="27"/>
  <c r="S104" i="27" s="1"/>
  <c r="AA146" i="20"/>
  <c r="Z104" i="27"/>
  <c r="AA104" i="27" s="1"/>
  <c r="E145" i="20"/>
  <c r="D103" i="27"/>
  <c r="C74" i="34"/>
  <c r="D74" i="34" s="1"/>
  <c r="G145" i="20"/>
  <c r="F103" i="27"/>
  <c r="E74" i="34"/>
  <c r="F74" i="34" s="1"/>
  <c r="O145" i="20"/>
  <c r="N103" i="27"/>
  <c r="M74" i="34"/>
  <c r="N74" i="34" s="1"/>
  <c r="W145" i="20"/>
  <c r="V103" i="27"/>
  <c r="U74" i="34"/>
  <c r="V74" i="34" s="1"/>
  <c r="M145" i="20"/>
  <c r="L103" i="27"/>
  <c r="K74" i="34"/>
  <c r="L74" i="34" s="1"/>
  <c r="I145" i="20"/>
  <c r="H103" i="27"/>
  <c r="G74" i="34"/>
  <c r="H74" i="34" s="1"/>
  <c r="Q145" i="20"/>
  <c r="P103" i="27"/>
  <c r="O74" i="34"/>
  <c r="P74" i="34" s="1"/>
  <c r="Y145" i="20"/>
  <c r="X103" i="27"/>
  <c r="W74" i="34"/>
  <c r="X74" i="34" s="1"/>
  <c r="U145" i="20"/>
  <c r="T103" i="27"/>
  <c r="S74" i="34"/>
  <c r="T74" i="34" s="1"/>
  <c r="K145" i="20"/>
  <c r="J103" i="27"/>
  <c r="I74" i="34"/>
  <c r="J74" i="34" s="1"/>
  <c r="S145" i="20"/>
  <c r="R103" i="27"/>
  <c r="Q74" i="34"/>
  <c r="R74" i="34" s="1"/>
  <c r="AA145" i="20"/>
  <c r="Z103" i="27"/>
  <c r="Y74" i="34"/>
  <c r="Z74" i="34" s="1"/>
  <c r="W143" i="20"/>
  <c r="V101" i="27"/>
  <c r="W101" i="27" s="1"/>
  <c r="U72" i="34"/>
  <c r="I143" i="20"/>
  <c r="H101" i="27"/>
  <c r="I101" i="27" s="1"/>
  <c r="G72" i="34"/>
  <c r="Q143" i="20"/>
  <c r="P101" i="27"/>
  <c r="O72" i="34"/>
  <c r="Y143" i="20"/>
  <c r="X101" i="27"/>
  <c r="Y101" i="27" s="1"/>
  <c r="W72" i="34"/>
  <c r="O143" i="20"/>
  <c r="N101" i="27"/>
  <c r="M72" i="34"/>
  <c r="K143" i="20"/>
  <c r="J101" i="27"/>
  <c r="K101" i="27" s="1"/>
  <c r="I72" i="34"/>
  <c r="S143" i="20"/>
  <c r="R101" i="27"/>
  <c r="S101" i="27" s="1"/>
  <c r="Q72" i="34"/>
  <c r="AA143" i="20"/>
  <c r="Z101" i="27"/>
  <c r="AA101" i="27" s="1"/>
  <c r="Y72" i="34"/>
  <c r="G143" i="20"/>
  <c r="F101" i="27"/>
  <c r="G101" i="27" s="1"/>
  <c r="E72" i="34"/>
  <c r="E143" i="20"/>
  <c r="D101" i="27"/>
  <c r="E101" i="27" s="1"/>
  <c r="C72" i="34"/>
  <c r="M143" i="20"/>
  <c r="L101" i="27"/>
  <c r="K72" i="34"/>
  <c r="U143" i="20"/>
  <c r="T101" i="27"/>
  <c r="U101" i="27" s="1"/>
  <c r="S72" i="34"/>
  <c r="E36" i="34"/>
  <c r="E24" i="34"/>
  <c r="D56" i="34"/>
  <c r="D9" i="26"/>
  <c r="C9" i="26"/>
  <c r="B9" i="26"/>
  <c r="R67" i="34" l="1"/>
  <c r="S59" i="34"/>
  <c r="Q59" i="34"/>
  <c r="C59" i="34"/>
  <c r="G59" i="34"/>
  <c r="X67" i="34"/>
  <c r="R56" i="34"/>
  <c r="R59" i="34" s="1"/>
  <c r="D58" i="34"/>
  <c r="J67" i="34"/>
  <c r="V67" i="34"/>
  <c r="AB56" i="27"/>
  <c r="N67" i="34"/>
  <c r="H67" i="34"/>
  <c r="F59" i="34"/>
  <c r="Z67" i="34"/>
  <c r="L67" i="34"/>
  <c r="U59" i="34"/>
  <c r="G29" i="38"/>
  <c r="H30" i="38" s="1"/>
  <c r="E70" i="27"/>
  <c r="E55" i="27"/>
  <c r="K103" i="27"/>
  <c r="K118" i="27"/>
  <c r="G103" i="27"/>
  <c r="G118" i="27"/>
  <c r="D67" i="34"/>
  <c r="O59" i="34"/>
  <c r="AA70" i="27"/>
  <c r="AA55" i="27"/>
  <c r="O70" i="27"/>
  <c r="O55" i="27"/>
  <c r="I59" i="34"/>
  <c r="AA103" i="27"/>
  <c r="AA118" i="27"/>
  <c r="W103" i="27"/>
  <c r="W118" i="27"/>
  <c r="Q53" i="27"/>
  <c r="Q69" i="27"/>
  <c r="H56" i="34"/>
  <c r="H59" i="34" s="1"/>
  <c r="F67" i="34"/>
  <c r="AA71" i="27"/>
  <c r="S70" i="27"/>
  <c r="S55" i="27"/>
  <c r="S71" i="27" s="1"/>
  <c r="W59" i="34"/>
  <c r="I70" i="27"/>
  <c r="I55" i="27"/>
  <c r="I71" i="27" s="1"/>
  <c r="W70" i="27"/>
  <c r="W55" i="27"/>
  <c r="W71" i="27" s="1"/>
  <c r="M70" i="27"/>
  <c r="M55" i="27"/>
  <c r="U70" i="27"/>
  <c r="U55" i="27"/>
  <c r="U71" i="27" s="1"/>
  <c r="Y70" i="27"/>
  <c r="Y55" i="27"/>
  <c r="Y71" i="27" s="1"/>
  <c r="I103" i="27"/>
  <c r="I119" i="27" s="1"/>
  <c r="I118" i="27"/>
  <c r="O101" i="27"/>
  <c r="O117" i="27"/>
  <c r="S103" i="27"/>
  <c r="S118" i="27"/>
  <c r="U103" i="27"/>
  <c r="U119" i="27" s="1"/>
  <c r="U118" i="27"/>
  <c r="Q103" i="27"/>
  <c r="Q118" i="27"/>
  <c r="M103" i="27"/>
  <c r="M118" i="27"/>
  <c r="O103" i="27"/>
  <c r="O118" i="27"/>
  <c r="E103" i="27"/>
  <c r="E118" i="27"/>
  <c r="P67" i="34"/>
  <c r="O53" i="27"/>
  <c r="O69" i="27"/>
  <c r="M53" i="27"/>
  <c r="M69" i="27"/>
  <c r="Y103" i="27"/>
  <c r="Y118" i="27"/>
  <c r="AB54" i="27"/>
  <c r="T56" i="34"/>
  <c r="T59" i="34" s="1"/>
  <c r="Z59" i="34"/>
  <c r="M101" i="27"/>
  <c r="M117" i="27"/>
  <c r="Q101" i="27"/>
  <c r="Q117" i="27"/>
  <c r="T67" i="34"/>
  <c r="Q70" i="27"/>
  <c r="Q55" i="27"/>
  <c r="G70" i="27"/>
  <c r="G55" i="27"/>
  <c r="G71" i="27" s="1"/>
  <c r="E59" i="34"/>
  <c r="Y59" i="34"/>
  <c r="M59" i="34"/>
  <c r="K59" i="34"/>
  <c r="K70" i="27"/>
  <c r="K55" i="27"/>
  <c r="J30" i="30"/>
  <c r="J32" i="30" s="1"/>
  <c r="J28" i="30"/>
  <c r="K29" i="30" s="1"/>
  <c r="AB108" i="27"/>
  <c r="AB102" i="27"/>
  <c r="AB104" i="27"/>
  <c r="X72" i="34"/>
  <c r="X75" i="34" s="1"/>
  <c r="W75" i="34"/>
  <c r="F72" i="34"/>
  <c r="F75" i="34" s="1"/>
  <c r="E75" i="34"/>
  <c r="N72" i="34"/>
  <c r="N75" i="34" s="1"/>
  <c r="M75" i="34"/>
  <c r="V72" i="34"/>
  <c r="V75" i="34" s="1"/>
  <c r="U75" i="34"/>
  <c r="D72" i="34"/>
  <c r="D75" i="34" s="1"/>
  <c r="C75" i="34"/>
  <c r="J72" i="34"/>
  <c r="J75" i="34" s="1"/>
  <c r="I75" i="34"/>
  <c r="H72" i="34"/>
  <c r="H75" i="34" s="1"/>
  <c r="G75" i="34"/>
  <c r="T72" i="34"/>
  <c r="T75" i="34" s="1"/>
  <c r="S75" i="34"/>
  <c r="Z72" i="34"/>
  <c r="Z75" i="34" s="1"/>
  <c r="Y75" i="34"/>
  <c r="L72" i="34"/>
  <c r="L75" i="34" s="1"/>
  <c r="K75" i="34"/>
  <c r="R72" i="34"/>
  <c r="R75" i="34" s="1"/>
  <c r="Q75" i="34"/>
  <c r="P72" i="34"/>
  <c r="P75" i="34" s="1"/>
  <c r="O75" i="34"/>
  <c r="P59" i="34"/>
  <c r="J59" i="34"/>
  <c r="L59" i="34"/>
  <c r="V59" i="34"/>
  <c r="D59" i="34"/>
  <c r="N59" i="34"/>
  <c r="X59" i="34"/>
  <c r="B135" i="20"/>
  <c r="D135" i="20" s="1"/>
  <c r="B136" i="20"/>
  <c r="D136" i="20" s="1"/>
  <c r="B137" i="20"/>
  <c r="D137" i="20" s="1"/>
  <c r="B138" i="20"/>
  <c r="D138" i="20" s="1"/>
  <c r="B139" i="20"/>
  <c r="D139" i="20" s="1"/>
  <c r="B140" i="20"/>
  <c r="D140" i="20" s="1"/>
  <c r="B141" i="20"/>
  <c r="D141" i="20" s="1"/>
  <c r="B134" i="20"/>
  <c r="D134" i="20" s="1"/>
  <c r="B76" i="20"/>
  <c r="D76" i="20" s="1"/>
  <c r="B77" i="20"/>
  <c r="D77" i="20" s="1"/>
  <c r="B78" i="20"/>
  <c r="D78" i="20" s="1"/>
  <c r="B79" i="20"/>
  <c r="D79" i="20" s="1"/>
  <c r="B80" i="20"/>
  <c r="D80" i="20" s="1"/>
  <c r="B81" i="20"/>
  <c r="D81" i="20" s="1"/>
  <c r="B82" i="20"/>
  <c r="D82" i="20" s="1"/>
  <c r="B75" i="20"/>
  <c r="D75" i="20" s="1"/>
  <c r="B20" i="20"/>
  <c r="D20" i="20" s="1"/>
  <c r="B21" i="20"/>
  <c r="D21" i="20" s="1"/>
  <c r="B22" i="20"/>
  <c r="D22" i="20" s="1"/>
  <c r="B23" i="20"/>
  <c r="D23" i="20" s="1"/>
  <c r="B24" i="20"/>
  <c r="D24" i="20" s="1"/>
  <c r="B25" i="20"/>
  <c r="D25" i="20" s="1"/>
  <c r="B26" i="20"/>
  <c r="D26" i="20" s="1"/>
  <c r="B19" i="20"/>
  <c r="D19" i="20" s="1"/>
  <c r="D7" i="20"/>
  <c r="C7" i="20"/>
  <c r="Y119" i="27" l="1"/>
  <c r="S119" i="27"/>
  <c r="O71" i="27"/>
  <c r="K119" i="27"/>
  <c r="M119" i="27"/>
  <c r="AB103" i="27"/>
  <c r="O119" i="27"/>
  <c r="AA119" i="27"/>
  <c r="E119" i="27"/>
  <c r="K71" i="27"/>
  <c r="Q119" i="27"/>
  <c r="G119" i="27"/>
  <c r="W119" i="27"/>
  <c r="AB117" i="27"/>
  <c r="AB55" i="27"/>
  <c r="AB69" i="27"/>
  <c r="Q71" i="27"/>
  <c r="AB70" i="27"/>
  <c r="AB101" i="27"/>
  <c r="M71" i="27"/>
  <c r="AB53" i="27"/>
  <c r="AB118" i="27"/>
  <c r="E71" i="27"/>
  <c r="AB71" i="27" s="1"/>
  <c r="H6" i="27" s="1"/>
  <c r="AA51" i="25"/>
  <c r="H6" i="25" s="1"/>
  <c r="D142" i="20"/>
  <c r="D83" i="20"/>
  <c r="Z134" i="20"/>
  <c r="V134" i="20"/>
  <c r="R134" i="20"/>
  <c r="N134" i="20"/>
  <c r="J134" i="20"/>
  <c r="F134" i="20"/>
  <c r="X134" i="20"/>
  <c r="H134" i="20"/>
  <c r="T134" i="20"/>
  <c r="AB134" i="20"/>
  <c r="L134" i="20"/>
  <c r="P134" i="20"/>
  <c r="Z139" i="20"/>
  <c r="V139" i="20"/>
  <c r="R139" i="20"/>
  <c r="N139" i="20"/>
  <c r="J139" i="20"/>
  <c r="F139" i="20"/>
  <c r="AB139" i="20"/>
  <c r="X139" i="20"/>
  <c r="T139" i="20"/>
  <c r="P139" i="20"/>
  <c r="L139" i="20"/>
  <c r="H139" i="20"/>
  <c r="Z135" i="20"/>
  <c r="V135" i="20"/>
  <c r="R135" i="20"/>
  <c r="N135" i="20"/>
  <c r="J135" i="20"/>
  <c r="F135" i="20"/>
  <c r="P135" i="20"/>
  <c r="T135" i="20"/>
  <c r="X135" i="20"/>
  <c r="H135" i="20"/>
  <c r="AB135" i="20"/>
  <c r="L135" i="20"/>
  <c r="Z138" i="20"/>
  <c r="V138" i="20"/>
  <c r="R138" i="20"/>
  <c r="N138" i="20"/>
  <c r="J138" i="20"/>
  <c r="F138" i="20"/>
  <c r="X138" i="20"/>
  <c r="P138" i="20"/>
  <c r="H138" i="20"/>
  <c r="AB138" i="20"/>
  <c r="T138" i="20"/>
  <c r="L138" i="20"/>
  <c r="Z141" i="20"/>
  <c r="V141" i="20"/>
  <c r="R141" i="20"/>
  <c r="N141" i="20"/>
  <c r="J141" i="20"/>
  <c r="F141" i="20"/>
  <c r="AB141" i="20"/>
  <c r="X141" i="20"/>
  <c r="T141" i="20"/>
  <c r="P141" i="20"/>
  <c r="L141" i="20"/>
  <c r="H141" i="20"/>
  <c r="Z137" i="20"/>
  <c r="V137" i="20"/>
  <c r="R137" i="20"/>
  <c r="N137" i="20"/>
  <c r="J137" i="20"/>
  <c r="F137" i="20"/>
  <c r="X137" i="20"/>
  <c r="P137" i="20"/>
  <c r="H137" i="20"/>
  <c r="AB137" i="20"/>
  <c r="T137" i="20"/>
  <c r="L137" i="20"/>
  <c r="Z140" i="20"/>
  <c r="V140" i="20"/>
  <c r="R140" i="20"/>
  <c r="N140" i="20"/>
  <c r="J140" i="20"/>
  <c r="F140" i="20"/>
  <c r="L140" i="20"/>
  <c r="AB140" i="20"/>
  <c r="X140" i="20"/>
  <c r="T140" i="20"/>
  <c r="P140" i="20"/>
  <c r="H140" i="20"/>
  <c r="Z136" i="20"/>
  <c r="V136" i="20"/>
  <c r="R136" i="20"/>
  <c r="N136" i="20"/>
  <c r="J136" i="20"/>
  <c r="F136" i="20"/>
  <c r="AB136" i="20"/>
  <c r="X136" i="20"/>
  <c r="H136" i="20"/>
  <c r="T136" i="20"/>
  <c r="L136" i="20"/>
  <c r="P136" i="20"/>
  <c r="AB77" i="20"/>
  <c r="X77" i="20"/>
  <c r="T77" i="20"/>
  <c r="P77" i="20"/>
  <c r="L77" i="20"/>
  <c r="H77" i="20"/>
  <c r="F77" i="20"/>
  <c r="Z77" i="20"/>
  <c r="V77" i="20"/>
  <c r="R77" i="20"/>
  <c r="N77" i="20"/>
  <c r="J77" i="20"/>
  <c r="AB76" i="20"/>
  <c r="X76" i="20"/>
  <c r="T76" i="20"/>
  <c r="P76" i="20"/>
  <c r="L76" i="20"/>
  <c r="H76" i="20"/>
  <c r="N76" i="20"/>
  <c r="F76" i="20"/>
  <c r="Z76" i="20"/>
  <c r="V76" i="20"/>
  <c r="R76" i="20"/>
  <c r="J76" i="20"/>
  <c r="AB79" i="20"/>
  <c r="X79" i="20"/>
  <c r="T79" i="20"/>
  <c r="P79" i="20"/>
  <c r="L79" i="20"/>
  <c r="H79" i="20"/>
  <c r="Z79" i="20"/>
  <c r="V79" i="20"/>
  <c r="R79" i="20"/>
  <c r="N79" i="20"/>
  <c r="J79" i="20"/>
  <c r="F79" i="20"/>
  <c r="AB82" i="20"/>
  <c r="X82" i="20"/>
  <c r="T82" i="20"/>
  <c r="P82" i="20"/>
  <c r="L82" i="20"/>
  <c r="H82" i="20"/>
  <c r="Z82" i="20"/>
  <c r="V82" i="20"/>
  <c r="R82" i="20"/>
  <c r="N82" i="20"/>
  <c r="J82" i="20"/>
  <c r="F82" i="20"/>
  <c r="AB81" i="20"/>
  <c r="X81" i="20"/>
  <c r="T81" i="20"/>
  <c r="P81" i="20"/>
  <c r="L81" i="20"/>
  <c r="H81" i="20"/>
  <c r="Z81" i="20"/>
  <c r="V81" i="20"/>
  <c r="R81" i="20"/>
  <c r="N81" i="20"/>
  <c r="J81" i="20"/>
  <c r="F81" i="20"/>
  <c r="AB75" i="20"/>
  <c r="X75" i="20"/>
  <c r="T75" i="20"/>
  <c r="P75" i="20"/>
  <c r="L75" i="20"/>
  <c r="H75" i="20"/>
  <c r="Z75" i="20"/>
  <c r="V75" i="20"/>
  <c r="R75" i="20"/>
  <c r="J75" i="20"/>
  <c r="N75" i="20"/>
  <c r="F75" i="20"/>
  <c r="AB80" i="20"/>
  <c r="X80" i="20"/>
  <c r="T80" i="20"/>
  <c r="P80" i="20"/>
  <c r="L80" i="20"/>
  <c r="H80" i="20"/>
  <c r="Z80" i="20"/>
  <c r="V80" i="20"/>
  <c r="R80" i="20"/>
  <c r="N80" i="20"/>
  <c r="J80" i="20"/>
  <c r="F80" i="20"/>
  <c r="AB78" i="20"/>
  <c r="X78" i="20"/>
  <c r="T78" i="20"/>
  <c r="P78" i="20"/>
  <c r="L78" i="20"/>
  <c r="H78" i="20"/>
  <c r="Z78" i="20"/>
  <c r="V78" i="20"/>
  <c r="R78" i="20"/>
  <c r="N78" i="20"/>
  <c r="J78" i="20"/>
  <c r="F78" i="20"/>
  <c r="D23" i="26"/>
  <c r="E17" i="26"/>
  <c r="E22" i="26"/>
  <c r="D26" i="26"/>
  <c r="D18" i="26"/>
  <c r="E25" i="26"/>
  <c r="D29" i="26"/>
  <c r="D25" i="26"/>
  <c r="D21" i="26"/>
  <c r="E28" i="26"/>
  <c r="E24" i="26"/>
  <c r="E20" i="26"/>
  <c r="D27" i="26"/>
  <c r="D19" i="26"/>
  <c r="E26" i="26"/>
  <c r="E18" i="26"/>
  <c r="D17" i="26"/>
  <c r="D22" i="26"/>
  <c r="E29" i="26"/>
  <c r="E21" i="26"/>
  <c r="D24" i="26"/>
  <c r="D28" i="26"/>
  <c r="D20" i="26"/>
  <c r="E27" i="26"/>
  <c r="E23" i="26"/>
  <c r="E19" i="26"/>
  <c r="C29" i="26"/>
  <c r="C25" i="26"/>
  <c r="C21" i="26"/>
  <c r="F23" i="20"/>
  <c r="AB23" i="20"/>
  <c r="X23" i="20"/>
  <c r="T23" i="20"/>
  <c r="P23" i="20"/>
  <c r="L23" i="20"/>
  <c r="H23" i="20"/>
  <c r="Z23" i="20"/>
  <c r="V23" i="20"/>
  <c r="R23" i="20"/>
  <c r="N23" i="20"/>
  <c r="J23" i="20"/>
  <c r="C28" i="26"/>
  <c r="C24" i="26"/>
  <c r="Z26" i="20"/>
  <c r="V26" i="20"/>
  <c r="R26" i="20"/>
  <c r="N26" i="20"/>
  <c r="J26" i="20"/>
  <c r="X26" i="20"/>
  <c r="P26" i="20"/>
  <c r="L26" i="20"/>
  <c r="F26" i="20"/>
  <c r="AB26" i="20"/>
  <c r="T26" i="20"/>
  <c r="H26" i="20"/>
  <c r="C20" i="26"/>
  <c r="Z22" i="20"/>
  <c r="V22" i="20"/>
  <c r="R22" i="20"/>
  <c r="N22" i="20"/>
  <c r="J22" i="20"/>
  <c r="AB22" i="20"/>
  <c r="X22" i="20"/>
  <c r="T22" i="20"/>
  <c r="P22" i="20"/>
  <c r="H22" i="20"/>
  <c r="F22" i="20"/>
  <c r="L22" i="20"/>
  <c r="C27" i="26"/>
  <c r="C23" i="26"/>
  <c r="F25" i="20"/>
  <c r="Z25" i="20"/>
  <c r="V25" i="20"/>
  <c r="R25" i="20"/>
  <c r="N25" i="20"/>
  <c r="AB25" i="20"/>
  <c r="X25" i="20"/>
  <c r="T25" i="20"/>
  <c r="P25" i="20"/>
  <c r="L25" i="20"/>
  <c r="H25" i="20"/>
  <c r="J25" i="20"/>
  <c r="C19" i="26"/>
  <c r="F21" i="20"/>
  <c r="N21" i="20"/>
  <c r="AB21" i="20"/>
  <c r="X21" i="20"/>
  <c r="T21" i="20"/>
  <c r="P21" i="20"/>
  <c r="L21" i="20"/>
  <c r="H21" i="20"/>
  <c r="Z21" i="20"/>
  <c r="V21" i="20"/>
  <c r="R21" i="20"/>
  <c r="J21" i="20"/>
  <c r="C17" i="26"/>
  <c r="AB19" i="20"/>
  <c r="X19" i="20"/>
  <c r="T19" i="20"/>
  <c r="P19" i="20"/>
  <c r="L19" i="20"/>
  <c r="H19" i="20"/>
  <c r="R19" i="20"/>
  <c r="N19" i="20"/>
  <c r="J19" i="20"/>
  <c r="Z19" i="20"/>
  <c r="V19" i="20"/>
  <c r="F19" i="20"/>
  <c r="C26" i="26"/>
  <c r="C22" i="26"/>
  <c r="AB24" i="20"/>
  <c r="X24" i="20"/>
  <c r="T24" i="20"/>
  <c r="P24" i="20"/>
  <c r="L24" i="20"/>
  <c r="H24" i="20"/>
  <c r="Z24" i="20"/>
  <c r="R24" i="20"/>
  <c r="N24" i="20"/>
  <c r="J24" i="20"/>
  <c r="V24" i="20"/>
  <c r="F24" i="20"/>
  <c r="C18" i="26"/>
  <c r="AB20" i="20"/>
  <c r="X20" i="20"/>
  <c r="T20" i="20"/>
  <c r="P20" i="20"/>
  <c r="L20" i="20"/>
  <c r="H20" i="20"/>
  <c r="V20" i="20"/>
  <c r="Z20" i="20"/>
  <c r="R20" i="20"/>
  <c r="N20" i="20"/>
  <c r="J20" i="20"/>
  <c r="F20" i="20"/>
  <c r="D27" i="20"/>
  <c r="AB119" i="27" l="1"/>
  <c r="J6" i="27" s="1"/>
  <c r="M11" i="21" s="1"/>
  <c r="H12" i="37" s="1"/>
  <c r="H26" i="37" s="1"/>
  <c r="H28" i="37" s="1"/>
  <c r="K11" i="21"/>
  <c r="B11" i="24"/>
  <c r="K12" i="21"/>
  <c r="B12" i="24"/>
  <c r="V142" i="20"/>
  <c r="T142" i="20"/>
  <c r="J142" i="20"/>
  <c r="Z142" i="20"/>
  <c r="AB142" i="20"/>
  <c r="P142" i="20"/>
  <c r="H142" i="20"/>
  <c r="N142" i="20"/>
  <c r="F142" i="20"/>
  <c r="N83" i="20"/>
  <c r="L142" i="20"/>
  <c r="X142" i="20"/>
  <c r="R142" i="20"/>
  <c r="T83" i="20"/>
  <c r="X83" i="20"/>
  <c r="L83" i="20"/>
  <c r="Z83" i="20"/>
  <c r="J83" i="20"/>
  <c r="H83" i="20"/>
  <c r="R83" i="20"/>
  <c r="AB83" i="20"/>
  <c r="F83" i="20"/>
  <c r="V83" i="20"/>
  <c r="P83" i="20"/>
  <c r="E30" i="26"/>
  <c r="G12" i="21" s="1"/>
  <c r="G17" i="21" s="1"/>
  <c r="F27" i="20"/>
  <c r="N27" i="20"/>
  <c r="P27" i="20"/>
  <c r="V27" i="20"/>
  <c r="R27" i="20"/>
  <c r="Z27" i="20"/>
  <c r="H27" i="20"/>
  <c r="X27" i="20"/>
  <c r="T27" i="20"/>
  <c r="J27" i="20"/>
  <c r="L27" i="20"/>
  <c r="AB27" i="20"/>
  <c r="D30" i="26"/>
  <c r="F12" i="21" s="1"/>
  <c r="C30" i="26"/>
  <c r="E12" i="21" s="1"/>
  <c r="E17" i="21" s="1"/>
  <c r="D11" i="24" l="1"/>
  <c r="D13" i="24" s="1"/>
  <c r="H11" i="38"/>
  <c r="K10" i="30" s="1"/>
  <c r="K24" i="30" s="1"/>
  <c r="K26" i="30" s="1"/>
  <c r="G14" i="21"/>
  <c r="G16" i="21" s="1"/>
  <c r="G18" i="21" s="1"/>
  <c r="H11" i="29"/>
  <c r="H25" i="29" s="1"/>
  <c r="H27" i="29" s="1"/>
  <c r="H29" i="29" s="1"/>
  <c r="E14" i="21"/>
  <c r="F12" i="37"/>
  <c r="F26" i="37" s="1"/>
  <c r="F11" i="38"/>
  <c r="F11" i="29"/>
  <c r="F25" i="29" s="1"/>
  <c r="F17" i="21"/>
  <c r="F16" i="21"/>
  <c r="H32" i="37"/>
  <c r="H34" i="37" s="1"/>
  <c r="H30" i="37"/>
  <c r="B13" i="24"/>
  <c r="F12" i="29"/>
  <c r="F26" i="29" s="1"/>
  <c r="F12" i="38"/>
  <c r="F13" i="37"/>
  <c r="F27" i="37" s="1"/>
  <c r="E15" i="21"/>
  <c r="C4" i="33"/>
  <c r="C5" i="33" s="1"/>
  <c r="J4" i="33"/>
  <c r="H25" i="38" l="1"/>
  <c r="H27" i="38" s="1"/>
  <c r="H29" i="38" s="1"/>
  <c r="H31" i="29"/>
  <c r="H33" i="29" s="1"/>
  <c r="F28" i="37"/>
  <c r="F32" i="37" s="1"/>
  <c r="F34" i="37" s="1"/>
  <c r="E16" i="21"/>
  <c r="E20" i="21" s="1"/>
  <c r="E22" i="21" s="1"/>
  <c r="F27" i="29"/>
  <c r="F31" i="29" s="1"/>
  <c r="F33" i="29" s="1"/>
  <c r="K28" i="30"/>
  <c r="K30" i="30"/>
  <c r="K32" i="30" s="1"/>
  <c r="F18" i="21"/>
  <c r="G19" i="21" s="1"/>
  <c r="G20" i="21" s="1"/>
  <c r="G22" i="21" s="1"/>
  <c r="F20" i="21"/>
  <c r="F22" i="21" s="1"/>
  <c r="F25" i="38"/>
  <c r="I10" i="30"/>
  <c r="I24" i="30" s="1"/>
  <c r="F26" i="38"/>
  <c r="I11" i="30"/>
  <c r="I25" i="30" s="1"/>
  <c r="B10" i="26"/>
  <c r="C8" i="20"/>
  <c r="C10" i="26"/>
  <c r="H31" i="38" l="1"/>
  <c r="H33" i="38" s="1"/>
  <c r="E18" i="21"/>
  <c r="F30" i="37"/>
  <c r="F29" i="29"/>
  <c r="G28" i="21"/>
  <c r="G27" i="21"/>
  <c r="I26" i="30"/>
  <c r="I28" i="30" s="1"/>
  <c r="F27" i="38"/>
  <c r="F31" i="38" s="1"/>
  <c r="F33" i="38" s="1"/>
  <c r="B8" i="20"/>
  <c r="D8" i="20"/>
  <c r="D10" i="26"/>
  <c r="F29" i="38" l="1"/>
  <c r="I30" i="30"/>
  <c r="I32" i="30" s="1"/>
</calcChain>
</file>

<file path=xl/sharedStrings.xml><?xml version="1.0" encoding="utf-8"?>
<sst xmlns="http://schemas.openxmlformats.org/spreadsheetml/2006/main" count="2114" uniqueCount="402">
  <si>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</si>
  <si>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</si>
  <si>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</si>
  <si>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</si>
  <si>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</si>
  <si>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</si>
  <si>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</si>
  <si>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</si>
  <si>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</si>
  <si>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</si>
  <si>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</si>
  <si>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</si>
  <si>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</si>
  <si>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</si>
  <si>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</si>
  <si>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</si>
  <si>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</si>
  <si>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</si>
  <si>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</si>
  <si>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</si>
  <si>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</si>
  <si>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</si>
  <si>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</si>
  <si>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</si>
  <si>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</si>
  <si>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</si>
  <si>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</si>
  <si>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</si>
  <si>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</si>
  <si>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PROFUNDIDAD DE LAS LÍNEAS DE PRODUCTOS</t>
  </si>
  <si>
    <t>AMPLITUD DE LA MEZCLA DE PRODUCTOS</t>
  </si>
  <si>
    <t>Líneas de productos</t>
  </si>
  <si>
    <t>Producto</t>
  </si>
  <si>
    <t>Precio</t>
  </si>
  <si>
    <t>Bomba de agua</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</si>
  <si>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</si>
  <si>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</si>
  <si>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</si>
  <si>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</si>
  <si>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</si>
  <si>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Detalle</t>
  </si>
  <si>
    <t>Ingresos</t>
  </si>
  <si>
    <t>Enero</t>
  </si>
  <si>
    <t>Febrero</t>
  </si>
  <si>
    <t>Marzo</t>
  </si>
  <si>
    <t>Abril</t>
  </si>
  <si>
    <t>Mayo</t>
  </si>
  <si>
    <t>Junio</t>
  </si>
  <si>
    <t>Julio</t>
  </si>
  <si>
    <t>Agosto</t>
  </si>
  <si>
    <t>Septiembre</t>
  </si>
  <si>
    <t>Octubre</t>
  </si>
  <si>
    <t>Noviembre</t>
  </si>
  <si>
    <t>Diciembre</t>
  </si>
  <si>
    <t>.</t>
  </si>
  <si>
    <t>Ingresos 2019</t>
  </si>
  <si>
    <t>Ingresos 2020</t>
  </si>
  <si>
    <t>Ingresos 2021</t>
  </si>
  <si>
    <t>TOTALES</t>
  </si>
  <si>
    <t>Ingresos por productos</t>
  </si>
  <si>
    <t>Cantidad</t>
  </si>
  <si>
    <t>Anual</t>
  </si>
  <si>
    <t>Estacionalidad</t>
  </si>
  <si>
    <t>RRHH</t>
  </si>
  <si>
    <t>Concepto</t>
  </si>
  <si>
    <t>Año cero - Kick off</t>
  </si>
  <si>
    <t>Año 2019</t>
  </si>
  <si>
    <t>Sin cambios</t>
  </si>
  <si>
    <t>Infraestructura</t>
  </si>
  <si>
    <t>Instalaciones</t>
  </si>
  <si>
    <t>Evolución de la participación en el mercado</t>
  </si>
  <si>
    <t>Comentarios</t>
  </si>
  <si>
    <t>9 oficina +15 (taller)</t>
  </si>
  <si>
    <t>(+) 1 puesto de trabajo de oficina</t>
  </si>
  <si>
    <t>(+) 1 computadora de escritorio</t>
  </si>
  <si>
    <t>(+) 1 analista funcional</t>
  </si>
  <si>
    <t>(+) 1 silla</t>
  </si>
  <si>
    <t>(+) 1 escritorio</t>
  </si>
  <si>
    <t>(+) 1 capacitador</t>
  </si>
  <si>
    <t>(+1 ) puesto de trabajo de oficina</t>
  </si>
  <si>
    <t>(+1 ) computadora</t>
  </si>
  <si>
    <t>(+1 ) servicio de telefonía móvil</t>
  </si>
  <si>
    <t>(+1 )  silla</t>
  </si>
  <si>
    <t>(+1 )  escritorio</t>
  </si>
  <si>
    <t>(+) 1  gerente de marketing</t>
  </si>
  <si>
    <t>(+1 )  empleado de soporte técnico</t>
  </si>
  <si>
    <t>(+1 )  notebook</t>
  </si>
  <si>
    <t>(+1 )  puesto de trabajo</t>
  </si>
  <si>
    <t>(+1 )  operario de línea</t>
  </si>
  <si>
    <t>(+1 )  empleado de atención al público</t>
  </si>
  <si>
    <t>(+1 )  puesto de trabajo de oficina</t>
  </si>
  <si>
    <t>(+1 )  puesto de trabajo de producción</t>
  </si>
  <si>
    <t>(+1 )  computadora</t>
  </si>
  <si>
    <t>1 - Descripción del negocio</t>
  </si>
  <si>
    <t>2 - Mercado meta</t>
  </si>
  <si>
    <t>3 - Participación del mercado</t>
  </si>
  <si>
    <t>4 - Otros datos</t>
  </si>
  <si>
    <t>Cant. Total - Agrohome Classic</t>
  </si>
  <si>
    <t>Cant. Total - Agrohome Professional</t>
  </si>
  <si>
    <t>Cant. Total - Línea de insumos</t>
  </si>
  <si>
    <t>Cant. Total - Línea de accesorios de jardín</t>
  </si>
  <si>
    <t>Ingreso Total</t>
  </si>
  <si>
    <t>Cant. Total - Suscripción a talleres</t>
  </si>
  <si>
    <t>Anexo capacidad operativa</t>
  </si>
  <si>
    <t>Costo</t>
  </si>
  <si>
    <t>Corte de tubos de PVC para canaletas</t>
  </si>
  <si>
    <t>Perforación de tubos de PVC para soporte de estructura vertical</t>
  </si>
  <si>
    <t>Corte de lana de roca a medida</t>
  </si>
  <si>
    <t>N° de tarea</t>
  </si>
  <si>
    <t>Embalaje de producto</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</si>
  <si>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</si>
  <si>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</si>
  <si>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</si>
  <si>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</si>
  <si>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</si>
  <si>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</si>
  <si>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</si>
  <si>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</si>
  <si>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</si>
  <si>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</si>
  <si>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</si>
  <si>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</si>
  <si>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</si>
  <si>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Embalaje del producto</t>
  </si>
  <si>
    <t>Ensamblado de conexiones para fijación de manguera entre niveles</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</si>
  <si>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</si>
  <si>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</si>
  <si>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</si>
  <si>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</si>
  <si>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</si>
  <si>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</si>
  <si>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</si>
  <si>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</si>
  <si>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</si>
  <si>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</si>
  <si>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</si>
  <si>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</si>
  <si>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CAPACIDAD OPERATIVA AÑO 2019</t>
  </si>
  <si>
    <t>CAPACIDAD OPERATIVA AÑO 2020</t>
  </si>
  <si>
    <t>CAPACIDAD OPERATIVA AÑO 2021</t>
  </si>
  <si>
    <t>ANALISIS CAPACIDAD OPERATIVA ANUAL POR PRODUCTO EN HORAS HOMBRE</t>
  </si>
  <si>
    <t>(+) 6 sillas</t>
  </si>
  <si>
    <t>CONCLUSIÓN</t>
  </si>
  <si>
    <t>Considerando en promedio que un operario trabaja 150 horas mensuales, podemos observar que nuestra capacidad productiva puede ser llevada a cabo por 2 personas hasta diciembre de 2020. Luego se requerirá la contratación de un nuevo operario ya que se superan las 300hs hombres requeridas para los niveles de producción especulados.</t>
  </si>
  <si>
    <t>Servicios</t>
  </si>
  <si>
    <t>Gas</t>
  </si>
  <si>
    <t>Agua</t>
  </si>
  <si>
    <t>Luz</t>
  </si>
  <si>
    <t>Alquiler</t>
  </si>
  <si>
    <t>Honorarios</t>
  </si>
  <si>
    <t>Estudio Contable</t>
  </si>
  <si>
    <t>Costos fijos - Año 2019</t>
  </si>
  <si>
    <t>Conceptos</t>
  </si>
  <si>
    <t>Observaciones</t>
  </si>
  <si>
    <t>Total anual</t>
  </si>
  <si>
    <t>Telefonía fija</t>
  </si>
  <si>
    <t>Telefonía móvil (6 líneas, $725 x mes)</t>
  </si>
  <si>
    <t>Internet</t>
  </si>
  <si>
    <t>Cloud Hosting (PlanEnterprise AR$ 18,228.00 /Año)</t>
  </si>
  <si>
    <t>Impuesto municipal (Indicado en alquiler)</t>
  </si>
  <si>
    <t>Expensas (no posee)</t>
  </si>
  <si>
    <t>Publicidad online</t>
  </si>
  <si>
    <t>Costos fijos - Año 2020</t>
  </si>
  <si>
    <t>Costos fijos - Año 2021</t>
  </si>
  <si>
    <t>Costos fijos - Totales</t>
  </si>
  <si>
    <t>Costos variables - Totales</t>
  </si>
  <si>
    <t>Costos variables - Año 2019</t>
  </si>
  <si>
    <t>Subtotal</t>
  </si>
  <si>
    <t>Solucion nutritiva (500cm3)</t>
  </si>
  <si>
    <t>Semillas (muestra)</t>
  </si>
  <si>
    <t>Turba (muestra)</t>
  </si>
  <si>
    <t>Packaging - Caja a medida</t>
  </si>
  <si>
    <t>Costo unitario</t>
  </si>
  <si>
    <t>Lana de roca 3 cm x 42 cm x 14 cm</t>
  </si>
  <si>
    <t>Caños de PVC para estructura y canales (En metros)</t>
  </si>
  <si>
    <t>Empalmes</t>
  </si>
  <si>
    <t>Recipiente repositorio de agua</t>
  </si>
  <si>
    <t>Timer</t>
  </si>
  <si>
    <t>Canaletas de hechas con tubos de PVC (5cm x 45cm x 15cm)</t>
  </si>
  <si>
    <t>Estantería de madera armada a medida (40cm x 49cm x 20cm) (tercerizado)</t>
  </si>
  <si>
    <t>Lana de roca (7,5cm x 1000cm x 15cm)</t>
  </si>
  <si>
    <t>Solucion nutritiva (rinde 1000 litros de preparación)</t>
  </si>
  <si>
    <t>Semillas</t>
  </si>
  <si>
    <t>Packaging</t>
  </si>
  <si>
    <t>Insumos de producción</t>
  </si>
  <si>
    <t>Productos de reventa</t>
  </si>
  <si>
    <t>Insumos de librería</t>
  </si>
  <si>
    <t>Distribución</t>
  </si>
  <si>
    <t>TOTAL</t>
  </si>
  <si>
    <t>Publicidad y promoción</t>
  </si>
  <si>
    <t>Costos variables - Año 2020</t>
  </si>
  <si>
    <t>Costos variables - Año 2021</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</si>
  <si>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</si>
  <si>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</si>
  <si>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</si>
  <si>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</si>
  <si>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</si>
  <si>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</si>
  <si>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</si>
  <si>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</si>
  <si>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</si>
  <si>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</si>
  <si>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</si>
  <si>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</si>
  <si>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</si>
  <si>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</si>
  <si>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</si>
  <si>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</si>
  <si>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</si>
  <si>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</si>
  <si>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</si>
  <si>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</si>
  <si>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</si>
  <si>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</si>
  <si>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</si>
  <si>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Costos de RRHH - Año 2019</t>
  </si>
  <si>
    <t>Totales</t>
  </si>
  <si>
    <t>Costos de RRHH - Año 2020</t>
  </si>
  <si>
    <t>Costos de RRHH - Año 2021</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</si>
  <si>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</si>
  <si>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</si>
  <si>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</si>
  <si>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</si>
  <si>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</si>
  <si>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</si>
  <si>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</si>
  <si>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</si>
  <si>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</si>
  <si>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</si>
  <si>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</si>
  <si>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</si>
  <si>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</si>
  <si>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</si>
  <si>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</si>
  <si>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</si>
  <si>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</si>
  <si>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</si>
  <si>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</si>
  <si>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</si>
  <si>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</si>
  <si>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</si>
  <si>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</si>
  <si>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</si>
  <si>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</si>
  <si>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</si>
  <si>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r>
      <t xml:space="preserve">El emprendimiento saldrá al mercado habiendo invertido previamente en:
* </t>
    </r>
    <r>
      <rPr>
        <b/>
        <u/>
        <sz val="14"/>
        <color theme="1"/>
        <rFont val="Calibri"/>
        <family val="2"/>
        <scheme val="minor"/>
      </rPr>
      <t>La plataforma digital</t>
    </r>
    <r>
      <rPr>
        <b/>
        <sz val="14"/>
        <color theme="1"/>
        <rFont val="Calibri"/>
        <family val="2"/>
        <scheme val="minor"/>
      </rPr>
      <t xml:space="preserve">, cuyo desarrollo fue tercerizado con una consultora, será mantenido y ampliado por un reducido equipo de sistemas en una primera instancia.
* </t>
    </r>
    <r>
      <rPr>
        <b/>
        <u/>
        <sz val="14"/>
        <color theme="1"/>
        <rFont val="Calibri"/>
        <family val="2"/>
        <scheme val="minor"/>
      </rPr>
      <t>Alquiler de inmuebles</t>
    </r>
    <r>
      <rPr>
        <b/>
        <sz val="14"/>
        <color theme="1"/>
        <rFont val="Calibri"/>
        <family val="2"/>
        <scheme val="minor"/>
      </rPr>
      <t xml:space="preserve"> para oficina y atención al público (con una sala adaptada para dar los cursos) y otra de mayor dimensión para el montaje de huertas hidropónicas y depósito de todos los productos ofertados.
* </t>
    </r>
    <r>
      <rPr>
        <b/>
        <u/>
        <sz val="14"/>
        <color theme="1"/>
        <rFont val="Calibri"/>
        <family val="2"/>
        <scheme val="minor"/>
      </rPr>
      <t>Distribución</t>
    </r>
    <r>
      <rPr>
        <b/>
        <sz val="14"/>
        <color theme="1"/>
        <rFont val="Calibri"/>
        <family val="2"/>
        <scheme val="minor"/>
      </rPr>
      <t>: Se contará con 2 camionetas para el envío de los kits de huertas hidropónicas. El resto de los productos de menor tamaño será tercerizado a través de Mercado Envíos.
Además:
* Los talleres prácticos de hidroponía se llevarán a cabo por un capacitador 2 veces por semana, ofreciendo 15 cupos como máximo por clase.
* En noviembre se incorporará a un analista funcional para iniciar proyectos de mejoras del sistema.
* El jefe de producción y un operario técnico especializado podrán afrontar la capacidad operativa de producción según la demanda estimada.</t>
    </r>
  </si>
  <si>
    <t>Silla de escritorio regulable</t>
  </si>
  <si>
    <t>Notebook Asus Amd A6-9225</t>
  </si>
  <si>
    <t>(+5)  estantería</t>
  </si>
  <si>
    <t>(+1)  recambio de herramientas</t>
  </si>
  <si>
    <t>Amortización</t>
  </si>
  <si>
    <t>Rubro</t>
  </si>
  <si>
    <t>Año cero</t>
  </si>
  <si>
    <t>Taladro y amoladora</t>
  </si>
  <si>
    <t>Amortización
( en años )</t>
  </si>
  <si>
    <t>Valor de adquisiciones</t>
  </si>
  <si>
    <t>Estantería Metálica 42x90x2mts</t>
  </si>
  <si>
    <t>(+) 1 camioneta</t>
  </si>
  <si>
    <t>* En febrero se amplía el personal contratando a un empleado para el soporte técnico.
* En septiembre, al preveer un aumento fuerte de la demanda, se incorpora a un operario de línea, un nuevo empleado de atención al público y a un distribuidor junto con una camioneta para reparto.</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</si>
  <si>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</si>
  <si>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</si>
  <si>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</si>
  <si>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</si>
  <si>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</si>
  <si>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</si>
  <si>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</si>
  <si>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</si>
  <si>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</si>
  <si>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</si>
  <si>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</si>
  <si>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</si>
  <si>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</si>
  <si>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</si>
  <si>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</si>
  <si>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</si>
  <si>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</si>
  <si>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</si>
  <si>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</si>
  <si>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</si>
  <si>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</si>
  <si>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(+1)  escritorio</t>
  </si>
  <si>
    <t>(+1)  silla</t>
  </si>
  <si>
    <t>(+1 )  distribuidor</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</si>
  <si>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</si>
  <si>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</si>
  <si>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</si>
  <si>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</si>
  <si>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</si>
  <si>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</si>
  <si>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</si>
  <si>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</si>
  <si>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</si>
  <si>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</si>
  <si>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</si>
  <si>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</si>
  <si>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</si>
  <si>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</si>
  <si>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</si>
  <si>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</si>
  <si>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</si>
  <si>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</si>
  <si>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</si>
  <si>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</si>
  <si>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</si>
  <si>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</si>
  <si>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</si>
  <si>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</si>
  <si>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</si>
  <si>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</si>
  <si>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</si>
  <si>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</si>
  <si>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</si>
  <si>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</si>
  <si>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</si>
  <si>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</si>
  <si>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</si>
  <si>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</si>
  <si>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</si>
  <si>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</si>
  <si>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</si>
  <si>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</si>
  <si>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</si>
  <si>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</si>
  <si>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</si>
  <si>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</si>
  <si>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</si>
  <si>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</si>
  <si>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</si>
  <si>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</si>
  <si>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</si>
  <si>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</si>
  <si>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</si>
  <si>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</si>
  <si>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</si>
  <si>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</si>
  <si>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</si>
  <si>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</si>
  <si>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</si>
  <si>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</si>
  <si>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</si>
  <si>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</si>
  <si>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</si>
  <si>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</si>
  <si>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</si>
  <si>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</si>
  <si>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</si>
  <si>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</si>
  <si>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</si>
  <si>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</si>
  <si>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</si>
  <si>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</si>
  <si>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</si>
  <si>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</si>
  <si>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t>* En mayo se contratará a un especilista en marketing para ejecutar planes de acción de promociones y RRPP para posicionar mejor a nuestra empresa y alcanzar el objetivo planificado en el último ejercicio. 
* En julio se invierte ampliando las estanterías del depósito y en compra de nuevas herramientas.
* En diciembre se incoporará un capacitador por la proyección del aumento de la demanda de los cursos y en conjunto se ampliará la sala con 5 vacantes nuevas.
* En diciembre se contratará a un operario de producción ya que la demanda de productos fabricados superará la capacidad operativa de los operarios actuales.</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</si>
  <si>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</si>
  <si>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</si>
  <si>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r>
      <t xml:space="preserve">Docentes: </t>
    </r>
    <r>
      <rPr>
        <sz val="14"/>
        <color theme="1"/>
        <rFont val="Arial"/>
        <family val="2"/>
      </rPr>
      <t>Scali, Jorge</t>
    </r>
  </si>
  <si>
    <t>Clientes</t>
  </si>
  <si>
    <t>Gasto promedio</t>
  </si>
  <si>
    <t xml:space="preserve">Cant. Total -  </t>
  </si>
  <si>
    <t xml:space="preserve">Producción de </t>
  </si>
  <si>
    <t>MODELO: XXXX</t>
  </si>
  <si>
    <t xml:space="preserve">MODELO: </t>
  </si>
  <si>
    <t xml:space="preserve">Modelo </t>
  </si>
  <si>
    <t>Local comercial d</t>
  </si>
  <si>
    <t xml:space="preserve">Publicidad </t>
  </si>
  <si>
    <r>
      <t xml:space="preserve">Alumno: </t>
    </r>
    <r>
      <rPr>
        <sz val="14"/>
        <color theme="1"/>
        <rFont val="Arial"/>
        <family val="2"/>
      </rPr>
      <t>Sobrero, Martin</t>
    </r>
  </si>
  <si>
    <r>
      <t xml:space="preserve">Legajo: </t>
    </r>
    <r>
      <rPr>
        <sz val="14"/>
        <color theme="1"/>
        <rFont val="Arial"/>
        <family val="2"/>
      </rPr>
      <t>77077</t>
    </r>
  </si>
  <si>
    <r>
      <t xml:space="preserve">Comisión: </t>
    </r>
    <r>
      <rPr>
        <sz val="14"/>
        <color theme="1"/>
        <rFont val="Arial"/>
        <family val="2"/>
      </rPr>
      <t>5A</t>
    </r>
  </si>
  <si>
    <r>
      <t xml:space="preserve">Localización: </t>
    </r>
    <r>
      <rPr>
        <sz val="14"/>
        <color theme="1"/>
        <rFont val="Arial"/>
        <family val="2"/>
      </rPr>
      <t>Centro</t>
    </r>
  </si>
  <si>
    <r>
      <t xml:space="preserve">Email: </t>
    </r>
    <r>
      <rPr>
        <sz val="14"/>
        <color theme="1"/>
        <rFont val="Arial"/>
        <family val="2"/>
      </rPr>
      <t>martin.sobrero.m@gmail.com</t>
    </r>
  </si>
  <si>
    <t>La empresa se dedica a la creación, modernización y a la mejora de portales web de empresas externas que se dediquen a las noticias y cuyas actuales aplicaciones informativas, si las poseen, no cumplen con estándares modernos de inteligencia, tecnología y diseño.</t>
  </si>
  <si>
    <t>A su vez, las empresas de noticias buscan constantemente obtener mejores, y más precisas, mediciones sobre las diversas métricas que puedan brindar información sobre el servicio prestado a la comunidad.</t>
  </si>
  <si>
    <t>El mercado meta se definió como concentrado en empresas pequeñas, por lo tanto, de menos de 50 empleados, que buscan ofrecer un portal moderno de difusión de noticias u opiniones a su público de alcance regional. El segmento geográfico donde comenzarán las operaciones es el AMBA, donde se estima que se encuentran más de 250 diarios regionales inscriptos (de los cuales 180 se encuentran en el Gran Buenos Aires) que funcionan activamente y cumplen con el tamaño indicado previamente.</t>
  </si>
  <si>
    <t>Portal de notas</t>
  </si>
  <si>
    <t>Mantenimiento</t>
  </si>
  <si>
    <t>Portal básico: Herramienta de creación de notas básica y listado por fecha de creación de las notas.</t>
  </si>
  <si>
    <t>Portal aprendizaje: Herramienta de creación de notas básica y listado por posibilidad de interés en nota según el usuario.</t>
  </si>
  <si>
    <t>Portal sugerencia: Herramienta de creación de notas con sugerencias dinámicas y listado por fecha de creación de las notas.</t>
  </si>
  <si>
    <t>Portal experto: Herramienta de creación de notas con sugerencias dinámicas y listado por posibilidad de interés en nota según el usuario.</t>
  </si>
  <si>
    <t>Portal aprendizaje</t>
  </si>
  <si>
    <t>Portal sugerencia</t>
  </si>
  <si>
    <t>Portal experto</t>
  </si>
  <si>
    <t>Portal básico</t>
  </si>
  <si>
    <t>Simple</t>
  </si>
  <si>
    <t>Funcional</t>
  </si>
  <si>
    <t>Temporal</t>
  </si>
  <si>
    <t>Experto</t>
  </si>
  <si>
    <t>Simple: Arreglos y actualizaciones con mejoras por período corto (6 meses).</t>
  </si>
  <si>
    <t>Funcional: Arreglos y actualizaciones con mejoras por período corto (6 meses) y agregado de funcionalidades de menor tamaño.</t>
  </si>
  <si>
    <t xml:space="preserve">Temporal: Arreglos y actualizaciones con mejoras por período medio (1 año). </t>
  </si>
  <si>
    <t>Experto: Arreglos y actualizaciones con mejoras por período largo (2 años) y agregado de funcionalidades de menor tamaño.</t>
  </si>
  <si>
    <t>Proyección de ventas 2022</t>
  </si>
  <si>
    <t>Capacidad operativa Kick off - Año 2022</t>
  </si>
  <si>
    <t>Proyección de ventas 2023</t>
  </si>
  <si>
    <t>Capacidad operativa - Año 2024</t>
  </si>
  <si>
    <t>Proyección de ventas 2024</t>
  </si>
  <si>
    <r>
      <t xml:space="preserve">El objetivo estratégico de nuestro emprendimiento es el de alcanzar el </t>
    </r>
    <r>
      <rPr>
        <b/>
        <sz val="14"/>
        <color theme="1"/>
        <rFont val="Calibri"/>
        <family val="2"/>
        <scheme val="minor"/>
      </rPr>
      <t>6%</t>
    </r>
    <r>
      <rPr>
        <sz val="14"/>
        <color theme="1"/>
        <rFont val="Calibri"/>
        <family val="2"/>
        <scheme val="minor"/>
      </rPr>
      <t xml:space="preserve"> de penetración del mercado meta en un horizonte temporal de 3 años. De esta manera, se estarian vendiendo consiguiendo 7 clientes el primer año, el segundo año 15, y llegando a 30 clientes para el tercer año.</t>
    </r>
  </si>
  <si>
    <t>Total - Portal</t>
  </si>
  <si>
    <t>Total - Mantenimiento</t>
  </si>
  <si>
    <t>Año 2022</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</si>
  <si>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b/>
        <u/>
        <sz val="12"/>
        <color theme="1"/>
        <rFont val="Calibri"/>
        <family val="2"/>
        <scheme val="minor"/>
      </rPr>
      <t>a) Eventos deportivos:</t>
    </r>
    <r>
      <rPr>
        <b/>
        <sz val="12"/>
        <color theme="1"/>
        <rFont val="Calibri"/>
        <family val="2"/>
        <scheme val="minor"/>
      </rPr>
      <t xml:space="preserve"> </t>
    </r>
    <r>
      <rPr>
        <sz val="12"/>
        <color theme="1"/>
        <rFont val="Calibri"/>
        <family val="2"/>
        <scheme val="minor"/>
      </rPr>
      <t xml:space="preserve">Preveemos mayores ventas en los meses previos al mundial de Qatar 2022, el cual sucederá en el mes de noviembre. También se prevee mayores ventas en los meses previos al comienzo y fin de temporada local de fútbol, situados en los meses de julio y marzo respectivamente.
</t>
    </r>
    <r>
      <rPr>
        <b/>
        <u/>
        <sz val="12"/>
        <color theme="1"/>
        <rFont val="Calibri"/>
        <family val="2"/>
        <scheme val="minor"/>
      </rPr>
      <t>b) Eventos políticos:</t>
    </r>
    <r>
      <rPr>
        <sz val="12"/>
        <color theme="1"/>
        <rFont val="Calibri"/>
        <family val="2"/>
        <scheme val="minor"/>
      </rPr>
      <t xml:space="preserve"> Consideramos que en los años donde se realicen elecciones habrá un incremento considerable en los meses previos a las mismas. Las elecciones presidenciales serán en los años 2023.
</t>
    </r>
    <r>
      <rPr>
        <b/>
        <u/>
        <sz val="12"/>
        <color theme="1"/>
        <rFont val="Calibri"/>
        <family val="2"/>
        <scheme val="minor"/>
      </rPr>
      <t>c) Eventos de moda:</t>
    </r>
    <r>
      <rPr>
        <b/>
        <sz val="12"/>
        <color theme="1"/>
        <rFont val="Calibri"/>
        <family val="2"/>
        <scheme val="minor"/>
      </rPr>
      <t xml:space="preserve"> </t>
    </r>
    <r>
      <rPr>
        <sz val="12"/>
        <color theme="1"/>
        <rFont val="Calibri"/>
        <family val="2"/>
        <scheme val="minor"/>
      </rPr>
      <t>Se prevee que en los meses previos a los grandes festivales de moda haya un leve incremento de ventas. Estos eventos suceden tanto en febrero como en septiembre.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</si>
</sst>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164" formatCode="&quot;$&quot;\ #,##0.00;[Red]\-&quot;$&quot;\ #,##0.00"/>
    <numFmt numFmtId="165" formatCode="_-&quot;$&quot;\ * #,##0.00_-;\-&quot;$&quot;\ * #,##0.00_-;_-&quot;$&quot;\ * &quot;-&quot;??_-;_-@_-"/>
    <numFmt numFmtId="166" formatCode="_-* #,##0.00\ _€_-;\-* #,##0.00\ _€_-;_-* &quot;-&quot;??\ _€_-;_-@_-"/>
    <numFmt numFmtId="167" formatCode="0.0%"/>
    <numFmt numFmtId="168" formatCode="General_)"/>
    <numFmt numFmtId="169" formatCode="_-* #,##0\ _€_-;\-* #,##0\ _€_-;_-* &quot;-&quot;??\ _€_-;_-@_-"/>
    <numFmt numFmtId="170" formatCode="_ [$$-2C0A]\ * #,##0.00_ ;_ [$$-2C0A]\ * \-#,##0.00_ ;_ [$$-2C0A]\ * &quot;-&quot;??_ ;_ @_ "/>
    <numFmt numFmtId="171" formatCode="&quot;$&quot;\ #,##0.00"/>
    <numFmt numFmtId="172" formatCode="#,##0_ ;\-#,##0\ "/>
    <numFmt numFmtId="173" formatCode="&quot;$&quot;#,##0.00"/>
    <numFmt numFmtId="174" formatCode="_ &quot;$&quot;\ * #,##0.00_ ;_ &quot;$&quot;\ * \-#,##0.00_ ;_ &quot;$&quot;\ * &quot;-&quot;??_ ;_ @_ "/>
    <numFmt numFmtId="175" formatCode="&quot;$&quot;#,##0;[Red]\-&quot;$&quot;#,##0"/>
  </numFmts>
  <fonts count="29"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u/>
      <sz val="12"/>
      <color theme="1"/>
      <name val="Calibri"/>
      <family val="2"/>
      <scheme val="minor"/>
    </font>
    <font>
      <b/>
      <u/>
      <sz val="14"/>
      <color theme="1"/>
      <name val="Calibri"/>
      <family val="2"/>
      <scheme val="minor"/>
    </font>
    <font>
      <sz val="8"/>
      <name val="Calibri"/>
      <family val="2"/>
      <scheme val="minor"/>
    </font>
    <font>
      <sz val="11"/>
      <color rgb="FF000000"/>
      <name val="Calibri"/>
      <family val="2"/>
      <scheme val="minor"/>
    </font>
    <font>
      <b/>
      <sz val="11"/>
      <name val="Calibri"/>
      <family val="2"/>
      <scheme val="minor"/>
    </font>
    <font>
      <sz val="12"/>
      <color theme="1"/>
      <name val="Arial"/>
      <family val="2"/>
    </font>
  </fonts>
  <fills count="23">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2"/>
        <bgColor indexed="64"/>
      </patternFill>
    </fill>
  </fills>
  <borders count="10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medium">
        <color theme="8" tint="0.59996337778862885"/>
      </left>
      <right style="medium">
        <color theme="8" tint="0.59996337778862885"/>
      </right>
      <top style="medium">
        <color theme="8" tint="0.59996337778862885"/>
      </top>
      <bottom/>
      <diagonal/>
    </border>
    <border>
      <left style="medium">
        <color theme="8" tint="0.59996337778862885"/>
      </left>
      <right style="medium">
        <color theme="8" tint="0.59996337778862885"/>
      </right>
      <top/>
      <bottom/>
      <diagonal/>
    </border>
    <border>
      <left style="medium">
        <color theme="8" tint="0.59996337778862885"/>
      </left>
      <right style="medium">
        <color theme="8" tint="0.59996337778862885"/>
      </right>
      <top/>
      <bottom style="medium">
        <color theme="8" tint="0.59996337778862885"/>
      </bottom>
      <diagonal/>
    </border>
    <border>
      <left style="double">
        <color theme="8" tint="0.39994506668294322"/>
      </left>
      <right style="double">
        <color theme="8" tint="0.39994506668294322"/>
      </right>
      <top style="double">
        <color theme="8" tint="0.39994506668294322"/>
      </top>
      <bottom style="double">
        <color theme="8" tint="0.39994506668294322"/>
      </bottom>
      <diagonal/>
    </border>
    <border>
      <left style="double">
        <color theme="8" tint="0.39994506668294322"/>
      </left>
      <right/>
      <top style="double">
        <color theme="8" tint="0.39994506668294322"/>
      </top>
      <bottom style="double">
        <color theme="8" tint="0.39994506668294322"/>
      </bottom>
      <diagonal/>
    </border>
    <border>
      <left/>
      <right/>
      <top style="double">
        <color theme="8" tint="0.39994506668294322"/>
      </top>
      <bottom style="double">
        <color theme="8" tint="0.39994506668294322"/>
      </bottom>
      <diagonal/>
    </border>
    <border>
      <left style="medium">
        <color theme="8" tint="0.59996337778862885"/>
      </left>
      <right/>
      <top style="medium">
        <color theme="8" tint="0.59996337778862885"/>
      </top>
      <bottom style="medium">
        <color theme="8" tint="0.59996337778862885"/>
      </bottom>
      <diagonal/>
    </border>
    <border>
      <left/>
      <right/>
      <top style="medium">
        <color theme="8" tint="0.59996337778862885"/>
      </top>
      <bottom style="medium">
        <color theme="8" tint="0.59996337778862885"/>
      </bottom>
      <diagonal/>
    </border>
    <border>
      <left/>
      <right style="medium">
        <color theme="8" tint="0.59996337778862885"/>
      </right>
      <top style="medium">
        <color theme="8" tint="0.59996337778862885"/>
      </top>
      <bottom style="medium">
        <color theme="8" tint="0.59996337778862885"/>
      </bottom>
      <diagonal/>
    </border>
    <border>
      <left style="thin">
        <color theme="8" tint="0.59996337778862885"/>
      </left>
      <right/>
      <top style="medium">
        <color theme="8" tint="0.59996337778862885"/>
      </top>
      <bottom style="thin">
        <color theme="8" tint="0.59996337778862885"/>
      </bottom>
      <diagonal/>
    </border>
    <border>
      <left/>
      <right/>
      <top style="medium">
        <color theme="8" tint="0.59996337778862885"/>
      </top>
      <bottom style="thin">
        <color theme="8" tint="0.59996337778862885"/>
      </bottom>
      <diagonal/>
    </border>
    <border>
      <left/>
      <right style="thin">
        <color theme="8" tint="0.59996337778862885"/>
      </right>
      <top style="medium">
        <color theme="8" tint="0.59996337778862885"/>
      </top>
      <bottom style="thin">
        <color theme="8" tint="0.59996337778862885"/>
      </bottom>
      <diagonal/>
    </border>
    <border>
      <left style="medium">
        <color theme="8" tint="0.59996337778862885"/>
      </left>
      <right/>
      <top style="medium">
        <color theme="8" tint="0.59996337778862885"/>
      </top>
      <bottom style="medium">
        <color indexed="64"/>
      </bottom>
      <diagonal/>
    </border>
    <border>
      <left/>
      <right style="medium">
        <color theme="8" tint="0.59996337778862885"/>
      </right>
      <top style="medium">
        <color theme="8" tint="0.59996337778862885"/>
      </top>
      <bottom style="medium">
        <color indexed="64"/>
      </bottom>
      <diagonal/>
    </border>
    <border>
      <left style="thin">
        <color theme="8" tint="0.59996337778862885"/>
      </left>
      <right/>
      <top style="medium">
        <color theme="8" tint="0.59996337778862885"/>
      </top>
      <bottom/>
      <diagonal/>
    </border>
    <border>
      <left/>
      <right/>
      <top style="medium">
        <color theme="8" tint="0.59996337778862885"/>
      </top>
      <bottom/>
      <diagonal/>
    </border>
    <border>
      <left/>
      <right style="thin">
        <color theme="8" tint="0.59996337778862885"/>
      </right>
      <top style="medium">
        <color theme="8" tint="0.59996337778862885"/>
      </top>
      <bottom/>
      <diagonal/>
    </border>
    <border>
      <left style="thin">
        <color theme="8" tint="0.59996337778862885"/>
      </left>
      <right/>
      <top/>
      <bottom style="thin">
        <color theme="8" tint="0.59996337778862885"/>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style="thin">
        <color indexed="64"/>
      </top>
      <bottom/>
      <diagonal/>
    </border>
    <border>
      <left style="medium">
        <color theme="8" tint="0.59996337778862885"/>
      </left>
      <right/>
      <top style="medium">
        <color theme="8" tint="0.59996337778862885"/>
      </top>
      <bottom/>
      <diagonal/>
    </border>
    <border>
      <left/>
      <right style="medium">
        <color theme="8" tint="0.59996337778862885"/>
      </right>
      <top style="medium">
        <color theme="8" tint="0.59996337778862885"/>
      </top>
      <bottom/>
      <diagonal/>
    </border>
    <border>
      <left style="medium">
        <color indexed="64"/>
      </left>
      <right/>
      <top style="thin">
        <color indexed="64"/>
      </top>
      <bottom/>
      <diagonal/>
    </border>
    <border>
      <left style="double">
        <color theme="8" tint="0.59996337778862885"/>
      </left>
      <right/>
      <top style="double">
        <color theme="8" tint="0.59996337778862885"/>
      </top>
      <bottom style="double">
        <color theme="8" tint="0.59996337778862885"/>
      </bottom>
      <diagonal/>
    </border>
    <border>
      <left/>
      <right/>
      <top style="double">
        <color theme="8" tint="0.59996337778862885"/>
      </top>
      <bottom style="double">
        <color theme="8" tint="0.59996337778862885"/>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7">
    <xf numFmtId="0" fontId="0" fillId="0" borderId="0"/>
    <xf numFmtId="0" fontId="3" fillId="0" borderId="0" applyNumberForma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8" fontId="17" fillId="0" borderId="0"/>
    <xf numFmtId="168" fontId="17" fillId="0" borderId="0"/>
    <xf numFmtId="165" fontId="10" fillId="0" borderId="0" applyFont="0" applyFill="0" applyBorder="0" applyAlignment="0" applyProtection="0"/>
  </cellStyleXfs>
  <cellXfs count="1096">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3" fillId="2" borderId="0" xfId="0" applyFont="1" applyFill="1"/>
    <xf numFmtId="0" fontId="3" fillId="0" borderId="0" xfId="1"/>
    <xf numFmtId="166" fontId="0" fillId="0" borderId="0" xfId="0" applyNumberFormat="1"/>
    <xf numFmtId="167" fontId="0" fillId="0" borderId="0" xfId="3" applyNumberFormat="1" applyFont="1"/>
    <xf numFmtId="0" fontId="0" fillId="0" borderId="0" xfId="0" applyAlignment="1">
      <alignment horizontal="center" vertical="center"/>
    </xf>
    <xf numFmtId="0" fontId="18" fillId="4" borderId="0" xfId="4" applyNumberFormat="1" applyFont="1" applyFill="1" applyAlignment="1">
      <alignment horizontal="center"/>
    </xf>
    <xf numFmtId="3" fontId="18" fillId="4" borderId="0" xfId="4" applyNumberFormat="1" applyFont="1" applyFill="1" applyAlignment="1">
      <alignment horizontal="right"/>
    </xf>
    <xf numFmtId="0" fontId="0" fillId="4" borderId="0" xfId="0" applyFill="1" applyBorder="1"/>
    <xf numFmtId="0" fontId="18" fillId="4" borderId="0" xfId="5" applyNumberFormat="1" applyFont="1" applyFill="1" applyAlignment="1">
      <alignment horizontal="center"/>
    </xf>
    <xf numFmtId="3" fontId="18" fillId="4" borderId="0" xfId="5" applyNumberFormat="1" applyFont="1" applyFill="1" applyAlignment="1">
      <alignment horizontal="right"/>
    </xf>
    <xf numFmtId="0" fontId="0" fillId="0" borderId="1" xfId="0" applyBorder="1"/>
    <xf numFmtId="166" fontId="0" fillId="0" borderId="1" xfId="2" applyFont="1" applyBorder="1"/>
    <xf numFmtId="0" fontId="0" fillId="3" borderId="1" xfId="0" applyFill="1" applyBorder="1" applyAlignment="1">
      <alignment horizontal="center" vertical="center"/>
    </xf>
    <xf numFmtId="0" fontId="0" fillId="3" borderId="1" xfId="0" applyFill="1" applyBorder="1"/>
    <xf numFmtId="166" fontId="0" fillId="3" borderId="1" xfId="0" applyNumberFormat="1" applyFill="1" applyBorder="1"/>
    <xf numFmtId="0" fontId="0" fillId="0" borderId="3" xfId="0" applyBorder="1"/>
    <xf numFmtId="0" fontId="0" fillId="0" borderId="0" xfId="0" applyBorder="1"/>
    <xf numFmtId="166" fontId="0" fillId="0" borderId="2" xfId="2" applyFont="1" applyBorder="1"/>
    <xf numFmtId="0" fontId="9" fillId="2" borderId="0" xfId="0" applyFont="1" applyFill="1" applyBorder="1" applyAlignment="1">
      <alignment horizontal="left" vertical="top" wrapText="1"/>
    </xf>
    <xf numFmtId="0" fontId="11" fillId="5" borderId="1" xfId="0" applyFont="1" applyFill="1" applyBorder="1" applyAlignment="1">
      <alignment horizontal="center" vertical="center"/>
    </xf>
    <xf numFmtId="169" fontId="0" fillId="0" borderId="2" xfId="2" applyNumberFormat="1" applyFont="1" applyBorder="1" applyAlignment="1">
      <alignment horizontal="right"/>
    </xf>
    <xf numFmtId="169" fontId="0" fillId="0" borderId="1" xfId="2" applyNumberFormat="1" applyFont="1" applyBorder="1" applyAlignment="1">
      <alignment horizontal="right"/>
    </xf>
    <xf numFmtId="169" fontId="11" fillId="5" borderId="1" xfId="0" applyNumberFormat="1" applyFont="1" applyFill="1" applyBorder="1" applyAlignment="1">
      <alignment horizontal="right"/>
    </xf>
    <xf numFmtId="0" fontId="19" fillId="2" borderId="0" xfId="0" applyFont="1" applyFill="1" applyBorder="1" applyAlignment="1">
      <alignment vertical="center" textRotation="90"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1" xfId="0" applyNumberFormat="1" applyFont="1" applyFill="1" applyBorder="1" applyAlignment="1">
      <alignment horizontal="center"/>
    </xf>
    <xf numFmtId="0" fontId="11" fillId="6" borderId="1" xfId="0" applyFont="1" applyFill="1" applyBorder="1" applyAlignment="1">
      <alignment horizontal="center"/>
    </xf>
    <xf numFmtId="171" fontId="0" fillId="2" borderId="0" xfId="0" applyNumberFormat="1" applyFill="1"/>
    <xf numFmtId="0" fontId="0" fillId="0" borderId="1" xfId="0" applyBorder="1" applyAlignment="1">
      <alignment wrapText="1"/>
    </xf>
    <xf numFmtId="0" fontId="0" fillId="0" borderId="3" xfId="0" applyBorder="1" applyAlignment="1">
      <alignment wrapText="1"/>
    </xf>
    <xf numFmtId="0" fontId="11" fillId="5" borderId="1" xfId="0" applyFont="1" applyFill="1" applyBorder="1" applyAlignment="1">
      <alignment wrapText="1"/>
    </xf>
    <xf numFmtId="0" fontId="14"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5" fontId="0" fillId="2" borderId="0" xfId="0" applyNumberFormat="1" applyFill="1"/>
    <xf numFmtId="165" fontId="0" fillId="9" borderId="24" xfId="6" applyFont="1" applyFill="1" applyBorder="1"/>
    <xf numFmtId="165" fontId="0" fillId="10" borderId="24" xfId="6" applyFont="1" applyFill="1" applyBorder="1"/>
    <xf numFmtId="169" fontId="0" fillId="9" borderId="33" xfId="2" applyNumberFormat="1" applyFont="1" applyFill="1" applyBorder="1"/>
    <xf numFmtId="165" fontId="0" fillId="9" borderId="43" xfId="6" applyFont="1" applyFill="1" applyBorder="1"/>
    <xf numFmtId="169" fontId="0" fillId="10" borderId="33" xfId="2" applyNumberFormat="1" applyFont="1" applyFill="1" applyBorder="1"/>
    <xf numFmtId="165" fontId="0" fillId="10" borderId="43" xfId="6" applyFont="1" applyFill="1" applyBorder="1"/>
    <xf numFmtId="166" fontId="9" fillId="9" borderId="30" xfId="2" applyFont="1" applyFill="1" applyBorder="1" applyAlignment="1"/>
    <xf numFmtId="165" fontId="0" fillId="9" borderId="22" xfId="6" applyFont="1" applyFill="1" applyBorder="1"/>
    <xf numFmtId="169" fontId="0" fillId="9" borderId="30" xfId="2" applyNumberFormat="1" applyFont="1" applyFill="1" applyBorder="1"/>
    <xf numFmtId="165" fontId="0" fillId="9" borderId="47" xfId="6" applyFont="1" applyFill="1" applyBorder="1"/>
    <xf numFmtId="166" fontId="9" fillId="9" borderId="33" xfId="2" applyFont="1" applyFill="1" applyBorder="1" applyAlignment="1"/>
    <xf numFmtId="166" fontId="9" fillId="9" borderId="35" xfId="2" applyFont="1" applyFill="1" applyBorder="1" applyAlignment="1"/>
    <xf numFmtId="165" fontId="0" fillId="9" borderId="39" xfId="6" applyFont="1" applyFill="1" applyBorder="1"/>
    <xf numFmtId="169" fontId="0" fillId="9" borderId="35" xfId="2" applyNumberFormat="1" applyFont="1" applyFill="1" applyBorder="1"/>
    <xf numFmtId="165" fontId="0" fillId="9" borderId="44" xfId="6" applyFont="1" applyFill="1" applyBorder="1"/>
    <xf numFmtId="166" fontId="9" fillId="10" borderId="30" xfId="2" applyFont="1" applyFill="1" applyBorder="1" applyAlignment="1"/>
    <xf numFmtId="165" fontId="0" fillId="10" borderId="22" xfId="6" applyFont="1" applyFill="1" applyBorder="1"/>
    <xf numFmtId="169" fontId="0" fillId="10" borderId="30" xfId="2" applyNumberFormat="1" applyFont="1" applyFill="1" applyBorder="1"/>
    <xf numFmtId="165" fontId="0" fillId="10" borderId="47" xfId="6" applyFont="1" applyFill="1" applyBorder="1"/>
    <xf numFmtId="166" fontId="9" fillId="10" borderId="33" xfId="2" applyFont="1" applyFill="1" applyBorder="1" applyAlignment="1">
      <alignment wrapText="1"/>
    </xf>
    <xf numFmtId="166" fontId="9" fillId="10" borderId="33" xfId="2" applyFont="1" applyFill="1" applyBorder="1" applyAlignment="1"/>
    <xf numFmtId="166" fontId="9" fillId="10" borderId="35" xfId="2" applyFont="1" applyFill="1" applyBorder="1" applyAlignment="1"/>
    <xf numFmtId="165" fontId="0" fillId="10" borderId="39" xfId="6" applyFont="1" applyFill="1" applyBorder="1"/>
    <xf numFmtId="169" fontId="0" fillId="10" borderId="35" xfId="2" applyNumberFormat="1" applyFont="1" applyFill="1" applyBorder="1"/>
    <xf numFmtId="165" fontId="0" fillId="10" borderId="44" xfId="6" applyFont="1" applyFill="1" applyBorder="1"/>
    <xf numFmtId="166" fontId="9" fillId="11" borderId="30" xfId="2" applyFont="1" applyFill="1" applyBorder="1" applyAlignment="1"/>
    <xf numFmtId="165" fontId="0" fillId="11" borderId="22" xfId="6" applyFont="1" applyFill="1" applyBorder="1"/>
    <xf numFmtId="169" fontId="0" fillId="11" borderId="30" xfId="2" applyNumberFormat="1" applyFont="1" applyFill="1" applyBorder="1"/>
    <xf numFmtId="165" fontId="0" fillId="11" borderId="47" xfId="6" applyFont="1" applyFill="1" applyBorder="1"/>
    <xf numFmtId="169" fontId="0" fillId="9" borderId="30" xfId="0" applyNumberFormat="1" applyFill="1" applyBorder="1"/>
    <xf numFmtId="169" fontId="0" fillId="9" borderId="33" xfId="0" applyNumberFormat="1" applyFill="1" applyBorder="1"/>
    <xf numFmtId="169" fontId="0" fillId="9" borderId="35" xfId="0" applyNumberFormat="1" applyFill="1" applyBorder="1"/>
    <xf numFmtId="169" fontId="0" fillId="10" borderId="30" xfId="0" applyNumberFormat="1" applyFill="1" applyBorder="1"/>
    <xf numFmtId="169" fontId="0" fillId="10" borderId="33" xfId="0" applyNumberFormat="1" applyFill="1" applyBorder="1"/>
    <xf numFmtId="169" fontId="0" fillId="10" borderId="35" xfId="0" applyNumberFormat="1" applyFill="1" applyBorder="1"/>
    <xf numFmtId="169" fontId="0" fillId="11" borderId="30" xfId="0" applyNumberFormat="1" applyFill="1" applyBorder="1"/>
    <xf numFmtId="169" fontId="0" fillId="9" borderId="47" xfId="0" applyNumberFormat="1" applyFill="1" applyBorder="1"/>
    <xf numFmtId="169" fontId="0" fillId="9" borderId="43" xfId="0" applyNumberFormat="1" applyFill="1" applyBorder="1"/>
    <xf numFmtId="169" fontId="0" fillId="9" borderId="44" xfId="0" applyNumberFormat="1" applyFill="1" applyBorder="1"/>
    <xf numFmtId="169" fontId="0" fillId="10" borderId="47" xfId="0" applyNumberFormat="1" applyFill="1" applyBorder="1"/>
    <xf numFmtId="169" fontId="0" fillId="10" borderId="43" xfId="0" applyNumberFormat="1" applyFill="1" applyBorder="1"/>
    <xf numFmtId="169" fontId="0" fillId="10" borderId="44" xfId="0" applyNumberFormat="1" applyFill="1" applyBorder="1"/>
    <xf numFmtId="169" fontId="0" fillId="11" borderId="47" xfId="0" applyNumberFormat="1" applyFill="1" applyBorder="1"/>
    <xf numFmtId="169" fontId="0" fillId="9" borderId="33" xfId="2" applyNumberFormat="1" applyFont="1" applyFill="1" applyBorder="1" applyAlignment="1">
      <alignment horizontal="center"/>
    </xf>
    <xf numFmtId="169" fontId="0" fillId="10" borderId="33" xfId="2" applyNumberFormat="1" applyFont="1" applyFill="1" applyBorder="1" applyAlignment="1">
      <alignment horizontal="center"/>
    </xf>
    <xf numFmtId="169" fontId="0" fillId="10" borderId="35" xfId="2" applyNumberFormat="1" applyFont="1" applyFill="1" applyBorder="1" applyAlignment="1">
      <alignment horizontal="center"/>
    </xf>
    <xf numFmtId="169" fontId="0" fillId="9" borderId="30" xfId="2" applyNumberFormat="1" applyFont="1" applyFill="1" applyBorder="1" applyAlignment="1">
      <alignment horizontal="center"/>
    </xf>
    <xf numFmtId="169" fontId="0" fillId="9" borderId="35" xfId="2" applyNumberFormat="1" applyFont="1" applyFill="1" applyBorder="1" applyAlignment="1">
      <alignment horizontal="center"/>
    </xf>
    <xf numFmtId="169" fontId="0" fillId="10" borderId="30" xfId="2" applyNumberFormat="1" applyFont="1" applyFill="1" applyBorder="1" applyAlignment="1">
      <alignment horizontal="center"/>
    </xf>
    <xf numFmtId="169" fontId="0" fillId="11" borderId="30" xfId="2" applyNumberFormat="1" applyFont="1" applyFill="1" applyBorder="1" applyAlignment="1">
      <alignment horizontal="center"/>
    </xf>
    <xf numFmtId="0" fontId="11" fillId="6" borderId="33" xfId="0" applyFont="1" applyFill="1" applyBorder="1" applyAlignment="1">
      <alignment horizontal="center"/>
    </xf>
    <xf numFmtId="0" fontId="11" fillId="6" borderId="43" xfId="0" applyFont="1" applyFill="1" applyBorder="1" applyAlignment="1">
      <alignment horizontal="center"/>
    </xf>
    <xf numFmtId="9" fontId="0" fillId="2" borderId="33" xfId="0" applyNumberFormat="1" applyFont="1" applyFill="1" applyBorder="1" applyAlignment="1">
      <alignment horizontal="center"/>
    </xf>
    <xf numFmtId="9" fontId="0" fillId="2" borderId="43"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36" xfId="0" applyNumberFormat="1" applyFont="1" applyFill="1" applyBorder="1" applyAlignment="1">
      <alignment horizontal="center"/>
    </xf>
    <xf numFmtId="171" fontId="0" fillId="2" borderId="44"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170" fontId="12" fillId="9" borderId="1" xfId="0" applyNumberFormat="1" applyFont="1" applyFill="1" applyBorder="1"/>
    <xf numFmtId="0" fontId="12" fillId="9" borderId="30" xfId="0" applyFont="1" applyFill="1" applyBorder="1"/>
    <xf numFmtId="170" fontId="12" fillId="9" borderId="31" xfId="0" applyNumberFormat="1" applyFont="1" applyFill="1" applyBorder="1"/>
    <xf numFmtId="0" fontId="12" fillId="9" borderId="33" xfId="0" applyFont="1" applyFill="1" applyBorder="1"/>
    <xf numFmtId="0" fontId="12" fillId="9" borderId="35" xfId="0" applyFont="1" applyFill="1" applyBorder="1"/>
    <xf numFmtId="170" fontId="12" fillId="9" borderId="36" xfId="0" applyNumberFormat="1" applyFont="1" applyFill="1" applyBorder="1"/>
    <xf numFmtId="9" fontId="9" fillId="2" borderId="0" xfId="3" applyFont="1" applyFill="1" applyBorder="1" applyAlignment="1">
      <alignment horizontal="left" vertical="top" wrapText="1"/>
    </xf>
    <xf numFmtId="165" fontId="9" fillId="2" borderId="0" xfId="0" applyNumberFormat="1" applyFont="1" applyFill="1" applyBorder="1" applyAlignment="1">
      <alignment horizontal="left" vertical="top" wrapText="1"/>
    </xf>
    <xf numFmtId="171" fontId="0" fillId="2" borderId="58" xfId="0" applyNumberFormat="1" applyFill="1" applyBorder="1" applyAlignment="1">
      <alignment horizontal="left" wrapText="1"/>
    </xf>
    <xf numFmtId="0" fontId="20" fillId="2" borderId="0" xfId="0" applyFont="1" applyFill="1" applyBorder="1" applyAlignment="1">
      <alignment horizontal="center" vertical="center"/>
    </xf>
    <xf numFmtId="171" fontId="0" fillId="2" borderId="0" xfId="0" applyNumberFormat="1" applyFill="1" applyBorder="1" applyAlignment="1"/>
    <xf numFmtId="0" fontId="0" fillId="2" borderId="0" xfId="0" applyFont="1" applyFill="1" applyBorder="1" applyAlignment="1">
      <alignment horizontal="center" vertical="center"/>
    </xf>
    <xf numFmtId="0" fontId="11" fillId="2" borderId="25" xfId="0" applyFont="1" applyFill="1" applyBorder="1" applyAlignment="1">
      <alignment horizontal="center" vertical="center"/>
    </xf>
    <xf numFmtId="0" fontId="11" fillId="8" borderId="16" xfId="0" applyFont="1" applyFill="1" applyBorder="1" applyAlignment="1">
      <alignment horizontal="center"/>
    </xf>
    <xf numFmtId="0" fontId="11" fillId="8" borderId="53" xfId="0" applyFont="1" applyFill="1" applyBorder="1" applyAlignment="1">
      <alignment horizontal="center"/>
    </xf>
    <xf numFmtId="0" fontId="11" fillId="8" borderId="18" xfId="0" applyFont="1" applyFill="1" applyBorder="1" applyAlignment="1">
      <alignment horizontal="center" vertical="center"/>
    </xf>
    <xf numFmtId="0" fontId="0" fillId="8" borderId="57" xfId="0" applyFill="1" applyBorder="1" applyAlignment="1">
      <alignment horizontal="left" wrapText="1"/>
    </xf>
    <xf numFmtId="0" fontId="11" fillId="0" borderId="25" xfId="0" applyFont="1" applyFill="1" applyBorder="1" applyAlignment="1">
      <alignment horizontal="center" vertical="center"/>
    </xf>
    <xf numFmtId="171" fontId="0" fillId="0" borderId="58" xfId="0" applyNumberFormat="1" applyFill="1" applyBorder="1" applyAlignment="1">
      <alignment horizontal="left" wrapText="1"/>
    </xf>
    <xf numFmtId="0" fontId="9" fillId="2" borderId="0" xfId="0" applyFont="1" applyFill="1" applyBorder="1" applyAlignment="1">
      <alignment horizontal="left" vertical="top" wrapText="1"/>
    </xf>
    <xf numFmtId="0" fontId="11" fillId="8" borderId="25" xfId="0" applyFont="1" applyFill="1" applyBorder="1" applyAlignment="1">
      <alignment horizontal="center" vertical="center"/>
    </xf>
    <xf numFmtId="171" fontId="0" fillId="8" borderId="58" xfId="0" applyNumberFormat="1" applyFill="1" applyBorder="1" applyAlignment="1">
      <alignment horizontal="left" wrapText="1"/>
    </xf>
    <xf numFmtId="0" fontId="11" fillId="8" borderId="56" xfId="0" applyFont="1" applyFill="1" applyBorder="1" applyAlignment="1">
      <alignment horizontal="center" vertical="center"/>
    </xf>
    <xf numFmtId="171" fontId="0" fillId="8" borderId="59" xfId="0" applyNumberFormat="1" applyFill="1" applyBorder="1" applyAlignment="1">
      <alignment horizontal="left" wrapText="1"/>
    </xf>
    <xf numFmtId="171" fontId="0" fillId="8" borderId="57" xfId="0" applyNumberFormat="1" applyFill="1" applyBorder="1" applyAlignment="1">
      <alignment horizontal="left" wrapText="1"/>
    </xf>
    <xf numFmtId="0" fontId="11" fillId="8" borderId="25" xfId="0" applyFont="1" applyFill="1" applyBorder="1" applyAlignment="1">
      <alignment horizontal="center" vertical="center" wrapText="1"/>
    </xf>
    <xf numFmtId="171" fontId="0" fillId="8" borderId="58" xfId="0" applyNumberFormat="1" applyFill="1" applyBorder="1" applyAlignment="1">
      <alignment horizontal="left" vertical="center" wrapText="1"/>
    </xf>
    <xf numFmtId="171" fontId="0" fillId="8" borderId="57" xfId="0" applyNumberFormat="1" applyFill="1" applyBorder="1"/>
    <xf numFmtId="171" fontId="0" fillId="8" borderId="59" xfId="0" applyNumberFormat="1" applyFill="1" applyBorder="1"/>
    <xf numFmtId="166" fontId="22" fillId="6" borderId="26" xfId="2" applyFont="1" applyFill="1" applyBorder="1" applyAlignment="1">
      <alignment horizontal="center" vertical="center" wrapText="1"/>
    </xf>
    <xf numFmtId="166" fontId="12" fillId="6" borderId="45" xfId="2" applyFont="1" applyFill="1" applyBorder="1" applyAlignment="1">
      <alignment horizontal="center" wrapText="1"/>
    </xf>
    <xf numFmtId="166" fontId="22" fillId="6" borderId="46" xfId="2" applyFont="1" applyFill="1" applyBorder="1" applyAlignment="1">
      <alignment horizontal="center" vertical="center" wrapText="1"/>
    </xf>
    <xf numFmtId="0" fontId="11" fillId="7" borderId="35" xfId="0" applyFont="1" applyFill="1" applyBorder="1" applyAlignment="1">
      <alignment wrapText="1"/>
    </xf>
    <xf numFmtId="165" fontId="11" fillId="7" borderId="36" xfId="0" applyNumberFormat="1" applyFont="1" applyFill="1" applyBorder="1" applyAlignment="1">
      <alignment wrapText="1"/>
    </xf>
    <xf numFmtId="165" fontId="11" fillId="7" borderId="44" xfId="0" applyNumberFormat="1" applyFont="1" applyFill="1" applyBorder="1" applyAlignment="1">
      <alignment wrapText="1"/>
    </xf>
    <xf numFmtId="166" fontId="12" fillId="13" borderId="30" xfId="2" applyFont="1" applyFill="1" applyBorder="1" applyAlignment="1">
      <alignment horizontal="left" wrapText="1"/>
    </xf>
    <xf numFmtId="165" fontId="0" fillId="13" borderId="31" xfId="0" applyNumberFormat="1" applyFill="1" applyBorder="1" applyAlignment="1">
      <alignment wrapText="1"/>
    </xf>
    <xf numFmtId="165" fontId="0" fillId="13" borderId="47" xfId="0" applyNumberFormat="1" applyFill="1" applyBorder="1" applyAlignment="1">
      <alignment wrapText="1"/>
    </xf>
    <xf numFmtId="166" fontId="12" fillId="13" borderId="33" xfId="2" applyFont="1" applyFill="1" applyBorder="1" applyAlignment="1">
      <alignment horizontal="left" wrapText="1"/>
    </xf>
    <xf numFmtId="165" fontId="0" fillId="13" borderId="1" xfId="0" applyNumberFormat="1" applyFill="1" applyBorder="1" applyAlignment="1">
      <alignment wrapText="1"/>
    </xf>
    <xf numFmtId="165" fontId="0" fillId="13" borderId="43" xfId="0" applyNumberFormat="1" applyFill="1" applyBorder="1" applyAlignment="1">
      <alignment wrapText="1"/>
    </xf>
    <xf numFmtId="166" fontId="12" fillId="13" borderId="35" xfId="2" applyFont="1" applyFill="1" applyBorder="1" applyAlignment="1">
      <alignment horizontal="left" wrapText="1"/>
    </xf>
    <xf numFmtId="165" fontId="0" fillId="13" borderId="36" xfId="0" applyNumberFormat="1" applyFill="1" applyBorder="1" applyAlignment="1">
      <alignment wrapText="1"/>
    </xf>
    <xf numFmtId="165" fontId="0" fillId="13" borderId="44" xfId="0" applyNumberFormat="1" applyFill="1" applyBorder="1" applyAlignment="1">
      <alignment wrapText="1"/>
    </xf>
    <xf numFmtId="166" fontId="12" fillId="10" borderId="30" xfId="2" applyFont="1" applyFill="1" applyBorder="1" applyAlignment="1">
      <alignment horizontal="left" wrapText="1"/>
    </xf>
    <xf numFmtId="165" fontId="0" fillId="10" borderId="31" xfId="0" applyNumberFormat="1" applyFill="1" applyBorder="1" applyAlignment="1">
      <alignment wrapText="1"/>
    </xf>
    <xf numFmtId="165" fontId="0" fillId="10" borderId="47" xfId="0" applyNumberFormat="1" applyFill="1" applyBorder="1" applyAlignment="1">
      <alignment wrapText="1"/>
    </xf>
    <xf numFmtId="166" fontId="12" fillId="10" borderId="33" xfId="2" applyFont="1" applyFill="1" applyBorder="1" applyAlignment="1">
      <alignment horizontal="left" wrapText="1"/>
    </xf>
    <xf numFmtId="165" fontId="0" fillId="10" borderId="1" xfId="0" applyNumberFormat="1" applyFill="1" applyBorder="1" applyAlignment="1">
      <alignment wrapText="1"/>
    </xf>
    <xf numFmtId="165" fontId="0" fillId="10" borderId="43" xfId="0" applyNumberFormat="1" applyFill="1" applyBorder="1" applyAlignment="1">
      <alignment wrapText="1"/>
    </xf>
    <xf numFmtId="166" fontId="12" fillId="10" borderId="35" xfId="2" applyFont="1" applyFill="1" applyBorder="1" applyAlignment="1">
      <alignment horizontal="left" wrapText="1"/>
    </xf>
    <xf numFmtId="165" fontId="0" fillId="10" borderId="36" xfId="0" applyNumberFormat="1" applyFill="1" applyBorder="1" applyAlignment="1">
      <alignment wrapText="1"/>
    </xf>
    <xf numFmtId="165" fontId="0" fillId="10" borderId="44" xfId="0" applyNumberFormat="1" applyFill="1" applyBorder="1" applyAlignment="1">
      <alignment wrapText="1"/>
    </xf>
    <xf numFmtId="166" fontId="12" fillId="6" borderId="30" xfId="2" applyFont="1" applyFill="1" applyBorder="1" applyAlignment="1">
      <alignment horizontal="left" wrapText="1"/>
    </xf>
    <xf numFmtId="165" fontId="0" fillId="6" borderId="31" xfId="0" applyNumberFormat="1" applyFill="1" applyBorder="1" applyAlignment="1">
      <alignment wrapText="1"/>
    </xf>
    <xf numFmtId="165" fontId="0" fillId="6" borderId="47" xfId="0" applyNumberFormat="1" applyFill="1" applyBorder="1" applyAlignment="1">
      <alignment wrapText="1"/>
    </xf>
    <xf numFmtId="166" fontId="12" fillId="6" borderId="33" xfId="2" applyFont="1" applyFill="1" applyBorder="1" applyAlignment="1">
      <alignment horizontal="left" wrapText="1"/>
    </xf>
    <xf numFmtId="165" fontId="0" fillId="6" borderId="1" xfId="0" applyNumberFormat="1" applyFill="1" applyBorder="1" applyAlignment="1">
      <alignment wrapText="1"/>
    </xf>
    <xf numFmtId="165" fontId="0" fillId="6" borderId="43" xfId="0" applyNumberFormat="1" applyFill="1" applyBorder="1" applyAlignment="1">
      <alignment wrapText="1"/>
    </xf>
    <xf numFmtId="166" fontId="12" fillId="6" borderId="35" xfId="2" applyFont="1" applyFill="1" applyBorder="1" applyAlignment="1">
      <alignment horizontal="left" vertical="center" wrapText="1"/>
    </xf>
    <xf numFmtId="165" fontId="0" fillId="6" borderId="36" xfId="0" applyNumberFormat="1" applyFill="1" applyBorder="1" applyAlignment="1">
      <alignment wrapText="1"/>
    </xf>
    <xf numFmtId="165" fontId="0" fillId="6" borderId="44" xfId="0" applyNumberFormat="1" applyFill="1" applyBorder="1" applyAlignment="1">
      <alignment wrapText="1"/>
    </xf>
    <xf numFmtId="166" fontId="12" fillId="12" borderId="61" xfId="2" applyFont="1" applyFill="1" applyBorder="1" applyAlignment="1">
      <alignment horizontal="left" vertical="center" wrapText="1"/>
    </xf>
    <xf numFmtId="165" fontId="0" fillId="12" borderId="3" xfId="0" applyNumberFormat="1" applyFill="1" applyBorder="1" applyAlignment="1">
      <alignment wrapText="1"/>
    </xf>
    <xf numFmtId="165" fontId="0" fillId="12" borderId="62" xfId="0" applyNumberFormat="1" applyFill="1" applyBorder="1" applyAlignment="1">
      <alignment wrapText="1"/>
    </xf>
    <xf numFmtId="0" fontId="20" fillId="14" borderId="0" xfId="0" applyFont="1" applyFill="1" applyBorder="1" applyAlignment="1">
      <alignment horizontal="center" vertical="center"/>
    </xf>
    <xf numFmtId="0" fontId="0" fillId="14" borderId="0" xfId="0" applyFill="1" applyBorder="1"/>
    <xf numFmtId="171" fontId="0" fillId="14" borderId="0" xfId="0" applyNumberFormat="1" applyFill="1" applyBorder="1"/>
    <xf numFmtId="0" fontId="0" fillId="14" borderId="0" xfId="0" applyFont="1" applyFill="1" applyBorder="1" applyAlignment="1">
      <alignment horizontal="center" vertical="center"/>
    </xf>
    <xf numFmtId="0" fontId="0" fillId="14" borderId="0" xfId="0" applyFill="1"/>
    <xf numFmtId="171" fontId="0" fillId="14" borderId="0" xfId="0" applyNumberFormat="1" applyFill="1" applyBorder="1" applyAlignment="1"/>
    <xf numFmtId="0" fontId="7" fillId="2" borderId="0" xfId="0" applyFont="1" applyFill="1" applyBorder="1" applyAlignment="1">
      <alignment horizontal="left" vertical="top" wrapText="1"/>
    </xf>
    <xf numFmtId="165" fontId="11" fillId="2" borderId="46" xfId="0" applyNumberFormat="1" applyFont="1" applyFill="1" applyBorder="1"/>
    <xf numFmtId="169" fontId="11" fillId="14" borderId="45" xfId="0" applyNumberFormat="1" applyFont="1" applyFill="1" applyBorder="1"/>
    <xf numFmtId="165" fontId="11" fillId="2" borderId="46" xfId="6" applyFont="1" applyFill="1" applyBorder="1"/>
    <xf numFmtId="0" fontId="0" fillId="2" borderId="1" xfId="0" applyFill="1" applyBorder="1"/>
    <xf numFmtId="166" fontId="9" fillId="14" borderId="1" xfId="2" applyFont="1" applyFill="1" applyBorder="1" applyAlignment="1"/>
    <xf numFmtId="166" fontId="9" fillId="14" borderId="16" xfId="2" applyFont="1" applyFill="1" applyBorder="1" applyAlignment="1">
      <alignment vertical="center" wrapText="1"/>
    </xf>
    <xf numFmtId="166" fontId="9" fillId="14" borderId="16" xfId="2" applyFont="1" applyFill="1" applyBorder="1" applyAlignment="1"/>
    <xf numFmtId="166" fontId="9" fillId="14" borderId="16" xfId="2" applyFont="1" applyFill="1" applyBorder="1" applyAlignment="1">
      <alignment wrapText="1"/>
    </xf>
    <xf numFmtId="166" fontId="9" fillId="14" borderId="31" xfId="2" applyFont="1" applyFill="1" applyBorder="1" applyAlignment="1"/>
    <xf numFmtId="166" fontId="9" fillId="14" borderId="47" xfId="2" applyFont="1" applyFill="1" applyBorder="1" applyAlignment="1"/>
    <xf numFmtId="166" fontId="9" fillId="14" borderId="43" xfId="2" applyFont="1" applyFill="1" applyBorder="1" applyAlignment="1"/>
    <xf numFmtId="166" fontId="9" fillId="14" borderId="36" xfId="2" applyFont="1" applyFill="1" applyBorder="1" applyAlignment="1"/>
    <xf numFmtId="166" fontId="9" fillId="14" borderId="44" xfId="2" applyFont="1" applyFill="1" applyBorder="1" applyAlignment="1"/>
    <xf numFmtId="166" fontId="9" fillId="14" borderId="17" xfId="2" applyFont="1" applyFill="1" applyBorder="1" applyAlignment="1">
      <alignment wrapText="1"/>
    </xf>
    <xf numFmtId="166" fontId="9" fillId="14" borderId="17" xfId="2" applyFont="1" applyFill="1" applyBorder="1" applyAlignment="1"/>
    <xf numFmtId="166" fontId="9" fillId="14" borderId="17" xfId="2" applyFont="1" applyFill="1" applyBorder="1" applyAlignment="1">
      <alignment vertical="center" wrapText="1"/>
    </xf>
    <xf numFmtId="166" fontId="9" fillId="14" borderId="7" xfId="2" applyFont="1" applyFill="1" applyBorder="1" applyAlignment="1">
      <alignment wrapText="1"/>
    </xf>
    <xf numFmtId="166" fontId="9" fillId="14" borderId="7" xfId="2" applyFont="1" applyFill="1" applyBorder="1" applyAlignment="1"/>
    <xf numFmtId="166" fontId="9" fillId="14" borderId="7" xfId="2" applyFont="1" applyFill="1" applyBorder="1" applyAlignment="1">
      <alignment vertical="center" wrapText="1"/>
    </xf>
    <xf numFmtId="172" fontId="12" fillId="9" borderId="30" xfId="2" applyNumberFormat="1" applyFont="1" applyFill="1" applyBorder="1" applyAlignment="1">
      <alignment vertical="center"/>
    </xf>
    <xf numFmtId="172" fontId="12" fillId="9" borderId="33" xfId="2" applyNumberFormat="1" applyFont="1" applyFill="1" applyBorder="1" applyAlignment="1">
      <alignment vertical="center"/>
    </xf>
    <xf numFmtId="172" fontId="12" fillId="9" borderId="35" xfId="2" applyNumberFormat="1" applyFont="1" applyFill="1" applyBorder="1" applyAlignment="1">
      <alignment vertical="center"/>
    </xf>
    <xf numFmtId="172" fontId="12" fillId="10" borderId="16" xfId="2" applyNumberFormat="1" applyFont="1" applyFill="1" applyBorder="1" applyAlignment="1">
      <alignment vertical="center" wrapText="1"/>
    </xf>
    <xf numFmtId="172" fontId="12" fillId="11" borderId="16" xfId="2" applyNumberFormat="1" applyFont="1" applyFill="1" applyBorder="1" applyAlignment="1">
      <alignment vertical="center"/>
    </xf>
    <xf numFmtId="172" fontId="12" fillId="12" borderId="16" xfId="2" applyNumberFormat="1" applyFont="1" applyFill="1" applyBorder="1" applyAlignment="1">
      <alignment vertical="center" wrapText="1"/>
    </xf>
    <xf numFmtId="0" fontId="0" fillId="2" borderId="0" xfId="0" applyFill="1" applyAlignment="1">
      <alignment horizontal="center"/>
    </xf>
    <xf numFmtId="172" fontId="12" fillId="9" borderId="23" xfId="2" applyNumberFormat="1" applyFont="1" applyFill="1" applyBorder="1" applyAlignment="1">
      <alignment vertical="center"/>
    </xf>
    <xf numFmtId="172" fontId="12" fillId="9" borderId="2" xfId="2" applyNumberFormat="1" applyFont="1" applyFill="1" applyBorder="1" applyAlignment="1">
      <alignment vertical="center"/>
    </xf>
    <xf numFmtId="172" fontId="12" fillId="9" borderId="54" xfId="2" applyNumberFormat="1" applyFont="1" applyFill="1" applyBorder="1" applyAlignment="1">
      <alignment vertical="center"/>
    </xf>
    <xf numFmtId="172" fontId="12" fillId="10" borderId="17" xfId="2" applyNumberFormat="1" applyFont="1" applyFill="1" applyBorder="1" applyAlignment="1">
      <alignment vertical="center" wrapText="1"/>
    </xf>
    <xf numFmtId="172" fontId="12" fillId="11" borderId="17" xfId="2" applyNumberFormat="1" applyFont="1" applyFill="1" applyBorder="1" applyAlignment="1">
      <alignment vertical="center"/>
    </xf>
    <xf numFmtId="172" fontId="12" fillId="12" borderId="17" xfId="2" applyNumberFormat="1" applyFont="1" applyFill="1" applyBorder="1" applyAlignment="1">
      <alignment vertical="center" wrapText="1"/>
    </xf>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11" fillId="2" borderId="0" xfId="0" applyFont="1" applyFill="1" applyBorder="1" applyAlignment="1">
      <alignment horizontal="center"/>
    </xf>
    <xf numFmtId="1" fontId="11" fillId="2" borderId="0" xfId="0" applyNumberFormat="1" applyFont="1" applyFill="1" applyBorder="1" applyAlignment="1">
      <alignment horizontal="center"/>
    </xf>
    <xf numFmtId="0" fontId="11" fillId="14" borderId="0" xfId="0" applyFont="1" applyFill="1" applyBorder="1" applyAlignment="1">
      <alignment horizontal="center"/>
    </xf>
    <xf numFmtId="1" fontId="11" fillId="14" borderId="0" xfId="0" applyNumberFormat="1" applyFont="1" applyFill="1" applyBorder="1" applyAlignment="1">
      <alignment horizontal="center"/>
    </xf>
    <xf numFmtId="0" fontId="0" fillId="2" borderId="0" xfId="0" applyFill="1" applyBorder="1" applyAlignment="1">
      <alignment horizontal="center" vertical="center" wrapText="1"/>
    </xf>
    <xf numFmtId="0" fontId="11" fillId="2" borderId="0" xfId="0" applyFont="1" applyFill="1" applyBorder="1" applyAlignment="1">
      <alignment horizontal="center" wrapText="1"/>
    </xf>
    <xf numFmtId="0" fontId="0" fillId="14" borderId="0" xfId="0" applyFill="1" applyBorder="1" applyAlignment="1">
      <alignment horizontal="center" vertical="center" wrapText="1"/>
    </xf>
    <xf numFmtId="0" fontId="11" fillId="14" borderId="0" xfId="0" applyFont="1" applyFill="1" applyBorder="1" applyAlignment="1">
      <alignment horizontal="center" wrapText="1"/>
    </xf>
    <xf numFmtId="0" fontId="11" fillId="2" borderId="0" xfId="0" applyFont="1" applyFill="1" applyBorder="1" applyAlignment="1">
      <alignment horizontal="center" vertical="center" wrapText="1"/>
    </xf>
    <xf numFmtId="0" fontId="11" fillId="14" borderId="0" xfId="0" applyFont="1" applyFill="1" applyBorder="1" applyAlignment="1">
      <alignment horizontal="center" vertical="center" wrapText="1"/>
    </xf>
    <xf numFmtId="0" fontId="0" fillId="14" borderId="0" xfId="0" applyFill="1" applyAlignment="1">
      <alignment wrapText="1"/>
    </xf>
    <xf numFmtId="0" fontId="14" fillId="2" borderId="0" xfId="0" applyFont="1" applyFill="1" applyBorder="1" applyAlignment="1"/>
    <xf numFmtId="0" fontId="0" fillId="2" borderId="63" xfId="0" applyFill="1" applyBorder="1" applyAlignment="1">
      <alignment wrapText="1"/>
    </xf>
    <xf numFmtId="0" fontId="0" fillId="2" borderId="63" xfId="0" applyFill="1" applyBorder="1" applyAlignment="1">
      <alignment horizontal="center" wrapText="1"/>
    </xf>
    <xf numFmtId="0" fontId="0" fillId="2" borderId="63" xfId="0" applyFill="1" applyBorder="1"/>
    <xf numFmtId="0" fontId="11" fillId="2" borderId="28" xfId="0" applyFont="1" applyFill="1" applyBorder="1" applyAlignment="1">
      <alignment horizontal="center" vertical="center" wrapText="1"/>
    </xf>
    <xf numFmtId="0" fontId="11" fillId="8" borderId="19" xfId="0" applyFont="1" applyFill="1" applyBorder="1" applyAlignment="1">
      <alignment horizontal="center" vertical="center" wrapText="1"/>
    </xf>
    <xf numFmtId="0" fontId="0" fillId="2" borderId="31" xfId="0" applyFill="1" applyBorder="1" applyAlignment="1">
      <alignment vertical="center" wrapText="1"/>
    </xf>
    <xf numFmtId="0" fontId="0" fillId="2" borderId="3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2" borderId="36" xfId="0" applyFill="1" applyBorder="1" applyAlignment="1">
      <alignment vertical="center" wrapText="1"/>
    </xf>
    <xf numFmtId="0" fontId="0" fillId="2" borderId="36" xfId="0" applyFill="1" applyBorder="1" applyAlignment="1">
      <alignment horizontal="center" vertical="center"/>
    </xf>
    <xf numFmtId="0" fontId="0" fillId="2" borderId="22" xfId="0" applyFill="1" applyBorder="1" applyAlignment="1">
      <alignment horizontal="center" vertical="center"/>
    </xf>
    <xf numFmtId="0" fontId="0" fillId="2" borderId="24" xfId="0" applyFill="1" applyBorder="1" applyAlignment="1">
      <alignment horizontal="center" vertical="center"/>
    </xf>
    <xf numFmtId="0" fontId="0" fillId="2" borderId="39" xfId="0" applyFill="1" applyBorder="1" applyAlignment="1">
      <alignment horizontal="center" vertical="center"/>
    </xf>
    <xf numFmtId="0" fontId="11" fillId="5" borderId="64" xfId="0" applyFont="1" applyFill="1" applyBorder="1" applyAlignment="1">
      <alignment horizontal="center" vertical="center" wrapText="1"/>
    </xf>
    <xf numFmtId="1" fontId="11" fillId="2" borderId="20" xfId="0" applyNumberFormat="1" applyFont="1" applyFill="1" applyBorder="1" applyAlignment="1">
      <alignment horizontal="center" vertical="center"/>
    </xf>
    <xf numFmtId="0" fontId="0" fillId="2" borderId="47"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1" fontId="11" fillId="2" borderId="0" xfId="0" applyNumberFormat="1" applyFont="1"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1" xfId="0" applyNumberFormat="1" applyFill="1" applyBorder="1"/>
    <xf numFmtId="166" fontId="12" fillId="9" borderId="1" xfId="2" applyFont="1" applyFill="1" applyBorder="1" applyAlignment="1"/>
    <xf numFmtId="2" fontId="11" fillId="8" borderId="1" xfId="0" applyNumberFormat="1" applyFont="1" applyFill="1" applyBorder="1"/>
    <xf numFmtId="0" fontId="11" fillId="2" borderId="55" xfId="0" applyFont="1" applyFill="1" applyBorder="1" applyAlignment="1">
      <alignment horizontal="center" vertical="center" wrapText="1"/>
    </xf>
    <xf numFmtId="0" fontId="11" fillId="8" borderId="20" xfId="0" applyFont="1" applyFill="1" applyBorder="1" applyAlignment="1">
      <alignment horizontal="center" vertical="center" wrapText="1"/>
    </xf>
    <xf numFmtId="2" fontId="11" fillId="2" borderId="55" xfId="0" applyNumberFormat="1" applyFont="1" applyFill="1" applyBorder="1" applyAlignment="1">
      <alignment horizontal="center" vertical="center"/>
    </xf>
    <xf numFmtId="2" fontId="0" fillId="2" borderId="46" xfId="0" applyNumberFormat="1" applyFill="1" applyBorder="1" applyAlignment="1">
      <alignment horizontal="center" vertical="center"/>
    </xf>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9" xfId="0" applyFill="1" applyBorder="1" applyAlignment="1">
      <alignment horizontal="left"/>
    </xf>
    <xf numFmtId="0" fontId="3" fillId="2" borderId="49" xfId="1" applyFill="1" applyBorder="1" applyAlignment="1">
      <alignment horizontal="left"/>
    </xf>
    <xf numFmtId="0" fontId="0" fillId="2" borderId="49" xfId="0" applyFill="1" applyBorder="1"/>
    <xf numFmtId="165" fontId="11" fillId="5" borderId="58" xfId="6" applyFont="1" applyFill="1" applyBorder="1" applyAlignment="1">
      <alignment horizontal="center"/>
    </xf>
    <xf numFmtId="165" fontId="11" fillId="5" borderId="59" xfId="6" applyFont="1" applyFill="1" applyBorder="1" applyAlignment="1">
      <alignment horizontal="center"/>
    </xf>
    <xf numFmtId="165" fontId="11" fillId="5" borderId="67" xfId="6" applyFont="1" applyFill="1" applyBorder="1" applyAlignment="1">
      <alignment horizontal="center"/>
    </xf>
    <xf numFmtId="0" fontId="11" fillId="5" borderId="19" xfId="0" applyFont="1" applyFill="1" applyBorder="1"/>
    <xf numFmtId="165" fontId="11" fillId="5" borderId="21" xfId="6" applyFont="1" applyFill="1" applyBorder="1" applyAlignment="1">
      <alignment horizontal="center"/>
    </xf>
    <xf numFmtId="165" fontId="11" fillId="5" borderId="70" xfId="6" applyFont="1" applyFill="1" applyBorder="1" applyAlignment="1">
      <alignment horizontal="center"/>
    </xf>
    <xf numFmtId="165" fontId="11" fillId="5" borderId="53" xfId="6" applyFont="1" applyFill="1" applyBorder="1" applyAlignment="1">
      <alignment horizontal="center"/>
    </xf>
    <xf numFmtId="165" fontId="0" fillId="0" borderId="3" xfId="6" applyFont="1" applyBorder="1" applyAlignment="1">
      <alignment horizontal="center"/>
    </xf>
    <xf numFmtId="165" fontId="0" fillId="0" borderId="27" xfId="6" applyFont="1" applyBorder="1" applyAlignment="1">
      <alignment horizontal="center"/>
    </xf>
    <xf numFmtId="0" fontId="11" fillId="5" borderId="21" xfId="0" applyFont="1" applyFill="1" applyBorder="1" applyAlignment="1">
      <alignment horizontal="center"/>
    </xf>
    <xf numFmtId="0" fontId="11" fillId="5" borderId="70" xfId="0" applyFont="1" applyFill="1" applyBorder="1" applyAlignment="1">
      <alignment horizontal="center"/>
    </xf>
    <xf numFmtId="0" fontId="11" fillId="5" borderId="53" xfId="0" applyFont="1" applyFill="1" applyBorder="1" applyAlignment="1">
      <alignment horizontal="center"/>
    </xf>
    <xf numFmtId="0" fontId="11" fillId="5" borderId="7" xfId="0" applyFont="1" applyFill="1" applyBorder="1" applyAlignment="1">
      <alignment horizontal="center"/>
    </xf>
    <xf numFmtId="165" fontId="0" fillId="0" borderId="31" xfId="6" applyFont="1" applyBorder="1" applyAlignment="1">
      <alignment horizontal="center"/>
    </xf>
    <xf numFmtId="165" fontId="0" fillId="0" borderId="22" xfId="6" applyFont="1" applyBorder="1" applyAlignment="1">
      <alignment horizontal="center"/>
    </xf>
    <xf numFmtId="165" fontId="11" fillId="5" borderId="57" xfId="6" applyFont="1" applyFill="1" applyBorder="1" applyAlignment="1">
      <alignment horizontal="center"/>
    </xf>
    <xf numFmtId="0" fontId="0" fillId="2" borderId="32" xfId="0" applyFill="1" applyBorder="1" applyAlignment="1">
      <alignment horizontal="left"/>
    </xf>
    <xf numFmtId="165" fontId="0" fillId="0" borderId="36" xfId="6" applyFont="1" applyBorder="1" applyAlignment="1">
      <alignment horizontal="center"/>
    </xf>
    <xf numFmtId="165" fontId="0" fillId="0" borderId="39" xfId="6" applyFont="1" applyBorder="1" applyAlignment="1">
      <alignment horizontal="center"/>
    </xf>
    <xf numFmtId="0" fontId="0" fillId="2" borderId="60" xfId="0" applyFill="1" applyBorder="1" applyAlignment="1">
      <alignment horizontal="left"/>
    </xf>
    <xf numFmtId="165" fontId="0" fillId="0" borderId="31" xfId="6" applyFont="1" applyBorder="1" applyAlignment="1">
      <alignment horizontal="left" vertical="center"/>
    </xf>
    <xf numFmtId="165" fontId="0" fillId="0" borderId="22" xfId="6" applyFont="1" applyBorder="1" applyAlignment="1">
      <alignment horizontal="left" vertical="center"/>
    </xf>
    <xf numFmtId="165" fontId="11" fillId="5" borderId="57" xfId="6" applyFont="1" applyFill="1" applyBorder="1" applyAlignment="1">
      <alignment horizontal="left" vertical="center"/>
    </xf>
    <xf numFmtId="0" fontId="0" fillId="2" borderId="32" xfId="0" applyFill="1" applyBorder="1" applyAlignment="1">
      <alignment horizontal="left" vertical="center"/>
    </xf>
    <xf numFmtId="0" fontId="21" fillId="5" borderId="53" xfId="0" applyFont="1" applyFill="1" applyBorder="1" applyAlignment="1">
      <alignment horizontal="center"/>
    </xf>
    <xf numFmtId="165" fontId="0" fillId="0" borderId="21" xfId="6" applyFont="1" applyBorder="1" applyAlignment="1">
      <alignment horizontal="center"/>
    </xf>
    <xf numFmtId="165" fontId="0" fillId="0" borderId="70" xfId="6" applyFont="1" applyBorder="1" applyAlignment="1">
      <alignment horizontal="center"/>
    </xf>
    <xf numFmtId="0" fontId="0" fillId="2" borderId="7" xfId="0" applyFill="1" applyBorder="1" applyAlignment="1">
      <alignment horizontal="left"/>
    </xf>
    <xf numFmtId="165" fontId="11" fillId="8" borderId="53" xfId="6" applyFont="1" applyFill="1" applyBorder="1" applyAlignment="1">
      <alignment horizontal="center"/>
    </xf>
    <xf numFmtId="0" fontId="11" fillId="5" borderId="71" xfId="0"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4" xfId="6" applyFont="1" applyBorder="1" applyAlignment="1">
      <alignment horizontal="center"/>
    </xf>
    <xf numFmtId="165" fontId="0" fillId="0" borderId="23" xfId="6" applyFont="1" applyBorder="1" applyAlignment="1">
      <alignment horizontal="left" vertical="center"/>
    </xf>
    <xf numFmtId="165" fontId="0" fillId="0" borderId="71" xfId="6" applyFont="1" applyBorder="1" applyAlignment="1">
      <alignment horizontal="center"/>
    </xf>
    <xf numFmtId="165" fontId="0" fillId="0" borderId="69" xfId="6" applyFont="1" applyBorder="1" applyAlignment="1">
      <alignment horizontal="center"/>
    </xf>
    <xf numFmtId="0" fontId="0" fillId="0" borderId="32" xfId="0" applyBorder="1"/>
    <xf numFmtId="0" fontId="0" fillId="0" borderId="49" xfId="0" applyBorder="1"/>
    <xf numFmtId="0" fontId="0" fillId="2" borderId="49" xfId="0" applyFill="1" applyBorder="1" applyAlignment="1">
      <alignment wrapText="1"/>
    </xf>
    <xf numFmtId="0" fontId="0" fillId="0" borderId="60" xfId="0" applyBorder="1"/>
    <xf numFmtId="0" fontId="0" fillId="0" borderId="32" xfId="0" applyBorder="1" applyAlignment="1">
      <alignment wrapText="1"/>
    </xf>
    <xf numFmtId="0" fontId="0" fillId="0" borderId="7"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3"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12" fillId="5" borderId="3" xfId="0" applyFont="1" applyFill="1" applyBorder="1" applyAlignment="1">
      <alignment horizontal="center" vertical="center"/>
    </xf>
    <xf numFmtId="0" fontId="0" fillId="2" borderId="33" xfId="0" applyFill="1" applyBorder="1" applyAlignment="1">
      <alignment wrapText="1"/>
    </xf>
    <xf numFmtId="165" fontId="0" fillId="2" borderId="43" xfId="6" applyFont="1" applyFill="1" applyBorder="1" applyAlignment="1">
      <alignment horizontal="center"/>
    </xf>
    <xf numFmtId="0" fontId="0" fillId="2" borderId="35" xfId="0" applyFill="1" applyBorder="1" applyAlignment="1">
      <alignment wrapText="1"/>
    </xf>
    <xf numFmtId="0" fontId="0" fillId="2" borderId="36" xfId="0" applyFill="1" applyBorder="1" applyAlignment="1">
      <alignment horizontal="center"/>
    </xf>
    <xf numFmtId="165" fontId="0" fillId="2" borderId="36" xfId="6" applyFont="1" applyFill="1" applyBorder="1" applyAlignment="1">
      <alignment horizontal="center"/>
    </xf>
    <xf numFmtId="165" fontId="0" fillId="2" borderId="44" xfId="6" applyFont="1" applyFill="1" applyBorder="1" applyAlignment="1">
      <alignment horizontal="center"/>
    </xf>
    <xf numFmtId="0" fontId="12" fillId="5" borderId="19" xfId="0" applyFont="1" applyFill="1" applyBorder="1" applyAlignment="1">
      <alignment horizontal="center" vertical="center"/>
    </xf>
    <xf numFmtId="0" fontId="12" fillId="5" borderId="61" xfId="0" applyFont="1" applyFill="1" applyBorder="1" applyAlignment="1">
      <alignment horizontal="center" vertical="center" wrapText="1"/>
    </xf>
    <xf numFmtId="0" fontId="12" fillId="5" borderId="62" xfId="0" applyFont="1" applyFill="1" applyBorder="1" applyAlignment="1">
      <alignment horizontal="center" vertical="center"/>
    </xf>
    <xf numFmtId="0" fontId="12"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2" fillId="2" borderId="0" xfId="0" applyFont="1" applyFill="1" applyBorder="1"/>
    <xf numFmtId="165" fontId="11" fillId="8" borderId="20" xfId="0" applyNumberFormat="1" applyFont="1" applyFill="1" applyBorder="1"/>
    <xf numFmtId="0" fontId="12" fillId="6" borderId="61" xfId="0" applyFont="1" applyFill="1" applyBorder="1" applyAlignment="1">
      <alignment horizontal="center" vertical="center" wrapText="1"/>
    </xf>
    <xf numFmtId="0" fontId="12" fillId="6" borderId="3" xfId="0" applyFont="1" applyFill="1" applyBorder="1" applyAlignment="1">
      <alignment horizontal="center" vertical="center"/>
    </xf>
    <xf numFmtId="0" fontId="12" fillId="6" borderId="62" xfId="0" applyFont="1" applyFill="1" applyBorder="1" applyAlignment="1">
      <alignment horizontal="center" vertic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6" xfId="0" applyNumberFormat="1" applyBorder="1" applyAlignment="1">
      <alignment horizontal="center"/>
    </xf>
    <xf numFmtId="1" fontId="0" fillId="0" borderId="2" xfId="0" applyNumberFormat="1" applyBorder="1" applyAlignment="1">
      <alignment horizontal="center"/>
    </xf>
    <xf numFmtId="173" fontId="0" fillId="0" borderId="62" xfId="0" applyNumberFormat="1" applyBorder="1" applyAlignment="1">
      <alignment horizontal="center"/>
    </xf>
    <xf numFmtId="0" fontId="0" fillId="0" borderId="33" xfId="0" applyBorder="1" applyAlignment="1">
      <alignment horizontal="left" vertical="center"/>
    </xf>
    <xf numFmtId="173" fontId="0" fillId="0" borderId="43" xfId="0" applyNumberFormat="1" applyBorder="1" applyAlignment="1">
      <alignment horizontal="center"/>
    </xf>
    <xf numFmtId="0" fontId="0" fillId="0" borderId="33" xfId="0" applyBorder="1" applyAlignment="1">
      <alignment horizontal="left" vertical="center" wrapText="1"/>
    </xf>
    <xf numFmtId="0" fontId="11" fillId="5" borderId="41" xfId="0" applyFont="1" applyFill="1" applyBorder="1" applyAlignment="1">
      <alignment horizontal="center"/>
    </xf>
    <xf numFmtId="0" fontId="11" fillId="5" borderId="34" xfId="0" applyFont="1" applyFill="1" applyBorder="1" applyAlignment="1">
      <alignment horizontal="center"/>
    </xf>
    <xf numFmtId="0" fontId="11" fillId="5" borderId="69" xfId="0" applyFont="1" applyFill="1" applyBorder="1" applyAlignment="1">
      <alignment horizontal="center"/>
    </xf>
    <xf numFmtId="0" fontId="11" fillId="5" borderId="63" xfId="0" applyFont="1" applyFill="1" applyBorder="1" applyAlignment="1">
      <alignment horizontal="center"/>
    </xf>
    <xf numFmtId="0" fontId="11" fillId="5" borderId="29" xfId="0" applyFont="1" applyFill="1" applyBorder="1" applyAlignment="1">
      <alignment horizontal="center"/>
    </xf>
    <xf numFmtId="0" fontId="0" fillId="0" borderId="30" xfId="0" applyBorder="1" applyAlignment="1">
      <alignment horizontal="left" vertical="center"/>
    </xf>
    <xf numFmtId="173" fontId="0" fillId="0" borderId="47" xfId="0" applyNumberFormat="1" applyBorder="1" applyAlignment="1">
      <alignment horizontal="center"/>
    </xf>
    <xf numFmtId="1" fontId="0" fillId="0" borderId="23" xfId="0" applyNumberFormat="1" applyBorder="1" applyAlignment="1">
      <alignment horizontal="center"/>
    </xf>
    <xf numFmtId="0" fontId="0" fillId="0" borderId="35" xfId="0" applyBorder="1" applyAlignment="1">
      <alignment horizontal="left" vertical="center"/>
    </xf>
    <xf numFmtId="173" fontId="0" fillId="0" borderId="44" xfId="0" applyNumberFormat="1" applyBorder="1" applyAlignment="1">
      <alignment horizontal="center"/>
    </xf>
    <xf numFmtId="1" fontId="0" fillId="0" borderId="54" xfId="0" applyNumberFormat="1" applyBorder="1" applyAlignment="1">
      <alignment horizontal="center"/>
    </xf>
    <xf numFmtId="0" fontId="11" fillId="5" borderId="16" xfId="0" applyFont="1" applyFill="1" applyBorder="1" applyAlignment="1">
      <alignment horizontal="center" vertical="center" wrapText="1"/>
    </xf>
    <xf numFmtId="0" fontId="0" fillId="0" borderId="19" xfId="0" applyBorder="1" applyAlignment="1">
      <alignment horizontal="left" vertical="center"/>
    </xf>
    <xf numFmtId="173" fontId="0" fillId="0" borderId="20" xfId="0" applyNumberFormat="1" applyBorder="1" applyAlignment="1">
      <alignment horizontal="center"/>
    </xf>
    <xf numFmtId="1" fontId="0" fillId="0" borderId="71" xfId="0" applyNumberFormat="1" applyBorder="1" applyAlignment="1">
      <alignment horizontal="center"/>
    </xf>
    <xf numFmtId="0" fontId="0" fillId="0" borderId="35" xfId="0" applyBorder="1" applyAlignment="1">
      <alignment horizontal="left" vertical="center" wrapText="1"/>
    </xf>
    <xf numFmtId="173" fontId="0" fillId="14" borderId="44" xfId="0" applyNumberFormat="1" applyFill="1" applyBorder="1" applyAlignment="1">
      <alignment horizontal="center"/>
    </xf>
    <xf numFmtId="1" fontId="0" fillId="14" borderId="54" xfId="0" applyNumberFormat="1" applyFill="1" applyBorder="1" applyAlignment="1">
      <alignment horizontal="center"/>
    </xf>
    <xf numFmtId="0" fontId="0" fillId="14" borderId="12" xfId="0" applyFill="1" applyBorder="1"/>
    <xf numFmtId="0" fontId="0" fillId="14" borderId="11" xfId="0" applyFill="1" applyBorder="1"/>
    <xf numFmtId="165" fontId="0" fillId="0" borderId="37" xfId="6" applyFont="1" applyBorder="1" applyAlignment="1">
      <alignment horizontal="center"/>
    </xf>
    <xf numFmtId="173" fontId="0" fillId="14" borderId="20" xfId="0" applyNumberFormat="1" applyFill="1" applyBorder="1" applyAlignment="1">
      <alignment horizontal="center"/>
    </xf>
    <xf numFmtId="1" fontId="0" fillId="14" borderId="71" xfId="0" applyNumberFormat="1" applyFill="1" applyBorder="1" applyAlignment="1">
      <alignment horizontal="center"/>
    </xf>
    <xf numFmtId="0" fontId="0" fillId="0" borderId="61" xfId="0" applyBorder="1"/>
    <xf numFmtId="0" fontId="0" fillId="0" borderId="33" xfId="0" applyBorder="1"/>
    <xf numFmtId="174" fontId="11" fillId="8" borderId="6" xfId="0" applyNumberFormat="1" applyFont="1" applyFill="1" applyBorder="1"/>
    <xf numFmtId="0" fontId="11" fillId="6" borderId="15" xfId="0" applyFont="1" applyFill="1" applyBorder="1" applyAlignment="1">
      <alignment horizontal="center"/>
    </xf>
    <xf numFmtId="165" fontId="0" fillId="6" borderId="57" xfId="0" applyNumberFormat="1" applyFill="1" applyBorder="1"/>
    <xf numFmtId="165" fontId="0" fillId="6" borderId="58" xfId="0" applyNumberFormat="1" applyFill="1" applyBorder="1"/>
    <xf numFmtId="165" fontId="0" fillId="6" borderId="59" xfId="0" applyNumberFormat="1" applyFill="1" applyBorder="1"/>
    <xf numFmtId="165" fontId="0" fillId="6" borderId="53" xfId="0" applyNumberFormat="1" applyFill="1" applyBorder="1"/>
    <xf numFmtId="165" fontId="0" fillId="6" borderId="68" xfId="0" applyNumberFormat="1" applyFill="1" applyBorder="1"/>
    <xf numFmtId="174" fontId="0" fillId="6" borderId="73" xfId="0" applyNumberFormat="1" applyFill="1" applyBorder="1"/>
    <xf numFmtId="174" fontId="0" fillId="6" borderId="37" xfId="0" applyNumberFormat="1" applyFill="1" applyBorder="1"/>
    <xf numFmtId="1" fontId="0" fillId="0" borderId="31" xfId="0" applyNumberFormat="1" applyBorder="1" applyAlignment="1">
      <alignment horizontal="center"/>
    </xf>
    <xf numFmtId="1" fontId="0" fillId="0" borderId="36" xfId="0" applyNumberFormat="1" applyBorder="1" applyAlignment="1">
      <alignment horizontal="center"/>
    </xf>
    <xf numFmtId="1" fontId="0" fillId="0" borderId="21" xfId="0" applyNumberFormat="1" applyBorder="1" applyAlignment="1">
      <alignment horizontal="center"/>
    </xf>
    <xf numFmtId="1" fontId="0" fillId="14" borderId="36" xfId="0" applyNumberFormat="1" applyFill="1" applyBorder="1" applyAlignment="1">
      <alignment horizontal="center"/>
    </xf>
    <xf numFmtId="1" fontId="0" fillId="14" borderId="21" xfId="0" applyNumberFormat="1" applyFill="1" applyBorder="1" applyAlignment="1">
      <alignment horizontal="center"/>
    </xf>
    <xf numFmtId="1" fontId="0" fillId="14" borderId="11" xfId="0" applyNumberFormat="1" applyFill="1" applyBorder="1"/>
    <xf numFmtId="1" fontId="0" fillId="0" borderId="74" xfId="0" applyNumberFormat="1" applyBorder="1" applyAlignment="1">
      <alignment horizontal="center"/>
    </xf>
    <xf numFmtId="1" fontId="0" fillId="0" borderId="37" xfId="0" applyNumberFormat="1" applyBorder="1" applyAlignment="1">
      <alignment horizontal="center"/>
    </xf>
    <xf numFmtId="165" fontId="0" fillId="0" borderId="73" xfId="6" applyFont="1" applyBorder="1" applyAlignment="1">
      <alignment horizontal="center"/>
    </xf>
    <xf numFmtId="165" fontId="0" fillId="6" borderId="6" xfId="0" applyNumberFormat="1" applyFill="1" applyBorder="1"/>
    <xf numFmtId="0" fontId="11" fillId="5" borderId="15" xfId="0" applyFont="1" applyFill="1" applyBorder="1" applyAlignment="1">
      <alignment horizontal="center" vertical="center" wrapText="1"/>
    </xf>
    <xf numFmtId="0" fontId="0" fillId="0" borderId="42" xfId="0" applyBorder="1" applyAlignment="1">
      <alignment horizontal="left" vertical="center"/>
    </xf>
    <xf numFmtId="173" fontId="0" fillId="0" borderId="38" xfId="0" applyNumberFormat="1" applyBorder="1" applyAlignment="1">
      <alignment horizontal="center"/>
    </xf>
    <xf numFmtId="0" fontId="12" fillId="6" borderId="3" xfId="0" applyFont="1" applyFill="1" applyBorder="1" applyAlignment="1">
      <alignment horizontal="center" vertical="center" wrapText="1"/>
    </xf>
    <xf numFmtId="10" fontId="12" fillId="6" borderId="63" xfId="0" applyNumberFormat="1" applyFont="1" applyFill="1" applyBorder="1" applyAlignment="1">
      <alignment horizontal="center" vertical="center"/>
    </xf>
    <xf numFmtId="9" fontId="12" fillId="6" borderId="63" xfId="0" applyNumberFormat="1"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vertical="center"/>
    </xf>
    <xf numFmtId="0" fontId="0" fillId="2" borderId="31" xfId="0" applyFill="1" applyBorder="1"/>
    <xf numFmtId="0" fontId="0" fillId="2" borderId="36" xfId="0" applyFill="1" applyBorder="1"/>
    <xf numFmtId="0" fontId="12" fillId="6" borderId="66" xfId="0" applyFont="1" applyFill="1" applyBorder="1" applyAlignment="1">
      <alignment horizontal="center" vertical="center"/>
    </xf>
    <xf numFmtId="10" fontId="12" fillId="6" borderId="69" xfId="0" applyNumberFormat="1" applyFont="1" applyFill="1" applyBorder="1" applyAlignment="1">
      <alignment horizontal="center" vertical="center"/>
    </xf>
    <xf numFmtId="165" fontId="0" fillId="0" borderId="20" xfId="6" applyFont="1" applyBorder="1" applyAlignment="1">
      <alignment horizontal="left" vertical="center"/>
    </xf>
    <xf numFmtId="165" fontId="0" fillId="2" borderId="47" xfId="6" applyFont="1" applyFill="1" applyBorder="1"/>
    <xf numFmtId="165" fontId="0" fillId="2" borderId="43" xfId="6" applyFont="1" applyFill="1" applyBorder="1"/>
    <xf numFmtId="165" fontId="0" fillId="2" borderId="44" xfId="6" applyFont="1" applyFill="1" applyBorder="1"/>
    <xf numFmtId="165" fontId="11" fillId="6" borderId="53" xfId="6" applyFont="1" applyFill="1" applyBorder="1"/>
    <xf numFmtId="165" fontId="11" fillId="6" borderId="57" xfId="6" applyFont="1" applyFill="1" applyBorder="1"/>
    <xf numFmtId="165" fontId="11" fillId="6" borderId="58" xfId="6" applyFont="1" applyFill="1" applyBorder="1"/>
    <xf numFmtId="165" fontId="11" fillId="6" borderId="59" xfId="6" applyFont="1" applyFill="1" applyBorder="1"/>
    <xf numFmtId="0" fontId="12" fillId="6" borderId="27" xfId="0" applyFont="1" applyFill="1" applyBorder="1" applyAlignment="1">
      <alignment horizontal="center" vertical="center" wrapText="1"/>
    </xf>
    <xf numFmtId="9" fontId="12" fillId="6" borderId="29" xfId="0" applyNumberFormat="1" applyFont="1" applyFill="1" applyBorder="1" applyAlignment="1">
      <alignment horizontal="center" vertical="center"/>
    </xf>
    <xf numFmtId="165" fontId="0" fillId="0" borderId="53" xfId="6" applyFont="1" applyBorder="1" applyAlignment="1">
      <alignment horizontal="center"/>
    </xf>
    <xf numFmtId="165" fontId="0" fillId="0" borderId="57" xfId="6" applyFont="1" applyBorder="1" applyAlignment="1">
      <alignment horizontal="center"/>
    </xf>
    <xf numFmtId="165" fontId="0" fillId="0" borderId="58" xfId="6" applyFont="1" applyBorder="1" applyAlignment="1">
      <alignment horizontal="center"/>
    </xf>
    <xf numFmtId="165" fontId="0" fillId="0" borderId="59" xfId="6" applyFont="1" applyBorder="1" applyAlignment="1">
      <alignment horizontal="center"/>
    </xf>
    <xf numFmtId="165" fontId="0" fillId="2" borderId="34" xfId="6" applyFont="1" applyFill="1" applyBorder="1"/>
    <xf numFmtId="0" fontId="12" fillId="6" borderId="1" xfId="0" applyFont="1" applyFill="1" applyBorder="1" applyAlignment="1">
      <alignment horizontal="center" vertical="center"/>
    </xf>
    <xf numFmtId="173" fontId="11" fillId="6" borderId="1" xfId="0" applyNumberFormat="1" applyFont="1" applyFill="1" applyBorder="1" applyAlignment="1">
      <alignment horizontal="center"/>
    </xf>
    <xf numFmtId="0" fontId="11" fillId="8" borderId="1" xfId="0" applyFont="1" applyFill="1" applyBorder="1" applyAlignment="1">
      <alignment horizontal="center"/>
    </xf>
    <xf numFmtId="171" fontId="0" fillId="2" borderId="1" xfId="0" applyNumberFormat="1" applyFont="1" applyFill="1" applyBorder="1" applyAlignment="1">
      <alignment horizontal="right"/>
    </xf>
    <xf numFmtId="0" fontId="11" fillId="6" borderId="1" xfId="0" applyFont="1" applyFill="1" applyBorder="1" applyAlignment="1">
      <alignment horizontal="left"/>
    </xf>
    <xf numFmtId="171" fontId="11" fillId="8"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5" xfId="0" applyNumberFormat="1" applyBorder="1" applyAlignment="1">
      <alignment horizontal="center"/>
    </xf>
    <xf numFmtId="171" fontId="0" fillId="0" borderId="36" xfId="0" applyNumberFormat="1" applyBorder="1" applyAlignment="1">
      <alignment horizontal="center"/>
    </xf>
    <xf numFmtId="171" fontId="0" fillId="0" borderId="44" xfId="0" applyNumberFormat="1" applyBorder="1" applyAlignment="1">
      <alignment horizontal="center"/>
    </xf>
    <xf numFmtId="0" fontId="11" fillId="6" borderId="61" xfId="0" applyFont="1" applyFill="1" applyBorder="1" applyAlignment="1">
      <alignment horizontal="center"/>
    </xf>
    <xf numFmtId="0" fontId="11" fillId="6" borderId="3" xfId="0" applyFont="1" applyFill="1" applyBorder="1" applyAlignment="1">
      <alignment horizontal="center"/>
    </xf>
    <xf numFmtId="0" fontId="11" fillId="6" borderId="62" xfId="0" applyFont="1" applyFill="1" applyBorder="1" applyAlignment="1">
      <alignment horizontal="center"/>
    </xf>
    <xf numFmtId="171" fontId="0" fillId="0" borderId="3" xfId="0" applyNumberFormat="1" applyBorder="1" applyAlignment="1">
      <alignment horizontal="center"/>
    </xf>
    <xf numFmtId="0" fontId="0" fillId="0" borderId="33" xfId="0" applyBorder="1" applyAlignment="1">
      <alignment vertical="center"/>
    </xf>
    <xf numFmtId="171" fontId="0" fillId="6" borderId="43" xfId="0" applyNumberFormat="1" applyFill="1" applyBorder="1"/>
    <xf numFmtId="0" fontId="0" fillId="2" borderId="33" xfId="0" applyFill="1" applyBorder="1"/>
    <xf numFmtId="0" fontId="12" fillId="6" borderId="35" xfId="0" applyFont="1" applyFill="1" applyBorder="1" applyAlignment="1">
      <alignment horizontal="center" vertical="center"/>
    </xf>
    <xf numFmtId="0" fontId="11" fillId="6" borderId="36" xfId="0" applyFont="1" applyFill="1" applyBorder="1" applyAlignment="1">
      <alignment horizontal="center"/>
    </xf>
    <xf numFmtId="173" fontId="11" fillId="6" borderId="36" xfId="0" applyNumberFormat="1" applyFont="1" applyFill="1" applyBorder="1" applyAlignment="1">
      <alignment horizontal="center"/>
    </xf>
    <xf numFmtId="171" fontId="11" fillId="8" borderId="44" xfId="0" applyNumberFormat="1" applyFont="1" applyFill="1" applyBorder="1"/>
    <xf numFmtId="0" fontId="12" fillId="6" borderId="33" xfId="0" applyFont="1" applyFill="1" applyBorder="1" applyAlignment="1">
      <alignment horizontal="center" vertical="center"/>
    </xf>
    <xf numFmtId="171" fontId="11" fillId="8" borderId="43"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3" fillId="2" borderId="43" xfId="1" applyFill="1" applyBorder="1"/>
    <xf numFmtId="0" fontId="3" fillId="0" borderId="43" xfId="1" applyBorder="1"/>
    <xf numFmtId="0" fontId="0" fillId="0" borderId="35" xfId="0" applyBorder="1" applyAlignment="1">
      <alignment vertical="center"/>
    </xf>
    <xf numFmtId="0" fontId="0" fillId="0" borderId="36" xfId="0" applyBorder="1" applyAlignment="1">
      <alignment horizontal="center"/>
    </xf>
    <xf numFmtId="0" fontId="0" fillId="2" borderId="44" xfId="0" applyFill="1" applyBorder="1"/>
    <xf numFmtId="171" fontId="11" fillId="8" borderId="53" xfId="0" applyNumberFormat="1" applyFont="1" applyFill="1" applyBorder="1" applyAlignment="1">
      <alignment horizontal="center"/>
    </xf>
    <xf numFmtId="171" fontId="0" fillId="0" borderId="63" xfId="0" applyNumberFormat="1" applyBorder="1" applyAlignment="1">
      <alignment horizontal="center"/>
    </xf>
    <xf numFmtId="0" fontId="12" fillId="6" borderId="61" xfId="0" applyFont="1" applyFill="1" applyBorder="1" applyAlignment="1">
      <alignment horizontal="center"/>
    </xf>
    <xf numFmtId="0" fontId="12" fillId="6" borderId="3" xfId="0" applyFont="1" applyFill="1" applyBorder="1" applyAlignment="1">
      <alignment horizontal="center"/>
    </xf>
    <xf numFmtId="0" fontId="12" fillId="6" borderId="62" xfId="0" applyFont="1" applyFill="1" applyBorder="1" applyAlignment="1">
      <alignment horizontal="center"/>
    </xf>
    <xf numFmtId="171" fontId="11" fillId="8" borderId="6" xfId="0" applyNumberFormat="1" applyFont="1" applyFill="1" applyBorder="1" applyAlignment="1">
      <alignment horizontal="center"/>
    </xf>
    <xf numFmtId="0" fontId="14" fillId="0" borderId="0" xfId="0" applyFont="1" applyFill="1" applyBorder="1" applyAlignment="1"/>
    <xf numFmtId="171" fontId="0" fillId="0" borderId="43" xfId="0" applyNumberFormat="1" applyBorder="1" applyAlignment="1">
      <alignment horizontal="center"/>
    </xf>
    <xf numFmtId="171" fontId="0" fillId="0" borderId="34" xfId="0" applyNumberFormat="1" applyBorder="1" applyAlignment="1">
      <alignment horizontal="center"/>
    </xf>
    <xf numFmtId="0" fontId="0" fillId="0" borderId="1" xfId="0" applyBorder="1" applyAlignment="1">
      <alignment horizontal="center" vertical="center"/>
    </xf>
    <xf numFmtId="0" fontId="0" fillId="0" borderId="66" xfId="0" applyBorder="1" applyAlignment="1">
      <alignment horizontal="center"/>
    </xf>
    <xf numFmtId="0" fontId="0" fillId="0" borderId="2" xfId="0" applyBorder="1" applyAlignment="1">
      <alignment vertical="center"/>
    </xf>
    <xf numFmtId="171" fontId="0" fillId="15" borderId="1" xfId="0" applyNumberFormat="1" applyFill="1" applyBorder="1" applyAlignment="1">
      <alignment horizontal="center"/>
    </xf>
    <xf numFmtId="171" fontId="0" fillId="8" borderId="1" xfId="0" applyNumberFormat="1" applyFill="1" applyBorder="1" applyAlignment="1">
      <alignment horizontal="center"/>
    </xf>
    <xf numFmtId="171" fontId="0" fillId="8" borderId="1" xfId="0" applyNumberFormat="1" applyFill="1" applyBorder="1"/>
    <xf numFmtId="171" fontId="0" fillId="15"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1" fontId="0" fillId="8" borderId="33" xfId="0" applyNumberFormat="1" applyFill="1" applyBorder="1" applyAlignment="1">
      <alignment horizontal="center"/>
    </xf>
    <xf numFmtId="171" fontId="0" fillId="15" borderId="43" xfId="0" applyNumberFormat="1" applyFill="1" applyBorder="1" applyAlignment="1">
      <alignment horizontal="center"/>
    </xf>
    <xf numFmtId="171" fontId="0" fillId="15" borderId="33" xfId="0" applyNumberFormat="1" applyFill="1" applyBorder="1" applyAlignment="1">
      <alignment horizontal="center"/>
    </xf>
    <xf numFmtId="171" fontId="0" fillId="8" borderId="43" xfId="0" applyNumberFormat="1" applyFill="1" applyBorder="1" applyAlignment="1">
      <alignment horizontal="center"/>
    </xf>
    <xf numFmtId="171" fontId="0" fillId="15" borderId="35" xfId="0" applyNumberFormat="1" applyFill="1" applyBorder="1" applyAlignment="1">
      <alignment horizontal="center"/>
    </xf>
    <xf numFmtId="171" fontId="0" fillId="15" borderId="36" xfId="0" applyNumberFormat="1" applyFill="1" applyBorder="1" applyAlignment="1">
      <alignment horizontal="center"/>
    </xf>
    <xf numFmtId="171" fontId="0" fillId="8" borderId="44" xfId="0" applyNumberFormat="1" applyFill="1" applyBorder="1" applyAlignment="1">
      <alignment horizontal="center"/>
    </xf>
    <xf numFmtId="171" fontId="0" fillId="8" borderId="33" xfId="0" applyNumberFormat="1" applyFill="1" applyBorder="1"/>
    <xf numFmtId="171" fontId="0" fillId="8" borderId="43" xfId="0" applyNumberFormat="1" applyFill="1" applyBorder="1"/>
    <xf numFmtId="171" fontId="0" fillId="15" borderId="33" xfId="0" applyNumberFormat="1" applyFill="1" applyBorder="1"/>
    <xf numFmtId="171" fontId="0" fillId="15" borderId="43" xfId="0" applyNumberFormat="1" applyFill="1" applyBorder="1"/>
    <xf numFmtId="171" fontId="0" fillId="15" borderId="35" xfId="0" applyNumberFormat="1" applyFill="1" applyBorder="1"/>
    <xf numFmtId="171" fontId="0" fillId="15" borderId="36" xfId="0" applyNumberFormat="1" applyFill="1" applyBorder="1"/>
    <xf numFmtId="171" fontId="0" fillId="15" borderId="44" xfId="0" applyNumberFormat="1" applyFill="1" applyBorder="1"/>
    <xf numFmtId="171" fontId="12" fillId="8" borderId="21" xfId="0" applyNumberFormat="1" applyFont="1" applyFill="1" applyBorder="1"/>
    <xf numFmtId="171" fontId="12" fillId="8" borderId="20" xfId="0" applyNumberFormat="1" applyFont="1" applyFill="1" applyBorder="1"/>
    <xf numFmtId="0" fontId="0" fillId="0" borderId="23" xfId="0" applyBorder="1" applyAlignment="1">
      <alignment vertical="center"/>
    </xf>
    <xf numFmtId="0" fontId="0" fillId="0" borderId="31" xfId="0" applyBorder="1" applyAlignment="1">
      <alignment horizontal="center"/>
    </xf>
    <xf numFmtId="171" fontId="0" fillId="0" borderId="31" xfId="0" applyNumberFormat="1" applyBorder="1" applyAlignment="1">
      <alignment horizontal="center"/>
    </xf>
    <xf numFmtId="0" fontId="0" fillId="0" borderId="22" xfId="0" applyBorder="1" applyAlignment="1">
      <alignment horizontal="center"/>
    </xf>
    <xf numFmtId="171" fontId="0" fillId="8" borderId="30" xfId="0" applyNumberFormat="1" applyFill="1" applyBorder="1" applyAlignment="1">
      <alignment horizontal="center"/>
    </xf>
    <xf numFmtId="171" fontId="0" fillId="15" borderId="31" xfId="0" applyNumberFormat="1" applyFill="1" applyBorder="1" applyAlignment="1">
      <alignment horizontal="center"/>
    </xf>
    <xf numFmtId="171" fontId="0" fillId="15" borderId="47" xfId="0" applyNumberFormat="1" applyFill="1" applyBorder="1" applyAlignment="1">
      <alignment horizontal="center"/>
    </xf>
    <xf numFmtId="171" fontId="0" fillId="8" borderId="30" xfId="0" applyNumberFormat="1" applyFill="1" applyBorder="1"/>
    <xf numFmtId="171" fontId="0" fillId="8" borderId="47" xfId="0" applyNumberFormat="1" applyFill="1" applyBorder="1"/>
    <xf numFmtId="0" fontId="0" fillId="0" borderId="54" xfId="0" applyBorder="1" applyAlignment="1">
      <alignment vertical="center"/>
    </xf>
    <xf numFmtId="0" fontId="0" fillId="0" borderId="39" xfId="0" applyBorder="1" applyAlignment="1">
      <alignment horizontal="center"/>
    </xf>
    <xf numFmtId="171" fontId="0" fillId="8" borderId="31" xfId="0" applyNumberFormat="1" applyFill="1" applyBorder="1"/>
    <xf numFmtId="171" fontId="0" fillId="8" borderId="36" xfId="0" applyNumberFormat="1" applyFill="1" applyBorder="1" applyAlignment="1">
      <alignment horizontal="center"/>
    </xf>
    <xf numFmtId="171" fontId="0" fillId="15" borderId="44" xfId="0" applyNumberFormat="1" applyFill="1" applyBorder="1" applyAlignment="1">
      <alignment horizontal="center"/>
    </xf>
    <xf numFmtId="171" fontId="0" fillId="8" borderId="44" xfId="0" applyNumberFormat="1" applyFill="1" applyBorder="1"/>
    <xf numFmtId="0" fontId="0" fillId="0" borderId="73" xfId="0" applyBorder="1" applyAlignment="1">
      <alignment horizontal="center"/>
    </xf>
    <xf numFmtId="0" fontId="11" fillId="6" borderId="35" xfId="0" applyFont="1" applyFill="1" applyBorder="1" applyAlignment="1">
      <alignment horizontal="center" vertical="center"/>
    </xf>
    <xf numFmtId="0" fontId="11" fillId="6" borderId="36" xfId="0" applyFont="1" applyFill="1" applyBorder="1" applyAlignment="1">
      <alignment horizontal="center" vertical="center"/>
    </xf>
    <xf numFmtId="0" fontId="11" fillId="6" borderId="44" xfId="0" applyFont="1" applyFill="1" applyBorder="1" applyAlignment="1">
      <alignment horizontal="center" vertical="center"/>
    </xf>
    <xf numFmtId="171" fontId="12" fillId="8" borderId="71" xfId="0" applyNumberFormat="1" applyFont="1" applyFill="1" applyBorder="1"/>
    <xf numFmtId="0" fontId="0" fillId="0" borderId="2" xfId="0" applyBorder="1" applyAlignment="1">
      <alignment horizontal="center"/>
    </xf>
    <xf numFmtId="0" fontId="0" fillId="0" borderId="43" xfId="0" applyBorder="1"/>
    <xf numFmtId="171" fontId="0" fillId="0" borderId="62" xfId="0" applyNumberFormat="1" applyBorder="1" applyAlignment="1">
      <alignment horizontal="center"/>
    </xf>
    <xf numFmtId="0" fontId="11" fillId="6" borderId="71" xfId="0" applyFont="1" applyFill="1" applyBorder="1" applyAlignment="1">
      <alignment horizontal="center"/>
    </xf>
    <xf numFmtId="0" fontId="11" fillId="6" borderId="21" xfId="0" applyFont="1" applyFill="1" applyBorder="1" applyAlignment="1">
      <alignment horizontal="center"/>
    </xf>
    <xf numFmtId="0" fontId="11" fillId="6" borderId="20" xfId="0" applyFont="1" applyFill="1" applyBorder="1" applyAlignment="1">
      <alignment horizontal="center"/>
    </xf>
    <xf numFmtId="0" fontId="0" fillId="0" borderId="34" xfId="0" applyBorder="1"/>
    <xf numFmtId="0" fontId="0" fillId="0" borderId="69" xfId="0" applyBorder="1" applyAlignment="1">
      <alignment horizontal="center"/>
    </xf>
    <xf numFmtId="0" fontId="0" fillId="8" borderId="71" xfId="0" applyFill="1" applyBorder="1" applyAlignment="1">
      <alignment horizontal="center"/>
    </xf>
    <xf numFmtId="171" fontId="0" fillId="8" borderId="21" xfId="0" applyNumberFormat="1" applyFill="1" applyBorder="1" applyAlignment="1">
      <alignment horizontal="center"/>
    </xf>
    <xf numFmtId="171" fontId="0" fillId="8" borderId="20" xfId="0" applyNumberFormat="1" applyFill="1" applyBorder="1" applyAlignment="1">
      <alignment horizontal="center"/>
    </xf>
    <xf numFmtId="171" fontId="0" fillId="0" borderId="75" xfId="0" applyNumberFormat="1" applyBorder="1" applyAlignment="1">
      <alignment horizontal="center"/>
    </xf>
    <xf numFmtId="171" fontId="0" fillId="0" borderId="26" xfId="0" applyNumberFormat="1" applyBorder="1" applyAlignment="1">
      <alignment horizontal="center"/>
    </xf>
    <xf numFmtId="171" fontId="0" fillId="0" borderId="46" xfId="0" applyNumberFormat="1" applyBorder="1" applyAlignment="1">
      <alignment horizontal="center"/>
    </xf>
    <xf numFmtId="165" fontId="0" fillId="2" borderId="0" xfId="6" applyFont="1" applyFill="1"/>
    <xf numFmtId="164" fontId="0" fillId="2" borderId="0" xfId="0" applyNumberFormat="1" applyFill="1"/>
    <xf numFmtId="171" fontId="11" fillId="8" borderId="30" xfId="0" applyNumberFormat="1" applyFont="1" applyFill="1" applyBorder="1"/>
    <xf numFmtId="171" fontId="11" fillId="8" borderId="33" xfId="0" applyNumberFormat="1" applyFont="1" applyFill="1" applyBorder="1"/>
    <xf numFmtId="175" fontId="11" fillId="12" borderId="43" xfId="0" applyNumberFormat="1" applyFont="1" applyFill="1" applyBorder="1" applyAlignment="1">
      <alignment horizontal="center"/>
    </xf>
    <xf numFmtId="171" fontId="11" fillId="8" borderId="35" xfId="0" applyNumberFormat="1" applyFont="1" applyFill="1" applyBorder="1"/>
    <xf numFmtId="171" fontId="0" fillId="8" borderId="71" xfId="0" applyNumberFormat="1" applyFill="1" applyBorder="1" applyAlignment="1">
      <alignment horizontal="center"/>
    </xf>
    <xf numFmtId="165" fontId="11"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2" fillId="2" borderId="3" xfId="0" applyFont="1" applyFill="1" applyBorder="1" applyAlignment="1">
      <alignment horizontal="center"/>
    </xf>
    <xf numFmtId="0" fontId="0" fillId="2" borderId="3" xfId="0" applyFont="1" applyFill="1" applyBorder="1" applyAlignment="1">
      <alignment horizontal="center" vertical="center"/>
    </xf>
    <xf numFmtId="0" fontId="0" fillId="8" borderId="24" xfId="0" applyFill="1" applyBorder="1"/>
    <xf numFmtId="0" fontId="0" fillId="8" borderId="2" xfId="0" applyFill="1" applyBorder="1"/>
    <xf numFmtId="0" fontId="26" fillId="5" borderId="25" xfId="0" applyFont="1" applyFill="1" applyBorder="1" applyAlignment="1">
      <alignment vertical="center"/>
    </xf>
    <xf numFmtId="0" fontId="26" fillId="5" borderId="2" xfId="0" applyFont="1" applyFill="1" applyBorder="1" applyAlignment="1">
      <alignment vertical="center"/>
    </xf>
    <xf numFmtId="10" fontId="0" fillId="2" borderId="1" xfId="0" applyNumberFormat="1" applyFill="1" applyBorder="1" applyAlignment="1">
      <alignment horizontal="center"/>
    </xf>
    <xf numFmtId="171" fontId="0" fillId="2" borderId="1" xfId="0" applyNumberFormat="1" applyFill="1" applyBorder="1" applyAlignment="1">
      <alignment horizontal="center"/>
    </xf>
    <xf numFmtId="9" fontId="0" fillId="2" borderId="1" xfId="0" applyNumberFormat="1" applyFill="1" applyBorder="1" applyAlignment="1">
      <alignment horizontal="center"/>
    </xf>
    <xf numFmtId="175" fontId="0" fillId="2" borderId="1" xfId="0" applyNumberFormat="1" applyFill="1" applyBorder="1" applyAlignment="1">
      <alignment horizontal="center"/>
    </xf>
    <xf numFmtId="167" fontId="0" fillId="2" borderId="1" xfId="0" applyNumberFormat="1" applyFill="1" applyBorder="1" applyAlignment="1">
      <alignment horizontal="center"/>
    </xf>
    <xf numFmtId="0" fontId="0" fillId="2" borderId="3" xfId="0" applyFill="1" applyBorder="1" applyAlignment="1">
      <alignment horizontal="center"/>
    </xf>
    <xf numFmtId="0" fontId="11" fillId="5" borderId="24" xfId="0" applyFont="1" applyFill="1" applyBorder="1" applyAlignment="1">
      <alignment horizontal="center" vertical="center" wrapText="1"/>
    </xf>
    <xf numFmtId="171" fontId="0" fillId="5" borderId="1" xfId="0" applyNumberFormat="1" applyFill="1" applyBorder="1"/>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8" borderId="1" xfId="0" applyFill="1" applyBorder="1" applyAlignment="1">
      <alignment horizontal="center" vertical="center"/>
    </xf>
    <xf numFmtId="171" fontId="0" fillId="8" borderId="1" xfId="0" applyNumberFormat="1" applyFill="1" applyBorder="1" applyAlignment="1">
      <alignment horizontal="center" vertical="center"/>
    </xf>
    <xf numFmtId="0" fontId="11" fillId="5" borderId="24" xfId="0" applyFont="1" applyFill="1" applyBorder="1"/>
    <xf numFmtId="0" fontId="11" fillId="5" borderId="2" xfId="0" applyFont="1" applyFill="1" applyBorder="1"/>
    <xf numFmtId="0" fontId="22" fillId="5" borderId="24" xfId="0" applyFont="1" applyFill="1" applyBorder="1" applyAlignment="1">
      <alignment vertical="center"/>
    </xf>
    <xf numFmtId="171" fontId="0" fillId="5" borderId="1" xfId="0" applyNumberFormat="1" applyFont="1" applyFill="1" applyBorder="1" applyAlignment="1">
      <alignment horizontal="center"/>
    </xf>
    <xf numFmtId="0" fontId="0" fillId="2" borderId="0" xfId="0" applyFill="1" applyBorder="1" applyAlignment="1">
      <alignment horizontal="center"/>
    </xf>
    <xf numFmtId="171" fontId="0" fillId="2" borderId="33" xfId="0" applyNumberFormat="1" applyFont="1" applyFill="1" applyBorder="1" applyAlignment="1">
      <alignment horizontal="center"/>
    </xf>
    <xf numFmtId="171" fontId="0" fillId="2" borderId="43" xfId="0" applyNumberFormat="1" applyFont="1" applyFill="1" applyBorder="1" applyAlignment="1">
      <alignment horizontal="center"/>
    </xf>
    <xf numFmtId="0" fontId="0" fillId="2" borderId="6" xfId="0" applyFill="1" applyBorder="1" applyAlignment="1">
      <alignment horizontal="left" vertical="center" wrapText="1"/>
    </xf>
    <xf numFmtId="0" fontId="15" fillId="2" borderId="0" xfId="0" applyFont="1" applyFill="1" applyAlignment="1">
      <alignment horizontal="center" vertical="center"/>
    </xf>
    <xf numFmtId="0" fontId="16"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1" fontId="11" fillId="16" borderId="1" xfId="0" applyNumberFormat="1" applyFont="1" applyFill="1" applyBorder="1" applyAlignment="1">
      <alignment horizontal="center" vertical="center"/>
    </xf>
    <xf numFmtId="171" fontId="11" fillId="5" borderId="1" xfId="0" applyNumberFormat="1" applyFont="1" applyFill="1" applyBorder="1" applyAlignment="1">
      <alignment horizontal="right"/>
    </xf>
    <xf numFmtId="9" fontId="11" fillId="2" borderId="1" xfId="0" applyNumberFormat="1" applyFont="1" applyFill="1" applyBorder="1" applyAlignment="1">
      <alignment horizontal="center"/>
    </xf>
    <xf numFmtId="175" fontId="11" fillId="2" borderId="1" xfId="0" applyNumberFormat="1" applyFont="1" applyFill="1" applyBorder="1" applyAlignment="1">
      <alignment horizontal="center"/>
    </xf>
    <xf numFmtId="167" fontId="11"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6" xfId="0" applyFill="1" applyBorder="1" applyAlignment="1">
      <alignment horizontal="left" vertical="center" wrapText="1"/>
    </xf>
    <xf numFmtId="0" fontId="0" fillId="2" borderId="3" xfId="0" applyFill="1" applyBorder="1" applyAlignment="1">
      <alignment horizontal="center" vertical="center"/>
    </xf>
    <xf numFmtId="0" fontId="0" fillId="2" borderId="62" xfId="0" applyFill="1" applyBorder="1" applyAlignment="1">
      <alignment horizontal="center" vertical="center"/>
    </xf>
    <xf numFmtId="0" fontId="11" fillId="5" borderId="35" xfId="0" applyFont="1" applyFill="1" applyBorder="1" applyAlignment="1">
      <alignment horizontal="center"/>
    </xf>
    <xf numFmtId="0" fontId="11" fillId="5" borderId="36" xfId="0" applyFont="1" applyFill="1" applyBorder="1" applyAlignment="1">
      <alignment horizontal="center" vertical="center" wrapText="1"/>
    </xf>
    <xf numFmtId="0" fontId="11" fillId="5" borderId="36" xfId="0" applyFont="1" applyFill="1" applyBorder="1" applyAlignment="1">
      <alignment horizontal="center"/>
    </xf>
    <xf numFmtId="0" fontId="11" fillId="5" borderId="44" xfId="0" applyFont="1" applyFill="1" applyBorder="1" applyAlignment="1">
      <alignment horizontal="center"/>
    </xf>
    <xf numFmtId="0" fontId="0" fillId="2" borderId="66" xfId="0" applyFill="1" applyBorder="1" applyAlignment="1">
      <alignment horizontal="left" vertical="center" wrapText="1"/>
    </xf>
    <xf numFmtId="0" fontId="0" fillId="2" borderId="2" xfId="0" applyFill="1" applyBorder="1" applyAlignment="1">
      <alignment horizontal="left" vertical="center" wrapText="1"/>
    </xf>
    <xf numFmtId="0" fontId="0" fillId="2" borderId="54" xfId="0" applyFill="1" applyBorder="1" applyAlignment="1">
      <alignment horizontal="left" vertical="center" wrapText="1"/>
    </xf>
    <xf numFmtId="0" fontId="11" fillId="5" borderId="57" xfId="0" applyFont="1" applyFill="1" applyBorder="1" applyAlignment="1">
      <alignment horizontal="center" vertical="center"/>
    </xf>
    <xf numFmtId="0" fontId="11" fillId="5" borderId="58" xfId="0" applyFont="1" applyFill="1" applyBorder="1" applyAlignment="1">
      <alignment horizontal="center" vertical="center"/>
    </xf>
    <xf numFmtId="0" fontId="11" fillId="5" borderId="59" xfId="0" applyFont="1" applyFill="1" applyBorder="1" applyAlignment="1">
      <alignment horizontal="center" vertical="center"/>
    </xf>
    <xf numFmtId="0" fontId="11" fillId="5" borderId="67" xfId="0" applyFont="1" applyFill="1" applyBorder="1" applyAlignment="1">
      <alignment horizontal="center" vertical="center"/>
    </xf>
    <xf numFmtId="0" fontId="0" fillId="2" borderId="69" xfId="0" applyFill="1" applyBorder="1" applyAlignment="1">
      <alignment horizontal="left" vertical="center" wrapText="1"/>
    </xf>
    <xf numFmtId="0" fontId="0" fillId="2" borderId="63" xfId="0" applyFill="1" applyBorder="1" applyAlignment="1">
      <alignment horizontal="left" vertical="center" wrapText="1"/>
    </xf>
    <xf numFmtId="0" fontId="0" fillId="2" borderId="63" xfId="0" applyFill="1" applyBorder="1" applyAlignment="1">
      <alignment horizontal="center" vertical="center"/>
    </xf>
    <xf numFmtId="0" fontId="0" fillId="2" borderId="34" xfId="0" applyFill="1" applyBorder="1" applyAlignment="1">
      <alignment horizontal="center" vertical="center"/>
    </xf>
    <xf numFmtId="0" fontId="11" fillId="5" borderId="68" xfId="0" applyFont="1" applyFill="1" applyBorder="1" applyAlignment="1">
      <alignment horizontal="center" vertical="center"/>
    </xf>
    <xf numFmtId="0" fontId="11" fillId="5" borderId="53" xfId="0" applyFont="1" applyFill="1" applyBorder="1" applyAlignment="1">
      <alignment horizontal="center" vertical="center"/>
    </xf>
    <xf numFmtId="0" fontId="0" fillId="5" borderId="71" xfId="0"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2" borderId="75" xfId="0" applyFill="1" applyBorder="1" applyAlignment="1">
      <alignment horizontal="left" vertical="center" wrapText="1"/>
    </xf>
    <xf numFmtId="0" fontId="0" fillId="2" borderId="26" xfId="0" applyFill="1" applyBorder="1" applyAlignment="1">
      <alignment horizontal="center" vertical="center"/>
    </xf>
    <xf numFmtId="0" fontId="0" fillId="2" borderId="46" xfId="0" applyFill="1" applyBorder="1" applyAlignment="1">
      <alignment horizontal="center" vertical="center"/>
    </xf>
    <xf numFmtId="0" fontId="0" fillId="5" borderId="19" xfId="0" applyFill="1" applyBorder="1" applyAlignment="1">
      <alignment horizontal="left" vertical="center" wrapText="1"/>
    </xf>
    <xf numFmtId="171" fontId="11" fillId="10" borderId="1" xfId="0" applyNumberFormat="1" applyFont="1" applyFill="1" applyBorder="1" applyAlignment="1">
      <alignment horizontal="center" vertical="center"/>
    </xf>
    <xf numFmtId="2" fontId="0" fillId="10" borderId="1" xfId="0" applyNumberFormat="1" applyFill="1" applyBorder="1" applyAlignment="1">
      <alignment horizontal="center"/>
    </xf>
    <xf numFmtId="0" fontId="0" fillId="2" borderId="3" xfId="0" applyFont="1" applyFill="1" applyBorder="1" applyAlignment="1">
      <alignment vertical="center"/>
    </xf>
    <xf numFmtId="171" fontId="0" fillId="5" borderId="61" xfId="0" applyNumberFormat="1" applyFill="1" applyBorder="1"/>
    <xf numFmtId="9" fontId="0" fillId="2" borderId="62" xfId="0" applyNumberFormat="1" applyFill="1" applyBorder="1" applyAlignment="1">
      <alignment horizontal="center"/>
    </xf>
    <xf numFmtId="171" fontId="0" fillId="5" borderId="33" xfId="0" applyNumberFormat="1" applyFill="1" applyBorder="1"/>
    <xf numFmtId="175" fontId="0" fillId="2" borderId="43" xfId="0" applyNumberFormat="1" applyFill="1" applyBorder="1" applyAlignment="1">
      <alignment horizontal="center"/>
    </xf>
    <xf numFmtId="171" fontId="0" fillId="5" borderId="35" xfId="0" applyNumberFormat="1" applyFill="1" applyBorder="1"/>
    <xf numFmtId="167" fontId="0" fillId="2" borderId="44"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166" fontId="0" fillId="2" borderId="0" xfId="2" applyFont="1" applyFill="1"/>
    <xf numFmtId="0" fontId="27" fillId="17" borderId="53" xfId="0" applyFont="1" applyFill="1" applyBorder="1" applyAlignment="1">
      <alignment horizontal="center"/>
    </xf>
    <xf numFmtId="171" fontId="11" fillId="18" borderId="1" xfId="0" applyNumberFormat="1" applyFont="1" applyFill="1" applyBorder="1" applyAlignment="1">
      <alignment horizontal="center" vertical="center"/>
    </xf>
    <xf numFmtId="171" fontId="11" fillId="13" borderId="1" xfId="0" applyNumberFormat="1" applyFont="1" applyFill="1" applyBorder="1" applyAlignment="1">
      <alignment horizontal="center" vertical="center"/>
    </xf>
    <xf numFmtId="171" fontId="11" fillId="17" borderId="1" xfId="0" applyNumberFormat="1" applyFont="1" applyFill="1" applyBorder="1" applyAlignment="1">
      <alignment horizontal="center" vertical="center"/>
    </xf>
    <xf numFmtId="0" fontId="0" fillId="0" borderId="0" xfId="0" applyFont="1" applyFill="1"/>
    <xf numFmtId="0" fontId="0" fillId="0" borderId="0" xfId="0" applyFill="1"/>
    <xf numFmtId="0" fontId="0" fillId="19" borderId="0" xfId="0" applyFill="1"/>
    <xf numFmtId="0" fontId="0" fillId="20" borderId="0" xfId="0" applyFill="1"/>
    <xf numFmtId="0" fontId="15" fillId="19" borderId="0" xfId="0" applyFont="1" applyFill="1" applyAlignment="1">
      <alignment vertical="center"/>
    </xf>
    <xf numFmtId="0" fontId="5" fillId="19" borderId="0" xfId="0" applyFont="1" applyFill="1" applyAlignment="1">
      <alignment vertical="center"/>
    </xf>
    <xf numFmtId="0" fontId="15" fillId="20" borderId="0" xfId="0" applyFont="1" applyFill="1" applyAlignment="1">
      <alignment vertical="center"/>
    </xf>
    <xf numFmtId="0" fontId="5" fillId="20" borderId="0" xfId="0" applyFont="1" applyFill="1" applyAlignment="1">
      <alignment vertical="center"/>
    </xf>
    <xf numFmtId="0" fontId="6" fillId="20" borderId="0" xfId="0" applyFont="1" applyFill="1" applyAlignment="1">
      <alignment vertical="center"/>
    </xf>
    <xf numFmtId="10" fontId="11" fillId="12" borderId="47" xfId="0" applyNumberFormat="1" applyFont="1" applyFill="1" applyBorder="1" applyAlignment="1">
      <alignment horizontal="center"/>
    </xf>
    <xf numFmtId="10" fontId="11" fillId="12" borderId="44" xfId="0" applyNumberFormat="1" applyFont="1" applyFill="1" applyBorder="1" applyAlignment="1">
      <alignment horizontal="center"/>
    </xf>
    <xf numFmtId="0" fontId="0" fillId="2" borderId="0" xfId="0" applyFont="1" applyFill="1" applyBorder="1" applyAlignment="1">
      <alignment horizontal="center" vertical="center"/>
    </xf>
    <xf numFmtId="0" fontId="7" fillId="2" borderId="0" xfId="0" applyFont="1" applyFill="1" applyAlignment="1">
      <alignment horizontal="left" vertical="center"/>
    </xf>
    <xf numFmtId="0" fontId="7" fillId="13" borderId="76" xfId="1" applyFont="1" applyFill="1" applyBorder="1" applyAlignment="1">
      <alignment horizontal="center" vertical="center"/>
    </xf>
    <xf numFmtId="0" fontId="7" fillId="13" borderId="77" xfId="1" applyFont="1" applyFill="1" applyBorder="1" applyAlignment="1">
      <alignment horizontal="center" vertical="center"/>
    </xf>
    <xf numFmtId="0" fontId="7" fillId="13" borderId="78" xfId="1" applyFont="1" applyFill="1" applyBorder="1" applyAlignment="1">
      <alignment horizontal="center" vertical="center"/>
    </xf>
    <xf numFmtId="0" fontId="8" fillId="13" borderId="79" xfId="0" applyFont="1" applyFill="1" applyBorder="1" applyAlignment="1">
      <alignment horizontal="center"/>
    </xf>
    <xf numFmtId="0" fontId="0" fillId="13" borderId="0" xfId="0" applyFill="1"/>
    <xf numFmtId="0" fontId="0" fillId="13" borderId="80" xfId="0" applyFill="1" applyBorder="1" applyAlignment="1">
      <alignment vertical="center"/>
    </xf>
    <xf numFmtId="0" fontId="0" fillId="13" borderId="81" xfId="0" applyFill="1" applyBorder="1" applyAlignment="1">
      <alignment vertical="center"/>
    </xf>
    <xf numFmtId="0" fontId="15" fillId="13" borderId="81" xfId="0" applyFont="1" applyFill="1" applyBorder="1" applyAlignment="1">
      <alignment horizontal="center" vertical="center"/>
    </xf>
    <xf numFmtId="0" fontId="16" fillId="13" borderId="81" xfId="0" applyFont="1" applyFill="1" applyBorder="1" applyAlignment="1">
      <alignment horizontal="center" vertical="center"/>
    </xf>
    <xf numFmtId="0" fontId="21" fillId="13" borderId="96" xfId="0" applyFont="1" applyFill="1" applyBorder="1" applyAlignment="1">
      <alignment horizontal="left" vertical="top" wrapText="1"/>
    </xf>
    <xf numFmtId="0" fontId="9" fillId="2" borderId="96" xfId="0" applyFont="1" applyFill="1" applyBorder="1" applyAlignment="1">
      <alignment horizontal="left" vertical="top" wrapText="1"/>
    </xf>
    <xf numFmtId="9" fontId="9" fillId="2" borderId="96" xfId="3" applyFont="1" applyFill="1" applyBorder="1" applyAlignment="1">
      <alignment horizontal="left" vertical="top" wrapText="1"/>
    </xf>
    <xf numFmtId="165" fontId="9" fillId="2" borderId="96" xfId="0" applyNumberFormat="1" applyFont="1" applyFill="1" applyBorder="1" applyAlignment="1">
      <alignment horizontal="left" vertical="top" wrapText="1"/>
    </xf>
    <xf numFmtId="0" fontId="12" fillId="13" borderId="96" xfId="0" applyFont="1" applyFill="1" applyBorder="1" applyAlignment="1">
      <alignment horizontal="center" vertical="center" wrapText="1"/>
    </xf>
    <xf numFmtId="169" fontId="7" fillId="2" borderId="96" xfId="2" applyNumberFormat="1" applyFont="1" applyFill="1" applyBorder="1" applyAlignment="1">
      <alignment horizontal="center" vertical="top" wrapText="1"/>
    </xf>
    <xf numFmtId="169" fontId="7" fillId="2" borderId="96" xfId="2" applyNumberFormat="1" applyFont="1" applyFill="1" applyBorder="1" applyAlignment="1">
      <alignment horizontal="left" vertical="top" wrapText="1"/>
    </xf>
    <xf numFmtId="165" fontId="21" fillId="21" borderId="96" xfId="6" applyFont="1" applyFill="1" applyBorder="1" applyAlignment="1">
      <alignment horizontal="left" vertical="top" wrapText="1"/>
    </xf>
    <xf numFmtId="0" fontId="19" fillId="22" borderId="53" xfId="0" applyFont="1" applyFill="1" applyBorder="1" applyAlignment="1">
      <alignment horizontal="center" vertical="center" wrapText="1"/>
    </xf>
    <xf numFmtId="0" fontId="9" fillId="6" borderId="33" xfId="0" applyFont="1" applyFill="1" applyBorder="1"/>
    <xf numFmtId="170" fontId="9" fillId="6" borderId="1" xfId="0" applyNumberFormat="1" applyFont="1" applyFill="1" applyBorder="1"/>
    <xf numFmtId="0" fontId="9" fillId="6" borderId="35" xfId="0" applyFont="1" applyFill="1" applyBorder="1"/>
    <xf numFmtId="170" fontId="9" fillId="6" borderId="36" xfId="0" applyNumberFormat="1" applyFont="1" applyFill="1" applyBorder="1"/>
    <xf numFmtId="0" fontId="9" fillId="12" borderId="30" xfId="0" applyFont="1" applyFill="1" applyBorder="1"/>
    <xf numFmtId="170" fontId="9" fillId="12" borderId="31" xfId="0" applyNumberFormat="1" applyFont="1" applyFill="1" applyBorder="1"/>
    <xf numFmtId="0" fontId="9" fillId="12" borderId="61" xfId="0" applyFont="1" applyFill="1" applyBorder="1"/>
    <xf numFmtId="170" fontId="9" fillId="12" borderId="1" xfId="0" applyNumberFormat="1" applyFont="1" applyFill="1" applyBorder="1"/>
    <xf numFmtId="0" fontId="9" fillId="12" borderId="42" xfId="0" applyFont="1" applyFill="1" applyBorder="1"/>
    <xf numFmtId="170" fontId="9" fillId="12" borderId="36" xfId="0" applyNumberFormat="1" applyFont="1" applyFill="1" applyBorder="1"/>
    <xf numFmtId="0" fontId="0" fillId="6" borderId="43" xfId="0" applyFont="1" applyFill="1" applyBorder="1" applyAlignment="1">
      <alignment horizontal="center"/>
    </xf>
    <xf numFmtId="0" fontId="0" fillId="12" borderId="47" xfId="0" applyFont="1" applyFill="1" applyBorder="1" applyAlignment="1">
      <alignment horizontal="center"/>
    </xf>
    <xf numFmtId="0" fontId="0" fillId="12" borderId="43" xfId="0" applyFont="1" applyFill="1" applyBorder="1" applyAlignment="1">
      <alignment horizontal="center"/>
    </xf>
    <xf numFmtId="0" fontId="0" fillId="12" borderId="44" xfId="0" applyFont="1" applyFill="1" applyBorder="1" applyAlignment="1">
      <alignment horizontal="center"/>
    </xf>
    <xf numFmtId="0" fontId="0" fillId="13" borderId="101" xfId="0" applyFill="1" applyBorder="1"/>
    <xf numFmtId="0" fontId="15" fillId="13" borderId="102" xfId="0" applyFont="1" applyFill="1" applyBorder="1" applyAlignment="1">
      <alignment vertical="center"/>
    </xf>
    <xf numFmtId="0" fontId="0" fillId="13" borderId="102" xfId="0" applyFill="1" applyBorder="1"/>
    <xf numFmtId="0" fontId="5" fillId="13" borderId="102" xfId="0" applyFont="1" applyFill="1" applyBorder="1" applyAlignment="1">
      <alignment vertical="center"/>
    </xf>
    <xf numFmtId="166" fontId="9" fillId="6" borderId="30" xfId="2" applyFont="1" applyFill="1" applyBorder="1" applyAlignment="1"/>
    <xf numFmtId="165" fontId="0" fillId="6" borderId="22" xfId="6" applyFont="1" applyFill="1" applyBorder="1"/>
    <xf numFmtId="165" fontId="0" fillId="6" borderId="24" xfId="6" applyFont="1" applyFill="1" applyBorder="1"/>
    <xf numFmtId="165" fontId="0" fillId="6" borderId="39" xfId="6" applyFont="1" applyFill="1" applyBorder="1"/>
    <xf numFmtId="165" fontId="0" fillId="6" borderId="1" xfId="6" applyFont="1" applyFill="1" applyBorder="1"/>
    <xf numFmtId="169" fontId="0" fillId="6" borderId="1" xfId="2" applyNumberFormat="1" applyFont="1" applyFill="1" applyBorder="1"/>
    <xf numFmtId="169" fontId="0" fillId="6" borderId="1" xfId="0" applyNumberFormat="1" applyFill="1" applyBorder="1"/>
    <xf numFmtId="0" fontId="0" fillId="6" borderId="1" xfId="0" applyFill="1" applyBorder="1"/>
    <xf numFmtId="165" fontId="0" fillId="6" borderId="31" xfId="6" applyFont="1" applyFill="1" applyBorder="1"/>
    <xf numFmtId="169" fontId="0" fillId="6" borderId="31" xfId="2" applyNumberFormat="1" applyFont="1" applyFill="1" applyBorder="1"/>
    <xf numFmtId="169" fontId="0" fillId="6" borderId="31" xfId="0" applyNumberFormat="1" applyFill="1" applyBorder="1"/>
    <xf numFmtId="0" fontId="0" fillId="6" borderId="31" xfId="0" applyFill="1" applyBorder="1"/>
    <xf numFmtId="166" fontId="9" fillId="6" borderId="33" xfId="2" applyFont="1" applyFill="1" applyBorder="1" applyAlignment="1"/>
    <xf numFmtId="166" fontId="9" fillId="6" borderId="35" xfId="2" applyFont="1" applyFill="1" applyBorder="1" applyAlignment="1"/>
    <xf numFmtId="165" fontId="0" fillId="6" borderId="36" xfId="6" applyFont="1" applyFill="1" applyBorder="1"/>
    <xf numFmtId="169" fontId="0" fillId="6" borderId="36" xfId="2" applyNumberFormat="1" applyFont="1" applyFill="1" applyBorder="1"/>
    <xf numFmtId="169" fontId="0" fillId="6" borderId="36" xfId="0" applyNumberFormat="1" applyFill="1" applyBorder="1"/>
    <xf numFmtId="0" fontId="0" fillId="6" borderId="36" xfId="0" applyFill="1" applyBorder="1"/>
    <xf numFmtId="0" fontId="11" fillId="13" borderId="41" xfId="0" applyFont="1" applyFill="1" applyBorder="1" applyAlignment="1">
      <alignment horizontal="center" vertical="center" wrapText="1"/>
    </xf>
    <xf numFmtId="0" fontId="11" fillId="13" borderId="34" xfId="0" applyFont="1" applyFill="1" applyBorder="1" applyAlignment="1">
      <alignment horizontal="center" vertical="center" wrapText="1"/>
    </xf>
    <xf numFmtId="0" fontId="0" fillId="21" borderId="0" xfId="0" applyFill="1"/>
    <xf numFmtId="0" fontId="22" fillId="13" borderId="53" xfId="2" applyNumberFormat="1" applyFont="1" applyFill="1" applyBorder="1" applyAlignment="1">
      <alignment horizontal="center" vertical="center"/>
    </xf>
    <xf numFmtId="9" fontId="0" fillId="2" borderId="61" xfId="0" applyNumberFormat="1" applyFont="1" applyFill="1" applyBorder="1" applyAlignment="1">
      <alignment horizontal="center" vertical="center"/>
    </xf>
    <xf numFmtId="9" fontId="0" fillId="2" borderId="3" xfId="0" applyNumberFormat="1" applyFont="1" applyFill="1" applyBorder="1" applyAlignment="1">
      <alignment horizontal="center" vertical="center"/>
    </xf>
    <xf numFmtId="9" fontId="0" fillId="2" borderId="62" xfId="0" applyNumberFormat="1" applyFont="1" applyFill="1" applyBorder="1" applyAlignment="1">
      <alignment horizontal="center" vertical="center"/>
    </xf>
    <xf numFmtId="171" fontId="0" fillId="2" borderId="35" xfId="0" applyNumberFormat="1" applyFont="1" applyFill="1" applyBorder="1" applyAlignment="1">
      <alignment horizontal="center" vertical="center"/>
    </xf>
    <xf numFmtId="171" fontId="0" fillId="2" borderId="36" xfId="0" applyNumberFormat="1" applyFont="1" applyFill="1" applyBorder="1" applyAlignment="1">
      <alignment horizontal="center" vertical="center"/>
    </xf>
    <xf numFmtId="171" fontId="0" fillId="2" borderId="44" xfId="0" applyNumberFormat="1" applyFont="1" applyFill="1" applyBorder="1" applyAlignment="1">
      <alignment horizontal="center" vertical="center"/>
    </xf>
    <xf numFmtId="0" fontId="0" fillId="21" borderId="0" xfId="0" applyFill="1" applyAlignment="1">
      <alignment wrapText="1"/>
    </xf>
    <xf numFmtId="0" fontId="15" fillId="21" borderId="0" xfId="0" applyFont="1" applyFill="1" applyAlignment="1">
      <alignment vertical="center"/>
    </xf>
    <xf numFmtId="0" fontId="11" fillId="13" borderId="64" xfId="0" applyFont="1" applyFill="1" applyBorder="1" applyAlignment="1">
      <alignment horizontal="center" vertical="center" wrapText="1"/>
    </xf>
    <xf numFmtId="0" fontId="11" fillId="13" borderId="65" xfId="0" applyFont="1" applyFill="1" applyBorder="1" applyAlignment="1">
      <alignment horizontal="center" vertical="center" wrapText="1"/>
    </xf>
    <xf numFmtId="0" fontId="11" fillId="13" borderId="55" xfId="0" applyFont="1" applyFill="1" applyBorder="1" applyAlignment="1">
      <alignment horizontal="center" vertical="center" wrapText="1"/>
    </xf>
    <xf numFmtId="0" fontId="11" fillId="13" borderId="1" xfId="0" applyFont="1" applyFill="1" applyBorder="1" applyAlignment="1">
      <alignment horizontal="center" vertical="center" wrapText="1"/>
    </xf>
    <xf numFmtId="166" fontId="9" fillId="12" borderId="30" xfId="2" applyFont="1" applyFill="1" applyBorder="1" applyAlignment="1"/>
    <xf numFmtId="165" fontId="0" fillId="12" borderId="31" xfId="6" applyFont="1" applyFill="1" applyBorder="1"/>
    <xf numFmtId="169" fontId="0" fillId="12" borderId="31" xfId="2" applyNumberFormat="1" applyFont="1" applyFill="1" applyBorder="1"/>
    <xf numFmtId="169" fontId="0" fillId="12" borderId="31" xfId="0" applyNumberFormat="1" applyFill="1" applyBorder="1"/>
    <xf numFmtId="0" fontId="0" fillId="12" borderId="31" xfId="0" applyFill="1" applyBorder="1"/>
    <xf numFmtId="166" fontId="9" fillId="12" borderId="33" xfId="2" applyFont="1" applyFill="1" applyBorder="1" applyAlignment="1"/>
    <xf numFmtId="165" fontId="0" fillId="12" borderId="1" xfId="6" applyFont="1" applyFill="1" applyBorder="1"/>
    <xf numFmtId="169" fontId="0" fillId="12" borderId="1" xfId="2" applyNumberFormat="1" applyFont="1" applyFill="1" applyBorder="1"/>
    <xf numFmtId="169" fontId="0" fillId="12" borderId="1" xfId="0" applyNumberFormat="1" applyFill="1" applyBorder="1"/>
    <xf numFmtId="0" fontId="0" fillId="12" borderId="1" xfId="0" applyFill="1" applyBorder="1"/>
    <xf numFmtId="166" fontId="9" fillId="12" borderId="35" xfId="2" applyFont="1" applyFill="1" applyBorder="1" applyAlignment="1"/>
    <xf numFmtId="165" fontId="0" fillId="12" borderId="36" xfId="6" applyFont="1" applyFill="1" applyBorder="1"/>
    <xf numFmtId="169" fontId="0" fillId="12" borderId="36" xfId="2" applyNumberFormat="1" applyFont="1" applyFill="1" applyBorder="1"/>
    <xf numFmtId="169" fontId="0" fillId="12" borderId="36" xfId="0" applyNumberFormat="1" applyFill="1" applyBorder="1"/>
    <xf numFmtId="0" fontId="0" fillId="12" borderId="36" xfId="0" applyFill="1" applyBorder="1"/>
    <xf numFmtId="0" fontId="11" fillId="13" borderId="29" xfId="0" applyFont="1" applyFill="1" applyBorder="1" applyAlignment="1">
      <alignment horizontal="center" vertical="center" wrapText="1"/>
    </xf>
    <xf numFmtId="165" fontId="0" fillId="12" borderId="22" xfId="6" applyFont="1" applyFill="1" applyBorder="1"/>
    <xf numFmtId="165" fontId="0" fillId="12" borderId="24" xfId="6" applyFont="1" applyFill="1" applyBorder="1"/>
    <xf numFmtId="165" fontId="0" fillId="12" borderId="39" xfId="6" applyFont="1" applyFill="1" applyBorder="1"/>
    <xf numFmtId="0" fontId="0" fillId="0" borderId="103" xfId="0" applyFont="1" applyFill="1" applyBorder="1"/>
    <xf numFmtId="0" fontId="0" fillId="0" borderId="104" xfId="0" applyFont="1" applyFill="1" applyBorder="1"/>
    <xf numFmtId="0" fontId="0" fillId="0" borderId="104" xfId="0" applyFill="1" applyBorder="1"/>
    <xf numFmtId="0" fontId="0" fillId="21" borderId="104" xfId="0" applyFill="1" applyBorder="1"/>
    <xf numFmtId="0" fontId="0" fillId="13" borderId="104" xfId="0" applyFill="1" applyBorder="1"/>
    <xf numFmtId="0" fontId="0" fillId="2" borderId="104" xfId="0" applyFill="1" applyBorder="1"/>
    <xf numFmtId="0" fontId="0" fillId="0" borderId="103" xfId="0" applyFill="1" applyBorder="1"/>
    <xf numFmtId="0" fontId="0" fillId="6" borderId="104" xfId="0" applyFill="1" applyBorder="1"/>
    <xf numFmtId="0" fontId="0" fillId="12" borderId="104" xfId="0" applyFill="1" applyBorder="1"/>
    <xf numFmtId="172" fontId="9" fillId="12" borderId="54" xfId="2" applyNumberFormat="1" applyFont="1" applyFill="1" applyBorder="1" applyAlignment="1">
      <alignment vertical="center"/>
    </xf>
    <xf numFmtId="172" fontId="9" fillId="12" borderId="35" xfId="2" applyNumberFormat="1" applyFont="1" applyFill="1" applyBorder="1" applyAlignment="1">
      <alignment vertical="center"/>
    </xf>
    <xf numFmtId="172" fontId="9" fillId="6" borderId="66" xfId="2" applyNumberFormat="1" applyFont="1" applyFill="1" applyBorder="1" applyAlignment="1">
      <alignment vertical="center"/>
    </xf>
    <xf numFmtId="166" fontId="9" fillId="14" borderId="62" xfId="2" applyFont="1" applyFill="1" applyBorder="1" applyAlignment="1"/>
    <xf numFmtId="172" fontId="9" fillId="6" borderId="61" xfId="2" applyNumberFormat="1" applyFont="1" applyFill="1" applyBorder="1" applyAlignment="1">
      <alignment vertical="center"/>
    </xf>
    <xf numFmtId="166" fontId="9" fillId="14" borderId="3" xfId="2" applyFont="1" applyFill="1" applyBorder="1" applyAlignment="1"/>
    <xf numFmtId="0" fontId="0" fillId="14" borderId="17" xfId="0" applyFill="1" applyBorder="1"/>
    <xf numFmtId="165" fontId="11" fillId="2" borderId="20" xfId="0" applyNumberFormat="1" applyFont="1" applyFill="1" applyBorder="1"/>
    <xf numFmtId="169" fontId="11" fillId="14" borderId="19" xfId="0" applyNumberFormat="1" applyFont="1" applyFill="1" applyBorder="1"/>
    <xf numFmtId="165" fontId="11" fillId="2" borderId="20" xfId="6" applyFont="1" applyFill="1" applyBorder="1"/>
    <xf numFmtId="0" fontId="28" fillId="6" borderId="33" xfId="0" applyFont="1" applyFill="1" applyBorder="1" applyAlignment="1">
      <alignment horizontal="center" vertical="center" wrapText="1"/>
    </xf>
    <xf numFmtId="0" fontId="28" fillId="6" borderId="24" xfId="0" applyFont="1" applyFill="1" applyBorder="1" applyAlignment="1">
      <alignment horizontal="center" vertical="center" wrapText="1"/>
    </xf>
    <xf numFmtId="0" fontId="28" fillId="6" borderId="35" xfId="0" applyFont="1" applyFill="1" applyBorder="1" applyAlignment="1">
      <alignment horizontal="center" vertical="center" wrapText="1"/>
    </xf>
    <xf numFmtId="0" fontId="28" fillId="6" borderId="39" xfId="0" applyFont="1" applyFill="1" applyBorder="1" applyAlignment="1">
      <alignment horizontal="center" vertical="center" wrapText="1"/>
    </xf>
    <xf numFmtId="0" fontId="19" fillId="22" borderId="16" xfId="0" applyFont="1" applyFill="1" applyBorder="1" applyAlignment="1">
      <alignment horizontal="center" vertical="center" wrapText="1"/>
    </xf>
    <xf numFmtId="0" fontId="19" fillId="22" borderId="7" xfId="0" applyFont="1" applyFill="1" applyBorder="1" applyAlignment="1">
      <alignment horizontal="center" vertical="center" wrapText="1"/>
    </xf>
    <xf numFmtId="0" fontId="28" fillId="12" borderId="30" xfId="0" applyFont="1" applyFill="1" applyBorder="1" applyAlignment="1">
      <alignment horizontal="center" vertical="center" wrapText="1"/>
    </xf>
    <xf numFmtId="0" fontId="28" fillId="12" borderId="47" xfId="0" applyFont="1" applyFill="1" applyBorder="1" applyAlignment="1">
      <alignment horizontal="center" vertical="center" wrapText="1"/>
    </xf>
    <xf numFmtId="0" fontId="28" fillId="12" borderId="33" xfId="0" applyFont="1" applyFill="1" applyBorder="1" applyAlignment="1">
      <alignment horizontal="center" vertical="center" wrapText="1"/>
    </xf>
    <xf numFmtId="0" fontId="28" fillId="12" borderId="43" xfId="0" applyFont="1" applyFill="1" applyBorder="1" applyAlignment="1">
      <alignment horizontal="center" vertical="center" wrapText="1"/>
    </xf>
    <xf numFmtId="0" fontId="28" fillId="12" borderId="100" xfId="0" applyFont="1" applyFill="1" applyBorder="1" applyAlignment="1">
      <alignment horizontal="center" vertical="center" wrapText="1"/>
    </xf>
    <xf numFmtId="0" fontId="28" fillId="12" borderId="97" xfId="0" applyFont="1" applyFill="1" applyBorder="1" applyAlignment="1">
      <alignment horizontal="center" vertical="center" wrapText="1"/>
    </xf>
    <xf numFmtId="0" fontId="28" fillId="12" borderId="14" xfId="0" applyFont="1" applyFill="1" applyBorder="1" applyAlignment="1">
      <alignment horizontal="center" vertical="center" wrapText="1"/>
    </xf>
    <xf numFmtId="0" fontId="28" fillId="12" borderId="10" xfId="0" applyFont="1" applyFill="1" applyBorder="1" applyAlignment="1">
      <alignment horizontal="center" vertical="center" wrapText="1"/>
    </xf>
    <xf numFmtId="0" fontId="28" fillId="12" borderId="15" xfId="0" applyFont="1" applyFill="1" applyBorder="1" applyAlignment="1">
      <alignment horizontal="center" vertical="center" wrapText="1"/>
    </xf>
    <xf numFmtId="0" fontId="28" fillId="12" borderId="12" xfId="0" applyFont="1" applyFill="1" applyBorder="1" applyAlignment="1">
      <alignment horizontal="center" vertical="center" wrapText="1"/>
    </xf>
    <xf numFmtId="0" fontId="14" fillId="13" borderId="98" xfId="0" applyFont="1" applyFill="1" applyBorder="1" applyAlignment="1">
      <alignment horizontal="left"/>
    </xf>
    <xf numFmtId="0" fontId="14" fillId="13" borderId="91" xfId="0" applyFont="1" applyFill="1" applyBorder="1" applyAlignment="1">
      <alignment horizontal="left"/>
    </xf>
    <xf numFmtId="0" fontId="14" fillId="13" borderId="99" xfId="0" applyFont="1" applyFill="1" applyBorder="1" applyAlignment="1">
      <alignment horizontal="left"/>
    </xf>
    <xf numFmtId="0" fontId="14" fillId="13" borderId="82" xfId="0" applyFont="1" applyFill="1" applyBorder="1" applyAlignment="1">
      <alignment horizontal="left"/>
    </xf>
    <xf numFmtId="0" fontId="14" fillId="13" borderId="83" xfId="0" applyFont="1" applyFill="1" applyBorder="1" applyAlignment="1">
      <alignment horizontal="left"/>
    </xf>
    <xf numFmtId="0" fontId="14" fillId="13" borderId="84" xfId="0" applyFont="1" applyFill="1" applyBorder="1" applyAlignment="1">
      <alignment horizontal="left"/>
    </xf>
    <xf numFmtId="0" fontId="7" fillId="2" borderId="85" xfId="0" applyFont="1" applyFill="1" applyBorder="1" applyAlignment="1">
      <alignment horizontal="left" vertical="center" wrapText="1"/>
    </xf>
    <xf numFmtId="0" fontId="7" fillId="2" borderId="86" xfId="0" applyFont="1" applyFill="1" applyBorder="1" applyAlignment="1">
      <alignment horizontal="left" vertical="center" wrapText="1"/>
    </xf>
    <xf numFmtId="0" fontId="7" fillId="2" borderId="87" xfId="0" applyFont="1" applyFill="1" applyBorder="1" applyAlignment="1">
      <alignment horizontal="left" vertical="center" wrapText="1"/>
    </xf>
    <xf numFmtId="0" fontId="14" fillId="13" borderId="88" xfId="0" applyFont="1" applyFill="1" applyBorder="1" applyAlignment="1">
      <alignment horizontal="left"/>
    </xf>
    <xf numFmtId="0" fontId="14" fillId="13" borderId="89" xfId="0" applyFont="1" applyFill="1" applyBorder="1" applyAlignment="1">
      <alignment horizontal="left"/>
    </xf>
    <xf numFmtId="0" fontId="28" fillId="6" borderId="30" xfId="0" applyFont="1" applyFill="1" applyBorder="1" applyAlignment="1">
      <alignment horizontal="center" vertical="center" wrapText="1"/>
    </xf>
    <xf numFmtId="0" fontId="28" fillId="6" borderId="22" xfId="0" applyFont="1" applyFill="1" applyBorder="1" applyAlignment="1">
      <alignment horizontal="center" vertical="center" wrapText="1"/>
    </xf>
    <xf numFmtId="0" fontId="14" fillId="13" borderId="96" xfId="0" applyFont="1" applyFill="1" applyBorder="1" applyAlignment="1">
      <alignment horizontal="left"/>
    </xf>
    <xf numFmtId="0" fontId="19" fillId="13" borderId="13" xfId="0" applyFont="1" applyFill="1" applyBorder="1" applyAlignment="1">
      <alignment horizontal="center" vertical="center" wrapText="1"/>
    </xf>
    <xf numFmtId="0" fontId="19" fillId="13" borderId="8" xfId="0" applyFont="1" applyFill="1" applyBorder="1" applyAlignment="1">
      <alignment horizontal="center" vertical="center" wrapText="1"/>
    </xf>
    <xf numFmtId="0" fontId="19" fillId="13" borderId="9" xfId="0" applyFont="1" applyFill="1" applyBorder="1" applyAlignment="1">
      <alignment horizontal="center" vertical="center" wrapText="1"/>
    </xf>
    <xf numFmtId="0" fontId="19" fillId="13" borderId="14" xfId="0" applyFont="1" applyFill="1" applyBorder="1" applyAlignment="1">
      <alignment horizontal="center" vertical="center" wrapText="1"/>
    </xf>
    <xf numFmtId="0" fontId="19" fillId="13" borderId="0" xfId="0" applyFont="1" applyFill="1" applyBorder="1" applyAlignment="1">
      <alignment horizontal="center" vertical="center" wrapText="1"/>
    </xf>
    <xf numFmtId="0" fontId="19" fillId="13" borderId="10" xfId="0" applyFont="1" applyFill="1" applyBorder="1" applyAlignment="1">
      <alignment horizontal="center" vertical="center" wrapText="1"/>
    </xf>
    <xf numFmtId="0" fontId="19" fillId="13" borderId="15" xfId="0" applyFont="1" applyFill="1" applyBorder="1" applyAlignment="1">
      <alignment horizontal="center" vertical="center" wrapText="1"/>
    </xf>
    <xf numFmtId="0" fontId="19" fillId="13" borderId="11" xfId="0" applyFont="1" applyFill="1" applyBorder="1" applyAlignment="1">
      <alignment horizontal="center" vertical="center" wrapText="1"/>
    </xf>
    <xf numFmtId="0" fontId="19" fillId="13" borderId="12" xfId="0" applyFont="1" applyFill="1" applyBorder="1" applyAlignment="1">
      <alignment horizontal="center" vertical="center" wrapText="1"/>
    </xf>
    <xf numFmtId="0" fontId="19" fillId="13" borderId="4" xfId="0" applyFont="1" applyFill="1" applyBorder="1" applyAlignment="1">
      <alignment horizontal="center" vertical="center" wrapText="1"/>
    </xf>
    <xf numFmtId="0" fontId="19" fillId="13" borderId="5" xfId="0" applyFont="1" applyFill="1" applyBorder="1" applyAlignment="1">
      <alignment horizontal="center" vertical="center" wrapText="1"/>
    </xf>
    <xf numFmtId="0" fontId="19" fillId="13" borderId="6" xfId="0" applyFont="1" applyFill="1" applyBorder="1" applyAlignment="1">
      <alignment horizontal="center" vertical="center" wrapText="1"/>
    </xf>
    <xf numFmtId="0" fontId="7" fillId="2" borderId="90" xfId="0" applyFont="1" applyFill="1" applyBorder="1" applyAlignment="1">
      <alignment horizontal="left" vertical="center" wrapText="1"/>
    </xf>
    <xf numFmtId="0" fontId="7" fillId="2" borderId="91" xfId="0" applyFont="1" applyFill="1" applyBorder="1" applyAlignment="1">
      <alignment horizontal="left" vertical="center" wrapText="1"/>
    </xf>
    <xf numFmtId="0" fontId="7" fillId="2" borderId="92" xfId="0" applyFont="1" applyFill="1" applyBorder="1" applyAlignment="1">
      <alignment horizontal="left" vertical="center" wrapText="1"/>
    </xf>
    <xf numFmtId="0" fontId="7" fillId="2" borderId="93" xfId="0" applyFont="1" applyFill="1" applyBorder="1" applyAlignment="1">
      <alignment horizontal="left" vertical="center" wrapText="1"/>
    </xf>
    <xf numFmtId="0" fontId="7" fillId="2" borderId="94" xfId="0" applyFont="1" applyFill="1" applyBorder="1" applyAlignment="1">
      <alignment horizontal="left" vertical="center" wrapText="1"/>
    </xf>
    <xf numFmtId="0" fontId="7" fillId="2" borderId="95" xfId="0" applyFont="1" applyFill="1" applyBorder="1" applyAlignment="1">
      <alignment horizontal="left" vertical="center" wrapText="1"/>
    </xf>
    <xf numFmtId="166" fontId="12" fillId="9" borderId="35" xfId="2" applyFont="1" applyFill="1" applyBorder="1" applyAlignment="1">
      <alignment horizontal="left"/>
    </xf>
    <xf numFmtId="166" fontId="12" fillId="9" borderId="44" xfId="2" applyFont="1" applyFill="1" applyBorder="1" applyAlignment="1">
      <alignment horizontal="left"/>
    </xf>
    <xf numFmtId="166" fontId="12" fillId="9" borderId="33" xfId="2" applyFont="1" applyFill="1" applyBorder="1" applyAlignment="1">
      <alignment horizontal="left"/>
    </xf>
    <xf numFmtId="166" fontId="12" fillId="9" borderId="43" xfId="2" applyFont="1" applyFill="1" applyBorder="1" applyAlignment="1">
      <alignment horizontal="left"/>
    </xf>
    <xf numFmtId="166" fontId="12" fillId="9" borderId="30" xfId="2" applyFont="1" applyFill="1" applyBorder="1" applyAlignment="1">
      <alignment horizontal="left"/>
    </xf>
    <xf numFmtId="166" fontId="12" fillId="9" borderId="47" xfId="2" applyFont="1" applyFill="1" applyBorder="1" applyAlignment="1">
      <alignment horizontal="left"/>
    </xf>
    <xf numFmtId="0" fontId="12" fillId="8" borderId="19" xfId="0" applyFont="1" applyFill="1" applyBorder="1" applyAlignment="1">
      <alignment horizontal="left"/>
    </xf>
    <xf numFmtId="0" fontId="12" fillId="8" borderId="20" xfId="0" applyFont="1" applyFill="1" applyBorder="1" applyAlignment="1">
      <alignment horizontal="left"/>
    </xf>
    <xf numFmtId="166" fontId="9" fillId="6" borderId="61" xfId="2" applyFont="1" applyFill="1" applyBorder="1" applyAlignment="1">
      <alignment horizontal="left"/>
    </xf>
    <xf numFmtId="166" fontId="9" fillId="6" borderId="62" xfId="2" applyFont="1" applyFill="1" applyBorder="1" applyAlignment="1">
      <alignment horizontal="left"/>
    </xf>
    <xf numFmtId="166" fontId="9" fillId="12" borderId="35" xfId="2" applyFont="1" applyFill="1" applyBorder="1" applyAlignment="1">
      <alignment horizontal="left"/>
    </xf>
    <xf numFmtId="166" fontId="9" fillId="12" borderId="44" xfId="2" applyFont="1" applyFill="1" applyBorder="1" applyAlignment="1">
      <alignment horizontal="left"/>
    </xf>
    <xf numFmtId="0" fontId="0" fillId="6" borderId="36" xfId="0" applyFont="1" applyFill="1" applyBorder="1" applyAlignment="1">
      <alignment horizontal="center" vertical="center"/>
    </xf>
    <xf numFmtId="0" fontId="0" fillId="6" borderId="31" xfId="0" applyFont="1" applyFill="1" applyBorder="1" applyAlignment="1">
      <alignment horizontal="center" vertical="center"/>
    </xf>
    <xf numFmtId="0" fontId="11" fillId="8" borderId="64" xfId="0" applyFont="1" applyFill="1" applyBorder="1" applyAlignment="1">
      <alignment horizontal="left"/>
    </xf>
    <xf numFmtId="0" fontId="11" fillId="8" borderId="55" xfId="0" applyFont="1" applyFill="1" applyBorder="1" applyAlignment="1">
      <alignment horizontal="left"/>
    </xf>
    <xf numFmtId="166" fontId="12" fillId="10" borderId="45" xfId="2" applyFont="1" applyFill="1" applyBorder="1" applyAlignment="1">
      <alignment horizontal="left"/>
    </xf>
    <xf numFmtId="166" fontId="12" fillId="10" borderId="46" xfId="2" applyFont="1" applyFill="1" applyBorder="1" applyAlignment="1">
      <alignment horizontal="left"/>
    </xf>
    <xf numFmtId="166" fontId="12" fillId="11" borderId="19" xfId="2" applyFont="1" applyFill="1" applyBorder="1" applyAlignment="1">
      <alignment horizontal="left"/>
    </xf>
    <xf numFmtId="166" fontId="12" fillId="11" borderId="20" xfId="2" applyFont="1" applyFill="1" applyBorder="1" applyAlignment="1">
      <alignment horizontal="left"/>
    </xf>
    <xf numFmtId="166" fontId="12" fillId="12" borderId="42" xfId="2" applyFont="1" applyFill="1" applyBorder="1" applyAlignment="1">
      <alignment horizontal="left" vertical="center"/>
    </xf>
    <xf numFmtId="166" fontId="12" fillId="12" borderId="38" xfId="2" applyFont="1" applyFill="1" applyBorder="1" applyAlignment="1">
      <alignment horizontal="left" vertical="center"/>
    </xf>
    <xf numFmtId="166" fontId="12" fillId="12" borderId="42" xfId="2" applyFont="1" applyFill="1" applyBorder="1" applyAlignment="1">
      <alignment horizontal="left" vertical="center" wrapText="1"/>
    </xf>
    <xf numFmtId="166" fontId="12" fillId="12" borderId="38" xfId="2" applyFont="1" applyFill="1" applyBorder="1" applyAlignment="1">
      <alignment horizontal="left" vertical="center" wrapText="1"/>
    </xf>
    <xf numFmtId="166" fontId="12" fillId="10" borderId="45" xfId="2" applyFont="1" applyFill="1" applyBorder="1" applyAlignment="1">
      <alignment horizontal="left" wrapText="1"/>
    </xf>
    <xf numFmtId="166" fontId="12" fillId="10" borderId="46" xfId="2" applyFont="1" applyFill="1" applyBorder="1" applyAlignment="1">
      <alignment horizontal="left" wrapText="1"/>
    </xf>
    <xf numFmtId="0" fontId="0" fillId="6" borderId="1" xfId="0" applyFont="1" applyFill="1" applyBorder="1" applyAlignment="1">
      <alignment horizontal="center" vertical="center"/>
    </xf>
    <xf numFmtId="0" fontId="11" fillId="8" borderId="1" xfId="0" applyFont="1" applyFill="1" applyBorder="1" applyAlignment="1">
      <alignment horizontal="center" vertical="center"/>
    </xf>
    <xf numFmtId="171" fontId="0" fillId="8" borderId="48" xfId="0" applyNumberFormat="1" applyFill="1" applyBorder="1" applyAlignment="1">
      <alignment horizontal="center"/>
    </xf>
    <xf numFmtId="171" fontId="0" fillId="8" borderId="49" xfId="0" applyNumberFormat="1" applyFill="1" applyBorder="1" applyAlignment="1">
      <alignment horizontal="center"/>
    </xf>
    <xf numFmtId="0" fontId="0" fillId="6" borderId="43" xfId="0" applyFont="1" applyFill="1" applyBorder="1" applyAlignment="1">
      <alignment horizontal="center" vertical="center"/>
    </xf>
    <xf numFmtId="0" fontId="11" fillId="8" borderId="43" xfId="0" applyFont="1" applyFill="1" applyBorder="1" applyAlignment="1">
      <alignment horizontal="center" vertical="center"/>
    </xf>
    <xf numFmtId="0" fontId="0" fillId="6" borderId="2" xfId="0" applyFont="1" applyFill="1" applyBorder="1" applyAlignment="1">
      <alignment horizontal="center" vertical="center"/>
    </xf>
    <xf numFmtId="171" fontId="0" fillId="2" borderId="40" xfId="0" applyNumberFormat="1" applyFill="1" applyBorder="1" applyAlignment="1">
      <alignment horizontal="center"/>
    </xf>
    <xf numFmtId="171" fontId="0" fillId="2" borderId="32" xfId="0" applyNumberFormat="1" applyFill="1" applyBorder="1" applyAlignment="1">
      <alignment horizontal="center"/>
    </xf>
    <xf numFmtId="0" fontId="0" fillId="6" borderId="23" xfId="0" applyFont="1" applyFill="1" applyBorder="1" applyAlignment="1">
      <alignment horizontal="center" vertical="center"/>
    </xf>
    <xf numFmtId="0" fontId="0" fillId="6" borderId="44" xfId="0" applyFont="1" applyFill="1" applyBorder="1" applyAlignment="1">
      <alignment horizontal="center" vertical="center"/>
    </xf>
    <xf numFmtId="0" fontId="0" fillId="6" borderId="39"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47" xfId="0" applyFont="1" applyFill="1" applyBorder="1" applyAlignment="1">
      <alignment horizontal="center" vertical="center"/>
    </xf>
    <xf numFmtId="171" fontId="0" fillId="2" borderId="50" xfId="0" applyNumberFormat="1" applyFill="1" applyBorder="1" applyAlignment="1">
      <alignment horizontal="center"/>
    </xf>
    <xf numFmtId="171" fontId="0" fillId="2" borderId="60" xfId="0" applyNumberFormat="1" applyFill="1" applyBorder="1" applyAlignment="1">
      <alignment horizontal="center"/>
    </xf>
    <xf numFmtId="171" fontId="0" fillId="2" borderId="48" xfId="0" applyNumberFormat="1" applyFill="1" applyBorder="1" applyAlignment="1">
      <alignment horizontal="center"/>
    </xf>
    <xf numFmtId="171" fontId="0" fillId="2" borderId="49" xfId="0" applyNumberFormat="1" applyFill="1" applyBorder="1" applyAlignment="1">
      <alignment horizontal="center"/>
    </xf>
    <xf numFmtId="0" fontId="0" fillId="6" borderId="24" xfId="0" applyFont="1" applyFill="1" applyBorder="1" applyAlignment="1">
      <alignment horizontal="center" vertical="center"/>
    </xf>
    <xf numFmtId="171" fontId="0" fillId="8" borderId="40" xfId="0" applyNumberFormat="1" applyFill="1" applyBorder="1" applyAlignment="1">
      <alignment horizontal="center"/>
    </xf>
    <xf numFmtId="171" fontId="0" fillId="8" borderId="32" xfId="0" applyNumberFormat="1" applyFill="1" applyBorder="1" applyAlignment="1">
      <alignment horizontal="center"/>
    </xf>
    <xf numFmtId="0" fontId="0" fillId="2" borderId="40" xfId="0" applyFill="1" applyBorder="1" applyAlignment="1">
      <alignment horizontal="center"/>
    </xf>
    <xf numFmtId="0" fontId="0" fillId="2" borderId="32" xfId="0" applyFill="1" applyBorder="1" applyAlignment="1">
      <alignment horizontal="center"/>
    </xf>
    <xf numFmtId="0" fontId="0" fillId="6" borderId="40" xfId="0" applyFont="1" applyFill="1" applyBorder="1" applyAlignment="1">
      <alignment horizontal="center" vertical="center"/>
    </xf>
    <xf numFmtId="0" fontId="0" fillId="6" borderId="22" xfId="0" applyFont="1" applyFill="1" applyBorder="1" applyAlignment="1">
      <alignment horizontal="center" vertical="center"/>
    </xf>
    <xf numFmtId="0" fontId="11" fillId="5" borderId="16" xfId="0" applyFont="1" applyFill="1" applyBorder="1" applyAlignment="1">
      <alignment horizontal="center" vertical="center"/>
    </xf>
    <xf numFmtId="0" fontId="11" fillId="5" borderId="7" xfId="0" applyFont="1" applyFill="1" applyBorder="1" applyAlignment="1">
      <alignment horizontal="center" vertical="center"/>
    </xf>
    <xf numFmtId="0" fontId="14" fillId="5" borderId="16" xfId="0" applyFont="1" applyFill="1" applyBorder="1" applyAlignment="1">
      <alignment horizontal="left"/>
    </xf>
    <xf numFmtId="0" fontId="14" fillId="5" borderId="17" xfId="0" applyFont="1" applyFill="1" applyBorder="1" applyAlignment="1">
      <alignment horizontal="left"/>
    </xf>
    <xf numFmtId="0" fontId="14" fillId="5" borderId="7" xfId="0" applyFont="1" applyFill="1" applyBorder="1" applyAlignment="1">
      <alignment horizontal="left"/>
    </xf>
    <xf numFmtId="0" fontId="0" fillId="6" borderId="49" xfId="0" applyFont="1" applyFill="1" applyBorder="1" applyAlignment="1">
      <alignment horizontal="center" vertical="center"/>
    </xf>
    <xf numFmtId="0" fontId="14" fillId="21" borderId="16" xfId="0" applyFont="1" applyFill="1" applyBorder="1" applyAlignment="1">
      <alignment horizontal="left"/>
    </xf>
    <xf numFmtId="0" fontId="14" fillId="21" borderId="17" xfId="0" applyFont="1" applyFill="1" applyBorder="1" applyAlignment="1">
      <alignment horizontal="left"/>
    </xf>
    <xf numFmtId="0" fontId="14" fillId="21" borderId="7" xfId="0" applyFont="1" applyFill="1" applyBorder="1" applyAlignment="1">
      <alignment horizontal="left"/>
    </xf>
    <xf numFmtId="9" fontId="11" fillId="8" borderId="48" xfId="3" applyFont="1" applyFill="1" applyBorder="1" applyAlignment="1">
      <alignment horizontal="center" vertical="center"/>
    </xf>
    <xf numFmtId="9" fontId="11" fillId="8" borderId="25" xfId="3" applyFont="1" applyFill="1" applyBorder="1" applyAlignment="1">
      <alignment horizontal="center" vertical="center"/>
    </xf>
    <xf numFmtId="0" fontId="8" fillId="8" borderId="28" xfId="0" applyFont="1" applyFill="1" applyBorder="1" applyAlignment="1">
      <alignment horizontal="center" vertical="center"/>
    </xf>
    <xf numFmtId="0" fontId="8" fillId="8" borderId="55" xfId="0" applyFont="1" applyFill="1" applyBorder="1" applyAlignment="1">
      <alignment horizontal="center" vertical="center"/>
    </xf>
    <xf numFmtId="166" fontId="22" fillId="13" borderId="22" xfId="2" applyFont="1" applyFill="1" applyBorder="1" applyAlignment="1">
      <alignment horizontal="center" vertical="center"/>
    </xf>
    <xf numFmtId="166" fontId="22" fillId="13" borderId="24" xfId="2" applyFont="1" applyFill="1" applyBorder="1" applyAlignment="1">
      <alignment horizontal="center" vertical="center"/>
    </xf>
    <xf numFmtId="166" fontId="22" fillId="13" borderId="29" xfId="2" applyFont="1" applyFill="1" applyBorder="1" applyAlignment="1">
      <alignment horizontal="center" vertical="center"/>
    </xf>
    <xf numFmtId="0" fontId="11" fillId="13" borderId="40" xfId="0" applyFont="1" applyFill="1" applyBorder="1" applyAlignment="1">
      <alignment horizontal="center" vertical="center"/>
    </xf>
    <xf numFmtId="0" fontId="11" fillId="13" borderId="32" xfId="0" applyFont="1" applyFill="1" applyBorder="1" applyAlignment="1">
      <alignment horizontal="center" vertical="center"/>
    </xf>
    <xf numFmtId="9" fontId="11" fillId="8" borderId="49" xfId="3" applyFont="1" applyFill="1" applyBorder="1" applyAlignment="1">
      <alignment horizontal="center" vertical="center"/>
    </xf>
    <xf numFmtId="0" fontId="11" fillId="13" borderId="18" xfId="0" applyFont="1" applyFill="1" applyBorder="1" applyAlignment="1">
      <alignment horizontal="center" vertical="center"/>
    </xf>
    <xf numFmtId="166" fontId="22" fillId="13" borderId="41" xfId="2" applyFont="1" applyFill="1" applyBorder="1" applyAlignment="1">
      <alignment horizontal="center" vertical="center"/>
    </xf>
    <xf numFmtId="166" fontId="22" fillId="13" borderId="45" xfId="2" applyFont="1" applyFill="1" applyBorder="1" applyAlignment="1">
      <alignment horizontal="center" vertical="center"/>
    </xf>
    <xf numFmtId="166" fontId="22" fillId="13" borderId="34" xfId="2" applyFont="1" applyFill="1" applyBorder="1" applyAlignment="1">
      <alignment horizontal="center" vertical="center"/>
    </xf>
    <xf numFmtId="166" fontId="22" fillId="13" borderId="46" xfId="2" applyFont="1" applyFill="1" applyBorder="1" applyAlignment="1">
      <alignment horizontal="center" vertical="center"/>
    </xf>
    <xf numFmtId="0" fontId="14" fillId="21" borderId="16" xfId="0" applyFont="1" applyFill="1" applyBorder="1" applyAlignment="1">
      <alignment horizontal="center"/>
    </xf>
    <xf numFmtId="0" fontId="14" fillId="21" borderId="17" xfId="0" applyFont="1" applyFill="1" applyBorder="1" applyAlignment="1">
      <alignment horizontal="center"/>
    </xf>
    <xf numFmtId="0" fontId="14" fillId="21" borderId="7" xfId="0" applyFont="1" applyFill="1" applyBorder="1" applyAlignment="1">
      <alignment horizontal="center"/>
    </xf>
    <xf numFmtId="166" fontId="22" fillId="13" borderId="40" xfId="2" applyFont="1" applyFill="1" applyBorder="1" applyAlignment="1">
      <alignment horizontal="center" vertical="center"/>
    </xf>
    <xf numFmtId="166" fontId="22" fillId="13" borderId="32" xfId="2" applyFont="1" applyFill="1" applyBorder="1" applyAlignment="1">
      <alignment horizontal="center" vertical="center"/>
    </xf>
    <xf numFmtId="0" fontId="21" fillId="2" borderId="16" xfId="0" applyFont="1" applyFill="1" applyBorder="1" applyAlignment="1">
      <alignment horizontal="left" vertical="top" wrapText="1"/>
    </xf>
    <xf numFmtId="0" fontId="21" fillId="2" borderId="17" xfId="0" applyFont="1" applyFill="1" applyBorder="1" applyAlignment="1">
      <alignment horizontal="left" vertical="top"/>
    </xf>
    <xf numFmtId="0" fontId="21" fillId="2" borderId="7" xfId="0" applyFont="1" applyFill="1" applyBorder="1" applyAlignment="1">
      <alignment horizontal="left" vertical="top"/>
    </xf>
    <xf numFmtId="0" fontId="9" fillId="2" borderId="13"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4" xfId="0" applyFont="1" applyFill="1" applyBorder="1" applyAlignment="1">
      <alignment horizontal="left" vertical="top" wrapText="1"/>
    </xf>
    <xf numFmtId="0" fontId="9" fillId="2" borderId="0" xfId="0"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15"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2" borderId="12" xfId="0" applyFont="1" applyFill="1" applyBorder="1" applyAlignment="1">
      <alignment horizontal="left" vertical="top" wrapText="1"/>
    </xf>
    <xf numFmtId="0" fontId="0" fillId="2" borderId="57" xfId="0" applyFill="1" applyBorder="1" applyAlignment="1">
      <alignment horizontal="center" vertical="center" wrapText="1"/>
    </xf>
    <xf numFmtId="0" fontId="0" fillId="2" borderId="59" xfId="0"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0" fontId="11" fillId="13" borderId="1" xfId="0" applyFont="1" applyFill="1" applyBorder="1" applyAlignment="1">
      <alignment horizontal="center" vertical="center"/>
    </xf>
    <xf numFmtId="0" fontId="4" fillId="13" borderId="1" xfId="0" applyFont="1" applyFill="1" applyBorder="1" applyAlignment="1">
      <alignment horizontal="center" vertical="center"/>
    </xf>
    <xf numFmtId="0" fontId="11" fillId="8" borderId="1" xfId="0" applyFont="1" applyFill="1" applyBorder="1" applyAlignment="1">
      <alignment horizontal="left"/>
    </xf>
    <xf numFmtId="0" fontId="0" fillId="2" borderId="3" xfId="0" applyFill="1" applyBorder="1" applyAlignment="1">
      <alignment horizontal="left" vertical="center" wrapText="1"/>
    </xf>
    <xf numFmtId="0" fontId="14" fillId="5" borderId="16" xfId="0" applyFont="1" applyFill="1" applyBorder="1" applyAlignment="1">
      <alignment horizontal="left" wrapText="1"/>
    </xf>
    <xf numFmtId="0" fontId="14" fillId="5" borderId="17" xfId="0" applyFont="1" applyFill="1" applyBorder="1" applyAlignment="1">
      <alignment horizontal="left" wrapText="1"/>
    </xf>
    <xf numFmtId="0" fontId="14" fillId="5" borderId="7" xfId="0" applyFont="1" applyFill="1" applyBorder="1" applyAlignment="1">
      <alignment horizontal="left" wrapText="1"/>
    </xf>
    <xf numFmtId="0" fontId="21" fillId="5" borderId="4" xfId="0" applyFont="1" applyFill="1" applyBorder="1" applyAlignment="1">
      <alignment horizontal="center" vertical="center"/>
    </xf>
    <xf numFmtId="0" fontId="21" fillId="5" borderId="6" xfId="0" applyFont="1" applyFill="1" applyBorder="1" applyAlignment="1">
      <alignment horizontal="center" vertical="center"/>
    </xf>
    <xf numFmtId="0" fontId="21" fillId="5" borderId="16" xfId="0" applyFont="1" applyFill="1" applyBorder="1" applyAlignment="1">
      <alignment horizontal="center" vertical="center"/>
    </xf>
    <xf numFmtId="0" fontId="21" fillId="5" borderId="7" xfId="0" applyFont="1" applyFill="1" applyBorder="1" applyAlignment="1">
      <alignment horizontal="center" vertical="center"/>
    </xf>
    <xf numFmtId="0" fontId="21" fillId="5" borderId="57" xfId="0" applyFont="1" applyFill="1" applyBorder="1" applyAlignment="1">
      <alignment horizontal="center" vertical="center"/>
    </xf>
    <xf numFmtId="0" fontId="21" fillId="5" borderId="58" xfId="0" applyFont="1" applyFill="1" applyBorder="1" applyAlignment="1">
      <alignment horizontal="center" vertical="center"/>
    </xf>
    <xf numFmtId="0" fontId="21" fillId="5" borderId="59" xfId="0" applyFont="1" applyFill="1" applyBorder="1" applyAlignment="1">
      <alignment horizontal="center" vertical="center"/>
    </xf>
    <xf numFmtId="0" fontId="21" fillId="5" borderId="58" xfId="0" applyFont="1" applyFill="1" applyBorder="1" applyAlignment="1">
      <alignment horizontal="center" vertical="center" wrapText="1"/>
    </xf>
    <xf numFmtId="0" fontId="21" fillId="5" borderId="59" xfId="0" applyFont="1" applyFill="1" applyBorder="1" applyAlignment="1">
      <alignment horizontal="center" vertical="center" wrapText="1"/>
    </xf>
    <xf numFmtId="0" fontId="11" fillId="5" borderId="27" xfId="0" applyFont="1" applyFill="1" applyBorder="1" applyAlignment="1">
      <alignment horizontal="center"/>
    </xf>
    <xf numFmtId="0" fontId="11" fillId="5" borderId="66" xfId="0" applyFont="1" applyFill="1" applyBorder="1" applyAlignment="1">
      <alignment horizontal="center"/>
    </xf>
    <xf numFmtId="0" fontId="14" fillId="6" borderId="16" xfId="0" applyFont="1" applyFill="1" applyBorder="1" applyAlignment="1">
      <alignment horizontal="left"/>
    </xf>
    <xf numFmtId="0" fontId="14" fillId="6" borderId="17" xfId="0" applyFont="1" applyFill="1" applyBorder="1" applyAlignment="1">
      <alignment horizontal="left"/>
    </xf>
    <xf numFmtId="0" fontId="14" fillId="6" borderId="7" xfId="0" applyFont="1" applyFill="1" applyBorder="1" applyAlignment="1">
      <alignment horizontal="left"/>
    </xf>
    <xf numFmtId="0" fontId="11" fillId="5" borderId="72" xfId="0" applyFont="1" applyFill="1" applyBorder="1" applyAlignment="1">
      <alignment horizontal="center"/>
    </xf>
    <xf numFmtId="0" fontId="11" fillId="5" borderId="40" xfId="0" applyFont="1" applyFill="1" applyBorder="1" applyAlignment="1">
      <alignment horizontal="center"/>
    </xf>
    <xf numFmtId="0" fontId="11" fillId="5" borderId="32" xfId="0" applyFont="1" applyFill="1" applyBorder="1" applyAlignment="1">
      <alignment horizontal="center"/>
    </xf>
    <xf numFmtId="0" fontId="14" fillId="5" borderId="19" xfId="0" applyFont="1" applyFill="1" applyBorder="1" applyAlignment="1">
      <alignment horizontal="left"/>
    </xf>
    <xf numFmtId="0" fontId="14" fillId="5" borderId="21" xfId="0" applyFont="1" applyFill="1" applyBorder="1" applyAlignment="1">
      <alignment horizontal="left"/>
    </xf>
    <xf numFmtId="0" fontId="14" fillId="5" borderId="20" xfId="0" applyFont="1" applyFill="1" applyBorder="1" applyAlignment="1">
      <alignment horizontal="left"/>
    </xf>
    <xf numFmtId="0" fontId="11" fillId="5" borderId="5" xfId="0" applyFont="1" applyFill="1" applyBorder="1" applyAlignment="1">
      <alignment horizontal="center" vertical="center"/>
    </xf>
    <xf numFmtId="0" fontId="11" fillId="5" borderId="40" xfId="0" applyFont="1" applyFill="1" applyBorder="1" applyAlignment="1">
      <alignment horizontal="center" vertical="center" wrapText="1"/>
    </xf>
    <xf numFmtId="0" fontId="11" fillId="5" borderId="48" xfId="0" applyFont="1" applyFill="1" applyBorder="1" applyAlignment="1">
      <alignment horizontal="center" vertical="center" wrapText="1"/>
    </xf>
    <xf numFmtId="0" fontId="11" fillId="5" borderId="50" xfId="0" applyFont="1" applyFill="1" applyBorder="1" applyAlignment="1">
      <alignment horizontal="center" vertical="center" wrapText="1"/>
    </xf>
    <xf numFmtId="0" fontId="11" fillId="5" borderId="57" xfId="0" applyFont="1" applyFill="1" applyBorder="1" applyAlignment="1">
      <alignment horizontal="center" vertical="center" wrapText="1"/>
    </xf>
    <xf numFmtId="0" fontId="11" fillId="5" borderId="58" xfId="0" applyFont="1" applyFill="1" applyBorder="1" applyAlignment="1">
      <alignment horizontal="center" vertical="center" wrapText="1"/>
    </xf>
    <xf numFmtId="0" fontId="11" fillId="5" borderId="59" xfId="0" applyFont="1" applyFill="1" applyBorder="1" applyAlignment="1">
      <alignment horizontal="center" vertical="center" wrapText="1"/>
    </xf>
    <xf numFmtId="0" fontId="11" fillId="5" borderId="4" xfId="0" applyFont="1" applyFill="1" applyBorder="1" applyAlignment="1">
      <alignment horizontal="center" vertical="center"/>
    </xf>
    <xf numFmtId="0" fontId="12" fillId="6" borderId="62" xfId="0" applyFont="1" applyFill="1" applyBorder="1" applyAlignment="1">
      <alignment horizontal="center" vertical="center"/>
    </xf>
    <xf numFmtId="0" fontId="12" fillId="6" borderId="43" xfId="0" applyFont="1" applyFill="1" applyBorder="1" applyAlignment="1">
      <alignment horizontal="center" vertical="center"/>
    </xf>
    <xf numFmtId="0" fontId="12" fillId="6" borderId="61" xfId="0" applyFont="1" applyFill="1" applyBorder="1" applyAlignment="1">
      <alignment horizontal="center" vertical="center"/>
    </xf>
    <xf numFmtId="0" fontId="12" fillId="6" borderId="33"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57" xfId="0" applyFont="1" applyFill="1" applyBorder="1" applyAlignment="1">
      <alignment horizontal="center" vertical="center" wrapText="1"/>
    </xf>
    <xf numFmtId="0" fontId="12" fillId="6" borderId="67" xfId="0" applyFont="1" applyFill="1" applyBorder="1" applyAlignment="1">
      <alignment horizontal="center" vertical="center" wrapText="1"/>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41" xfId="0" applyFill="1" applyBorder="1" applyAlignment="1">
      <alignment horizontal="center" vertical="center"/>
    </xf>
    <xf numFmtId="0" fontId="12" fillId="6" borderId="47" xfId="0" applyFont="1" applyFill="1" applyBorder="1" applyAlignment="1">
      <alignment horizontal="center" vertical="center" wrapText="1"/>
    </xf>
    <xf numFmtId="0" fontId="12" fillId="6" borderId="34" xfId="0" applyFont="1" applyFill="1" applyBorder="1" applyAlignment="1">
      <alignment horizontal="center" vertical="center" wrapText="1"/>
    </xf>
    <xf numFmtId="0" fontId="12" fillId="6" borderId="31" xfId="0" applyFont="1" applyFill="1" applyBorder="1" applyAlignment="1">
      <alignment horizontal="center" vertical="center"/>
    </xf>
    <xf numFmtId="0" fontId="12" fillId="6" borderId="63" xfId="0" applyFont="1" applyFill="1" applyBorder="1" applyAlignment="1">
      <alignment horizontal="center" vertical="center"/>
    </xf>
    <xf numFmtId="0" fontId="12" fillId="6" borderId="30" xfId="0" applyFont="1" applyFill="1" applyBorder="1" applyAlignment="1">
      <alignment horizontal="center" vertical="center"/>
    </xf>
    <xf numFmtId="0" fontId="12" fillId="6" borderId="41" xfId="0" applyFont="1" applyFill="1" applyBorder="1" applyAlignment="1">
      <alignment horizontal="center" vertical="center"/>
    </xf>
    <xf numFmtId="0" fontId="11" fillId="6" borderId="42" xfId="0" applyFont="1" applyFill="1" applyBorder="1" applyAlignment="1">
      <alignment horizontal="center"/>
    </xf>
    <xf numFmtId="0" fontId="11" fillId="6" borderId="37" xfId="0" applyFont="1" applyFill="1" applyBorder="1" applyAlignment="1">
      <alignment horizontal="center"/>
    </xf>
    <xf numFmtId="0" fontId="11" fillId="6" borderId="73" xfId="0" applyFont="1" applyFill="1" applyBorder="1" applyAlignment="1">
      <alignment horizontal="center"/>
    </xf>
    <xf numFmtId="0" fontId="14" fillId="5" borderId="16" xfId="0" applyFont="1" applyFill="1" applyBorder="1" applyAlignment="1">
      <alignment horizontal="center"/>
    </xf>
    <xf numFmtId="0" fontId="14" fillId="5" borderId="17" xfId="0" applyFont="1" applyFill="1" applyBorder="1" applyAlignment="1">
      <alignment horizontal="center"/>
    </xf>
    <xf numFmtId="0" fontId="14" fillId="5" borderId="7" xfId="0" applyFont="1" applyFill="1" applyBorder="1" applyAlignment="1">
      <alignment horizont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1" fillId="6" borderId="30" xfId="0" applyFont="1" applyFill="1" applyBorder="1" applyAlignment="1">
      <alignment horizontal="center" vertical="center"/>
    </xf>
    <xf numFmtId="0" fontId="11" fillId="6" borderId="31" xfId="0" applyFont="1" applyFill="1" applyBorder="1" applyAlignment="1">
      <alignment horizontal="center" vertical="center"/>
    </xf>
    <xf numFmtId="0" fontId="11" fillId="6" borderId="47" xfId="0" applyFont="1" applyFill="1" applyBorder="1" applyAlignment="1">
      <alignment horizontal="center" vertical="center"/>
    </xf>
    <xf numFmtId="0" fontId="14" fillId="5" borderId="13" xfId="0" applyFont="1" applyFill="1" applyBorder="1" applyAlignment="1">
      <alignment horizontal="left"/>
    </xf>
    <xf numFmtId="0" fontId="14" fillId="5" borderId="8" xfId="0" applyFont="1" applyFill="1" applyBorder="1" applyAlignment="1">
      <alignment horizontal="left"/>
    </xf>
    <xf numFmtId="0" fontId="14" fillId="5" borderId="9" xfId="0" applyFont="1" applyFill="1" applyBorder="1" applyAlignment="1">
      <alignment horizontal="left"/>
    </xf>
    <xf numFmtId="0" fontId="11" fillId="6" borderId="35" xfId="0" applyFont="1" applyFill="1" applyBorder="1" applyAlignment="1">
      <alignment horizontal="center" vertical="center"/>
    </xf>
    <xf numFmtId="0" fontId="11" fillId="6" borderId="36" xfId="0" applyFont="1" applyFill="1" applyBorder="1" applyAlignment="1">
      <alignment horizontal="center" vertical="center"/>
    </xf>
    <xf numFmtId="0" fontId="0" fillId="0" borderId="64" xfId="0" applyBorder="1" applyAlignment="1">
      <alignment horizontal="center" vertical="center"/>
    </xf>
    <xf numFmtId="0" fontId="0" fillId="0" borderId="45" xfId="0" applyBorder="1" applyAlignment="1">
      <alignment horizontal="center" vertical="center"/>
    </xf>
    <xf numFmtId="0" fontId="0" fillId="0" borderId="42" xfId="0" applyBorder="1" applyAlignment="1">
      <alignment horizontal="center" vertical="center"/>
    </xf>
    <xf numFmtId="0" fontId="12" fillId="5" borderId="19" xfId="0" applyFont="1" applyFill="1" applyBorder="1" applyAlignment="1">
      <alignment horizontal="right"/>
    </xf>
    <xf numFmtId="0" fontId="12" fillId="5" borderId="21" xfId="0" applyFont="1" applyFill="1" applyBorder="1" applyAlignment="1">
      <alignment horizontal="right"/>
    </xf>
    <xf numFmtId="0" fontId="12" fillId="5" borderId="20" xfId="0" applyFont="1" applyFill="1" applyBorder="1" applyAlignment="1">
      <alignment horizontal="right"/>
    </xf>
    <xf numFmtId="0" fontId="11" fillId="6" borderId="22" xfId="0" applyFont="1" applyFill="1" applyBorder="1" applyAlignment="1">
      <alignment horizontal="center" vertical="center" wrapText="1"/>
    </xf>
    <xf numFmtId="0" fontId="11" fillId="6" borderId="39" xfId="0" applyFont="1" applyFill="1" applyBorder="1" applyAlignment="1">
      <alignment horizontal="center" vertical="center"/>
    </xf>
    <xf numFmtId="0" fontId="11" fillId="6" borderId="65" xfId="0" applyFont="1" applyFill="1" applyBorder="1" applyAlignment="1">
      <alignment horizontal="center" vertical="center"/>
    </xf>
    <xf numFmtId="0" fontId="11" fillId="6" borderId="37" xfId="0" applyFont="1" applyFill="1" applyBorder="1" applyAlignment="1">
      <alignment horizontal="center" vertical="center"/>
    </xf>
    <xf numFmtId="0" fontId="0" fillId="0" borderId="64" xfId="0" applyBorder="1" applyAlignment="1">
      <alignment horizontal="center" vertical="center" wrapText="1"/>
    </xf>
    <xf numFmtId="0" fontId="0" fillId="0" borderId="45" xfId="0" applyBorder="1" applyAlignment="1">
      <alignment horizontal="center" vertical="center" wrapText="1"/>
    </xf>
    <xf numFmtId="0" fontId="0" fillId="0" borderId="42" xfId="0" applyBorder="1" applyAlignment="1">
      <alignment horizontal="center" vertical="center" wrapText="1"/>
    </xf>
    <xf numFmtId="0" fontId="0" fillId="8" borderId="19" xfId="0" applyFill="1" applyBorder="1" applyAlignment="1">
      <alignment horizontal="left"/>
    </xf>
    <xf numFmtId="0" fontId="0" fillId="8" borderId="20" xfId="0" applyFill="1" applyBorder="1" applyAlignment="1">
      <alignment horizontal="left"/>
    </xf>
    <xf numFmtId="0" fontId="0" fillId="8" borderId="16" xfId="0" applyFill="1" applyBorder="1" applyAlignment="1">
      <alignment horizontal="left"/>
    </xf>
    <xf numFmtId="0" fontId="0" fillId="8" borderId="7" xfId="0" applyFill="1" applyBorder="1" applyAlignment="1">
      <alignment horizontal="left"/>
    </xf>
    <xf numFmtId="0" fontId="0" fillId="0" borderId="61" xfId="0" applyBorder="1" applyAlignment="1">
      <alignment horizontal="left" vertical="center"/>
    </xf>
    <xf numFmtId="0" fontId="0" fillId="0" borderId="62" xfId="0" applyBorder="1" applyAlignment="1">
      <alignment horizontal="left" vertical="center"/>
    </xf>
    <xf numFmtId="0" fontId="0" fillId="0" borderId="33" xfId="0" applyBorder="1" applyAlignment="1">
      <alignment horizontal="center" vertical="center"/>
    </xf>
    <xf numFmtId="0" fontId="0" fillId="0" borderId="41" xfId="0" applyBorder="1" applyAlignment="1">
      <alignment horizontal="center" vertical="center"/>
    </xf>
    <xf numFmtId="0" fontId="0" fillId="0" borderId="33" xfId="0" applyBorder="1" applyAlignment="1">
      <alignment horizontal="left"/>
    </xf>
    <xf numFmtId="0" fontId="0" fillId="0" borderId="43" xfId="0" applyBorder="1" applyAlignment="1">
      <alignment horizontal="left"/>
    </xf>
    <xf numFmtId="0" fontId="11" fillId="6" borderId="19" xfId="0" applyFont="1" applyFill="1" applyBorder="1" applyAlignment="1">
      <alignment horizontal="left"/>
    </xf>
    <xf numFmtId="0" fontId="11" fillId="6" borderId="20" xfId="0" applyFont="1" applyFill="1" applyBorder="1" applyAlignment="1">
      <alignment horizontal="left"/>
    </xf>
    <xf numFmtId="0" fontId="0" fillId="0" borderId="45" xfId="0" applyBorder="1" applyAlignment="1">
      <alignment horizontal="left"/>
    </xf>
    <xf numFmtId="0" fontId="0" fillId="0" borderId="46" xfId="0" applyBorder="1" applyAlignment="1">
      <alignment horizontal="left"/>
    </xf>
    <xf numFmtId="0" fontId="0" fillId="0" borderId="61" xfId="0" applyBorder="1" applyAlignment="1">
      <alignment horizontal="left"/>
    </xf>
    <xf numFmtId="0" fontId="0" fillId="0" borderId="62" xfId="0" applyBorder="1" applyAlignment="1">
      <alignment horizontal="left"/>
    </xf>
    <xf numFmtId="0" fontId="0" fillId="0" borderId="41" xfId="0" applyBorder="1" applyAlignment="1">
      <alignment horizontal="left"/>
    </xf>
    <xf numFmtId="0" fontId="0" fillId="0" borderId="34" xfId="0" applyBorder="1" applyAlignment="1">
      <alignment horizontal="left"/>
    </xf>
    <xf numFmtId="0" fontId="15" fillId="20" borderId="0" xfId="0" applyFont="1" applyFill="1" applyAlignment="1">
      <alignment horizontal="center" vertical="center"/>
    </xf>
    <xf numFmtId="0" fontId="16" fillId="20"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1" fillId="10" borderId="24" xfId="0" applyNumberFormat="1" applyFont="1" applyFill="1" applyBorder="1" applyAlignment="1">
      <alignment horizontal="center"/>
    </xf>
    <xf numFmtId="2" fontId="11" fillId="10" borderId="2" xfId="0" applyNumberFormat="1" applyFont="1" applyFill="1" applyBorder="1" applyAlignment="1">
      <alignment horizontal="center"/>
    </xf>
    <xf numFmtId="0" fontId="0" fillId="5" borderId="24" xfId="0" applyFill="1" applyBorder="1" applyAlignment="1">
      <alignment horizontal="left"/>
    </xf>
    <xf numFmtId="0" fontId="0" fillId="5" borderId="2" xfId="0" applyFill="1" applyBorder="1" applyAlignment="1">
      <alignment horizontal="left"/>
    </xf>
    <xf numFmtId="0" fontId="0" fillId="2" borderId="57" xfId="0" applyFill="1" applyBorder="1" applyAlignment="1">
      <alignment horizontal="left" vertical="center" wrapText="1"/>
    </xf>
    <xf numFmtId="0" fontId="0" fillId="2" borderId="58" xfId="0" applyFill="1" applyBorder="1" applyAlignment="1">
      <alignment horizontal="left" vertical="center" wrapText="1"/>
    </xf>
    <xf numFmtId="0" fontId="0" fillId="2" borderId="67" xfId="0" applyFill="1" applyBorder="1" applyAlignment="1">
      <alignment horizontal="left" vertical="center" wrapText="1"/>
    </xf>
    <xf numFmtId="0" fontId="0" fillId="2" borderId="68" xfId="0" applyFill="1" applyBorder="1" applyAlignment="1">
      <alignment horizontal="left" vertical="center" wrapText="1"/>
    </xf>
    <xf numFmtId="0" fontId="11" fillId="5" borderId="16" xfId="0" applyFont="1" applyFill="1" applyBorder="1" applyAlignment="1">
      <alignment horizontal="center"/>
    </xf>
    <xf numFmtId="0" fontId="11" fillId="5" borderId="17" xfId="0" applyFont="1" applyFill="1" applyBorder="1" applyAlignment="1">
      <alignment horizontal="center"/>
    </xf>
    <xf numFmtId="0" fontId="11" fillId="5" borderId="7" xfId="0" applyFont="1" applyFill="1" applyBorder="1" applyAlignment="1">
      <alignment horizontal="center"/>
    </xf>
    <xf numFmtId="0" fontId="11" fillId="5" borderId="24" xfId="0" applyFont="1" applyFill="1" applyBorder="1" applyAlignment="1">
      <alignment horizontal="center"/>
    </xf>
    <xf numFmtId="0" fontId="11" fillId="5"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5" borderId="6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1" fontId="11" fillId="16" borderId="24" xfId="0" applyNumberFormat="1" applyFont="1" applyFill="1" applyBorder="1" applyAlignment="1">
      <alignment horizontal="center"/>
    </xf>
    <xf numFmtId="171" fontId="11" fillId="16" borderId="2" xfId="0" applyNumberFormat="1" applyFont="1" applyFill="1" applyBorder="1" applyAlignment="1">
      <alignment horizontal="center"/>
    </xf>
    <xf numFmtId="0" fontId="11" fillId="5" borderId="24" xfId="0" applyFont="1" applyFill="1" applyBorder="1" applyAlignment="1">
      <alignment horizontal="center" vertical="center" wrapText="1"/>
    </xf>
    <xf numFmtId="0" fontId="11" fillId="5" borderId="2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1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8" fillId="6" borderId="16" xfId="0" applyFont="1" applyFill="1" applyBorder="1" applyAlignment="1">
      <alignment horizontal="center"/>
    </xf>
    <xf numFmtId="0" fontId="8" fillId="6" borderId="17" xfId="0" applyFont="1" applyFill="1" applyBorder="1" applyAlignment="1">
      <alignment horizontal="center"/>
    </xf>
    <xf numFmtId="0" fontId="8"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1" fillId="18" borderId="13" xfId="0" applyFont="1" applyFill="1" applyBorder="1" applyAlignment="1">
      <alignment horizontal="center"/>
    </xf>
    <xf numFmtId="0" fontId="11" fillId="18" borderId="8" xfId="0" applyFont="1" applyFill="1" applyBorder="1" applyAlignment="1">
      <alignment horizontal="center"/>
    </xf>
    <xf numFmtId="0" fontId="11" fillId="18" borderId="9" xfId="0" applyFont="1" applyFill="1" applyBorder="1" applyAlignment="1">
      <alignment horizontal="center"/>
    </xf>
    <xf numFmtId="0" fontId="11" fillId="18" borderId="15" xfId="0" applyFont="1" applyFill="1" applyBorder="1" applyAlignment="1">
      <alignment horizontal="center"/>
    </xf>
    <xf numFmtId="0" fontId="11" fillId="18" borderId="11" xfId="0" applyFont="1" applyFill="1" applyBorder="1" applyAlignment="1">
      <alignment horizontal="center"/>
    </xf>
    <xf numFmtId="0" fontId="11" fillId="18" borderId="12" xfId="0" applyFont="1" applyFill="1" applyBorder="1" applyAlignment="1">
      <alignment horizontal="center"/>
    </xf>
    <xf numFmtId="0" fontId="7" fillId="2" borderId="22"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23" xfId="0" applyFont="1" applyFill="1" applyBorder="1" applyAlignment="1">
      <alignment horizontal="left" vertical="top" wrapText="1"/>
    </xf>
    <xf numFmtId="0" fontId="20" fillId="9" borderId="53" xfId="0" applyFont="1" applyFill="1" applyBorder="1" applyAlignment="1">
      <alignment horizontal="center" vertical="center"/>
    </xf>
    <xf numFmtId="0" fontId="8" fillId="9" borderId="30" xfId="0" applyFont="1" applyFill="1" applyBorder="1" applyAlignment="1">
      <alignment horizontal="center" vertical="center"/>
    </xf>
    <xf numFmtId="0" fontId="8" fillId="9" borderId="47" xfId="0" applyFont="1" applyFill="1" applyBorder="1" applyAlignment="1">
      <alignment horizontal="center" vertical="center"/>
    </xf>
    <xf numFmtId="0" fontId="8" fillId="9" borderId="41" xfId="0" applyFont="1" applyFill="1" applyBorder="1" applyAlignment="1">
      <alignment horizontal="center" vertical="center"/>
    </xf>
    <xf numFmtId="0" fontId="8" fillId="9" borderId="34" xfId="0" applyFont="1" applyFill="1" applyBorder="1" applyAlignment="1">
      <alignment horizontal="center" vertical="center"/>
    </xf>
    <xf numFmtId="0" fontId="20" fillId="9" borderId="30" xfId="0" applyFont="1" applyFill="1" applyBorder="1" applyAlignment="1">
      <alignment horizontal="center" vertical="center"/>
    </xf>
    <xf numFmtId="0" fontId="20" fillId="9" borderId="47" xfId="0" applyFont="1" applyFill="1" applyBorder="1" applyAlignment="1">
      <alignment horizontal="center" vertical="center"/>
    </xf>
    <xf numFmtId="0" fontId="20" fillId="9" borderId="33" xfId="0" applyFont="1" applyFill="1" applyBorder="1" applyAlignment="1">
      <alignment horizontal="center" vertical="center"/>
    </xf>
    <xf numFmtId="0" fontId="20" fillId="9" borderId="43" xfId="0" applyFont="1" applyFill="1" applyBorder="1" applyAlignment="1">
      <alignment horizontal="center" vertical="center"/>
    </xf>
    <xf numFmtId="0" fontId="20" fillId="9" borderId="35" xfId="0" applyFont="1" applyFill="1" applyBorder="1" applyAlignment="1">
      <alignment horizontal="center" vertical="center"/>
    </xf>
    <xf numFmtId="0" fontId="20" fillId="9" borderId="44" xfId="0" applyFont="1" applyFill="1" applyBorder="1" applyAlignment="1">
      <alignment horizontal="center" vertical="center"/>
    </xf>
    <xf numFmtId="0" fontId="20" fillId="9" borderId="13" xfId="0" applyFont="1" applyFill="1" applyBorder="1" applyAlignment="1">
      <alignment horizontal="center" vertical="center"/>
    </xf>
    <xf numFmtId="0" fontId="20" fillId="9" borderId="9" xfId="0" applyFont="1" applyFill="1" applyBorder="1" applyAlignment="1">
      <alignment horizontal="center" vertical="center"/>
    </xf>
    <xf numFmtId="0" fontId="20" fillId="9" borderId="14" xfId="0" applyFont="1" applyFill="1" applyBorder="1" applyAlignment="1">
      <alignment horizontal="center" vertical="center"/>
    </xf>
    <xf numFmtId="0" fontId="20" fillId="9" borderId="10" xfId="0" applyFont="1" applyFill="1" applyBorder="1" applyAlignment="1">
      <alignment horizontal="center" vertical="center"/>
    </xf>
    <xf numFmtId="0" fontId="20" fillId="9" borderId="15" xfId="0" applyFont="1" applyFill="1" applyBorder="1" applyAlignment="1">
      <alignment horizontal="center" vertical="center"/>
    </xf>
    <xf numFmtId="0" fontId="20" fillId="9" borderId="12" xfId="0" applyFont="1" applyFill="1" applyBorder="1" applyAlignment="1">
      <alignment horizontal="center" vertical="center"/>
    </xf>
    <xf numFmtId="166" fontId="22" fillId="13" borderId="48" xfId="2" applyFont="1" applyFill="1" applyBorder="1" applyAlignment="1">
      <alignment horizontal="center" vertical="center"/>
    </xf>
    <xf numFmtId="166" fontId="22" fillId="13" borderId="50" xfId="2" applyFont="1" applyFill="1" applyBorder="1" applyAlignment="1">
      <alignment horizontal="center" vertical="center"/>
    </xf>
    <xf numFmtId="166" fontId="22" fillId="13" borderId="39" xfId="2" applyFont="1" applyFill="1" applyBorder="1" applyAlignment="1">
      <alignment horizontal="center" vertical="center"/>
    </xf>
    <xf numFmtId="166" fontId="22" fillId="13" borderId="42" xfId="2" applyFont="1" applyFill="1" applyBorder="1" applyAlignment="1">
      <alignment horizontal="center" vertical="center"/>
    </xf>
    <xf numFmtId="166" fontId="22" fillId="13" borderId="38" xfId="2" applyFont="1" applyFill="1" applyBorder="1" applyAlignment="1">
      <alignment horizontal="center" vertical="center"/>
    </xf>
    <xf numFmtId="0" fontId="11" fillId="13" borderId="35" xfId="0" applyFont="1" applyFill="1" applyBorder="1" applyAlignment="1">
      <alignment horizontal="center" vertical="center" wrapText="1"/>
    </xf>
    <xf numFmtId="0" fontId="11" fillId="13" borderId="44" xfId="0" applyFont="1" applyFill="1" applyBorder="1" applyAlignment="1">
      <alignment horizontal="center" vertical="center" wrapText="1"/>
    </xf>
    <xf numFmtId="0" fontId="20" fillId="21" borderId="16" xfId="0" applyFont="1" applyFill="1" applyBorder="1" applyAlignment="1">
      <alignment horizontal="left"/>
    </xf>
    <xf numFmtId="0" fontId="20" fillId="21" borderId="17" xfId="0" applyFont="1" applyFill="1" applyBorder="1" applyAlignment="1">
      <alignment horizontal="left"/>
    </xf>
    <xf numFmtId="0" fontId="20" fillId="21" borderId="7" xfId="0" applyFont="1" applyFill="1" applyBorder="1" applyAlignment="1">
      <alignment horizontal="left"/>
    </xf>
    <xf numFmtId="0" fontId="20" fillId="13" borderId="53" xfId="0" applyFont="1" applyFill="1" applyBorder="1" applyAlignment="1">
      <alignment horizontal="center" vertical="center"/>
    </xf>
    <xf numFmtId="0" fontId="8" fillId="13" borderId="41" xfId="0" applyFont="1" applyFill="1" applyBorder="1" applyAlignment="1">
      <alignment horizontal="center" vertical="center"/>
    </xf>
    <xf numFmtId="0" fontId="8" fillId="13" borderId="34" xfId="0" applyFont="1" applyFill="1" applyBorder="1" applyAlignment="1">
      <alignment horizontal="center" vertical="center"/>
    </xf>
    <xf numFmtId="0" fontId="20" fillId="13" borderId="30" xfId="0" applyFont="1" applyFill="1" applyBorder="1" applyAlignment="1">
      <alignment horizontal="center" vertical="center"/>
    </xf>
    <xf numFmtId="0" fontId="20" fillId="13" borderId="47" xfId="0" applyFont="1" applyFill="1" applyBorder="1" applyAlignment="1">
      <alignment horizontal="center" vertical="center"/>
    </xf>
    <xf numFmtId="0" fontId="20" fillId="13" borderId="33" xfId="0" applyFont="1" applyFill="1" applyBorder="1" applyAlignment="1">
      <alignment horizontal="center" vertical="center"/>
    </xf>
    <xf numFmtId="0" fontId="20" fillId="13" borderId="43" xfId="0" applyFont="1" applyFill="1" applyBorder="1" applyAlignment="1">
      <alignment horizontal="center" vertical="center"/>
    </xf>
    <xf numFmtId="0" fontId="20" fillId="13" borderId="35" xfId="0" applyFont="1" applyFill="1" applyBorder="1" applyAlignment="1">
      <alignment horizontal="center" vertical="center"/>
    </xf>
    <xf numFmtId="0" fontId="20" fillId="13" borderId="44" xfId="0" applyFont="1" applyFill="1" applyBorder="1" applyAlignment="1">
      <alignment horizontal="center" vertical="center"/>
    </xf>
    <xf numFmtId="0" fontId="20" fillId="13" borderId="13" xfId="0" applyFont="1" applyFill="1" applyBorder="1" applyAlignment="1">
      <alignment horizontal="center" vertical="center"/>
    </xf>
    <xf numFmtId="0" fontId="20" fillId="13" borderId="9" xfId="0" applyFont="1" applyFill="1" applyBorder="1" applyAlignment="1">
      <alignment horizontal="center" vertical="center"/>
    </xf>
    <xf numFmtId="0" fontId="20" fillId="13" borderId="14" xfId="0" applyFont="1" applyFill="1" applyBorder="1" applyAlignment="1">
      <alignment horizontal="center" vertical="center"/>
    </xf>
    <xf numFmtId="0" fontId="20" fillId="13" borderId="10" xfId="0" applyFont="1" applyFill="1" applyBorder="1" applyAlignment="1">
      <alignment horizontal="center" vertical="center"/>
    </xf>
    <xf numFmtId="0" fontId="20" fillId="13" borderId="15" xfId="0" applyFont="1" applyFill="1" applyBorder="1" applyAlignment="1">
      <alignment horizontal="center" vertical="center"/>
    </xf>
    <xf numFmtId="0" fontId="20" fillId="13" borderId="12" xfId="0" applyFont="1" applyFill="1" applyBorder="1" applyAlignment="1">
      <alignment horizontal="center" vertical="center"/>
    </xf>
    <xf numFmtId="166" fontId="22" fillId="13" borderId="51" xfId="2" applyFont="1" applyFill="1" applyBorder="1" applyAlignment="1">
      <alignment horizontal="center" vertical="center"/>
    </xf>
    <xf numFmtId="166" fontId="22" fillId="13" borderId="27" xfId="2" applyFont="1" applyFill="1" applyBorder="1" applyAlignment="1">
      <alignment horizontal="center" vertical="center"/>
    </xf>
    <xf numFmtId="166" fontId="22" fillId="13" borderId="52" xfId="2" applyFont="1" applyFill="1" applyBorder="1" applyAlignment="1">
      <alignment horizontal="center" vertical="center"/>
    </xf>
    <xf numFmtId="0" fontId="11" fillId="13" borderId="51" xfId="0" applyFont="1" applyFill="1" applyBorder="1" applyAlignment="1">
      <alignment horizontal="center" vertical="center"/>
    </xf>
    <xf numFmtId="0" fontId="11" fillId="13" borderId="16" xfId="0" applyFont="1" applyFill="1" applyBorder="1" applyAlignment="1">
      <alignment horizontal="center" vertical="center"/>
    </xf>
    <xf numFmtId="0" fontId="11" fillId="13" borderId="7" xfId="0" applyFont="1" applyFill="1" applyBorder="1" applyAlignment="1">
      <alignment horizontal="center" vertical="center"/>
    </xf>
    <xf numFmtId="0" fontId="11" fillId="13" borderId="8" xfId="0" applyFont="1" applyFill="1" applyBorder="1" applyAlignment="1">
      <alignment horizontal="center" vertical="center"/>
    </xf>
    <xf numFmtId="0" fontId="11" fillId="13" borderId="9" xfId="0" applyFont="1" applyFill="1" applyBorder="1" applyAlignment="1">
      <alignment horizontal="center" vertical="center"/>
    </xf>
    <xf numFmtId="0" fontId="11" fillId="13" borderId="13" xfId="0" applyFont="1" applyFill="1" applyBorder="1" applyAlignment="1">
      <alignment horizontal="center" vertical="center"/>
    </xf>
    <xf numFmtId="0" fontId="8" fillId="13" borderId="11" xfId="0" applyFont="1" applyFill="1" applyBorder="1" applyAlignment="1">
      <alignment horizontal="left"/>
    </xf>
    <xf numFmtId="0" fontId="8" fillId="13" borderId="12" xfId="0" applyFont="1" applyFill="1" applyBorder="1" applyAlignment="1">
      <alignment horizontal="left"/>
    </xf>
  </cellXfs>
  <cellStyles count="7">
    <cellStyle name="Comma" xfId="2" builtinId="3"/>
    <cellStyle name="Currency" xfId="6" builtinId="4"/>
    <cellStyle name="Hyperlink" xfId="1" builtinId="8"/>
    <cellStyle name="Normal" xfId="0" builtinId="0"/>
    <cellStyle name="Normal 2 14" xfId="4" xr:uid="{00000000-0005-0000-0000-000004000000}"/>
    <cellStyle name="Normal 2 15" xfId="5" xr:uid="{00000000-0005-0000-0000-00000500000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2022</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Hipótesis!$D$24</c:f>
              <c:numCache>
                <c:formatCode>_-"$"\ * #,##0.00_-;\-"$"\ * #,##0.00_-;_-"$"\ * "-"??_-;_-@_-</c:formatCode>
                <c:ptCount val="1"/>
                <c:pt idx="0">
                  <c:v>18750000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Hipótesis!$D$25</c:f>
              <c:numCache>
                <c:formatCode>_-"$"\ * #,##0.00_-;\-"$"\ * #,##0.00_-;_-"$"\ * "-"??_-;_-@_-</c:formatCode>
                <c:ptCount val="1"/>
                <c:pt idx="0">
                  <c:v>43750000.000000007</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2024</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Hipótesis!$D$26</c:f>
              <c:numCache>
                <c:formatCode>_-"$"\ * #,##0.00_-;\-"$"\ * #,##0.00_-;_-"$"\ * "-"??_-;_-@_-</c:formatCode>
                <c:ptCount val="1"/>
                <c:pt idx="0">
                  <c:v>75000000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5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2021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1.6244921863008188E-2"/>
                  <c:y val="2.926828893562653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6.2480468703877724E-3"/>
                  <c:y val="2.439024077968875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dLbl>
              <c:idx val="8"/>
              <c:layout>
                <c:manualLayout>
                  <c:x val="-1.1454620270960064E-17"/>
                  <c:y val="-4.878048155937756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A85-40A9-9793-B381DA40BF8B}"/>
                </c:ext>
              </c:extLst>
            </c:dLbl>
            <c:dLbl>
              <c:idx val="9"/>
              <c:layout>
                <c:manualLayout>
                  <c:x val="-6.6229296826110257E-2"/>
                  <c:y val="-4.715446550739832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A85-40A9-9793-B381DA40BF8B}"/>
                </c:ext>
              </c:extLst>
            </c:dLbl>
            <c:dLbl>
              <c:idx val="10"/>
              <c:layout>
                <c:manualLayout>
                  <c:x val="2.7491406229706146E-2"/>
                  <c:y val="1.6260160519792222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ingresos'!$E$17:$E$29</c:f>
              <c:numCache>
                <c:formatCode>_-"$"\ * #,##0.00_-;\-"$"\ * #,##0.00_-;_-"$"\ * "-"??_-;_-@_-</c:formatCode>
                <c:ptCount val="13"/>
                <c:pt idx="0">
                  <c:v>3700000000</c:v>
                </c:pt>
                <c:pt idx="1">
                  <c:v>3335000000</c:v>
                </c:pt>
                <c:pt idx="2">
                  <c:v>1449000000</c:v>
                </c:pt>
                <c:pt idx="3">
                  <c:v>9482500000</c:v>
                </c:pt>
                <c:pt idx="4">
                  <c:v>1128000000</c:v>
                </c:pt>
                <c:pt idx="5">
                  <c:v>850000000</c:v>
                </c:pt>
                <c:pt idx="6">
                  <c:v>1920000000</c:v>
                </c:pt>
                <c:pt idx="7">
                  <c:v>800000000</c:v>
                </c:pt>
                <c:pt idx="8">
                  <c:v>0</c:v>
                </c:pt>
                <c:pt idx="9">
                  <c:v>0</c:v>
                </c:pt>
                <c:pt idx="10">
                  <c:v>0</c:v>
                </c:pt>
                <c:pt idx="11">
                  <c:v>0</c:v>
                </c:pt>
                <c:pt idx="12">
                  <c:v>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2019</c:v>
                </c:pt>
                <c:pt idx="1">
                  <c:v>2020</c:v>
                </c:pt>
                <c:pt idx="2">
                  <c:v>2021</c:v>
                </c:pt>
              </c:numCache>
            </c:numRef>
          </c:cat>
          <c:val>
            <c:numRef>
              <c:f>'Mod. egresos'!$B$10:$D$10</c:f>
              <c:numCache>
                <c:formatCode>"$"\ #,##0.00</c:formatCode>
                <c:ptCount val="3"/>
                <c:pt idx="0">
                  <c:v>2343935.7000000002</c:v>
                </c:pt>
                <c:pt idx="1">
                  <c:v>2614351.9749999996</c:v>
                </c:pt>
                <c:pt idx="2">
                  <c:v>2971977.4835000001</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2019</c:v>
                </c:pt>
                <c:pt idx="1">
                  <c:v>2020</c:v>
                </c:pt>
                <c:pt idx="2">
                  <c:v>2021</c:v>
                </c:pt>
              </c:numCache>
            </c:numRef>
          </c:cat>
          <c:val>
            <c:numRef>
              <c:f>'Mod. egresos'!$B$11:$D$11</c:f>
              <c:numCache>
                <c:formatCode>"$"\ #,##0.00</c:formatCode>
                <c:ptCount val="3"/>
                <c:pt idx="0">
                  <c:v>0</c:v>
                </c:pt>
                <c:pt idx="1">
                  <c:v>0</c:v>
                </c:pt>
                <c:pt idx="2">
                  <c:v>0</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2019</c:v>
                </c:pt>
                <c:pt idx="1">
                  <c:v>2020</c:v>
                </c:pt>
                <c:pt idx="2">
                  <c:v>2021</c:v>
                </c:pt>
              </c:numCache>
            </c:numRef>
          </c:cat>
          <c:val>
            <c:numRef>
              <c:f>'Mod. egresos'!$B$12:$D$12</c:f>
              <c:numCache>
                <c:formatCode>"$"\ #,##0.00</c:formatCode>
                <c:ptCount val="3"/>
                <c:pt idx="0">
                  <c:v>7341662.4450000012</c:v>
                </c:pt>
                <c:pt idx="1">
                  <c:v>8446303.9266666677</c:v>
                </c:pt>
                <c:pt idx="2">
                  <c:v>10262133.115833335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2019</c:v>
                </c:pt>
                <c:pt idx="1">
                  <c:v>2020</c:v>
                </c:pt>
                <c:pt idx="2">
                  <c:v>2021</c:v>
                </c:pt>
              </c:numCache>
            </c:numRef>
          </c:cat>
          <c:val>
            <c:numRef>
              <c:f>'Mod. egresos'!$B$14:$D$14</c:f>
              <c:numCache>
                <c:formatCode>"$"\ #,##0.00</c:formatCode>
                <c:ptCount val="3"/>
                <c:pt idx="0">
                  <c:v>18750000</c:v>
                </c:pt>
                <c:pt idx="1">
                  <c:v>43750000.000000007</c:v>
                </c:pt>
                <c:pt idx="2">
                  <c:v>75000000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'Proy. ventas'!$E$16:$F$16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ventas'!$F$27</c:f>
              <c:numCache>
                <c:formatCode>_-"$"\ * #,##0.00_-;\-"$"\ * #,##0.00_-;_-"$"\ * "-"??_-;_-@_-</c:formatCode>
                <c:ptCount val="1"/>
                <c:pt idx="0">
                  <c:v>1086000</c:v>
                </c:pt>
              </c:numCache>
            </c:numRef>
          </c:val>
          <c:extLst>
            <c:ext xmlns:c16="http://schemas.microsoft.com/office/drawing/2014/chart" uri="{C3380CC4-5D6E-409C-BE32-E72D297353CC}">
              <c16:uniqueId val="{00000000-4DA9-477F-8514-E5E1C16EC836}"/>
            </c:ext>
          </c:extLst>
        </c:ser>
        <c:ser>
          <c:idx val="1"/>
          <c:order val="1"/>
          <c:tx>
            <c:strRef>
              <c:f>'Proy. ventas'!$G$16:$H$16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ventas'!$H$27</c:f>
              <c:numCache>
                <c:formatCode>_-"$"\ * #,##0.00_-;\-"$"\ * #,##0.00_-;_-"$"\ * "-"??_-;_-@_-</c:formatCode>
                <c:ptCount val="1"/>
                <c:pt idx="0">
                  <c:v>724000</c:v>
                </c:pt>
              </c:numCache>
            </c:numRef>
          </c:val>
          <c:extLst>
            <c:ext xmlns:c16="http://schemas.microsoft.com/office/drawing/2014/chart" uri="{C3380CC4-5D6E-409C-BE32-E72D297353CC}">
              <c16:uniqueId val="{00000001-4DA9-477F-8514-E5E1C16EC836}"/>
            </c:ext>
          </c:extLst>
        </c:ser>
        <c:ser>
          <c:idx val="2"/>
          <c:order val="2"/>
          <c:tx>
            <c:strRef>
              <c:f>'Proy. ventas'!$I$16:$J$16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ventas'!$J$27</c:f>
              <c:numCache>
                <c:formatCode>_-"$"\ * #,##0.00_-;\-"$"\ * #,##0.00_-;_-"$"\ * "-"??_-;_-@_-</c:formatCode>
                <c:ptCount val="1"/>
                <c:pt idx="0">
                  <c:v>1448000</c:v>
                </c:pt>
              </c:numCache>
            </c:numRef>
          </c:val>
          <c:extLst>
            <c:ext xmlns:c16="http://schemas.microsoft.com/office/drawing/2014/chart" uri="{C3380CC4-5D6E-409C-BE32-E72D297353CC}">
              <c16:uniqueId val="{00000002-4DA9-477F-8514-E5E1C16EC836}"/>
            </c:ext>
          </c:extLst>
        </c:ser>
        <c:ser>
          <c:idx val="3"/>
          <c:order val="3"/>
          <c:tx>
            <c:strRef>
              <c:f>'Proy. ventas'!$K$16:$L$16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ventas'!$L$27</c:f>
              <c:numCache>
                <c:formatCode>_-"$"\ * #,##0.00_-;\-"$"\ * #,##0.00_-;_-"$"\ * "-"??_-;_-@_-</c:formatCode>
                <c:ptCount val="1"/>
                <c:pt idx="0">
                  <c:v>1267000</c:v>
                </c:pt>
              </c:numCache>
            </c:numRef>
          </c:val>
          <c:extLst>
            <c:ext xmlns:c16="http://schemas.microsoft.com/office/drawing/2014/chart" uri="{C3380CC4-5D6E-409C-BE32-E72D297353CC}">
              <c16:uniqueId val="{00000003-4DA9-477F-8514-E5E1C16EC836}"/>
            </c:ext>
          </c:extLst>
        </c:ser>
        <c:ser>
          <c:idx val="4"/>
          <c:order val="4"/>
          <c:tx>
            <c:strRef>
              <c:f>'Proy. ventas'!$M$16:$N$16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ventas'!$N$27</c:f>
              <c:numCache>
                <c:formatCode>_-"$"\ * #,##0.00_-;\-"$"\ * #,##0.00_-;_-"$"\ * "-"??_-;_-@_-</c:formatCode>
                <c:ptCount val="1"/>
                <c:pt idx="0">
                  <c:v>1991000</c:v>
                </c:pt>
              </c:numCache>
            </c:numRef>
          </c:val>
          <c:extLst>
            <c:ext xmlns:c16="http://schemas.microsoft.com/office/drawing/2014/chart" uri="{C3380CC4-5D6E-409C-BE32-E72D297353CC}">
              <c16:uniqueId val="{00000004-4DA9-477F-8514-E5E1C16EC836}"/>
            </c:ext>
          </c:extLst>
        </c:ser>
        <c:ser>
          <c:idx val="5"/>
          <c:order val="5"/>
          <c:tx>
            <c:strRef>
              <c:f>'Proy. ventas'!$O$16:$P$16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ventas'!$P$27</c:f>
              <c:numCache>
                <c:formatCode>_-"$"\ * #,##0.00_-;\-"$"\ * #,##0.00_-;_-"$"\ * "-"??_-;_-@_-</c:formatCode>
                <c:ptCount val="1"/>
                <c:pt idx="0">
                  <c:v>724000</c:v>
                </c:pt>
              </c:numCache>
            </c:numRef>
          </c:val>
          <c:extLst>
            <c:ext xmlns:c16="http://schemas.microsoft.com/office/drawing/2014/chart" uri="{C3380CC4-5D6E-409C-BE32-E72D297353CC}">
              <c16:uniqueId val="{00000005-4DA9-477F-8514-E5E1C16EC836}"/>
            </c:ext>
          </c:extLst>
        </c:ser>
        <c:ser>
          <c:idx val="6"/>
          <c:order val="6"/>
          <c:tx>
            <c:strRef>
              <c:f>'Proy. ventas'!$Q$16:$R$16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ventas'!$R$27</c:f>
              <c:numCache>
                <c:formatCode>_-"$"\ * #,##0.00_-;\-"$"\ * #,##0.00_-;_-"$"\ * "-"??_-;_-@_-</c:formatCode>
                <c:ptCount val="1"/>
                <c:pt idx="0">
                  <c:v>1086000</c:v>
                </c:pt>
              </c:numCache>
            </c:numRef>
          </c:val>
          <c:extLst>
            <c:ext xmlns:c16="http://schemas.microsoft.com/office/drawing/2014/chart" uri="{C3380CC4-5D6E-409C-BE32-E72D297353CC}">
              <c16:uniqueId val="{00000006-4DA9-477F-8514-E5E1C16EC836}"/>
            </c:ext>
          </c:extLst>
        </c:ser>
        <c:ser>
          <c:idx val="7"/>
          <c:order val="7"/>
          <c:tx>
            <c:strRef>
              <c:f>'Proy. ventas'!$S$16:$T$16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ventas'!$T$27</c:f>
              <c:numCache>
                <c:formatCode>_-"$"\ * #,##0.00_-;\-"$"\ * #,##0.00_-;_-"$"\ * "-"??_-;_-@_-</c:formatCode>
                <c:ptCount val="1"/>
                <c:pt idx="0">
                  <c:v>2172000</c:v>
                </c:pt>
              </c:numCache>
            </c:numRef>
          </c:val>
          <c:extLst>
            <c:ext xmlns:c16="http://schemas.microsoft.com/office/drawing/2014/chart" uri="{C3380CC4-5D6E-409C-BE32-E72D297353CC}">
              <c16:uniqueId val="{00000007-4DA9-477F-8514-E5E1C16EC836}"/>
            </c:ext>
          </c:extLst>
        </c:ser>
        <c:ser>
          <c:idx val="8"/>
          <c:order val="8"/>
          <c:tx>
            <c:strRef>
              <c:f>'Proy. ventas'!$U$16:$V$16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ventas'!$V$27</c:f>
              <c:numCache>
                <c:formatCode>_-"$"\ * #,##0.00_-;\-"$"\ * #,##0.00_-;_-"$"\ * "-"??_-;_-@_-</c:formatCode>
                <c:ptCount val="1"/>
                <c:pt idx="0">
                  <c:v>1991000</c:v>
                </c:pt>
              </c:numCache>
            </c:numRef>
          </c:val>
          <c:extLst>
            <c:ext xmlns:c16="http://schemas.microsoft.com/office/drawing/2014/chart" uri="{C3380CC4-5D6E-409C-BE32-E72D297353CC}">
              <c16:uniqueId val="{00000008-4DA9-477F-8514-E5E1C16EC836}"/>
            </c:ext>
          </c:extLst>
        </c:ser>
        <c:ser>
          <c:idx val="9"/>
          <c:order val="9"/>
          <c:tx>
            <c:strRef>
              <c:f>'Proy. ventas'!$W$16:$X$16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ventas'!$X$27</c:f>
              <c:numCache>
                <c:formatCode>_-"$"\ * #,##0.00_-;\-"$"\ * #,##0.00_-;_-"$"\ * "-"??_-;_-@_-</c:formatCode>
                <c:ptCount val="1"/>
                <c:pt idx="0">
                  <c:v>2534000</c:v>
                </c:pt>
              </c:numCache>
            </c:numRef>
          </c:val>
          <c:extLst>
            <c:ext xmlns:c16="http://schemas.microsoft.com/office/drawing/2014/chart" uri="{C3380CC4-5D6E-409C-BE32-E72D297353CC}">
              <c16:uniqueId val="{00000009-4DA9-477F-8514-E5E1C16EC836}"/>
            </c:ext>
          </c:extLst>
        </c:ser>
        <c:ser>
          <c:idx val="10"/>
          <c:order val="10"/>
          <c:tx>
            <c:strRef>
              <c:f>'Proy. ventas'!$Y$16:$Z$16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ventas'!$Z$27</c:f>
              <c:numCache>
                <c:formatCode>_-"$"\ * #,##0.00_-;\-"$"\ * #,##0.00_-;_-"$"\ * "-"??_-;_-@_-</c:formatCode>
                <c:ptCount val="1"/>
                <c:pt idx="0">
                  <c:v>1448000</c:v>
                </c:pt>
              </c:numCache>
            </c:numRef>
          </c:val>
          <c:extLst>
            <c:ext xmlns:c16="http://schemas.microsoft.com/office/drawing/2014/chart" uri="{C3380CC4-5D6E-409C-BE32-E72D297353CC}">
              <c16:uniqueId val="{0000000A-4DA9-477F-8514-E5E1C16EC836}"/>
            </c:ext>
          </c:extLst>
        </c:ser>
        <c:ser>
          <c:idx val="11"/>
          <c:order val="11"/>
          <c:tx>
            <c:strRef>
              <c:f>'Proy. ventas'!$AA$16:$AB$16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ventas'!$AB$27</c:f>
              <c:numCache>
                <c:formatCode>_-"$"\ * #,##0.00_-;\-"$"\ * #,##0.00_-;_-"$"\ * "-"??_-;_-@_-</c:formatCode>
                <c:ptCount val="1"/>
                <c:pt idx="0">
                  <c:v>1629000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s-AR" sz="1600" b="1"/>
              <a:t>Proyección mensual</a:t>
            </a:r>
            <a:r>
              <a:rPr lang="es-AR" sz="1600" b="1" baseline="0"/>
              <a:t> de ventas 2020</a:t>
            </a:r>
            <a:endParaRPr lang="es-AR"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ventas'!$E$72:$F$72</c:f>
              <c:strCache>
                <c:ptCount val="1"/>
                <c:pt idx="0">
                  <c:v>Enero</c:v>
                </c:pt>
              </c:strCache>
            </c:strRef>
          </c:tx>
          <c:spPr>
            <a:solidFill>
              <a:schemeClr val="accent1"/>
            </a:solidFill>
            <a:ln>
              <a:noFill/>
            </a:ln>
            <a:effectLst/>
          </c:spPr>
          <c:invertIfNegative val="0"/>
          <c:val>
            <c:numRef>
              <c:f>'Proy. ventas'!$F$83</c:f>
              <c:numCache>
                <c:formatCode>_-"$"\ * #,##0.00_-;\-"$"\ * #,##0.00_-;_-"$"\ * "-"??_-;_-@_-</c:formatCode>
                <c:ptCount val="1"/>
                <c:pt idx="0">
                  <c:v>720120000</c:v>
                </c:pt>
              </c:numCache>
            </c:numRef>
          </c:val>
          <c:extLst>
            <c:ext xmlns:c16="http://schemas.microsoft.com/office/drawing/2014/chart" uri="{C3380CC4-5D6E-409C-BE32-E72D297353CC}">
              <c16:uniqueId val="{00000000-916A-4904-8F5A-19D256CB58D9}"/>
            </c:ext>
          </c:extLst>
        </c:ser>
        <c:ser>
          <c:idx val="1"/>
          <c:order val="1"/>
          <c:tx>
            <c:strRef>
              <c:f>'Proy. ventas'!$G$72:$H$72</c:f>
              <c:strCache>
                <c:ptCount val="1"/>
                <c:pt idx="0">
                  <c:v>Febrero</c:v>
                </c:pt>
              </c:strCache>
            </c:strRef>
          </c:tx>
          <c:spPr>
            <a:solidFill>
              <a:schemeClr val="accent2"/>
            </a:solidFill>
            <a:ln>
              <a:noFill/>
            </a:ln>
            <a:effectLst/>
          </c:spPr>
          <c:invertIfNegative val="0"/>
          <c:val>
            <c:numRef>
              <c:f>'Proy. ventas'!$H$83</c:f>
              <c:numCache>
                <c:formatCode>_-"$"\ * #,##0.00_-;\-"$"\ * #,##0.00_-;_-"$"\ * "-"??_-;_-@_-</c:formatCode>
                <c:ptCount val="1"/>
                <c:pt idx="0">
                  <c:v>480080000</c:v>
                </c:pt>
              </c:numCache>
            </c:numRef>
          </c:val>
          <c:extLst>
            <c:ext xmlns:c16="http://schemas.microsoft.com/office/drawing/2014/chart" uri="{C3380CC4-5D6E-409C-BE32-E72D297353CC}">
              <c16:uniqueId val="{00000001-916A-4904-8F5A-19D256CB58D9}"/>
            </c:ext>
          </c:extLst>
        </c:ser>
        <c:ser>
          <c:idx val="2"/>
          <c:order val="2"/>
          <c:tx>
            <c:strRef>
              <c:f>'Proy. ventas'!$I$72:$J$72</c:f>
              <c:strCache>
                <c:ptCount val="1"/>
                <c:pt idx="0">
                  <c:v>Marzo</c:v>
                </c:pt>
              </c:strCache>
            </c:strRef>
          </c:tx>
          <c:spPr>
            <a:solidFill>
              <a:schemeClr val="accent3"/>
            </a:solidFill>
            <a:ln>
              <a:noFill/>
            </a:ln>
            <a:effectLst/>
          </c:spPr>
          <c:invertIfNegative val="0"/>
          <c:val>
            <c:numRef>
              <c:f>'Proy. ventas'!$J$83</c:f>
              <c:numCache>
                <c:formatCode>_-"$"\ * #,##0.00_-;\-"$"\ * #,##0.00_-;_-"$"\ * "-"??_-;_-@_-</c:formatCode>
                <c:ptCount val="1"/>
                <c:pt idx="0">
                  <c:v>960160000</c:v>
                </c:pt>
              </c:numCache>
            </c:numRef>
          </c:val>
          <c:extLst>
            <c:ext xmlns:c16="http://schemas.microsoft.com/office/drawing/2014/chart" uri="{C3380CC4-5D6E-409C-BE32-E72D297353CC}">
              <c16:uniqueId val="{00000002-916A-4904-8F5A-19D256CB58D9}"/>
            </c:ext>
          </c:extLst>
        </c:ser>
        <c:ser>
          <c:idx val="3"/>
          <c:order val="3"/>
          <c:tx>
            <c:strRef>
              <c:f>'Proy. ventas'!$K$72:$L$72</c:f>
              <c:strCache>
                <c:ptCount val="1"/>
                <c:pt idx="0">
                  <c:v>Abril</c:v>
                </c:pt>
              </c:strCache>
            </c:strRef>
          </c:tx>
          <c:spPr>
            <a:solidFill>
              <a:schemeClr val="accent4"/>
            </a:solidFill>
            <a:ln>
              <a:noFill/>
            </a:ln>
            <a:effectLst/>
          </c:spPr>
          <c:invertIfNegative val="0"/>
          <c:val>
            <c:numRef>
              <c:f>'Proy. ventas'!$L$83</c:f>
              <c:numCache>
                <c:formatCode>_-"$"\ * #,##0.00_-;\-"$"\ * #,##0.00_-;_-"$"\ * "-"??_-;_-@_-</c:formatCode>
                <c:ptCount val="1"/>
                <c:pt idx="0">
                  <c:v>840140000</c:v>
                </c:pt>
              </c:numCache>
            </c:numRef>
          </c:val>
          <c:extLst>
            <c:ext xmlns:c16="http://schemas.microsoft.com/office/drawing/2014/chart" uri="{C3380CC4-5D6E-409C-BE32-E72D297353CC}">
              <c16:uniqueId val="{00000003-916A-4904-8F5A-19D256CB58D9}"/>
            </c:ext>
          </c:extLst>
        </c:ser>
        <c:ser>
          <c:idx val="4"/>
          <c:order val="4"/>
          <c:tx>
            <c:strRef>
              <c:f>'Proy. ventas'!$M$72:$N$72</c:f>
              <c:strCache>
                <c:ptCount val="1"/>
                <c:pt idx="0">
                  <c:v>Mayo</c:v>
                </c:pt>
              </c:strCache>
            </c:strRef>
          </c:tx>
          <c:spPr>
            <a:solidFill>
              <a:schemeClr val="accent5"/>
            </a:solidFill>
            <a:ln>
              <a:noFill/>
            </a:ln>
            <a:effectLst/>
          </c:spPr>
          <c:invertIfNegative val="0"/>
          <c:val>
            <c:numRef>
              <c:f>'Proy. ventas'!$N$83</c:f>
              <c:numCache>
                <c:formatCode>_-"$"\ * #,##0.00_-;\-"$"\ * #,##0.00_-;_-"$"\ * "-"??_-;_-@_-</c:formatCode>
                <c:ptCount val="1"/>
                <c:pt idx="0">
                  <c:v>1320220000</c:v>
                </c:pt>
              </c:numCache>
            </c:numRef>
          </c:val>
          <c:extLst>
            <c:ext xmlns:c16="http://schemas.microsoft.com/office/drawing/2014/chart" uri="{C3380CC4-5D6E-409C-BE32-E72D297353CC}">
              <c16:uniqueId val="{00000004-916A-4904-8F5A-19D256CB58D9}"/>
            </c:ext>
          </c:extLst>
        </c:ser>
        <c:ser>
          <c:idx val="5"/>
          <c:order val="5"/>
          <c:tx>
            <c:strRef>
              <c:f>'Proy. ventas'!$O$72:$P$72</c:f>
              <c:strCache>
                <c:ptCount val="1"/>
                <c:pt idx="0">
                  <c:v>Junio</c:v>
                </c:pt>
              </c:strCache>
            </c:strRef>
          </c:tx>
          <c:spPr>
            <a:solidFill>
              <a:schemeClr val="accent6"/>
            </a:solidFill>
            <a:ln>
              <a:noFill/>
            </a:ln>
            <a:effectLst/>
          </c:spPr>
          <c:invertIfNegative val="0"/>
          <c:val>
            <c:numRef>
              <c:f>'Proy. ventas'!$P$83</c:f>
              <c:numCache>
                <c:formatCode>_-"$"\ * #,##0.00_-;\-"$"\ * #,##0.00_-;_-"$"\ * "-"??_-;_-@_-</c:formatCode>
                <c:ptCount val="1"/>
                <c:pt idx="0">
                  <c:v>480080000</c:v>
                </c:pt>
              </c:numCache>
            </c:numRef>
          </c:val>
          <c:extLst>
            <c:ext xmlns:c16="http://schemas.microsoft.com/office/drawing/2014/chart" uri="{C3380CC4-5D6E-409C-BE32-E72D297353CC}">
              <c16:uniqueId val="{00000005-916A-4904-8F5A-19D256CB58D9}"/>
            </c:ext>
          </c:extLst>
        </c:ser>
        <c:ser>
          <c:idx val="6"/>
          <c:order val="6"/>
          <c:tx>
            <c:strRef>
              <c:f>'Proy. ventas'!$Q$72:$R$72</c:f>
              <c:strCache>
                <c:ptCount val="1"/>
                <c:pt idx="0">
                  <c:v>Julio</c:v>
                </c:pt>
              </c:strCache>
            </c:strRef>
          </c:tx>
          <c:spPr>
            <a:solidFill>
              <a:schemeClr val="accent1">
                <a:lumMod val="60000"/>
              </a:schemeClr>
            </a:solidFill>
            <a:ln>
              <a:noFill/>
            </a:ln>
            <a:effectLst/>
          </c:spPr>
          <c:invertIfNegative val="0"/>
          <c:val>
            <c:numRef>
              <c:f>'Proy. ventas'!$R$83</c:f>
              <c:numCache>
                <c:formatCode>_-"$"\ * #,##0.00_-;\-"$"\ * #,##0.00_-;_-"$"\ * "-"??_-;_-@_-</c:formatCode>
                <c:ptCount val="1"/>
                <c:pt idx="0">
                  <c:v>720120000</c:v>
                </c:pt>
              </c:numCache>
            </c:numRef>
          </c:val>
          <c:extLst>
            <c:ext xmlns:c16="http://schemas.microsoft.com/office/drawing/2014/chart" uri="{C3380CC4-5D6E-409C-BE32-E72D297353CC}">
              <c16:uniqueId val="{00000006-916A-4904-8F5A-19D256CB58D9}"/>
            </c:ext>
          </c:extLst>
        </c:ser>
        <c:ser>
          <c:idx val="7"/>
          <c:order val="7"/>
          <c:tx>
            <c:strRef>
              <c:f>'Proy. ventas'!$S$72:$T$72</c:f>
              <c:strCache>
                <c:ptCount val="1"/>
                <c:pt idx="0">
                  <c:v>Agosto</c:v>
                </c:pt>
              </c:strCache>
            </c:strRef>
          </c:tx>
          <c:spPr>
            <a:solidFill>
              <a:schemeClr val="accent2">
                <a:lumMod val="60000"/>
              </a:schemeClr>
            </a:solidFill>
            <a:ln>
              <a:noFill/>
            </a:ln>
            <a:effectLst/>
          </c:spPr>
          <c:invertIfNegative val="0"/>
          <c:val>
            <c:numRef>
              <c:f>'Proy. ventas'!$T$83</c:f>
              <c:numCache>
                <c:formatCode>_-"$"\ * #,##0.00_-;\-"$"\ * #,##0.00_-;_-"$"\ * "-"??_-;_-@_-</c:formatCode>
                <c:ptCount val="1"/>
                <c:pt idx="0">
                  <c:v>1440240000</c:v>
                </c:pt>
              </c:numCache>
            </c:numRef>
          </c:val>
          <c:extLst>
            <c:ext xmlns:c16="http://schemas.microsoft.com/office/drawing/2014/chart" uri="{C3380CC4-5D6E-409C-BE32-E72D297353CC}">
              <c16:uniqueId val="{00000007-916A-4904-8F5A-19D256CB58D9}"/>
            </c:ext>
          </c:extLst>
        </c:ser>
        <c:ser>
          <c:idx val="8"/>
          <c:order val="8"/>
          <c:tx>
            <c:strRef>
              <c:f>'Proy. ventas'!$U$72:$V$72</c:f>
              <c:strCache>
                <c:ptCount val="1"/>
                <c:pt idx="0">
                  <c:v>Septiembre</c:v>
                </c:pt>
              </c:strCache>
            </c:strRef>
          </c:tx>
          <c:spPr>
            <a:solidFill>
              <a:schemeClr val="accent3">
                <a:lumMod val="60000"/>
              </a:schemeClr>
            </a:solidFill>
            <a:ln>
              <a:noFill/>
            </a:ln>
            <a:effectLst/>
          </c:spPr>
          <c:invertIfNegative val="0"/>
          <c:val>
            <c:numRef>
              <c:f>'Proy. ventas'!$V$83</c:f>
              <c:numCache>
                <c:formatCode>_-"$"\ * #,##0.00_-;\-"$"\ * #,##0.00_-;_-"$"\ * "-"??_-;_-@_-</c:formatCode>
                <c:ptCount val="1"/>
                <c:pt idx="0">
                  <c:v>1320220000</c:v>
                </c:pt>
              </c:numCache>
            </c:numRef>
          </c:val>
          <c:extLst>
            <c:ext xmlns:c16="http://schemas.microsoft.com/office/drawing/2014/chart" uri="{C3380CC4-5D6E-409C-BE32-E72D297353CC}">
              <c16:uniqueId val="{00000008-916A-4904-8F5A-19D256CB58D9}"/>
            </c:ext>
          </c:extLst>
        </c:ser>
        <c:ser>
          <c:idx val="9"/>
          <c:order val="9"/>
          <c:tx>
            <c:strRef>
              <c:f>'Proy. ventas'!$W$72:$X$72</c:f>
              <c:strCache>
                <c:ptCount val="1"/>
                <c:pt idx="0">
                  <c:v>Octubre</c:v>
                </c:pt>
              </c:strCache>
            </c:strRef>
          </c:tx>
          <c:spPr>
            <a:solidFill>
              <a:schemeClr val="accent4">
                <a:lumMod val="60000"/>
              </a:schemeClr>
            </a:solidFill>
            <a:ln>
              <a:noFill/>
            </a:ln>
            <a:effectLst/>
          </c:spPr>
          <c:invertIfNegative val="0"/>
          <c:val>
            <c:numRef>
              <c:f>'Proy. ventas'!$X$83</c:f>
              <c:numCache>
                <c:formatCode>_-"$"\ * #,##0.00_-;\-"$"\ * #,##0.00_-;_-"$"\ * "-"??_-;_-@_-</c:formatCode>
                <c:ptCount val="1"/>
                <c:pt idx="0">
                  <c:v>1680280000</c:v>
                </c:pt>
              </c:numCache>
            </c:numRef>
          </c:val>
          <c:extLst>
            <c:ext xmlns:c16="http://schemas.microsoft.com/office/drawing/2014/chart" uri="{C3380CC4-5D6E-409C-BE32-E72D297353CC}">
              <c16:uniqueId val="{00000009-916A-4904-8F5A-19D256CB58D9}"/>
            </c:ext>
          </c:extLst>
        </c:ser>
        <c:ser>
          <c:idx val="10"/>
          <c:order val="10"/>
          <c:tx>
            <c:strRef>
              <c:f>'Proy. ventas'!$Y$72:$Z$72</c:f>
              <c:strCache>
                <c:ptCount val="1"/>
                <c:pt idx="0">
                  <c:v>Noviembre</c:v>
                </c:pt>
              </c:strCache>
            </c:strRef>
          </c:tx>
          <c:spPr>
            <a:solidFill>
              <a:schemeClr val="accent5">
                <a:lumMod val="60000"/>
              </a:schemeClr>
            </a:solidFill>
            <a:ln>
              <a:noFill/>
            </a:ln>
            <a:effectLst/>
          </c:spPr>
          <c:invertIfNegative val="0"/>
          <c:val>
            <c:numRef>
              <c:f>'Proy. ventas'!$Z$83</c:f>
              <c:numCache>
                <c:formatCode>_-"$"\ * #,##0.00_-;\-"$"\ * #,##0.00_-;_-"$"\ * "-"??_-;_-@_-</c:formatCode>
                <c:ptCount val="1"/>
                <c:pt idx="0">
                  <c:v>960160000</c:v>
                </c:pt>
              </c:numCache>
            </c:numRef>
          </c:val>
          <c:extLst>
            <c:ext xmlns:c16="http://schemas.microsoft.com/office/drawing/2014/chart" uri="{C3380CC4-5D6E-409C-BE32-E72D297353CC}">
              <c16:uniqueId val="{0000000A-916A-4904-8F5A-19D256CB58D9}"/>
            </c:ext>
          </c:extLst>
        </c:ser>
        <c:ser>
          <c:idx val="11"/>
          <c:order val="11"/>
          <c:tx>
            <c:strRef>
              <c:f>'Proy. ventas'!$AA$72:$AB$72</c:f>
              <c:strCache>
                <c:ptCount val="1"/>
                <c:pt idx="0">
                  <c:v>Diciembre</c:v>
                </c:pt>
              </c:strCache>
            </c:strRef>
          </c:tx>
          <c:spPr>
            <a:solidFill>
              <a:schemeClr val="accent6">
                <a:lumMod val="60000"/>
              </a:schemeClr>
            </a:solidFill>
            <a:ln>
              <a:noFill/>
            </a:ln>
            <a:effectLst/>
          </c:spPr>
          <c:invertIfNegative val="0"/>
          <c:val>
            <c:numRef>
              <c:f>'Proy. ventas'!$AB$83</c:f>
              <c:numCache>
                <c:formatCode>_-"$"\ * #,##0.00_-;\-"$"\ * #,##0.00_-;_-"$"\ * "-"??_-;_-@_-</c:formatCode>
                <c:ptCount val="1"/>
                <c:pt idx="0">
                  <c:v>1080180000</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219"/>
        <c:overlap val="-27"/>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s-AR" sz="1800" b="1"/>
              <a:t>Proyección mensual</a:t>
            </a:r>
            <a:r>
              <a:rPr lang="es-AR" sz="1800" b="1" baseline="0"/>
              <a:t> de ventas 2021</a:t>
            </a:r>
            <a:endParaRPr lang="es-AR"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ventas'!$E$131:$F$131</c:f>
              <c:strCache>
                <c:ptCount val="1"/>
                <c:pt idx="0">
                  <c:v>Enero</c:v>
                </c:pt>
              </c:strCache>
            </c:strRef>
          </c:tx>
          <c:spPr>
            <a:solidFill>
              <a:schemeClr val="accent1"/>
            </a:solidFill>
            <a:ln>
              <a:noFill/>
            </a:ln>
            <a:effectLst/>
          </c:spPr>
          <c:invertIfNegative val="0"/>
          <c:val>
            <c:numRef>
              <c:f>'Proy. ventas'!$F$142</c:f>
              <c:numCache>
                <c:formatCode>_-"$"\ * #,##0.00_-;\-"$"\ * #,##0.00_-;_-"$"\ * "-"??_-;_-@_-</c:formatCode>
                <c:ptCount val="1"/>
                <c:pt idx="0">
                  <c:v>1359870000</c:v>
                </c:pt>
              </c:numCache>
            </c:numRef>
          </c:val>
          <c:extLst>
            <c:ext xmlns:c16="http://schemas.microsoft.com/office/drawing/2014/chart" uri="{C3380CC4-5D6E-409C-BE32-E72D297353CC}">
              <c16:uniqueId val="{00000000-9191-4473-B9A1-489F425F65C4}"/>
            </c:ext>
          </c:extLst>
        </c:ser>
        <c:ser>
          <c:idx val="1"/>
          <c:order val="1"/>
          <c:tx>
            <c:strRef>
              <c:f>'Proy. ventas'!$G$131:$H$131</c:f>
              <c:strCache>
                <c:ptCount val="1"/>
                <c:pt idx="0">
                  <c:v>Febrero</c:v>
                </c:pt>
              </c:strCache>
            </c:strRef>
          </c:tx>
          <c:spPr>
            <a:solidFill>
              <a:schemeClr val="accent2"/>
            </a:solidFill>
            <a:ln>
              <a:noFill/>
            </a:ln>
            <a:effectLst/>
          </c:spPr>
          <c:invertIfNegative val="0"/>
          <c:val>
            <c:numRef>
              <c:f>'Proy. ventas'!$H$142</c:f>
              <c:numCache>
                <c:formatCode>_-"$"\ * #,##0.00_-;\-"$"\ * #,##0.00_-;_-"$"\ * "-"??_-;_-@_-</c:formatCode>
                <c:ptCount val="1"/>
                <c:pt idx="0">
                  <c:v>906580000</c:v>
                </c:pt>
              </c:numCache>
            </c:numRef>
          </c:val>
          <c:extLst>
            <c:ext xmlns:c16="http://schemas.microsoft.com/office/drawing/2014/chart" uri="{C3380CC4-5D6E-409C-BE32-E72D297353CC}">
              <c16:uniqueId val="{00000001-9191-4473-B9A1-489F425F65C4}"/>
            </c:ext>
          </c:extLst>
        </c:ser>
        <c:ser>
          <c:idx val="2"/>
          <c:order val="2"/>
          <c:tx>
            <c:strRef>
              <c:f>'Proy. ventas'!$I$131:$J$131</c:f>
              <c:strCache>
                <c:ptCount val="1"/>
                <c:pt idx="0">
                  <c:v>Marzo</c:v>
                </c:pt>
              </c:strCache>
            </c:strRef>
          </c:tx>
          <c:spPr>
            <a:solidFill>
              <a:schemeClr val="accent3"/>
            </a:solidFill>
            <a:ln>
              <a:noFill/>
            </a:ln>
            <a:effectLst/>
          </c:spPr>
          <c:invertIfNegative val="0"/>
          <c:val>
            <c:numRef>
              <c:f>'Proy. ventas'!$J$142</c:f>
              <c:numCache>
                <c:formatCode>_-"$"\ * #,##0.00_-;\-"$"\ * #,##0.00_-;_-"$"\ * "-"??_-;_-@_-</c:formatCode>
                <c:ptCount val="1"/>
                <c:pt idx="0">
                  <c:v>1813160000</c:v>
                </c:pt>
              </c:numCache>
            </c:numRef>
          </c:val>
          <c:extLst>
            <c:ext xmlns:c16="http://schemas.microsoft.com/office/drawing/2014/chart" uri="{C3380CC4-5D6E-409C-BE32-E72D297353CC}">
              <c16:uniqueId val="{00000002-9191-4473-B9A1-489F425F65C4}"/>
            </c:ext>
          </c:extLst>
        </c:ser>
        <c:ser>
          <c:idx val="3"/>
          <c:order val="3"/>
          <c:tx>
            <c:strRef>
              <c:f>'Proy. ventas'!$K$131:$L$131</c:f>
              <c:strCache>
                <c:ptCount val="1"/>
                <c:pt idx="0">
                  <c:v>Abril</c:v>
                </c:pt>
              </c:strCache>
            </c:strRef>
          </c:tx>
          <c:spPr>
            <a:solidFill>
              <a:schemeClr val="accent4"/>
            </a:solidFill>
            <a:ln>
              <a:noFill/>
            </a:ln>
            <a:effectLst/>
          </c:spPr>
          <c:invertIfNegative val="0"/>
          <c:val>
            <c:numRef>
              <c:f>'Proy. ventas'!$L$142</c:f>
              <c:numCache>
                <c:formatCode>_-"$"\ * #,##0.00_-;\-"$"\ * #,##0.00_-;_-"$"\ * "-"??_-;_-@_-</c:formatCode>
                <c:ptCount val="1"/>
                <c:pt idx="0">
                  <c:v>1586515000.0000002</c:v>
                </c:pt>
              </c:numCache>
            </c:numRef>
          </c:val>
          <c:extLst>
            <c:ext xmlns:c16="http://schemas.microsoft.com/office/drawing/2014/chart" uri="{C3380CC4-5D6E-409C-BE32-E72D297353CC}">
              <c16:uniqueId val="{00000003-9191-4473-B9A1-489F425F65C4}"/>
            </c:ext>
          </c:extLst>
        </c:ser>
        <c:ser>
          <c:idx val="4"/>
          <c:order val="4"/>
          <c:tx>
            <c:strRef>
              <c:f>'Proy. ventas'!$M$131:$N$131</c:f>
              <c:strCache>
                <c:ptCount val="1"/>
                <c:pt idx="0">
                  <c:v>Mayo</c:v>
                </c:pt>
              </c:strCache>
            </c:strRef>
          </c:tx>
          <c:spPr>
            <a:solidFill>
              <a:schemeClr val="accent5"/>
            </a:solidFill>
            <a:ln>
              <a:noFill/>
            </a:ln>
            <a:effectLst/>
          </c:spPr>
          <c:invertIfNegative val="0"/>
          <c:val>
            <c:numRef>
              <c:f>'Proy. ventas'!$N$142</c:f>
              <c:numCache>
                <c:formatCode>_-"$"\ * #,##0.00_-;\-"$"\ * #,##0.00_-;_-"$"\ * "-"??_-;_-@_-</c:formatCode>
                <c:ptCount val="1"/>
                <c:pt idx="0">
                  <c:v>2493095000</c:v>
                </c:pt>
              </c:numCache>
            </c:numRef>
          </c:val>
          <c:extLst>
            <c:ext xmlns:c16="http://schemas.microsoft.com/office/drawing/2014/chart" uri="{C3380CC4-5D6E-409C-BE32-E72D297353CC}">
              <c16:uniqueId val="{00000004-9191-4473-B9A1-489F425F65C4}"/>
            </c:ext>
          </c:extLst>
        </c:ser>
        <c:ser>
          <c:idx val="5"/>
          <c:order val="5"/>
          <c:tx>
            <c:strRef>
              <c:f>'Proy. ventas'!$O$131:$P$131</c:f>
              <c:strCache>
                <c:ptCount val="1"/>
                <c:pt idx="0">
                  <c:v>Junio</c:v>
                </c:pt>
              </c:strCache>
            </c:strRef>
          </c:tx>
          <c:spPr>
            <a:solidFill>
              <a:schemeClr val="accent6"/>
            </a:solidFill>
            <a:ln>
              <a:noFill/>
            </a:ln>
            <a:effectLst/>
          </c:spPr>
          <c:invertIfNegative val="0"/>
          <c:val>
            <c:numRef>
              <c:f>'Proy. ventas'!$P$142</c:f>
              <c:numCache>
                <c:formatCode>_-"$"\ * #,##0.00_-;\-"$"\ * #,##0.00_-;_-"$"\ * "-"??_-;_-@_-</c:formatCode>
                <c:ptCount val="1"/>
                <c:pt idx="0">
                  <c:v>906580000</c:v>
                </c:pt>
              </c:numCache>
            </c:numRef>
          </c:val>
          <c:extLst>
            <c:ext xmlns:c16="http://schemas.microsoft.com/office/drawing/2014/chart" uri="{C3380CC4-5D6E-409C-BE32-E72D297353CC}">
              <c16:uniqueId val="{00000005-9191-4473-B9A1-489F425F65C4}"/>
            </c:ext>
          </c:extLst>
        </c:ser>
        <c:ser>
          <c:idx val="6"/>
          <c:order val="6"/>
          <c:tx>
            <c:strRef>
              <c:f>'Proy. ventas'!$Q$131:$R$131</c:f>
              <c:strCache>
                <c:ptCount val="1"/>
                <c:pt idx="0">
                  <c:v>Julio</c:v>
                </c:pt>
              </c:strCache>
            </c:strRef>
          </c:tx>
          <c:spPr>
            <a:solidFill>
              <a:schemeClr val="accent1">
                <a:lumMod val="60000"/>
              </a:schemeClr>
            </a:solidFill>
            <a:ln>
              <a:noFill/>
            </a:ln>
            <a:effectLst/>
          </c:spPr>
          <c:invertIfNegative val="0"/>
          <c:val>
            <c:numRef>
              <c:f>'Proy. ventas'!$R$142</c:f>
              <c:numCache>
                <c:formatCode>_-"$"\ * #,##0.00_-;\-"$"\ * #,##0.00_-;_-"$"\ * "-"??_-;_-@_-</c:formatCode>
                <c:ptCount val="1"/>
                <c:pt idx="0">
                  <c:v>1359870000</c:v>
                </c:pt>
              </c:numCache>
            </c:numRef>
          </c:val>
          <c:extLst>
            <c:ext xmlns:c16="http://schemas.microsoft.com/office/drawing/2014/chart" uri="{C3380CC4-5D6E-409C-BE32-E72D297353CC}">
              <c16:uniqueId val="{00000006-9191-4473-B9A1-489F425F65C4}"/>
            </c:ext>
          </c:extLst>
        </c:ser>
        <c:ser>
          <c:idx val="7"/>
          <c:order val="7"/>
          <c:tx>
            <c:strRef>
              <c:f>'Proy. ventas'!$S$131:$T$131</c:f>
              <c:strCache>
                <c:ptCount val="1"/>
                <c:pt idx="0">
                  <c:v>Agosto</c:v>
                </c:pt>
              </c:strCache>
            </c:strRef>
          </c:tx>
          <c:spPr>
            <a:solidFill>
              <a:schemeClr val="accent2">
                <a:lumMod val="60000"/>
              </a:schemeClr>
            </a:solidFill>
            <a:ln>
              <a:noFill/>
            </a:ln>
            <a:effectLst/>
          </c:spPr>
          <c:invertIfNegative val="0"/>
          <c:val>
            <c:numRef>
              <c:f>'Proy. ventas'!$T$142</c:f>
              <c:numCache>
                <c:formatCode>_-"$"\ * #,##0.00_-;\-"$"\ * #,##0.00_-;_-"$"\ * "-"??_-;_-@_-</c:formatCode>
                <c:ptCount val="1"/>
                <c:pt idx="0">
                  <c:v>2719740000</c:v>
                </c:pt>
              </c:numCache>
            </c:numRef>
          </c:val>
          <c:extLst>
            <c:ext xmlns:c16="http://schemas.microsoft.com/office/drawing/2014/chart" uri="{C3380CC4-5D6E-409C-BE32-E72D297353CC}">
              <c16:uniqueId val="{00000007-9191-4473-B9A1-489F425F65C4}"/>
            </c:ext>
          </c:extLst>
        </c:ser>
        <c:ser>
          <c:idx val="8"/>
          <c:order val="8"/>
          <c:tx>
            <c:strRef>
              <c:f>'Proy. ventas'!$U$131:$V$131</c:f>
              <c:strCache>
                <c:ptCount val="1"/>
                <c:pt idx="0">
                  <c:v>Septiembre</c:v>
                </c:pt>
              </c:strCache>
            </c:strRef>
          </c:tx>
          <c:spPr>
            <a:solidFill>
              <a:schemeClr val="accent3">
                <a:lumMod val="60000"/>
              </a:schemeClr>
            </a:solidFill>
            <a:ln>
              <a:noFill/>
            </a:ln>
            <a:effectLst/>
          </c:spPr>
          <c:invertIfNegative val="0"/>
          <c:val>
            <c:numRef>
              <c:f>'Proy. ventas'!$V$142</c:f>
              <c:numCache>
                <c:formatCode>_-"$"\ * #,##0.00_-;\-"$"\ * #,##0.00_-;_-"$"\ * "-"??_-;_-@_-</c:formatCode>
                <c:ptCount val="1"/>
                <c:pt idx="0">
                  <c:v>2493095000</c:v>
                </c:pt>
              </c:numCache>
            </c:numRef>
          </c:val>
          <c:extLst>
            <c:ext xmlns:c16="http://schemas.microsoft.com/office/drawing/2014/chart" uri="{C3380CC4-5D6E-409C-BE32-E72D297353CC}">
              <c16:uniqueId val="{00000008-9191-4473-B9A1-489F425F65C4}"/>
            </c:ext>
          </c:extLst>
        </c:ser>
        <c:ser>
          <c:idx val="9"/>
          <c:order val="9"/>
          <c:tx>
            <c:strRef>
              <c:f>'Proy. ventas'!$W$131:$X$131</c:f>
              <c:strCache>
                <c:ptCount val="1"/>
                <c:pt idx="0">
                  <c:v>Octubre</c:v>
                </c:pt>
              </c:strCache>
            </c:strRef>
          </c:tx>
          <c:spPr>
            <a:solidFill>
              <a:schemeClr val="accent4">
                <a:lumMod val="60000"/>
              </a:schemeClr>
            </a:solidFill>
            <a:ln>
              <a:noFill/>
            </a:ln>
            <a:effectLst/>
          </c:spPr>
          <c:invertIfNegative val="0"/>
          <c:val>
            <c:numRef>
              <c:f>'Proy. ventas'!$X$142</c:f>
              <c:numCache>
                <c:formatCode>_-"$"\ * #,##0.00_-;\-"$"\ * #,##0.00_-;_-"$"\ * "-"??_-;_-@_-</c:formatCode>
                <c:ptCount val="1"/>
                <c:pt idx="0">
                  <c:v>3173030000.0000005</c:v>
                </c:pt>
              </c:numCache>
            </c:numRef>
          </c:val>
          <c:extLst>
            <c:ext xmlns:c16="http://schemas.microsoft.com/office/drawing/2014/chart" uri="{C3380CC4-5D6E-409C-BE32-E72D297353CC}">
              <c16:uniqueId val="{00000009-9191-4473-B9A1-489F425F65C4}"/>
            </c:ext>
          </c:extLst>
        </c:ser>
        <c:ser>
          <c:idx val="10"/>
          <c:order val="10"/>
          <c:tx>
            <c:strRef>
              <c:f>'Proy. ventas'!$Y$131:$Z$131</c:f>
              <c:strCache>
                <c:ptCount val="1"/>
                <c:pt idx="0">
                  <c:v>Noviembre</c:v>
                </c:pt>
              </c:strCache>
            </c:strRef>
          </c:tx>
          <c:spPr>
            <a:solidFill>
              <a:schemeClr val="accent5">
                <a:lumMod val="60000"/>
              </a:schemeClr>
            </a:solidFill>
            <a:ln>
              <a:noFill/>
            </a:ln>
            <a:effectLst/>
          </c:spPr>
          <c:invertIfNegative val="0"/>
          <c:val>
            <c:numRef>
              <c:f>'Proy. ventas'!$Z$142</c:f>
              <c:numCache>
                <c:formatCode>_-"$"\ * #,##0.00_-;\-"$"\ * #,##0.00_-;_-"$"\ * "-"??_-;_-@_-</c:formatCode>
                <c:ptCount val="1"/>
                <c:pt idx="0">
                  <c:v>1813160000</c:v>
                </c:pt>
              </c:numCache>
            </c:numRef>
          </c:val>
          <c:extLst>
            <c:ext xmlns:c16="http://schemas.microsoft.com/office/drawing/2014/chart" uri="{C3380CC4-5D6E-409C-BE32-E72D297353CC}">
              <c16:uniqueId val="{0000000A-9191-4473-B9A1-489F425F65C4}"/>
            </c:ext>
          </c:extLst>
        </c:ser>
        <c:ser>
          <c:idx val="11"/>
          <c:order val="11"/>
          <c:tx>
            <c:strRef>
              <c:f>'Proy. ventas'!$AA$131:$AB$131</c:f>
              <c:strCache>
                <c:ptCount val="1"/>
                <c:pt idx="0">
                  <c:v>Diciembre</c:v>
                </c:pt>
              </c:strCache>
            </c:strRef>
          </c:tx>
          <c:spPr>
            <a:solidFill>
              <a:schemeClr val="accent6">
                <a:lumMod val="60000"/>
              </a:schemeClr>
            </a:solidFill>
            <a:ln>
              <a:noFill/>
            </a:ln>
            <a:effectLst/>
          </c:spPr>
          <c:invertIfNegative val="0"/>
          <c:val>
            <c:numRef>
              <c:f>'Proy. ventas'!$AB$142</c:f>
              <c:numCache>
                <c:formatCode>_-"$"\ * #,##0.00_-;\-"$"\ * #,##0.00_-;_-"$"\ * "-"??_-;_-@_-</c:formatCode>
                <c:ptCount val="1"/>
                <c:pt idx="0">
                  <c:v>2039805000</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219"/>
        <c:overlap val="-27"/>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Cantidad de ventas en 2022 de productos fabricados en nuestra empresa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'Proy. ventas'!$A$19</c:f>
              <c:strCache>
                <c:ptCount val="1"/>
                <c:pt idx="0">
                  <c:v> Portal básico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ventas'!$E$19,'Proy. ventas'!$G$19,'Proy. ventas'!$I$19,'Proy. ventas'!$K$19,'Proy. ventas'!$M$19,'Proy. ventas'!$O$19,'Proy. ventas'!$Q$19,'Proy. ventas'!$S$19,'Proy. ventas'!$U$19,'Proy. ventas'!$W$19,'Proy. ventas'!$Y$19,'Proy. ventas'!$AA$19)</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smooth val="0"/>
          <c:extLst>
            <c:ext xmlns:c16="http://schemas.microsoft.com/office/drawing/2014/chart" uri="{C3380CC4-5D6E-409C-BE32-E72D297353CC}">
              <c16:uniqueId val="{00000000-396A-4246-A5F4-AB115A34A6FA}"/>
            </c:ext>
          </c:extLst>
        </c:ser>
        <c:ser>
          <c:idx val="1"/>
          <c:order val="1"/>
          <c:tx>
            <c:strRef>
              <c:f>'Proy. ventas'!$A$20</c:f>
              <c:strCache>
                <c:ptCount val="1"/>
                <c:pt idx="0">
                  <c:v> Portal aprendizaje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ventas'!$E$20,'Proy. ventas'!$G$20,'Proy. ventas'!$I$20,'Proy. ventas'!$K$20,'Proy. ventas'!$M$20,'Proy. ventas'!$O$20,'Proy. ventas'!$Q$20,'Proy. ventas'!$S$20,'Proy. ventas'!$U$20,'Proy. ventas'!$W$20,'Proy. ventas'!$Y$20,'Proy. ventas'!$AA$20)</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smooth val="0"/>
          <c:extLst>
            <c:ext xmlns:c16="http://schemas.microsoft.com/office/drawing/2014/chart" uri="{C3380CC4-5D6E-409C-BE32-E72D297353CC}">
              <c16:uniqueId val="{00000001-396A-4246-A5F4-AB115A34A6FA}"/>
            </c:ext>
          </c:extLst>
        </c:ser>
        <c:ser>
          <c:idx val="2"/>
          <c:order val="2"/>
          <c:tx>
            <c:strRef>
              <c:f>'Proy. ventas'!$A$21</c:f>
              <c:strCache>
                <c:ptCount val="1"/>
                <c:pt idx="0">
                  <c:v> Portal sugerencia </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('Proy. ventas'!$E$21,'Proy. ventas'!$G$21,'Proy. ventas'!$I$21,'Proy. ventas'!$K$21,'Proy. ventas'!$M$21,'Proy. ventas'!$O$21,'Proy. ventas'!$Q$21,'Proy. ventas'!$S$21,'Proy. ventas'!$U$21,'Proy. ventas'!$W$21,'Proy. ventas'!$Y$21,'Proy. ventas'!$AA$21)</c:f>
              <c:numCache>
                <c:formatCode>_-* #,##0\ _€_-;\-* #,##0\ _€_-;_-* "-"??\ _€_-;_-@_-</c:formatCode>
                <c:ptCount val="12"/>
                <c:pt idx="0">
                  <c:v>0.06</c:v>
                </c:pt>
                <c:pt idx="1">
                  <c:v>0.04</c:v>
                </c:pt>
                <c:pt idx="2">
                  <c:v>0.08</c:v>
                </c:pt>
                <c:pt idx="3">
                  <c:v>7.0000000000000007E-2</c:v>
                </c:pt>
                <c:pt idx="4">
                  <c:v>0.11</c:v>
                </c:pt>
                <c:pt idx="5">
                  <c:v>0.04</c:v>
                </c:pt>
                <c:pt idx="6">
                  <c:v>0.06</c:v>
                </c:pt>
                <c:pt idx="7">
                  <c:v>0.12</c:v>
                </c:pt>
                <c:pt idx="8">
                  <c:v>0.11</c:v>
                </c:pt>
                <c:pt idx="9">
                  <c:v>0.14000000000000001</c:v>
                </c:pt>
                <c:pt idx="10">
                  <c:v>0.08</c:v>
                </c:pt>
                <c:pt idx="11">
                  <c:v>0.09</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smooth val="0"/>
        <c:axId val="262473679"/>
        <c:axId val="258788111"/>
      </c:lineChart>
      <c:catAx>
        <c:axId val="2624736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2473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0"/>
          <c:order val="0"/>
          <c:tx>
            <c:strRef>
              <c:f>'Proy. ventas'!$A$75</c:f>
              <c:strCache>
                <c:ptCount val="1"/>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ventas'!$E$75,'Proy. ventas'!$G$75,'Proy. ventas'!$I$75,'Proy. ventas'!$K$75,'Proy. ventas'!$M$75,'Proy. ventas'!$O$75,'Proy. ventas'!$Q$75,'Proy. ventas'!$S$75,'Proy. ventas'!$U$75,'Proy. ventas'!$W$75,'Proy. ventas'!$Y$75,'Proy. ventas'!$AA$75)</c:f>
              <c:numCache>
                <c:formatCode>_-* #,##0\ _€_-;\-* #,##0\ _€_-;_-* "-"??\ _€_-;_-@_-</c:formatCode>
                <c:ptCount val="12"/>
                <c:pt idx="0">
                  <c:v>132</c:v>
                </c:pt>
                <c:pt idx="1">
                  <c:v>120</c:v>
                </c:pt>
                <c:pt idx="2">
                  <c:v>84.000000000000014</c:v>
                </c:pt>
                <c:pt idx="3">
                  <c:v>72</c:v>
                </c:pt>
                <c:pt idx="4">
                  <c:v>72</c:v>
                </c:pt>
                <c:pt idx="5">
                  <c:v>48</c:v>
                </c:pt>
                <c:pt idx="6">
                  <c:v>108</c:v>
                </c:pt>
                <c:pt idx="7">
                  <c:v>60</c:v>
                </c:pt>
                <c:pt idx="8">
                  <c:v>108</c:v>
                </c:pt>
                <c:pt idx="9">
                  <c:v>120</c:v>
                </c:pt>
                <c:pt idx="10">
                  <c:v>132</c:v>
                </c:pt>
                <c:pt idx="11">
                  <c:v>144</c:v>
                </c:pt>
              </c:numCache>
            </c:numRef>
          </c:val>
          <c:smooth val="0"/>
          <c:extLst>
            <c:ext xmlns:c16="http://schemas.microsoft.com/office/drawing/2014/chart" uri="{C3380CC4-5D6E-409C-BE32-E72D297353CC}">
              <c16:uniqueId val="{00000000-4FB4-4DAA-AE13-4A7CBDA485EA}"/>
            </c:ext>
          </c:extLst>
        </c:ser>
        <c:ser>
          <c:idx val="1"/>
          <c:order val="1"/>
          <c:tx>
            <c:strRef>
              <c:f>'Proy. ventas'!$A$76</c:f>
              <c:strCache>
                <c:ptCount val="1"/>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ventas'!$E$76,'Proy. ventas'!$G$76,'Proy. ventas'!$I$76,'Proy. ventas'!$K$76,'Proy. ventas'!$M$76,'Proy. ventas'!$O$76,'Proy. ventas'!$Q$76,'Proy. ventas'!$S$76,'Proy. ventas'!$U$76,'Proy. ventas'!$W$76,'Proy. ventas'!$Y$76,'Proy. ventas'!$AA$76)</c:f>
              <c:numCache>
                <c:formatCode>_-* #,##0\ _€_-;\-* #,##0\ _€_-;_-* "-"??\ _€_-;_-@_-</c:formatCode>
                <c:ptCount val="12"/>
                <c:pt idx="0">
                  <c:v>92.95</c:v>
                </c:pt>
                <c:pt idx="1">
                  <c:v>84.5</c:v>
                </c:pt>
                <c:pt idx="2">
                  <c:v>59.150000000000006</c:v>
                </c:pt>
                <c:pt idx="3">
                  <c:v>50.699999999999996</c:v>
                </c:pt>
                <c:pt idx="4">
                  <c:v>50.699999999999996</c:v>
                </c:pt>
                <c:pt idx="5">
                  <c:v>33.799999999999997</c:v>
                </c:pt>
                <c:pt idx="6">
                  <c:v>76.05</c:v>
                </c:pt>
                <c:pt idx="7">
                  <c:v>42.25</c:v>
                </c:pt>
                <c:pt idx="8">
                  <c:v>76.05</c:v>
                </c:pt>
                <c:pt idx="9">
                  <c:v>84.5</c:v>
                </c:pt>
                <c:pt idx="10">
                  <c:v>92.95</c:v>
                </c:pt>
                <c:pt idx="11">
                  <c:v>101.39999999999999</c:v>
                </c:pt>
              </c:numCache>
            </c:numRef>
          </c:val>
          <c:smooth val="0"/>
          <c:extLst>
            <c:ext xmlns:c16="http://schemas.microsoft.com/office/drawing/2014/chart" uri="{C3380CC4-5D6E-409C-BE32-E72D297353CC}">
              <c16:uniqueId val="{00000001-4FB4-4DAA-AE13-4A7CBDA485EA}"/>
            </c:ext>
          </c:extLst>
        </c:ser>
        <c:ser>
          <c:idx val="2"/>
          <c:order val="2"/>
          <c:tx>
            <c:strRef>
              <c:f>'Proy. ventas'!$A$77</c:f>
              <c:strCache>
                <c:ptCount val="1"/>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ventas'!$E$77,'Proy. ventas'!$G$77,'Proy. ventas'!$I$77,'Proy. ventas'!$K$77,'Proy. ventas'!$M$77,'Proy. ventas'!$O$77,'Proy. ventas'!$Q$77,'Proy. ventas'!$S$77,'Proy. ventas'!$U$77,'Proy. ventas'!$W$77,'Proy. ventas'!$Y$77,'Proy. ventas'!$AA$77)</c:f>
              <c:numCache>
                <c:formatCode>_-* #,##0\ _€_-;\-* #,##0\ _€_-;_-* "-"??\ _€_-;_-@_-</c:formatCode>
                <c:ptCount val="12"/>
                <c:pt idx="0">
                  <c:v>26.95</c:v>
                </c:pt>
                <c:pt idx="1">
                  <c:v>24.5</c:v>
                </c:pt>
                <c:pt idx="2">
                  <c:v>17.150000000000002</c:v>
                </c:pt>
                <c:pt idx="3">
                  <c:v>14.7</c:v>
                </c:pt>
                <c:pt idx="4">
                  <c:v>14.7</c:v>
                </c:pt>
                <c:pt idx="5">
                  <c:v>9.8000000000000007</c:v>
                </c:pt>
                <c:pt idx="6">
                  <c:v>22.05</c:v>
                </c:pt>
                <c:pt idx="7">
                  <c:v>12.25</c:v>
                </c:pt>
                <c:pt idx="8">
                  <c:v>22.05</c:v>
                </c:pt>
                <c:pt idx="9">
                  <c:v>24.5</c:v>
                </c:pt>
                <c:pt idx="10">
                  <c:v>26.95</c:v>
                </c:pt>
                <c:pt idx="11">
                  <c:v>29.4</c:v>
                </c:pt>
              </c:numCache>
            </c:numRef>
          </c:val>
          <c:smooth val="0"/>
          <c:extLst>
            <c:ext xmlns:c16="http://schemas.microsoft.com/office/drawing/2014/chart" uri="{C3380CC4-5D6E-409C-BE32-E72D297353CC}">
              <c16:uniqueId val="{00000002-4FB4-4DAA-AE13-4A7CBDA485EA}"/>
            </c:ext>
          </c:extLst>
        </c:ser>
        <c:dLbls>
          <c:dLblPos val="ctr"/>
          <c:showLegendKey val="0"/>
          <c:showVal val="1"/>
          <c:showCatName val="0"/>
          <c:showSerName val="0"/>
          <c:showPercent val="0"/>
          <c:showBubbleSize val="0"/>
        </c:dLbls>
        <c:marker val="1"/>
        <c:smooth val="0"/>
        <c:axId val="387721455"/>
        <c:axId val="253992239"/>
      </c:lineChart>
      <c:catAx>
        <c:axId val="387721455"/>
        <c:scaling>
          <c:orientation val="minMax"/>
        </c:scaling>
        <c:delete val="0"/>
        <c:axPos val="b"/>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3992239"/>
        <c:crosses val="autoZero"/>
        <c:auto val="1"/>
        <c:lblAlgn val="ctr"/>
        <c:lblOffset val="100"/>
        <c:noMultiLvlLbl val="0"/>
      </c:catAx>
      <c:valAx>
        <c:axId val="2539922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crossAx val="387721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0"/>
          <c:order val="0"/>
          <c:tx>
            <c:strRef>
              <c:f>'Proy. ventas'!$A$134</c:f>
              <c:strCache>
                <c:ptCount val="1"/>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ventas'!$E$134,'Proy. ventas'!$G$134,'Proy. ventas'!$I$134,'Proy. ventas'!$K$134,'Proy. ventas'!$M$134,'Proy. ventas'!$O$134,'Proy. ventas'!$Q$134,'Proy. ventas'!$S$134,'Proy. ventas'!$U$134,'Proy. ventas'!$W$134,'Proy. ventas'!$Y$134,'Proy. ventas'!$AA$134)</c:f>
              <c:numCache>
                <c:formatCode>_-* #,##0\ _€_-;\-* #,##0\ _€_-;_-* "-"??\ _€_-;_-@_-</c:formatCode>
                <c:ptCount val="12"/>
                <c:pt idx="0">
                  <c:v>203.5</c:v>
                </c:pt>
                <c:pt idx="1">
                  <c:v>166.5</c:v>
                </c:pt>
                <c:pt idx="2">
                  <c:v>148</c:v>
                </c:pt>
                <c:pt idx="3">
                  <c:v>111</c:v>
                </c:pt>
                <c:pt idx="4">
                  <c:v>111</c:v>
                </c:pt>
                <c:pt idx="5">
                  <c:v>92.5</c:v>
                </c:pt>
                <c:pt idx="6">
                  <c:v>185</c:v>
                </c:pt>
                <c:pt idx="7">
                  <c:v>92.5</c:v>
                </c:pt>
                <c:pt idx="8">
                  <c:v>148</c:v>
                </c:pt>
                <c:pt idx="9">
                  <c:v>185</c:v>
                </c:pt>
                <c:pt idx="10">
                  <c:v>185</c:v>
                </c:pt>
                <c:pt idx="11">
                  <c:v>222</c:v>
                </c:pt>
              </c:numCache>
            </c:numRef>
          </c:val>
          <c:smooth val="0"/>
          <c:extLst>
            <c:ext xmlns:c16="http://schemas.microsoft.com/office/drawing/2014/chart" uri="{C3380CC4-5D6E-409C-BE32-E72D297353CC}">
              <c16:uniqueId val="{00000000-8413-472A-B852-1050BCF984DB}"/>
            </c:ext>
          </c:extLst>
        </c:ser>
        <c:ser>
          <c:idx val="1"/>
          <c:order val="1"/>
          <c:tx>
            <c:strRef>
              <c:f>'Proy. ventas'!$A$135</c:f>
              <c:strCache>
                <c:ptCount val="1"/>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ventas'!$E$135,'Proy. ventas'!$G$135,'Proy. ventas'!$I$135,'Proy. ventas'!$K$135,'Proy. ventas'!$M$135,'Proy. ventas'!$O$135,'Proy. ventas'!$Q$135,'Proy. ventas'!$S$135,'Proy. ventas'!$U$135,'Proy. ventas'!$W$135,'Proy. ventas'!$Y$135,'Proy. ventas'!$AA$135)</c:f>
              <c:numCache>
                <c:formatCode>_-* #,##0\ _€_-;\-* #,##0\ _€_-;_-* "-"??\ _€_-;_-@_-</c:formatCode>
                <c:ptCount val="12"/>
                <c:pt idx="0">
                  <c:v>159.5</c:v>
                </c:pt>
                <c:pt idx="1">
                  <c:v>130.5</c:v>
                </c:pt>
                <c:pt idx="2">
                  <c:v>116</c:v>
                </c:pt>
                <c:pt idx="3">
                  <c:v>87</c:v>
                </c:pt>
                <c:pt idx="4">
                  <c:v>87</c:v>
                </c:pt>
                <c:pt idx="5">
                  <c:v>72.5</c:v>
                </c:pt>
                <c:pt idx="6">
                  <c:v>145</c:v>
                </c:pt>
                <c:pt idx="7">
                  <c:v>72.5</c:v>
                </c:pt>
                <c:pt idx="8">
                  <c:v>116</c:v>
                </c:pt>
                <c:pt idx="9">
                  <c:v>145</c:v>
                </c:pt>
                <c:pt idx="10">
                  <c:v>145</c:v>
                </c:pt>
                <c:pt idx="11">
                  <c:v>174</c:v>
                </c:pt>
              </c:numCache>
            </c:numRef>
          </c:val>
          <c:smooth val="0"/>
          <c:extLst>
            <c:ext xmlns:c16="http://schemas.microsoft.com/office/drawing/2014/chart" uri="{C3380CC4-5D6E-409C-BE32-E72D297353CC}">
              <c16:uniqueId val="{00000001-8413-472A-B852-1050BCF984DB}"/>
            </c:ext>
          </c:extLst>
        </c:ser>
        <c:ser>
          <c:idx val="2"/>
          <c:order val="2"/>
          <c:tx>
            <c:strRef>
              <c:f>'Proy. ventas'!$A$136</c:f>
              <c:strCache>
                <c:ptCount val="1"/>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ventas'!$E$136,'Proy. ventas'!$G$136,'Proy. ventas'!$I$136,'Proy. ventas'!$K$136,'Proy. ventas'!$M$136,'Proy. ventas'!$O$136,'Proy. ventas'!$Q$136,'Proy. ventas'!$S$136,'Proy. ventas'!$U$136,'Proy. ventas'!$W$136,'Proy. ventas'!$Y$136,'Proy. ventas'!$AA$136)</c:f>
              <c:numCache>
                <c:formatCode>_-* #,##0\ _€_-;\-* #,##0\ _€_-;_-* "-"??\ _€_-;_-@_-</c:formatCode>
                <c:ptCount val="12"/>
                <c:pt idx="0">
                  <c:v>69.3</c:v>
                </c:pt>
                <c:pt idx="1">
                  <c:v>56.699999999999996</c:v>
                </c:pt>
                <c:pt idx="2">
                  <c:v>50.4</c:v>
                </c:pt>
                <c:pt idx="3">
                  <c:v>37.799999999999997</c:v>
                </c:pt>
                <c:pt idx="4">
                  <c:v>37.799999999999997</c:v>
                </c:pt>
                <c:pt idx="5">
                  <c:v>31.5</c:v>
                </c:pt>
                <c:pt idx="6">
                  <c:v>63</c:v>
                </c:pt>
                <c:pt idx="7">
                  <c:v>31.5</c:v>
                </c:pt>
                <c:pt idx="8">
                  <c:v>50.4</c:v>
                </c:pt>
                <c:pt idx="9">
                  <c:v>63</c:v>
                </c:pt>
                <c:pt idx="10">
                  <c:v>63</c:v>
                </c:pt>
                <c:pt idx="11">
                  <c:v>75.599999999999994</c:v>
                </c:pt>
              </c:numCache>
            </c:numRef>
          </c:val>
          <c:smooth val="0"/>
          <c:extLst>
            <c:ext xmlns:c16="http://schemas.microsoft.com/office/drawing/2014/chart" uri="{C3380CC4-5D6E-409C-BE32-E72D297353CC}">
              <c16:uniqueId val="{00000002-8413-472A-B852-1050BCF984DB}"/>
            </c:ext>
          </c:extLst>
        </c:ser>
        <c:dLbls>
          <c:dLblPos val="ctr"/>
          <c:showLegendKey val="0"/>
          <c:showVal val="1"/>
          <c:showCatName val="0"/>
          <c:showSerName val="0"/>
          <c:showPercent val="0"/>
          <c:showBubbleSize val="0"/>
        </c:dLbls>
        <c:marker val="1"/>
        <c:smooth val="0"/>
        <c:axId val="387710655"/>
        <c:axId val="253998479"/>
      </c:lineChart>
      <c:catAx>
        <c:axId val="387710655"/>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3998479"/>
        <c:crosses val="autoZero"/>
        <c:auto val="1"/>
        <c:lblAlgn val="ctr"/>
        <c:lblOffset val="100"/>
        <c:noMultiLvlLbl val="0"/>
      </c:catAx>
      <c:valAx>
        <c:axId val="25399847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crossAx val="3877106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2019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1DD-4CD8-B158-0B704BE8169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1DD-4CD8-B158-0B704BE8169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1DD-4CD8-B158-0B704BE8169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1DD-4CD8-B158-0B704BE8169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1DD-4CD8-B158-0B704BE81697}"/>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1DD-4CD8-B158-0B704BE81697}"/>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1DD-4CD8-B158-0B704BE81697}"/>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1DD-4CD8-B158-0B704BE81697}"/>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61DD-4CD8-B158-0B704BE81697}"/>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dLbl>
              <c:idx val="3"/>
              <c:layout>
                <c:manualLayout>
                  <c:x val="0"/>
                  <c:y val="3.24341166044799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6-61DD-4CD8-B158-0B704BE81697}"/>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7-61DD-4CD8-B158-0B704BE81697}"/>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8-61DD-4CD8-B158-0B704BE81697}"/>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9-61DD-4CD8-B158-0B704BE81697}"/>
                </c:ext>
              </c:extLst>
            </c:dLbl>
            <c:dLbl>
              <c:idx val="9"/>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A-61DD-4CD8-B158-0B704BE81697}"/>
                </c:ext>
              </c:extLst>
            </c:dLbl>
            <c:dLbl>
              <c:idx val="1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B-61DD-4CD8-B158-0B704BE81697}"/>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C-61DD-4CD8-B158-0B704BE81697}"/>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D-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ingresos'!$C$17:$C$29</c:f>
              <c:numCache>
                <c:formatCode>_-"$"\ * #,##0.00_-;\-"$"\ * #,##0.00_-;_-"$"\ * "-"??_-;_-@_-</c:formatCode>
                <c:ptCount val="13"/>
                <c:pt idx="0">
                  <c:v>4000000</c:v>
                </c:pt>
                <c:pt idx="1">
                  <c:v>4600000</c:v>
                </c:pt>
                <c:pt idx="2">
                  <c:v>2300000</c:v>
                </c:pt>
                <c:pt idx="3">
                  <c:v>5000000</c:v>
                </c:pt>
                <c:pt idx="4">
                  <c:v>300000</c:v>
                </c:pt>
                <c:pt idx="5">
                  <c:v>500000</c:v>
                </c:pt>
                <c:pt idx="6">
                  <c:v>600000</c:v>
                </c:pt>
                <c:pt idx="7">
                  <c:v>800000</c:v>
                </c:pt>
                <c:pt idx="8">
                  <c:v>0</c:v>
                </c:pt>
                <c:pt idx="9">
                  <c:v>0</c:v>
                </c:pt>
                <c:pt idx="10">
                  <c:v>0</c:v>
                </c:pt>
                <c:pt idx="11">
                  <c:v>0</c:v>
                </c:pt>
                <c:pt idx="12">
                  <c:v>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2020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8374-4368-97F6-BBDA83FD1D3E}"/>
                </c:ext>
              </c:extLst>
            </c:dLbl>
            <c:dLbl>
              <c:idx val="9"/>
              <c:layout>
                <c:manualLayout>
                  <c:x val="-6.2769230769230772E-2"/>
                  <c:y val="-3.074433656957925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8374-4368-97F6-BBDA83FD1D3E}"/>
                </c:ext>
              </c:extLst>
            </c:dLbl>
            <c:dLbl>
              <c:idx val="10"/>
              <c:layout>
                <c:manualLayout>
                  <c:x val="1.6E-2"/>
                  <c:y val="4.854368932038834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ingresos'!$D$17:$D$29</c:f>
              <c:numCache>
                <c:formatCode>_-"$"\ * #,##0.00_-;\-"$"\ * #,##0.00_-;_-"$"\ * "-"??_-;_-@_-</c:formatCode>
                <c:ptCount val="13"/>
                <c:pt idx="0">
                  <c:v>2400000000</c:v>
                </c:pt>
                <c:pt idx="1">
                  <c:v>1943500000</c:v>
                </c:pt>
                <c:pt idx="2">
                  <c:v>563500000</c:v>
                </c:pt>
                <c:pt idx="3">
                  <c:v>4500000000</c:v>
                </c:pt>
                <c:pt idx="4">
                  <c:v>540000000</c:v>
                </c:pt>
                <c:pt idx="5">
                  <c:v>375000000</c:v>
                </c:pt>
                <c:pt idx="6">
                  <c:v>960000000</c:v>
                </c:pt>
                <c:pt idx="7">
                  <c:v>720000000</c:v>
                </c:pt>
                <c:pt idx="8">
                  <c:v>0</c:v>
                </c:pt>
                <c:pt idx="9">
                  <c:v>0</c:v>
                </c:pt>
                <c:pt idx="10">
                  <c:v>0</c:v>
                </c:pt>
                <c:pt idx="11">
                  <c:v>0</c:v>
                </c:pt>
                <c:pt idx="12">
                  <c:v>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0A6F96F-E37C-4A5B-B216-6A4ACBD551EF}"/>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4AF1FEC-F722-4E86-8D8D-28EB6AECD6EF}"/>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8</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30</xdr:col>
      <xdr:colOff>442910</xdr:colOff>
      <xdr:row>17</xdr:row>
      <xdr:rowOff>8616</xdr:rowOff>
    </xdr:from>
    <xdr:to>
      <xdr:col>42</xdr:col>
      <xdr:colOff>546099</xdr:colOff>
      <xdr:row>31</xdr:row>
      <xdr:rowOff>1733549</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495300</xdr:colOff>
      <xdr:row>76</xdr:row>
      <xdr:rowOff>171450</xdr:rowOff>
    </xdr:from>
    <xdr:to>
      <xdr:col>43</xdr:col>
      <xdr:colOff>38100</xdr:colOff>
      <xdr:row>96</xdr:row>
      <xdr:rowOff>152400</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371474</xdr:colOff>
      <xdr:row>132</xdr:row>
      <xdr:rowOff>47624</xdr:rowOff>
    </xdr:from>
    <xdr:to>
      <xdr:col>42</xdr:col>
      <xdr:colOff>571500</xdr:colOff>
      <xdr:row>153</xdr:row>
      <xdr:rowOff>133350</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329044</xdr:colOff>
      <xdr:row>33</xdr:row>
      <xdr:rowOff>117762</xdr:rowOff>
    </xdr:from>
    <xdr:to>
      <xdr:col>43</xdr:col>
      <xdr:colOff>571500</xdr:colOff>
      <xdr:row>63</xdr:row>
      <xdr:rowOff>69273</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519546</xdr:colOff>
      <xdr:row>98</xdr:row>
      <xdr:rowOff>51955</xdr:rowOff>
    </xdr:from>
    <xdr:to>
      <xdr:col>42</xdr:col>
      <xdr:colOff>571500</xdr:colOff>
      <xdr:row>123</xdr:row>
      <xdr:rowOff>69273</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346364</xdr:colOff>
      <xdr:row>155</xdr:row>
      <xdr:rowOff>86591</xdr:rowOff>
    </xdr:from>
    <xdr:to>
      <xdr:col>43</xdr:col>
      <xdr:colOff>155864</xdr:colOff>
      <xdr:row>187</xdr:row>
      <xdr:rowOff>-1</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1396999</xdr:colOff>
      <xdr:row>95</xdr:row>
      <xdr:rowOff>63500</xdr:rowOff>
    </xdr:from>
    <xdr:to>
      <xdr:col>1</xdr:col>
      <xdr:colOff>1016000</xdr:colOff>
      <xdr:row>98</xdr:row>
      <xdr:rowOff>132772</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396999" y="285273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1317625</xdr:colOff>
      <xdr:row>37</xdr:row>
      <xdr:rowOff>111125</xdr:rowOff>
    </xdr:from>
    <xdr:to>
      <xdr:col>1</xdr:col>
      <xdr:colOff>936626</xdr:colOff>
      <xdr:row>40</xdr:row>
      <xdr:rowOff>180397</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BCD8EB8A-1A07-422B-9A36-46626E7D50F6}"/>
            </a:ext>
          </a:extLst>
        </xdr:cNvPr>
        <xdr:cNvSpPr/>
      </xdr:nvSpPr>
      <xdr:spPr>
        <a:xfrm>
          <a:off x="1317625" y="137318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1285875</xdr:colOff>
      <xdr:row>154</xdr:row>
      <xdr:rowOff>158750</xdr:rowOff>
    </xdr:from>
    <xdr:to>
      <xdr:col>1</xdr:col>
      <xdr:colOff>904876</xdr:colOff>
      <xdr:row>158</xdr:row>
      <xdr:rowOff>37522</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285875" y="42179875"/>
          <a:ext cx="2587626" cy="64077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BD6CB56-49D1-41F8-A6A2-EEAEAE6F64D8}"/>
            </a:ext>
          </a:extLst>
        </xdr:cNvPr>
        <xdr:cNvSpPr/>
      </xdr:nvSpPr>
      <xdr:spPr>
        <a:xfrm>
          <a:off x="1409700" y="238125"/>
          <a:ext cx="14859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id="{EE9074D6-8650-40CA-BBBF-8B6127FE5EE8}"/>
            </a:ext>
          </a:extLst>
        </xdr:cNvPr>
        <xdr:cNvSpPr/>
      </xdr:nvSpPr>
      <xdr:spPr>
        <a:xfrm>
          <a:off x="114300" y="238125"/>
          <a:ext cx="1114425"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9</xdr:col>
      <xdr:colOff>59573</xdr:colOff>
      <xdr:row>3</xdr:row>
      <xdr:rowOff>9520</xdr:rowOff>
    </xdr:from>
    <xdr:to>
      <xdr:col>21</xdr:col>
      <xdr:colOff>471490</xdr:colOff>
      <xdr:row>39</xdr:row>
      <xdr:rowOff>81134</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41</xdr:row>
      <xdr:rowOff>16143</xdr:rowOff>
    </xdr:from>
    <xdr:to>
      <xdr:col>7</xdr:col>
      <xdr:colOff>807204</xdr:colOff>
      <xdr:row>79</xdr:row>
      <xdr:rowOff>129151</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41</xdr:row>
      <xdr:rowOff>16144</xdr:rowOff>
    </xdr:from>
    <xdr:to>
      <xdr:col>21</xdr:col>
      <xdr:colOff>468178</xdr:colOff>
      <xdr:row>79</xdr:row>
      <xdr:rowOff>129152</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D26"/>
  <sheetViews>
    <sheetView zoomScale="80" zoomScaleNormal="80" workbookViewId="0">
      <selection activeCell="C21" sqref="C21"/>
    </sheetView>
  </sheetViews>
  <sheetFormatPr defaultColWidth="11.42578125" defaultRowHeight="15" x14ac:dyDescent="0.25"/>
  <cols>
    <col min="1" max="1" width="11.42578125" style="1"/>
    <col min="2" max="2" width="12.5703125" style="1" customWidth="1"/>
    <col min="3" max="16384" width="11.42578125" style="1"/>
  </cols>
  <sheetData>
    <row r="9" spans="3:3" ht="28.5" x14ac:dyDescent="0.45">
      <c r="C9" s="2" t="s">
        <v>0</v>
      </c>
    </row>
    <row r="21" spans="3:4" ht="18.75" x14ac:dyDescent="0.25">
      <c r="C21" s="3" t="s">
        <v>366</v>
      </c>
      <c r="D21" s="628"/>
    </row>
    <row r="22" spans="3:4" ht="18.75" x14ac:dyDescent="0.25">
      <c r="C22" s="3" t="s">
        <v>367</v>
      </c>
      <c r="D22" s="628"/>
    </row>
    <row r="23" spans="3:4" ht="18" x14ac:dyDescent="0.25">
      <c r="C23" s="3" t="s">
        <v>356</v>
      </c>
    </row>
    <row r="24" spans="3:4" ht="18" x14ac:dyDescent="0.25">
      <c r="C24" s="3" t="s">
        <v>368</v>
      </c>
    </row>
    <row r="25" spans="3:4" ht="18" x14ac:dyDescent="0.25">
      <c r="C25" s="3" t="s">
        <v>369</v>
      </c>
    </row>
    <row r="26" spans="3:4" ht="18" x14ac:dyDescent="0.25">
      <c r="C26" s="3" t="s">
        <v>370</v>
      </c>
    </row>
  </sheetData>
  <hyperlinks>
    <hyperlink ref="C26" r:id="rId1" display="mailto:cristiangentile1@gmail.com" xr:uid="{00000000-0004-0000-0000-000000000000}"/>
  </hyperlinks>
  <pageMargins left="0.7" right="0.7" top="0.75" bottom="0.75" header="0.3" footer="0.3"/>
  <pageSetup orientation="portrait" horizontalDpi="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4"/>
  <sheetViews>
    <sheetView zoomScale="90" zoomScaleNormal="90" workbookViewId="0">
      <pane ySplit="1" topLeftCell="A6" activePane="bottomLeft" state="frozen"/>
      <selection pane="bottomLeft" activeCell="A11" sqref="A11"/>
    </sheetView>
  </sheetViews>
  <sheetFormatPr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617" customFormat="1" ht="58.5" customHeight="1" x14ac:dyDescent="0.25">
      <c r="A1" s="619"/>
      <c r="B1" s="619"/>
      <c r="C1" s="619"/>
      <c r="D1" s="619"/>
      <c r="E1" s="619"/>
      <c r="F1" s="622" t="s">
        <v>7</v>
      </c>
      <c r="G1" s="623"/>
      <c r="H1" s="623"/>
      <c r="I1" s="619"/>
      <c r="J1" s="619"/>
      <c r="K1" s="619"/>
      <c r="L1" s="619"/>
      <c r="M1" s="619"/>
      <c r="N1" s="619"/>
      <c r="O1" s="619"/>
    </row>
    <row r="2" spans="1:15" ht="15.75" thickBot="1" x14ac:dyDescent="0.3"/>
    <row r="3" spans="1:15" ht="27" thickBot="1" x14ac:dyDescent="0.45">
      <c r="B3" s="838" t="s">
        <v>36</v>
      </c>
      <c r="C3" s="839"/>
      <c r="D3" s="840"/>
    </row>
    <row r="4" spans="1:15" x14ac:dyDescent="0.25">
      <c r="B4" s="34">
        <v>2019</v>
      </c>
      <c r="C4" s="34">
        <v>2020</v>
      </c>
      <c r="D4" s="34">
        <v>2021</v>
      </c>
    </row>
    <row r="5" spans="1:15" x14ac:dyDescent="0.25">
      <c r="B5" s="40">
        <f>Hipótesis!C24</f>
        <v>0.03</v>
      </c>
      <c r="C5" s="40">
        <f>Hipótesis!C25</f>
        <v>7.0000000000000007E-2</v>
      </c>
      <c r="D5" s="40">
        <f>Hipótesis!C26</f>
        <v>0.12</v>
      </c>
    </row>
    <row r="6" spans="1:15" x14ac:dyDescent="0.25">
      <c r="B6" s="33">
        <f>Hipótesis!D24</f>
        <v>18750000</v>
      </c>
      <c r="C6" s="33">
        <f>Hipótesis!D25</f>
        <v>43750000.000000007</v>
      </c>
      <c r="D6" s="33">
        <f>Hipótesis!D26</f>
        <v>75000000</v>
      </c>
    </row>
    <row r="7" spans="1:15" ht="15.75" thickBot="1" x14ac:dyDescent="0.3">
      <c r="B7" s="304"/>
      <c r="C7" s="304"/>
      <c r="D7" s="304"/>
    </row>
    <row r="8" spans="1:15" ht="27" thickBot="1" x14ac:dyDescent="0.45">
      <c r="B8" s="838" t="s">
        <v>222</v>
      </c>
      <c r="C8" s="839"/>
      <c r="D8" s="840"/>
    </row>
    <row r="9" spans="1:15" x14ac:dyDescent="0.25">
      <c r="B9" s="34">
        <v>2019</v>
      </c>
      <c r="C9" s="34">
        <v>2020</v>
      </c>
      <c r="D9" s="34">
        <v>2021</v>
      </c>
    </row>
    <row r="10" spans="1:15" x14ac:dyDescent="0.25">
      <c r="A10" s="411" t="s">
        <v>219</v>
      </c>
      <c r="B10" s="410">
        <f>'Costos fijos'!$G$5</f>
        <v>2343935.7000000002</v>
      </c>
      <c r="C10" s="410">
        <f>'Costos fijos'!$H$5</f>
        <v>2614351.9749999996</v>
      </c>
      <c r="D10" s="410">
        <f>'Costos fijos'!$I$5</f>
        <v>2971977.4835000001</v>
      </c>
    </row>
    <row r="11" spans="1:15" x14ac:dyDescent="0.25">
      <c r="A11" s="411" t="s">
        <v>220</v>
      </c>
      <c r="B11" s="410" t="e">
        <f>'Costos variables'!$H$6</f>
        <v>#REF!</v>
      </c>
      <c r="C11" s="410" t="e">
        <f>'Costos variables'!$I$6</f>
        <v>#REF!</v>
      </c>
      <c r="D11" s="410" t="e">
        <f>'Costos variables'!$J$6</f>
        <v>#REF!</v>
      </c>
    </row>
    <row r="12" spans="1:15" x14ac:dyDescent="0.25">
      <c r="A12" s="411" t="s">
        <v>221</v>
      </c>
      <c r="B12" s="410">
        <f>'Costos RRHH'!$H$6</f>
        <v>7341662.4450000012</v>
      </c>
      <c r="C12" s="410">
        <f>'Costos RRHH'!$I$6</f>
        <v>8446303.9266666677</v>
      </c>
      <c r="D12" s="410">
        <f>'Costos RRHH'!$J$6</f>
        <v>10262133.115833335</v>
      </c>
    </row>
    <row r="13" spans="1:15" x14ac:dyDescent="0.25">
      <c r="A13" s="411" t="s">
        <v>222</v>
      </c>
      <c r="B13" s="412" t="e">
        <f>SUM(B9:B12)</f>
        <v>#REF!</v>
      </c>
      <c r="C13" s="412" t="e">
        <f>SUM(C9:C12)</f>
        <v>#REF!</v>
      </c>
      <c r="D13" s="412" t="e">
        <f>SUM(D9:D12)</f>
        <v>#REF!</v>
      </c>
    </row>
    <row r="14" spans="1:15" x14ac:dyDescent="0.25">
      <c r="A14" s="411" t="s">
        <v>223</v>
      </c>
      <c r="B14" s="410">
        <f>$B$6</f>
        <v>18750000</v>
      </c>
      <c r="C14" s="410">
        <f>$C$6</f>
        <v>43750000.000000007</v>
      </c>
      <c r="D14" s="410">
        <f>$D$6</f>
        <v>75000000</v>
      </c>
    </row>
  </sheetData>
  <mergeCells count="2">
    <mergeCell ref="B3:D3"/>
    <mergeCell ref="B8:D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81"/>
  <sheetViews>
    <sheetView zoomScale="85" zoomScaleNormal="85" workbookViewId="0">
      <pane ySplit="1" topLeftCell="A52" activePane="bottomLeft" state="frozen"/>
      <selection pane="bottomLeft" sqref="A1:L1"/>
    </sheetView>
  </sheetViews>
  <sheetFormatPr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617" customFormat="1" ht="58.5" customHeight="1" x14ac:dyDescent="0.25">
      <c r="A1" s="619"/>
      <c r="B1" s="619"/>
      <c r="C1" s="619"/>
      <c r="D1" s="619"/>
      <c r="E1" s="619"/>
      <c r="F1" s="622" t="s">
        <v>8</v>
      </c>
      <c r="G1" s="623"/>
      <c r="H1" s="623"/>
      <c r="I1" s="619"/>
      <c r="J1" s="619"/>
      <c r="K1" s="619"/>
      <c r="L1" s="619"/>
    </row>
    <row r="2" spans="1:12" ht="15.75" thickBot="1" x14ac:dyDescent="0.3"/>
    <row r="3" spans="1:12" ht="27" thickBot="1" x14ac:dyDescent="0.45">
      <c r="B3" s="838" t="s">
        <v>36</v>
      </c>
      <c r="C3" s="839"/>
      <c r="D3" s="840"/>
      <c r="G3" s="949" t="s">
        <v>224</v>
      </c>
      <c r="H3" s="950"/>
      <c r="I3" s="950"/>
      <c r="J3" s="951"/>
    </row>
    <row r="4" spans="1:12" x14ac:dyDescent="0.25">
      <c r="B4" s="94">
        <v>2019</v>
      </c>
      <c r="C4" s="34">
        <v>2020</v>
      </c>
      <c r="D4" s="95">
        <v>2021</v>
      </c>
      <c r="G4" s="417" t="s">
        <v>225</v>
      </c>
      <c r="H4" s="418">
        <v>2019</v>
      </c>
      <c r="I4" s="418">
        <v>2020</v>
      </c>
      <c r="J4" s="419">
        <v>2021</v>
      </c>
    </row>
    <row r="5" spans="1:12" ht="15.75" thickBot="1" x14ac:dyDescent="0.3">
      <c r="B5" s="96">
        <f>Hipótesis!$C$24</f>
        <v>0.03</v>
      </c>
      <c r="C5" s="40">
        <f>Hipótesis!$C$25</f>
        <v>7.0000000000000007E-2</v>
      </c>
      <c r="D5" s="97">
        <f>Hipótesis!$C$26</f>
        <v>0.12</v>
      </c>
      <c r="G5" s="414">
        <f>$E$28</f>
        <v>2297572</v>
      </c>
      <c r="H5" s="415">
        <f>$E$45</f>
        <v>22999</v>
      </c>
      <c r="I5" s="415">
        <f>$E$63</f>
        <v>70262</v>
      </c>
      <c r="J5" s="416">
        <f>$E$81</f>
        <v>1306257</v>
      </c>
    </row>
    <row r="6" spans="1:12" ht="15.75" thickBot="1" x14ac:dyDescent="0.3">
      <c r="B6" s="98">
        <f>Hipótesis!$D$24</f>
        <v>18750000</v>
      </c>
      <c r="C6" s="99">
        <f>Hipótesis!$D$25</f>
        <v>43750000.000000007</v>
      </c>
      <c r="D6" s="100">
        <f>Hipótesis!$D$26</f>
        <v>75000000</v>
      </c>
    </row>
    <row r="8" spans="1:12" ht="15.75" thickBot="1" x14ac:dyDescent="0.3"/>
    <row r="9" spans="1:12" ht="27" thickBot="1" x14ac:dyDescent="0.45">
      <c r="B9" s="918" t="s">
        <v>226</v>
      </c>
      <c r="C9" s="919"/>
      <c r="D9" s="919"/>
      <c r="E9" s="919"/>
      <c r="F9" s="920"/>
    </row>
    <row r="10" spans="1:12" ht="15.75" x14ac:dyDescent="0.25">
      <c r="B10" s="440" t="s">
        <v>64</v>
      </c>
      <c r="C10" s="441" t="s">
        <v>60</v>
      </c>
      <c r="D10" s="441" t="s">
        <v>231</v>
      </c>
      <c r="E10" s="441" t="s">
        <v>167</v>
      </c>
      <c r="F10" s="442" t="s">
        <v>235</v>
      </c>
    </row>
    <row r="11" spans="1:12" x14ac:dyDescent="0.25">
      <c r="B11" s="421" t="s">
        <v>301</v>
      </c>
      <c r="C11" s="518">
        <v>20</v>
      </c>
      <c r="D11" s="413">
        <f>'Costos variables'!$E$20</f>
        <v>1360</v>
      </c>
      <c r="E11" s="413">
        <f>C11*D11</f>
        <v>27200</v>
      </c>
      <c r="F11" s="602"/>
    </row>
    <row r="12" spans="1:12" x14ac:dyDescent="0.25">
      <c r="B12" s="421" t="s">
        <v>302</v>
      </c>
      <c r="C12" s="518">
        <v>15</v>
      </c>
      <c r="D12" s="413">
        <f>'Costos variables'!$E$33</f>
        <v>5705</v>
      </c>
      <c r="E12" s="413">
        <f>C12*D12</f>
        <v>85575</v>
      </c>
      <c r="F12" s="602"/>
    </row>
    <row r="13" spans="1:12" x14ac:dyDescent="0.25">
      <c r="B13" s="421" t="s">
        <v>303</v>
      </c>
      <c r="C13" s="518">
        <v>10</v>
      </c>
      <c r="D13" s="413">
        <f>'Costos variables'!$E$46</f>
        <v>8105</v>
      </c>
      <c r="E13" s="413">
        <f>C13*D13</f>
        <v>81050</v>
      </c>
      <c r="F13" s="602"/>
    </row>
    <row r="14" spans="1:12" ht="15.75" x14ac:dyDescent="0.25">
      <c r="B14" s="421" t="s">
        <v>304</v>
      </c>
      <c r="C14" s="517" t="s">
        <v>266</v>
      </c>
      <c r="D14" s="517" t="s">
        <v>266</v>
      </c>
      <c r="E14" s="413">
        <f>10*D13+10*D12+10*D11</f>
        <v>151700</v>
      </c>
      <c r="F14" s="602"/>
    </row>
    <row r="15" spans="1:12" x14ac:dyDescent="0.25">
      <c r="B15" s="421" t="s">
        <v>227</v>
      </c>
      <c r="C15" s="305">
        <v>1</v>
      </c>
      <c r="D15" s="413">
        <v>20000</v>
      </c>
      <c r="E15" s="413">
        <f>C15*D15</f>
        <v>20000</v>
      </c>
      <c r="F15" s="433"/>
    </row>
    <row r="16" spans="1:12" x14ac:dyDescent="0.25">
      <c r="B16" s="421" t="s">
        <v>228</v>
      </c>
      <c r="C16" s="305">
        <v>1</v>
      </c>
      <c r="D16" s="413">
        <v>2850</v>
      </c>
      <c r="E16" s="413">
        <f t="shared" ref="E16:E27" si="0">C16*D16</f>
        <v>2850</v>
      </c>
      <c r="F16" s="434"/>
    </row>
    <row r="17" spans="2:6" x14ac:dyDescent="0.25">
      <c r="B17" s="421" t="s">
        <v>253</v>
      </c>
      <c r="C17" s="305">
        <v>1</v>
      </c>
      <c r="D17" s="413">
        <v>5000</v>
      </c>
      <c r="E17" s="413">
        <f t="shared" si="0"/>
        <v>5000</v>
      </c>
      <c r="F17" s="434"/>
    </row>
    <row r="18" spans="2:6" x14ac:dyDescent="0.25">
      <c r="B18" s="421" t="s">
        <v>230</v>
      </c>
      <c r="C18" s="305">
        <v>2</v>
      </c>
      <c r="D18" s="413">
        <v>2840</v>
      </c>
      <c r="E18" s="413">
        <f t="shared" si="0"/>
        <v>5680</v>
      </c>
      <c r="F18" s="434"/>
    </row>
    <row r="19" spans="2:6" x14ac:dyDescent="0.25">
      <c r="B19" s="421" t="s">
        <v>242</v>
      </c>
      <c r="C19" s="305">
        <v>5</v>
      </c>
      <c r="D19" s="413">
        <v>2600</v>
      </c>
      <c r="E19" s="413">
        <f t="shared" si="0"/>
        <v>13000</v>
      </c>
      <c r="F19" s="6"/>
    </row>
    <row r="20" spans="2:6" x14ac:dyDescent="0.25">
      <c r="B20" s="421" t="s">
        <v>283</v>
      </c>
      <c r="C20" s="305">
        <v>2</v>
      </c>
      <c r="D20" s="413">
        <v>736011</v>
      </c>
      <c r="E20" s="413">
        <f t="shared" si="0"/>
        <v>1472022</v>
      </c>
      <c r="F20" s="6"/>
    </row>
    <row r="21" spans="2:6" x14ac:dyDescent="0.25">
      <c r="B21" s="421" t="s">
        <v>241</v>
      </c>
      <c r="C21" s="305">
        <v>8</v>
      </c>
      <c r="D21" s="413">
        <v>17500</v>
      </c>
      <c r="E21" s="413">
        <f t="shared" si="0"/>
        <v>140000</v>
      </c>
      <c r="F21" s="434"/>
    </row>
    <row r="22" spans="2:6" x14ac:dyDescent="0.25">
      <c r="B22" s="421" t="s">
        <v>247</v>
      </c>
      <c r="C22" s="305">
        <v>2</v>
      </c>
      <c r="D22" s="413">
        <v>20170</v>
      </c>
      <c r="E22" s="413">
        <f t="shared" si="0"/>
        <v>40340</v>
      </c>
      <c r="F22" s="434"/>
    </row>
    <row r="23" spans="2:6" x14ac:dyDescent="0.25">
      <c r="B23" s="421" t="s">
        <v>239</v>
      </c>
      <c r="C23" s="305">
        <v>1</v>
      </c>
      <c r="D23" s="413">
        <v>4299</v>
      </c>
      <c r="E23" s="413">
        <f t="shared" si="0"/>
        <v>4299</v>
      </c>
      <c r="F23" s="433"/>
    </row>
    <row r="24" spans="2:6" x14ac:dyDescent="0.25">
      <c r="B24" s="421" t="s">
        <v>240</v>
      </c>
      <c r="C24" s="305">
        <v>6</v>
      </c>
      <c r="D24" s="413">
        <v>7480</v>
      </c>
      <c r="E24" s="413">
        <f t="shared" si="0"/>
        <v>44880</v>
      </c>
      <c r="F24" s="434"/>
    </row>
    <row r="25" spans="2:6" x14ac:dyDescent="0.25">
      <c r="B25" s="421" t="s">
        <v>238</v>
      </c>
      <c r="C25" s="305">
        <v>9</v>
      </c>
      <c r="D25" s="413">
        <v>3200</v>
      </c>
      <c r="E25" s="413">
        <f t="shared" si="0"/>
        <v>28800</v>
      </c>
      <c r="F25" s="434"/>
    </row>
    <row r="26" spans="2:6" x14ac:dyDescent="0.25">
      <c r="B26" s="421" t="s">
        <v>246</v>
      </c>
      <c r="C26" s="305">
        <v>24</v>
      </c>
      <c r="D26" s="413">
        <v>2299</v>
      </c>
      <c r="E26" s="413">
        <f t="shared" si="0"/>
        <v>55176</v>
      </c>
      <c r="F26" s="434"/>
    </row>
    <row r="27" spans="2:6" ht="15.75" thickBot="1" x14ac:dyDescent="0.3">
      <c r="B27" s="435" t="s">
        <v>236</v>
      </c>
      <c r="C27" s="436">
        <v>1</v>
      </c>
      <c r="D27" s="415">
        <v>120000</v>
      </c>
      <c r="E27" s="413">
        <f t="shared" si="0"/>
        <v>120000</v>
      </c>
      <c r="F27" s="437"/>
    </row>
    <row r="28" spans="2:6" ht="15.75" thickBot="1" x14ac:dyDescent="0.3">
      <c r="B28" s="946" t="s">
        <v>19</v>
      </c>
      <c r="C28" s="947"/>
      <c r="D28" s="948"/>
      <c r="E28" s="443">
        <f>SUM(E11:E27)</f>
        <v>2297572</v>
      </c>
    </row>
    <row r="29" spans="2:6" ht="15.75" thickBot="1" x14ac:dyDescent="0.3"/>
    <row r="30" spans="2:6" ht="27" thickBot="1" x14ac:dyDescent="0.45">
      <c r="B30" s="838" t="s">
        <v>232</v>
      </c>
      <c r="C30" s="839"/>
      <c r="D30" s="839"/>
      <c r="E30" s="840"/>
      <c r="F30" s="444"/>
    </row>
    <row r="31" spans="2:6" ht="15.75" x14ac:dyDescent="0.25">
      <c r="B31" s="440" t="s">
        <v>64</v>
      </c>
      <c r="C31" s="441" t="s">
        <v>60</v>
      </c>
      <c r="D31" s="441" t="s">
        <v>231</v>
      </c>
      <c r="E31" s="442" t="s">
        <v>167</v>
      </c>
    </row>
    <row r="32" spans="2:6" x14ac:dyDescent="0.25">
      <c r="B32" s="421" t="s">
        <v>227</v>
      </c>
      <c r="C32" s="305">
        <v>0</v>
      </c>
      <c r="D32" s="413">
        <v>20000</v>
      </c>
      <c r="E32" s="445">
        <f>C32*D32</f>
        <v>0</v>
      </c>
    </row>
    <row r="33" spans="2:8" x14ac:dyDescent="0.25">
      <c r="B33" s="421" t="s">
        <v>228</v>
      </c>
      <c r="C33" s="305">
        <v>0</v>
      </c>
      <c r="D33" s="413">
        <v>2850</v>
      </c>
      <c r="E33" s="445">
        <f t="shared" ref="E33:E44" si="1">C33*D33</f>
        <v>0</v>
      </c>
      <c r="G33" s="102"/>
      <c r="H33" s="102"/>
    </row>
    <row r="34" spans="2:8" x14ac:dyDescent="0.25">
      <c r="B34" s="421" t="s">
        <v>229</v>
      </c>
      <c r="C34" s="305">
        <v>0</v>
      </c>
      <c r="D34" s="413">
        <v>5000</v>
      </c>
      <c r="E34" s="445">
        <f t="shared" si="1"/>
        <v>0</v>
      </c>
      <c r="G34" s="102"/>
      <c r="H34" s="102"/>
    </row>
    <row r="35" spans="2:8" x14ac:dyDescent="0.25">
      <c r="B35" s="421" t="s">
        <v>230</v>
      </c>
      <c r="C35" s="305">
        <v>0</v>
      </c>
      <c r="D35" s="413">
        <v>2840</v>
      </c>
      <c r="E35" s="445">
        <f t="shared" si="1"/>
        <v>0</v>
      </c>
      <c r="G35" s="952"/>
      <c r="H35" s="952"/>
    </row>
    <row r="36" spans="2:8" x14ac:dyDescent="0.25">
      <c r="B36" s="421" t="s">
        <v>242</v>
      </c>
      <c r="C36" s="305">
        <v>0</v>
      </c>
      <c r="D36" s="413">
        <v>2600</v>
      </c>
      <c r="E36" s="445">
        <f t="shared" si="1"/>
        <v>0</v>
      </c>
      <c r="G36" s="953"/>
      <c r="H36" s="953"/>
    </row>
    <row r="37" spans="2:8" x14ac:dyDescent="0.25">
      <c r="B37" s="421" t="s">
        <v>283</v>
      </c>
      <c r="C37" s="305">
        <v>0</v>
      </c>
      <c r="D37" s="413">
        <v>736011</v>
      </c>
      <c r="E37" s="445">
        <f t="shared" si="1"/>
        <v>0</v>
      </c>
      <c r="G37" s="952"/>
      <c r="H37" s="952"/>
    </row>
    <row r="38" spans="2:8" x14ac:dyDescent="0.25">
      <c r="B38" s="421" t="s">
        <v>241</v>
      </c>
      <c r="C38" s="409">
        <v>1</v>
      </c>
      <c r="D38" s="413">
        <v>17500</v>
      </c>
      <c r="E38" s="445">
        <f t="shared" si="1"/>
        <v>17500</v>
      </c>
      <c r="G38" s="953"/>
      <c r="H38" s="953"/>
    </row>
    <row r="39" spans="2:8" x14ac:dyDescent="0.25">
      <c r="B39" s="421" t="s">
        <v>233</v>
      </c>
      <c r="C39" s="305">
        <v>0</v>
      </c>
      <c r="D39" s="413">
        <v>20170</v>
      </c>
      <c r="E39" s="445">
        <f t="shared" si="1"/>
        <v>0</v>
      </c>
      <c r="G39" s="953"/>
      <c r="H39" s="953"/>
    </row>
    <row r="40" spans="2:8" x14ac:dyDescent="0.25">
      <c r="B40" s="421" t="s">
        <v>239</v>
      </c>
      <c r="C40" s="305">
        <v>0</v>
      </c>
      <c r="D40" s="413">
        <v>4299</v>
      </c>
      <c r="E40" s="445">
        <f t="shared" si="1"/>
        <v>0</v>
      </c>
      <c r="G40" s="953"/>
      <c r="H40" s="953"/>
    </row>
    <row r="41" spans="2:8" x14ac:dyDescent="0.25">
      <c r="B41" s="421" t="s">
        <v>240</v>
      </c>
      <c r="C41" s="305">
        <v>0</v>
      </c>
      <c r="D41" s="413">
        <v>7480</v>
      </c>
      <c r="E41" s="445">
        <f t="shared" si="1"/>
        <v>0</v>
      </c>
      <c r="G41" s="952"/>
      <c r="H41" s="952"/>
    </row>
    <row r="42" spans="2:8" x14ac:dyDescent="0.25">
      <c r="B42" s="421" t="s">
        <v>238</v>
      </c>
      <c r="C42" s="409">
        <v>1</v>
      </c>
      <c r="D42" s="413">
        <v>3200</v>
      </c>
      <c r="E42" s="445">
        <f t="shared" si="1"/>
        <v>3200</v>
      </c>
      <c r="G42" s="952"/>
      <c r="H42" s="952"/>
    </row>
    <row r="43" spans="2:8" x14ac:dyDescent="0.25">
      <c r="B43" s="421" t="s">
        <v>234</v>
      </c>
      <c r="C43" s="409">
        <v>1</v>
      </c>
      <c r="D43" s="413">
        <v>2299</v>
      </c>
      <c r="E43" s="445">
        <f t="shared" si="1"/>
        <v>2299</v>
      </c>
      <c r="G43" s="102"/>
      <c r="H43" s="102"/>
    </row>
    <row r="44" spans="2:8" ht="15.75" thickBot="1" x14ac:dyDescent="0.3">
      <c r="B44" s="435" t="s">
        <v>236</v>
      </c>
      <c r="C44" s="436">
        <v>0</v>
      </c>
      <c r="D44" s="415">
        <v>120000</v>
      </c>
      <c r="E44" s="446">
        <f t="shared" si="1"/>
        <v>0</v>
      </c>
      <c r="G44" s="102"/>
      <c r="H44" s="102"/>
    </row>
    <row r="45" spans="2:8" ht="15.75" thickBot="1" x14ac:dyDescent="0.3">
      <c r="B45" s="946" t="s">
        <v>19</v>
      </c>
      <c r="C45" s="947"/>
      <c r="D45" s="948"/>
      <c r="E45" s="438">
        <f>SUM(E32:E44)</f>
        <v>22999</v>
      </c>
    </row>
    <row r="47" spans="2:8" ht="15.75" thickBot="1" x14ac:dyDescent="0.3"/>
    <row r="48" spans="2:8" ht="27" thickBot="1" x14ac:dyDescent="0.45">
      <c r="B48" s="838" t="s">
        <v>243</v>
      </c>
      <c r="C48" s="839"/>
      <c r="D48" s="839"/>
      <c r="E48" s="840"/>
    </row>
    <row r="49" spans="2:5" ht="15.75" x14ac:dyDescent="0.25">
      <c r="B49" s="440" t="s">
        <v>64</v>
      </c>
      <c r="C49" s="441" t="s">
        <v>60</v>
      </c>
      <c r="D49" s="441" t="s">
        <v>231</v>
      </c>
      <c r="E49" s="442" t="s">
        <v>167</v>
      </c>
    </row>
    <row r="50" spans="2:5" x14ac:dyDescent="0.25">
      <c r="B50" s="421" t="s">
        <v>227</v>
      </c>
      <c r="C50" s="305">
        <v>0</v>
      </c>
      <c r="D50" s="413">
        <v>20000</v>
      </c>
      <c r="E50" s="445">
        <f>C50*D50</f>
        <v>0</v>
      </c>
    </row>
    <row r="51" spans="2:5" x14ac:dyDescent="0.25">
      <c r="B51" s="421" t="s">
        <v>228</v>
      </c>
      <c r="C51" s="409">
        <v>1</v>
      </c>
      <c r="D51" s="413">
        <v>2850</v>
      </c>
      <c r="E51" s="445">
        <f t="shared" ref="E51:E62" si="2">C51*D51</f>
        <v>2850</v>
      </c>
    </row>
    <row r="52" spans="2:5" x14ac:dyDescent="0.25">
      <c r="B52" s="421" t="s">
        <v>229</v>
      </c>
      <c r="C52" s="409">
        <v>1</v>
      </c>
      <c r="D52" s="413">
        <v>5000</v>
      </c>
      <c r="E52" s="445">
        <f t="shared" si="2"/>
        <v>5000</v>
      </c>
    </row>
    <row r="53" spans="2:5" x14ac:dyDescent="0.25">
      <c r="B53" s="421" t="s">
        <v>230</v>
      </c>
      <c r="C53" s="409">
        <v>1</v>
      </c>
      <c r="D53" s="413">
        <v>2840</v>
      </c>
      <c r="E53" s="445">
        <f t="shared" si="2"/>
        <v>2840</v>
      </c>
    </row>
    <row r="54" spans="2:5" x14ac:dyDescent="0.25">
      <c r="B54" s="421" t="s">
        <v>242</v>
      </c>
      <c r="C54" s="409">
        <v>5</v>
      </c>
      <c r="D54" s="413">
        <v>2600</v>
      </c>
      <c r="E54" s="445">
        <f t="shared" si="2"/>
        <v>13000</v>
      </c>
    </row>
    <row r="55" spans="2:5" x14ac:dyDescent="0.25">
      <c r="B55" s="421" t="s">
        <v>283</v>
      </c>
      <c r="C55" s="305">
        <v>0</v>
      </c>
      <c r="D55" s="413">
        <v>736011</v>
      </c>
      <c r="E55" s="445">
        <f t="shared" si="2"/>
        <v>0</v>
      </c>
    </row>
    <row r="56" spans="2:5" x14ac:dyDescent="0.25">
      <c r="B56" s="421" t="s">
        <v>241</v>
      </c>
      <c r="C56" s="409">
        <v>1</v>
      </c>
      <c r="D56" s="413">
        <v>17500</v>
      </c>
      <c r="E56" s="445">
        <f t="shared" si="2"/>
        <v>17500</v>
      </c>
    </row>
    <row r="57" spans="2:5" x14ac:dyDescent="0.25">
      <c r="B57" s="421" t="s">
        <v>233</v>
      </c>
      <c r="C57" s="305">
        <v>0</v>
      </c>
      <c r="D57" s="413">
        <v>20170</v>
      </c>
      <c r="E57" s="445">
        <f t="shared" si="2"/>
        <v>0</v>
      </c>
    </row>
    <row r="58" spans="2:5" x14ac:dyDescent="0.25">
      <c r="B58" s="421" t="s">
        <v>239</v>
      </c>
      <c r="C58" s="305">
        <v>0</v>
      </c>
      <c r="D58" s="413">
        <v>4299</v>
      </c>
      <c r="E58" s="445">
        <f t="shared" si="2"/>
        <v>0</v>
      </c>
    </row>
    <row r="59" spans="2:5" x14ac:dyDescent="0.25">
      <c r="B59" s="421" t="s">
        <v>240</v>
      </c>
      <c r="C59" s="409">
        <v>1</v>
      </c>
      <c r="D59" s="413">
        <v>7480</v>
      </c>
      <c r="E59" s="445">
        <f t="shared" si="2"/>
        <v>7480</v>
      </c>
    </row>
    <row r="60" spans="2:5" x14ac:dyDescent="0.25">
      <c r="B60" s="421" t="s">
        <v>238</v>
      </c>
      <c r="C60" s="409">
        <v>1</v>
      </c>
      <c r="D60" s="413">
        <v>3200</v>
      </c>
      <c r="E60" s="445">
        <f t="shared" si="2"/>
        <v>3200</v>
      </c>
    </row>
    <row r="61" spans="2:5" x14ac:dyDescent="0.25">
      <c r="B61" s="421" t="s">
        <v>234</v>
      </c>
      <c r="C61" s="409">
        <v>8</v>
      </c>
      <c r="D61" s="413">
        <v>2299</v>
      </c>
      <c r="E61" s="445">
        <f t="shared" si="2"/>
        <v>18392</v>
      </c>
    </row>
    <row r="62" spans="2:5" ht="15.75" thickBot="1" x14ac:dyDescent="0.3">
      <c r="B62" s="435" t="s">
        <v>236</v>
      </c>
      <c r="C62" s="436">
        <v>0</v>
      </c>
      <c r="D62" s="415">
        <v>120000</v>
      </c>
      <c r="E62" s="446">
        <f t="shared" si="2"/>
        <v>0</v>
      </c>
    </row>
    <row r="63" spans="2:5" ht="15.75" thickBot="1" x14ac:dyDescent="0.3">
      <c r="B63" s="946" t="s">
        <v>19</v>
      </c>
      <c r="C63" s="947"/>
      <c r="D63" s="948"/>
      <c r="E63" s="438">
        <f>SUM(E50:E62)</f>
        <v>70262</v>
      </c>
    </row>
    <row r="65" spans="2:5" ht="15.75" thickBot="1" x14ac:dyDescent="0.3"/>
    <row r="66" spans="2:5" ht="27" thickBot="1" x14ac:dyDescent="0.45">
      <c r="B66" s="838" t="s">
        <v>244</v>
      </c>
      <c r="C66" s="839"/>
      <c r="D66" s="839"/>
      <c r="E66" s="840"/>
    </row>
    <row r="67" spans="2:5" ht="15.75" x14ac:dyDescent="0.25">
      <c r="B67" s="440" t="s">
        <v>64</v>
      </c>
      <c r="C67" s="441" t="s">
        <v>60</v>
      </c>
      <c r="D67" s="441" t="s">
        <v>231</v>
      </c>
      <c r="E67" s="442" t="s">
        <v>167</v>
      </c>
    </row>
    <row r="68" spans="2:5" x14ac:dyDescent="0.25">
      <c r="B68" s="421" t="s">
        <v>227</v>
      </c>
      <c r="C68" s="305">
        <v>0</v>
      </c>
      <c r="D68" s="413">
        <v>20000</v>
      </c>
      <c r="E68" s="445">
        <f>C68*D68</f>
        <v>0</v>
      </c>
    </row>
    <row r="69" spans="2:5" x14ac:dyDescent="0.25">
      <c r="B69" s="421" t="s">
        <v>228</v>
      </c>
      <c r="C69" s="305">
        <v>0</v>
      </c>
      <c r="D69" s="413">
        <v>2850</v>
      </c>
      <c r="E69" s="445">
        <f t="shared" ref="E69:E80" si="3">C69*D69</f>
        <v>0</v>
      </c>
    </row>
    <row r="70" spans="2:5" x14ac:dyDescent="0.25">
      <c r="B70" s="421" t="s">
        <v>229</v>
      </c>
      <c r="C70" s="305">
        <v>0</v>
      </c>
      <c r="D70" s="413">
        <v>5000</v>
      </c>
      <c r="E70" s="445">
        <f t="shared" si="3"/>
        <v>0</v>
      </c>
    </row>
    <row r="71" spans="2:5" x14ac:dyDescent="0.25">
      <c r="B71" s="421" t="s">
        <v>230</v>
      </c>
      <c r="C71" s="305">
        <v>0</v>
      </c>
      <c r="D71" s="413">
        <v>2840</v>
      </c>
      <c r="E71" s="445">
        <f t="shared" si="3"/>
        <v>0</v>
      </c>
    </row>
    <row r="72" spans="2:5" x14ac:dyDescent="0.25">
      <c r="B72" s="421" t="s">
        <v>242</v>
      </c>
      <c r="C72" s="305">
        <v>0</v>
      </c>
      <c r="D72" s="413">
        <v>2600</v>
      </c>
      <c r="E72" s="445">
        <f t="shared" si="3"/>
        <v>0</v>
      </c>
    </row>
    <row r="73" spans="2:5" x14ac:dyDescent="0.25">
      <c r="B73" s="421" t="s">
        <v>237</v>
      </c>
      <c r="C73" s="409">
        <v>1</v>
      </c>
      <c r="D73" s="413">
        <v>1234590</v>
      </c>
      <c r="E73" s="445">
        <f t="shared" si="3"/>
        <v>1234590</v>
      </c>
    </row>
    <row r="74" spans="2:5" x14ac:dyDescent="0.25">
      <c r="B74" s="421" t="s">
        <v>241</v>
      </c>
      <c r="C74" s="409">
        <v>2</v>
      </c>
      <c r="D74" s="413">
        <v>17500</v>
      </c>
      <c r="E74" s="445">
        <f t="shared" si="3"/>
        <v>35000</v>
      </c>
    </row>
    <row r="75" spans="2:5" x14ac:dyDescent="0.25">
      <c r="B75" s="421" t="s">
        <v>233</v>
      </c>
      <c r="C75" s="409">
        <v>1</v>
      </c>
      <c r="D75" s="413">
        <v>20170</v>
      </c>
      <c r="E75" s="445">
        <f t="shared" si="3"/>
        <v>20170</v>
      </c>
    </row>
    <row r="76" spans="2:5" x14ac:dyDescent="0.25">
      <c r="B76" s="421" t="s">
        <v>239</v>
      </c>
      <c r="C76" s="305">
        <v>0</v>
      </c>
      <c r="D76" s="413">
        <v>4299</v>
      </c>
      <c r="E76" s="445">
        <f t="shared" si="3"/>
        <v>0</v>
      </c>
    </row>
    <row r="77" spans="2:5" x14ac:dyDescent="0.25">
      <c r="B77" s="421" t="s">
        <v>240</v>
      </c>
      <c r="C77" s="305">
        <v>0</v>
      </c>
      <c r="D77" s="413">
        <v>7480</v>
      </c>
      <c r="E77" s="445">
        <f t="shared" si="3"/>
        <v>0</v>
      </c>
    </row>
    <row r="78" spans="2:5" x14ac:dyDescent="0.25">
      <c r="B78" s="421" t="s">
        <v>238</v>
      </c>
      <c r="C78" s="409">
        <v>3</v>
      </c>
      <c r="D78" s="413">
        <v>3200</v>
      </c>
      <c r="E78" s="445">
        <f t="shared" si="3"/>
        <v>9600</v>
      </c>
    </row>
    <row r="79" spans="2:5" x14ac:dyDescent="0.25">
      <c r="B79" s="421" t="s">
        <v>234</v>
      </c>
      <c r="C79" s="409">
        <v>3</v>
      </c>
      <c r="D79" s="413">
        <v>2299</v>
      </c>
      <c r="E79" s="445">
        <f t="shared" si="3"/>
        <v>6897</v>
      </c>
    </row>
    <row r="80" spans="2:5" ht="15.75" thickBot="1" x14ac:dyDescent="0.3">
      <c r="B80" s="435" t="s">
        <v>236</v>
      </c>
      <c r="C80" s="436">
        <v>0</v>
      </c>
      <c r="D80" s="415">
        <v>120000</v>
      </c>
      <c r="E80" s="416">
        <f t="shared" si="3"/>
        <v>0</v>
      </c>
    </row>
    <row r="81" spans="2:5" ht="15.75" thickBot="1" x14ac:dyDescent="0.3">
      <c r="B81" s="946" t="s">
        <v>19</v>
      </c>
      <c r="C81" s="947"/>
      <c r="D81" s="948"/>
      <c r="E81" s="438">
        <f>SUM(E68:E80)</f>
        <v>1306257</v>
      </c>
    </row>
  </sheetData>
  <mergeCells count="18">
    <mergeCell ref="B66:E66"/>
    <mergeCell ref="B81:D81"/>
    <mergeCell ref="G35:H35"/>
    <mergeCell ref="G36:H36"/>
    <mergeCell ref="G37:H37"/>
    <mergeCell ref="G38:H38"/>
    <mergeCell ref="G39:H39"/>
    <mergeCell ref="G40:H40"/>
    <mergeCell ref="G41:H41"/>
    <mergeCell ref="G42:H42"/>
    <mergeCell ref="B45:D45"/>
    <mergeCell ref="B30:E30"/>
    <mergeCell ref="B48:E48"/>
    <mergeCell ref="B63:D63"/>
    <mergeCell ref="B3:D3"/>
    <mergeCell ref="G3:J3"/>
    <mergeCell ref="B28:D28"/>
    <mergeCell ref="B9:F9"/>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9"/>
  <sheetViews>
    <sheetView zoomScale="80" zoomScaleNormal="80" workbookViewId="0">
      <pane ySplit="1" topLeftCell="A8" activePane="bottomLeft" state="frozen"/>
      <selection pane="bottomLeft" sqref="A1:O1"/>
    </sheetView>
  </sheetViews>
  <sheetFormatPr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617" customFormat="1" ht="58.5" customHeight="1" x14ac:dyDescent="0.25">
      <c r="A1" s="619"/>
      <c r="B1" s="619"/>
      <c r="C1" s="619"/>
      <c r="D1" s="619"/>
      <c r="E1" s="619"/>
      <c r="F1" s="619"/>
      <c r="G1" s="622" t="s">
        <v>9</v>
      </c>
      <c r="H1" s="623"/>
      <c r="I1" s="619"/>
      <c r="J1" s="619"/>
      <c r="K1" s="619"/>
      <c r="L1" s="619"/>
      <c r="M1" s="619"/>
      <c r="N1" s="619"/>
      <c r="O1" s="619"/>
    </row>
    <row r="2" spans="1:15" ht="15.75" thickBot="1" x14ac:dyDescent="0.3"/>
    <row r="3" spans="1:15" ht="27" thickBot="1" x14ac:dyDescent="0.45">
      <c r="B3" s="838" t="s">
        <v>36</v>
      </c>
      <c r="C3" s="839"/>
      <c r="D3" s="840"/>
      <c r="E3" s="39"/>
      <c r="I3" s="838" t="s">
        <v>9</v>
      </c>
      <c r="J3" s="839"/>
      <c r="K3" s="840"/>
    </row>
    <row r="4" spans="1:15" x14ac:dyDescent="0.25">
      <c r="B4" s="34">
        <v>2019</v>
      </c>
      <c r="C4" s="34">
        <v>2020</v>
      </c>
      <c r="D4" s="34">
        <v>2021</v>
      </c>
      <c r="E4" s="212"/>
      <c r="I4" s="417">
        <v>2019</v>
      </c>
      <c r="J4" s="418">
        <v>2020</v>
      </c>
      <c r="K4" s="419">
        <v>2021</v>
      </c>
    </row>
    <row r="5" spans="1:15" ht="15.75" thickBot="1" x14ac:dyDescent="0.3">
      <c r="B5" s="40">
        <f>Hipótesis!$C$24</f>
        <v>0.03</v>
      </c>
      <c r="C5" s="40">
        <f>Hipótesis!$C$25</f>
        <v>7.0000000000000007E-2</v>
      </c>
      <c r="D5" s="40">
        <f>Hipótesis!$C$26</f>
        <v>0.12</v>
      </c>
      <c r="E5" s="307"/>
      <c r="I5" s="414">
        <f>$K$39</f>
        <v>141277.33333333334</v>
      </c>
      <c r="J5" s="415">
        <f>$L$39</f>
        <v>147660.56666666665</v>
      </c>
      <c r="K5" s="416">
        <f>$M$39</f>
        <v>162884.43333333335</v>
      </c>
    </row>
    <row r="6" spans="1:15" x14ac:dyDescent="0.25">
      <c r="B6" s="33">
        <f>Hipótesis!$D$24</f>
        <v>18750000</v>
      </c>
      <c r="C6" s="33">
        <f>Hipótesis!D25</f>
        <v>43750000.000000007</v>
      </c>
      <c r="D6" s="33">
        <f>Hipótesis!D26</f>
        <v>75000000</v>
      </c>
      <c r="E6" s="304"/>
    </row>
    <row r="7" spans="1:15" ht="15.75" thickBot="1" x14ac:dyDescent="0.3"/>
    <row r="8" spans="1:15" ht="27" thickBot="1" x14ac:dyDescent="0.45">
      <c r="B8" s="957" t="s">
        <v>9</v>
      </c>
      <c r="C8" s="958"/>
      <c r="D8" s="958"/>
      <c r="E8" s="958"/>
      <c r="F8" s="958"/>
      <c r="G8" s="958"/>
      <c r="H8" s="958"/>
      <c r="I8" s="958"/>
      <c r="J8" s="958"/>
      <c r="K8" s="958"/>
      <c r="L8" s="958"/>
      <c r="M8" s="959"/>
    </row>
    <row r="9" spans="1:15" x14ac:dyDescent="0.25">
      <c r="B9" s="954" t="s">
        <v>251</v>
      </c>
      <c r="C9" s="955" t="s">
        <v>64</v>
      </c>
      <c r="D9" s="955" t="s">
        <v>60</v>
      </c>
      <c r="E9" s="970" t="s">
        <v>231</v>
      </c>
      <c r="F9" s="968" t="s">
        <v>254</v>
      </c>
      <c r="G9" s="954" t="s">
        <v>255</v>
      </c>
      <c r="H9" s="955"/>
      <c r="I9" s="955"/>
      <c r="J9" s="956"/>
      <c r="K9" s="954" t="s">
        <v>250</v>
      </c>
      <c r="L9" s="955"/>
      <c r="M9" s="956"/>
    </row>
    <row r="10" spans="1:15" ht="15.75" thickBot="1" x14ac:dyDescent="0.3">
      <c r="B10" s="960"/>
      <c r="C10" s="961"/>
      <c r="D10" s="961"/>
      <c r="E10" s="971"/>
      <c r="F10" s="969"/>
      <c r="G10" s="488" t="s">
        <v>252</v>
      </c>
      <c r="H10" s="489" t="s">
        <v>66</v>
      </c>
      <c r="I10" s="489" t="s">
        <v>263</v>
      </c>
      <c r="J10" s="490" t="s">
        <v>264</v>
      </c>
      <c r="K10" s="488" t="s">
        <v>66</v>
      </c>
      <c r="L10" s="489" t="s">
        <v>263</v>
      </c>
      <c r="M10" s="490" t="s">
        <v>264</v>
      </c>
    </row>
    <row r="11" spans="1:15" x14ac:dyDescent="0.25">
      <c r="B11" s="972" t="s">
        <v>259</v>
      </c>
      <c r="C11" s="472" t="s">
        <v>227</v>
      </c>
      <c r="D11" s="473">
        <v>1</v>
      </c>
      <c r="E11" s="474">
        <v>20000</v>
      </c>
      <c r="F11" s="475">
        <v>10</v>
      </c>
      <c r="G11" s="476">
        <f>D11*E11</f>
        <v>20000</v>
      </c>
      <c r="H11" s="477">
        <v>0</v>
      </c>
      <c r="I11" s="477">
        <v>0</v>
      </c>
      <c r="J11" s="478">
        <v>0</v>
      </c>
      <c r="K11" s="479">
        <f>$G$11/$F$11</f>
        <v>2000</v>
      </c>
      <c r="L11" s="483">
        <f>$G$11/$F$11</f>
        <v>2000</v>
      </c>
      <c r="M11" s="480">
        <f>$G$11/$F$11</f>
        <v>2000</v>
      </c>
    </row>
    <row r="12" spans="1:15" x14ac:dyDescent="0.25">
      <c r="B12" s="973"/>
      <c r="C12" s="449" t="s">
        <v>228</v>
      </c>
      <c r="D12" s="305">
        <v>1</v>
      </c>
      <c r="E12" s="413">
        <v>2850</v>
      </c>
      <c r="F12" s="454">
        <v>5</v>
      </c>
      <c r="G12" s="456">
        <f t="shared" ref="G12:G31" si="0">D12*E12</f>
        <v>2850</v>
      </c>
      <c r="H12" s="450">
        <v>0</v>
      </c>
      <c r="I12" s="450">
        <v>0</v>
      </c>
      <c r="J12" s="457">
        <v>0</v>
      </c>
      <c r="K12" s="463">
        <f>$G$12/$F$12</f>
        <v>570</v>
      </c>
      <c r="L12" s="452">
        <f>$G$12/$F$12</f>
        <v>570</v>
      </c>
      <c r="M12" s="464">
        <f>$G$12/$F$12</f>
        <v>570</v>
      </c>
    </row>
    <row r="13" spans="1:15" x14ac:dyDescent="0.25">
      <c r="B13" s="973"/>
      <c r="C13" s="449" t="s">
        <v>228</v>
      </c>
      <c r="D13" s="305">
        <v>1</v>
      </c>
      <c r="E13" s="413">
        <f>E12</f>
        <v>2850</v>
      </c>
      <c r="F13" s="454">
        <v>5</v>
      </c>
      <c r="G13" s="458">
        <v>0</v>
      </c>
      <c r="H13" s="450">
        <v>0</v>
      </c>
      <c r="I13" s="451">
        <f>D13*E13</f>
        <v>2850</v>
      </c>
      <c r="J13" s="457">
        <v>0</v>
      </c>
      <c r="K13" s="465">
        <v>0</v>
      </c>
      <c r="L13" s="453">
        <v>0</v>
      </c>
      <c r="M13" s="464">
        <f>I13/F13</f>
        <v>570</v>
      </c>
    </row>
    <row r="14" spans="1:15" x14ac:dyDescent="0.25">
      <c r="B14" s="973"/>
      <c r="C14" s="449" t="s">
        <v>253</v>
      </c>
      <c r="D14" s="305">
        <v>1</v>
      </c>
      <c r="E14" s="413">
        <v>5000</v>
      </c>
      <c r="F14" s="454">
        <v>5</v>
      </c>
      <c r="G14" s="456">
        <f t="shared" si="0"/>
        <v>5000</v>
      </c>
      <c r="H14" s="450">
        <v>0</v>
      </c>
      <c r="I14" s="450">
        <v>0</v>
      </c>
      <c r="J14" s="457">
        <v>0</v>
      </c>
      <c r="K14" s="463">
        <f>$G$14/$F$14</f>
        <v>1000</v>
      </c>
      <c r="L14" s="452">
        <f>$G$14/$F$14</f>
        <v>1000</v>
      </c>
      <c r="M14" s="464">
        <f>$G$14/$F$14</f>
        <v>1000</v>
      </c>
    </row>
    <row r="15" spans="1:15" x14ac:dyDescent="0.25">
      <c r="B15" s="973"/>
      <c r="C15" s="449" t="s">
        <v>253</v>
      </c>
      <c r="D15" s="305">
        <v>1</v>
      </c>
      <c r="E15" s="413">
        <f>E14</f>
        <v>5000</v>
      </c>
      <c r="F15" s="454">
        <v>5</v>
      </c>
      <c r="G15" s="458">
        <v>0</v>
      </c>
      <c r="H15" s="450">
        <v>0</v>
      </c>
      <c r="I15" s="451">
        <f>D15*E15</f>
        <v>5000</v>
      </c>
      <c r="J15" s="457">
        <v>0</v>
      </c>
      <c r="K15" s="465">
        <v>0</v>
      </c>
      <c r="L15" s="453">
        <v>0</v>
      </c>
      <c r="M15" s="464">
        <f>I15/F15</f>
        <v>1000</v>
      </c>
    </row>
    <row r="16" spans="1:15" x14ac:dyDescent="0.25">
      <c r="B16" s="973"/>
      <c r="C16" s="449" t="s">
        <v>230</v>
      </c>
      <c r="D16" s="305">
        <v>2</v>
      </c>
      <c r="E16" s="413">
        <v>2840</v>
      </c>
      <c r="F16" s="454">
        <v>5</v>
      </c>
      <c r="G16" s="456">
        <f t="shared" si="0"/>
        <v>5680</v>
      </c>
      <c r="H16" s="450">
        <v>0</v>
      </c>
      <c r="I16" s="450">
        <v>0</v>
      </c>
      <c r="J16" s="457">
        <v>0</v>
      </c>
      <c r="K16" s="463">
        <f>$G$16/$F$16</f>
        <v>1136</v>
      </c>
      <c r="L16" s="452">
        <f>$G$16/$F$16</f>
        <v>1136</v>
      </c>
      <c r="M16" s="464">
        <f>$G$16/$F$16</f>
        <v>1136</v>
      </c>
    </row>
    <row r="17" spans="2:13" x14ac:dyDescent="0.25">
      <c r="B17" s="973"/>
      <c r="C17" s="449" t="s">
        <v>230</v>
      </c>
      <c r="D17" s="305">
        <v>1</v>
      </c>
      <c r="E17" s="413">
        <f>E16</f>
        <v>2840</v>
      </c>
      <c r="F17" s="455">
        <v>5</v>
      </c>
      <c r="G17" s="458">
        <v>0</v>
      </c>
      <c r="H17" s="450">
        <v>0</v>
      </c>
      <c r="I17" s="451">
        <f>D17*E17</f>
        <v>2840</v>
      </c>
      <c r="J17" s="457">
        <v>0</v>
      </c>
      <c r="K17" s="465">
        <v>0</v>
      </c>
      <c r="L17" s="453">
        <v>0</v>
      </c>
      <c r="M17" s="464">
        <f>I17/F17</f>
        <v>568</v>
      </c>
    </row>
    <row r="18" spans="2:13" x14ac:dyDescent="0.25">
      <c r="B18" s="973"/>
      <c r="C18" s="449" t="s">
        <v>256</v>
      </c>
      <c r="D18" s="305">
        <v>5</v>
      </c>
      <c r="E18" s="413">
        <v>2600</v>
      </c>
      <c r="F18" s="455">
        <v>5</v>
      </c>
      <c r="G18" s="456">
        <f t="shared" si="0"/>
        <v>13000</v>
      </c>
      <c r="H18" s="450">
        <v>0</v>
      </c>
      <c r="I18" s="450">
        <v>0</v>
      </c>
      <c r="J18" s="457">
        <v>0</v>
      </c>
      <c r="K18" s="463">
        <f>$G$18/$F$18</f>
        <v>2600</v>
      </c>
      <c r="L18" s="452">
        <f>$G$18/$F$18</f>
        <v>2600</v>
      </c>
      <c r="M18" s="464">
        <f>$G$18/$F$18</f>
        <v>2600</v>
      </c>
    </row>
    <row r="19" spans="2:13" ht="15.75" thickBot="1" x14ac:dyDescent="0.3">
      <c r="B19" s="974"/>
      <c r="C19" s="481" t="s">
        <v>256</v>
      </c>
      <c r="D19" s="436">
        <v>5</v>
      </c>
      <c r="E19" s="415">
        <f>E18</f>
        <v>2600</v>
      </c>
      <c r="F19" s="487">
        <v>5</v>
      </c>
      <c r="G19" s="460">
        <v>0</v>
      </c>
      <c r="H19" s="461">
        <v>0</v>
      </c>
      <c r="I19" s="484">
        <f>E19*D19</f>
        <v>13000</v>
      </c>
      <c r="J19" s="485">
        <v>0</v>
      </c>
      <c r="K19" s="467">
        <v>0</v>
      </c>
      <c r="L19" s="468">
        <v>0</v>
      </c>
      <c r="M19" s="486">
        <f>I19/F19</f>
        <v>2600</v>
      </c>
    </row>
    <row r="20" spans="2:13" x14ac:dyDescent="0.25">
      <c r="B20" s="962" t="s">
        <v>260</v>
      </c>
      <c r="C20" s="421" t="s">
        <v>283</v>
      </c>
      <c r="D20" s="473">
        <v>2</v>
      </c>
      <c r="E20" s="413">
        <v>736011</v>
      </c>
      <c r="F20" s="475">
        <v>30</v>
      </c>
      <c r="G20" s="476">
        <f t="shared" si="0"/>
        <v>1472022</v>
      </c>
      <c r="H20" s="477">
        <v>0</v>
      </c>
      <c r="I20" s="477">
        <v>0</v>
      </c>
      <c r="J20" s="478">
        <v>0</v>
      </c>
      <c r="K20" s="479">
        <f>$G$20/$F$20</f>
        <v>49067.4</v>
      </c>
      <c r="L20" s="483">
        <f>$G$20/$F$20</f>
        <v>49067.4</v>
      </c>
      <c r="M20" s="480">
        <f>$G$20/$F$20</f>
        <v>49067.4</v>
      </c>
    </row>
    <row r="21" spans="2:13" ht="15.75" thickBot="1" x14ac:dyDescent="0.3">
      <c r="B21" s="964"/>
      <c r="C21" s="421" t="s">
        <v>283</v>
      </c>
      <c r="D21" s="436">
        <v>1</v>
      </c>
      <c r="E21" s="415">
        <f>E20</f>
        <v>736011</v>
      </c>
      <c r="F21" s="482">
        <v>30</v>
      </c>
      <c r="G21" s="460">
        <v>0</v>
      </c>
      <c r="H21" s="461">
        <v>0</v>
      </c>
      <c r="I21" s="461">
        <v>0</v>
      </c>
      <c r="J21" s="462">
        <f>D21*E21</f>
        <v>736011</v>
      </c>
      <c r="K21" s="467">
        <v>0</v>
      </c>
      <c r="L21" s="468">
        <v>0</v>
      </c>
      <c r="M21" s="469">
        <v>0</v>
      </c>
    </row>
    <row r="22" spans="2:13" x14ac:dyDescent="0.25">
      <c r="B22" s="972" t="s">
        <v>261</v>
      </c>
      <c r="C22" s="472" t="s">
        <v>241</v>
      </c>
      <c r="D22" s="473">
        <v>8</v>
      </c>
      <c r="E22" s="474">
        <v>17500</v>
      </c>
      <c r="F22" s="475">
        <v>3</v>
      </c>
      <c r="G22" s="476">
        <f t="shared" si="0"/>
        <v>140000</v>
      </c>
      <c r="H22" s="477">
        <v>0</v>
      </c>
      <c r="I22" s="477">
        <v>0</v>
      </c>
      <c r="J22" s="478">
        <v>0</v>
      </c>
      <c r="K22" s="479">
        <f>$G$22/$F$22</f>
        <v>46666.666666666664</v>
      </c>
      <c r="L22" s="483">
        <f>$G$22/$F$22</f>
        <v>46666.666666666664</v>
      </c>
      <c r="M22" s="480">
        <f>$G$22/$F$22</f>
        <v>46666.666666666664</v>
      </c>
    </row>
    <row r="23" spans="2:13" x14ac:dyDescent="0.25">
      <c r="B23" s="973"/>
      <c r="C23" s="449" t="s">
        <v>241</v>
      </c>
      <c r="D23" s="305">
        <v>1</v>
      </c>
      <c r="E23" s="413">
        <v>17500</v>
      </c>
      <c r="F23" s="454">
        <v>3</v>
      </c>
      <c r="G23" s="458">
        <v>0</v>
      </c>
      <c r="H23" s="451">
        <f>D23*E23</f>
        <v>17500</v>
      </c>
      <c r="I23" s="450">
        <v>0</v>
      </c>
      <c r="J23" s="457">
        <v>0</v>
      </c>
      <c r="K23" s="465">
        <v>0</v>
      </c>
      <c r="L23" s="452">
        <f>$H$23/$F$23</f>
        <v>5833.333333333333</v>
      </c>
      <c r="M23" s="464">
        <f>$H$23/$F$23</f>
        <v>5833.333333333333</v>
      </c>
    </row>
    <row r="24" spans="2:13" x14ac:dyDescent="0.25">
      <c r="B24" s="973"/>
      <c r="C24" s="449" t="s">
        <v>241</v>
      </c>
      <c r="D24" s="305">
        <v>1</v>
      </c>
      <c r="E24" s="413">
        <v>17500</v>
      </c>
      <c r="F24" s="454">
        <v>3</v>
      </c>
      <c r="G24" s="458">
        <v>0</v>
      </c>
      <c r="H24" s="450">
        <v>0</v>
      </c>
      <c r="I24" s="451">
        <f>D24*E24</f>
        <v>17500</v>
      </c>
      <c r="J24" s="457">
        <v>0</v>
      </c>
      <c r="K24" s="465">
        <v>0</v>
      </c>
      <c r="L24" s="453">
        <v>0</v>
      </c>
      <c r="M24" s="464">
        <f>I24/F24</f>
        <v>5833.333333333333</v>
      </c>
    </row>
    <row r="25" spans="2:13" x14ac:dyDescent="0.25">
      <c r="B25" s="973"/>
      <c r="C25" s="449" t="s">
        <v>241</v>
      </c>
      <c r="D25" s="305">
        <v>2</v>
      </c>
      <c r="E25" s="413">
        <v>17500</v>
      </c>
      <c r="F25" s="454">
        <v>3</v>
      </c>
      <c r="G25" s="458">
        <v>0</v>
      </c>
      <c r="H25" s="450">
        <v>0</v>
      </c>
      <c r="I25" s="450">
        <v>0</v>
      </c>
      <c r="J25" s="459">
        <f>D25*E25</f>
        <v>35000</v>
      </c>
      <c r="K25" s="465">
        <v>0</v>
      </c>
      <c r="L25" s="453">
        <v>0</v>
      </c>
      <c r="M25" s="466">
        <v>0</v>
      </c>
    </row>
    <row r="26" spans="2:13" x14ac:dyDescent="0.25">
      <c r="B26" s="973"/>
      <c r="C26" s="449" t="s">
        <v>247</v>
      </c>
      <c r="D26" s="305">
        <v>2</v>
      </c>
      <c r="E26" s="413">
        <v>20170</v>
      </c>
      <c r="F26" s="454">
        <v>3</v>
      </c>
      <c r="G26" s="456">
        <f t="shared" si="0"/>
        <v>40340</v>
      </c>
      <c r="H26" s="450">
        <v>0</v>
      </c>
      <c r="I26" s="450">
        <v>0</v>
      </c>
      <c r="J26" s="457">
        <v>0</v>
      </c>
      <c r="K26" s="463">
        <f>$G$26/$F$26</f>
        <v>13446.666666666666</v>
      </c>
      <c r="L26" s="452">
        <f>$G$26/$F$26</f>
        <v>13446.666666666666</v>
      </c>
      <c r="M26" s="464">
        <f>$G$26/$F$26</f>
        <v>13446.666666666666</v>
      </c>
    </row>
    <row r="27" spans="2:13" x14ac:dyDescent="0.25">
      <c r="B27" s="973"/>
      <c r="C27" s="449" t="s">
        <v>247</v>
      </c>
      <c r="D27" s="305">
        <v>1</v>
      </c>
      <c r="E27" s="413">
        <v>20170</v>
      </c>
      <c r="F27" s="454">
        <v>3</v>
      </c>
      <c r="G27" s="458">
        <v>0</v>
      </c>
      <c r="H27" s="450">
        <v>0</v>
      </c>
      <c r="I27" s="450">
        <v>0</v>
      </c>
      <c r="J27" s="459">
        <f>D27*E27</f>
        <v>20170</v>
      </c>
      <c r="K27" s="465">
        <v>0</v>
      </c>
      <c r="L27" s="453">
        <v>0</v>
      </c>
      <c r="M27" s="466">
        <v>0</v>
      </c>
    </row>
    <row r="28" spans="2:13" x14ac:dyDescent="0.25">
      <c r="B28" s="973"/>
      <c r="C28" s="449" t="s">
        <v>239</v>
      </c>
      <c r="D28" s="305">
        <v>1</v>
      </c>
      <c r="E28" s="413">
        <v>4299</v>
      </c>
      <c r="F28" s="454">
        <v>3</v>
      </c>
      <c r="G28" s="456">
        <f t="shared" si="0"/>
        <v>4299</v>
      </c>
      <c r="H28" s="450">
        <v>0</v>
      </c>
      <c r="I28" s="450">
        <v>0</v>
      </c>
      <c r="J28" s="457">
        <v>0</v>
      </c>
      <c r="K28" s="463">
        <f>$G$28/$F$28</f>
        <v>1433</v>
      </c>
      <c r="L28" s="452">
        <f>$G$28/$F$28</f>
        <v>1433</v>
      </c>
      <c r="M28" s="464">
        <f>$G$28/$F$28</f>
        <v>1433</v>
      </c>
    </row>
    <row r="29" spans="2:13" x14ac:dyDescent="0.25">
      <c r="B29" s="973"/>
      <c r="C29" s="449" t="s">
        <v>240</v>
      </c>
      <c r="D29" s="305">
        <v>6</v>
      </c>
      <c r="E29" s="413">
        <v>7480</v>
      </c>
      <c r="F29" s="454">
        <v>3</v>
      </c>
      <c r="G29" s="456">
        <f t="shared" si="0"/>
        <v>44880</v>
      </c>
      <c r="H29" s="450">
        <v>0</v>
      </c>
      <c r="I29" s="450">
        <v>0</v>
      </c>
      <c r="J29" s="457">
        <v>0</v>
      </c>
      <c r="K29" s="463">
        <f>$G$29/$F$29</f>
        <v>14960</v>
      </c>
      <c r="L29" s="452">
        <f>$G$29/$F$29</f>
        <v>14960</v>
      </c>
      <c r="M29" s="464">
        <f>$G$29/$F$29</f>
        <v>14960</v>
      </c>
    </row>
    <row r="30" spans="2:13" ht="15.75" thickBot="1" x14ac:dyDescent="0.3">
      <c r="B30" s="974"/>
      <c r="C30" s="481" t="s">
        <v>240</v>
      </c>
      <c r="D30" s="436">
        <v>1</v>
      </c>
      <c r="E30" s="415">
        <v>7480</v>
      </c>
      <c r="F30" s="482">
        <v>3</v>
      </c>
      <c r="G30" s="460">
        <v>0</v>
      </c>
      <c r="H30" s="461">
        <v>0</v>
      </c>
      <c r="I30" s="484">
        <f>D30*E30</f>
        <v>7480</v>
      </c>
      <c r="J30" s="485">
        <v>0</v>
      </c>
      <c r="K30" s="467">
        <v>0</v>
      </c>
      <c r="L30" s="468">
        <v>0</v>
      </c>
      <c r="M30" s="486">
        <f>I30/F30</f>
        <v>2493.3333333333335</v>
      </c>
    </row>
    <row r="31" spans="2:13" x14ac:dyDescent="0.25">
      <c r="B31" s="962" t="s">
        <v>262</v>
      </c>
      <c r="C31" s="472" t="s">
        <v>238</v>
      </c>
      <c r="D31" s="473">
        <v>9</v>
      </c>
      <c r="E31" s="474">
        <v>3200</v>
      </c>
      <c r="F31" s="475">
        <v>10</v>
      </c>
      <c r="G31" s="476">
        <f t="shared" si="0"/>
        <v>28800</v>
      </c>
      <c r="H31" s="477">
        <v>0</v>
      </c>
      <c r="I31" s="477">
        <v>0</v>
      </c>
      <c r="J31" s="478">
        <v>0</v>
      </c>
      <c r="K31" s="479">
        <f>$G$31/$F$31</f>
        <v>2880</v>
      </c>
      <c r="L31" s="483">
        <f>$G$31/$F$31</f>
        <v>2880</v>
      </c>
      <c r="M31" s="480">
        <f>$G$31/$F$31</f>
        <v>2880</v>
      </c>
    </row>
    <row r="32" spans="2:13" x14ac:dyDescent="0.25">
      <c r="B32" s="963"/>
      <c r="C32" s="449" t="s">
        <v>238</v>
      </c>
      <c r="D32" s="305">
        <v>1</v>
      </c>
      <c r="E32" s="413">
        <v>3200</v>
      </c>
      <c r="F32" s="454">
        <v>10</v>
      </c>
      <c r="G32" s="458">
        <v>0</v>
      </c>
      <c r="H32" s="451">
        <f>D32*E32</f>
        <v>3200</v>
      </c>
      <c r="I32" s="450">
        <v>0</v>
      </c>
      <c r="J32" s="457">
        <v>0</v>
      </c>
      <c r="K32" s="465">
        <v>0</v>
      </c>
      <c r="L32" s="452">
        <f>$H$32/$F$32</f>
        <v>320</v>
      </c>
      <c r="M32" s="464">
        <f>$H$32/$F$32</f>
        <v>320</v>
      </c>
    </row>
    <row r="33" spans="2:13" x14ac:dyDescent="0.25">
      <c r="B33" s="963"/>
      <c r="C33" s="449" t="s">
        <v>238</v>
      </c>
      <c r="D33" s="305">
        <v>1</v>
      </c>
      <c r="E33" s="413">
        <v>3200</v>
      </c>
      <c r="F33" s="454">
        <v>10</v>
      </c>
      <c r="G33" s="458">
        <v>0</v>
      </c>
      <c r="H33" s="450">
        <v>0</v>
      </c>
      <c r="I33" s="451">
        <f>D33*E33</f>
        <v>3200</v>
      </c>
      <c r="J33" s="457">
        <v>0</v>
      </c>
      <c r="K33" s="465">
        <v>0</v>
      </c>
      <c r="L33" s="453">
        <v>0</v>
      </c>
      <c r="M33" s="464">
        <f>I33/F33</f>
        <v>320</v>
      </c>
    </row>
    <row r="34" spans="2:13" x14ac:dyDescent="0.25">
      <c r="B34" s="963"/>
      <c r="C34" s="449" t="s">
        <v>238</v>
      </c>
      <c r="D34" s="305">
        <v>3</v>
      </c>
      <c r="E34" s="413">
        <v>3200</v>
      </c>
      <c r="F34" s="454">
        <v>10</v>
      </c>
      <c r="G34" s="458">
        <v>0</v>
      </c>
      <c r="H34" s="450">
        <v>0</v>
      </c>
      <c r="I34" s="450">
        <v>0</v>
      </c>
      <c r="J34" s="459">
        <f>D34*E34</f>
        <v>9600</v>
      </c>
      <c r="K34" s="465">
        <v>0</v>
      </c>
      <c r="L34" s="453">
        <v>0</v>
      </c>
      <c r="M34" s="466">
        <v>0</v>
      </c>
    </row>
    <row r="35" spans="2:13" x14ac:dyDescent="0.25">
      <c r="B35" s="963"/>
      <c r="C35" s="449" t="s">
        <v>246</v>
      </c>
      <c r="D35" s="305">
        <v>24</v>
      </c>
      <c r="E35" s="413">
        <v>2299</v>
      </c>
      <c r="F35" s="454">
        <v>10</v>
      </c>
      <c r="G35" s="456">
        <f>D35*E35</f>
        <v>55176</v>
      </c>
      <c r="H35" s="450">
        <v>0</v>
      </c>
      <c r="I35" s="450">
        <v>0</v>
      </c>
      <c r="J35" s="457">
        <v>0</v>
      </c>
      <c r="K35" s="463">
        <f>$G$35/$F$35</f>
        <v>5517.6</v>
      </c>
      <c r="L35" s="452">
        <f>$G$35/$F$35</f>
        <v>5517.6</v>
      </c>
      <c r="M35" s="464">
        <f>$G$35/$F$35</f>
        <v>5517.6</v>
      </c>
    </row>
    <row r="36" spans="2:13" x14ac:dyDescent="0.25">
      <c r="B36" s="963"/>
      <c r="C36" s="449" t="s">
        <v>246</v>
      </c>
      <c r="D36" s="447">
        <v>1</v>
      </c>
      <c r="E36" s="413">
        <v>2299</v>
      </c>
      <c r="F36" s="454">
        <v>10</v>
      </c>
      <c r="G36" s="458">
        <v>0</v>
      </c>
      <c r="H36" s="451">
        <f>D36*E36</f>
        <v>2299</v>
      </c>
      <c r="I36" s="450">
        <v>0</v>
      </c>
      <c r="J36" s="457">
        <v>0</v>
      </c>
      <c r="K36" s="465">
        <v>0</v>
      </c>
      <c r="L36" s="452">
        <f>$H$36/$F$36</f>
        <v>229.9</v>
      </c>
      <c r="M36" s="464">
        <f>$H$36/$F$36</f>
        <v>229.9</v>
      </c>
    </row>
    <row r="37" spans="2:13" x14ac:dyDescent="0.25">
      <c r="B37" s="963"/>
      <c r="C37" s="449" t="s">
        <v>246</v>
      </c>
      <c r="D37" s="447">
        <v>8</v>
      </c>
      <c r="E37" s="413">
        <v>2299</v>
      </c>
      <c r="F37" s="454">
        <v>10</v>
      </c>
      <c r="G37" s="458">
        <v>0</v>
      </c>
      <c r="H37" s="450">
        <v>0</v>
      </c>
      <c r="I37" s="451">
        <f>D37*E37</f>
        <v>18392</v>
      </c>
      <c r="J37" s="457">
        <v>0</v>
      </c>
      <c r="K37" s="465">
        <v>0</v>
      </c>
      <c r="L37" s="453">
        <v>0</v>
      </c>
      <c r="M37" s="464">
        <f>I37/F37</f>
        <v>1839.2</v>
      </c>
    </row>
    <row r="38" spans="2:13" ht="15.75" thickBot="1" x14ac:dyDescent="0.3">
      <c r="B38" s="964"/>
      <c r="C38" s="481" t="s">
        <v>246</v>
      </c>
      <c r="D38" s="436">
        <v>3</v>
      </c>
      <c r="E38" s="415">
        <v>2299</v>
      </c>
      <c r="F38" s="482">
        <v>10</v>
      </c>
      <c r="G38" s="460">
        <v>0</v>
      </c>
      <c r="H38" s="461">
        <v>0</v>
      </c>
      <c r="I38" s="461">
        <v>0</v>
      </c>
      <c r="J38" s="462">
        <f>D38*E38</f>
        <v>6897</v>
      </c>
      <c r="K38" s="467">
        <v>0</v>
      </c>
      <c r="L38" s="468">
        <v>0</v>
      </c>
      <c r="M38" s="469">
        <v>0</v>
      </c>
    </row>
    <row r="39" spans="2:13" ht="16.5" thickBot="1" x14ac:dyDescent="0.3">
      <c r="B39" s="965" t="s">
        <v>216</v>
      </c>
      <c r="C39" s="966"/>
      <c r="D39" s="966"/>
      <c r="E39" s="966"/>
      <c r="F39" s="966"/>
      <c r="G39" s="966"/>
      <c r="H39" s="966"/>
      <c r="I39" s="966"/>
      <c r="J39" s="967"/>
      <c r="K39" s="491">
        <f>SUM(K11:K38)</f>
        <v>141277.33333333334</v>
      </c>
      <c r="L39" s="470">
        <f>SUM(L11:L38)</f>
        <v>147660.56666666665</v>
      </c>
      <c r="M39" s="471">
        <f>SUM(M11:M38)</f>
        <v>162884.43333333335</v>
      </c>
    </row>
  </sheetData>
  <mergeCells count="15">
    <mergeCell ref="B31:B38"/>
    <mergeCell ref="B39:J39"/>
    <mergeCell ref="F9:F10"/>
    <mergeCell ref="E9:E10"/>
    <mergeCell ref="B11:B19"/>
    <mergeCell ref="B20:B21"/>
    <mergeCell ref="B22:B30"/>
    <mergeCell ref="B3:D3"/>
    <mergeCell ref="I3:K3"/>
    <mergeCell ref="G9:J9"/>
    <mergeCell ref="K9:M9"/>
    <mergeCell ref="B8:M8"/>
    <mergeCell ref="B9:B10"/>
    <mergeCell ref="C9:C10"/>
    <mergeCell ref="D9:D10"/>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8"/>
  <sheetViews>
    <sheetView zoomScale="80" zoomScaleNormal="80" workbookViewId="0">
      <pane ySplit="1" topLeftCell="A9" activePane="bottomLeft" state="frozen"/>
      <selection pane="bottomLeft" activeCell="J33" sqref="J33"/>
    </sheetView>
  </sheetViews>
  <sheetFormatPr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2" width="14" style="1" bestFit="1" customWidth="1"/>
    <col min="13" max="13" width="30.140625" style="1" customWidth="1"/>
    <col min="14" max="16384" width="11.42578125" style="1"/>
  </cols>
  <sheetData>
    <row r="1" spans="1:15" s="617" customFormat="1" ht="58.5" customHeight="1" x14ac:dyDescent="0.25">
      <c r="A1" s="619"/>
      <c r="B1" s="619"/>
      <c r="C1" s="619"/>
      <c r="D1" s="619"/>
      <c r="E1" s="622" t="s">
        <v>13</v>
      </c>
      <c r="F1" s="623"/>
      <c r="G1" s="623"/>
      <c r="H1" s="619"/>
      <c r="I1" s="619"/>
      <c r="J1" s="619"/>
      <c r="K1" s="619"/>
      <c r="L1" s="619"/>
      <c r="M1" s="619"/>
      <c r="N1" s="619"/>
      <c r="O1" s="619"/>
    </row>
    <row r="2" spans="1:15" ht="15.75" thickBot="1" x14ac:dyDescent="0.3"/>
    <row r="3" spans="1:15" ht="27" thickBot="1" x14ac:dyDescent="0.45">
      <c r="H3" s="223"/>
      <c r="K3" s="838" t="s">
        <v>36</v>
      </c>
      <c r="L3" s="839"/>
      <c r="M3" s="840"/>
    </row>
    <row r="4" spans="1:15" x14ac:dyDescent="0.25">
      <c r="H4" s="212"/>
      <c r="K4" s="34">
        <v>2019</v>
      </c>
      <c r="L4" s="34">
        <v>2020</v>
      </c>
      <c r="M4" s="34">
        <v>2021</v>
      </c>
    </row>
    <row r="5" spans="1:15" x14ac:dyDescent="0.25">
      <c r="H5" s="304"/>
      <c r="K5" s="40">
        <f>Hipótesis!$C$24</f>
        <v>0.03</v>
      </c>
      <c r="L5" s="40">
        <f>Hipótesis!$C$25</f>
        <v>7.0000000000000007E-2</v>
      </c>
      <c r="M5" s="40">
        <f>Hipótesis!$C$26</f>
        <v>0.12</v>
      </c>
    </row>
    <row r="6" spans="1:15" x14ac:dyDescent="0.25">
      <c r="H6" s="102"/>
      <c r="K6" s="33">
        <f>Hipótesis!$D$24</f>
        <v>18750000</v>
      </c>
      <c r="L6" s="33">
        <f>Hipótesis!$D$25</f>
        <v>43750000.000000007</v>
      </c>
      <c r="M6" s="33">
        <f>Hipótesis!$D$26</f>
        <v>75000000</v>
      </c>
    </row>
    <row r="7" spans="1:15" ht="15.75" thickBot="1" x14ac:dyDescent="0.3">
      <c r="H7" s="102"/>
    </row>
    <row r="8" spans="1:15" ht="27" thickBot="1" x14ac:dyDescent="0.45">
      <c r="H8" s="223"/>
      <c r="K8" s="838" t="s">
        <v>300</v>
      </c>
      <c r="L8" s="839"/>
      <c r="M8" s="840"/>
    </row>
    <row r="9" spans="1:15" ht="15.75" thickBot="1" x14ac:dyDescent="0.3">
      <c r="H9" s="212"/>
      <c r="K9" s="94">
        <v>2019</v>
      </c>
      <c r="L9" s="34">
        <v>2020</v>
      </c>
      <c r="M9" s="95">
        <v>2021</v>
      </c>
    </row>
    <row r="10" spans="1:15" ht="27" thickBot="1" x14ac:dyDescent="0.45">
      <c r="B10" s="918" t="s">
        <v>13</v>
      </c>
      <c r="C10" s="919"/>
      <c r="D10" s="919"/>
      <c r="E10" s="919"/>
      <c r="F10" s="919"/>
      <c r="G10" s="920"/>
      <c r="H10" s="304"/>
      <c r="J10" s="542" t="s">
        <v>265</v>
      </c>
      <c r="K10" s="547">
        <f>'Costos fijos'!$G$5</f>
        <v>2343935.7000000002</v>
      </c>
      <c r="L10" s="33">
        <f>'Costos fijos'!$H$5</f>
        <v>2614351.9749999996</v>
      </c>
      <c r="M10" s="548">
        <f>'Costos fijos'!$I$5</f>
        <v>2971977.4835000001</v>
      </c>
    </row>
    <row r="11" spans="1:15" ht="15.75" thickBot="1" x14ac:dyDescent="0.3">
      <c r="B11" s="985" t="s">
        <v>278</v>
      </c>
      <c r="C11" s="986"/>
      <c r="D11" s="495" t="s">
        <v>279</v>
      </c>
      <c r="E11" s="496">
        <v>2019</v>
      </c>
      <c r="F11" s="496">
        <v>2020</v>
      </c>
      <c r="G11" s="497">
        <v>2021</v>
      </c>
      <c r="H11" s="102"/>
      <c r="J11" s="542" t="s">
        <v>220</v>
      </c>
      <c r="K11" s="547" t="e">
        <f>'Costos variables'!$H$6</f>
        <v>#REF!</v>
      </c>
      <c r="L11" s="33" t="e">
        <f>'Costos variables'!$I$6</f>
        <v>#REF!</v>
      </c>
      <c r="M11" s="548" t="e">
        <f>'Costos variables'!$J$6</f>
        <v>#REF!</v>
      </c>
    </row>
    <row r="12" spans="1:15" ht="15.75" thickBot="1" x14ac:dyDescent="0.3">
      <c r="B12" s="979" t="s">
        <v>41</v>
      </c>
      <c r="C12" s="980"/>
      <c r="D12" s="448" t="s">
        <v>266</v>
      </c>
      <c r="E12" s="420" t="e">
        <f>+'Mod. ingresos'!C30</f>
        <v>#REF!</v>
      </c>
      <c r="F12" s="420" t="e">
        <f>+'Mod. ingresos'!D30</f>
        <v>#REF!</v>
      </c>
      <c r="G12" s="420" t="e">
        <f>+'Mod. ingresos'!E30</f>
        <v>#REF!</v>
      </c>
      <c r="J12" s="542" t="s">
        <v>221</v>
      </c>
      <c r="K12" s="98">
        <f>'Costos RRHH'!$H$6</f>
        <v>7341662.4450000012</v>
      </c>
      <c r="L12" s="99">
        <f>'Costos RRHH'!$I$6</f>
        <v>8446303.9266666677</v>
      </c>
      <c r="M12" s="100">
        <f>'Costos RRHH'!$J$6</f>
        <v>10262133.115833335</v>
      </c>
    </row>
    <row r="13" spans="1:15" ht="15.75" thickBot="1" x14ac:dyDescent="0.3">
      <c r="B13" s="981" t="s">
        <v>267</v>
      </c>
      <c r="C13" s="493" t="s">
        <v>265</v>
      </c>
      <c r="D13" s="492" t="s">
        <v>266</v>
      </c>
      <c r="E13" s="413">
        <f t="shared" ref="E13:G15" si="0">K10</f>
        <v>2343935.7000000002</v>
      </c>
      <c r="F13" s="413">
        <f t="shared" si="0"/>
        <v>2614351.9749999996</v>
      </c>
      <c r="G13" s="445">
        <f t="shared" si="0"/>
        <v>2971977.4835000001</v>
      </c>
    </row>
    <row r="14" spans="1:15" ht="27" thickBot="1" x14ac:dyDescent="0.45">
      <c r="B14" s="981"/>
      <c r="C14" s="493" t="s">
        <v>220</v>
      </c>
      <c r="D14" s="492" t="s">
        <v>266</v>
      </c>
      <c r="E14" s="413" t="e">
        <f t="shared" si="0"/>
        <v>#REF!</v>
      </c>
      <c r="F14" s="413" t="e">
        <f t="shared" si="0"/>
        <v>#REF!</v>
      </c>
      <c r="G14" s="413" t="e">
        <f t="shared" si="0"/>
        <v>#REF!</v>
      </c>
      <c r="K14" s="838" t="s">
        <v>9</v>
      </c>
      <c r="L14" s="839"/>
      <c r="M14" s="840"/>
    </row>
    <row r="15" spans="1:15" ht="15.75" thickBot="1" x14ac:dyDescent="0.3">
      <c r="B15" s="982"/>
      <c r="C15" s="498" t="s">
        <v>221</v>
      </c>
      <c r="D15" s="499" t="s">
        <v>266</v>
      </c>
      <c r="E15" s="439">
        <f t="shared" si="0"/>
        <v>7341662.4450000012</v>
      </c>
      <c r="F15" s="439">
        <f t="shared" si="0"/>
        <v>8446303.9266666677</v>
      </c>
      <c r="G15" s="439">
        <f t="shared" si="0"/>
        <v>10262133.115833335</v>
      </c>
      <c r="K15" s="417">
        <v>2019</v>
      </c>
      <c r="L15" s="418">
        <v>2020</v>
      </c>
      <c r="M15" s="419">
        <v>2021</v>
      </c>
    </row>
    <row r="16" spans="1:15" ht="15.75" thickBot="1" x14ac:dyDescent="0.3">
      <c r="B16" s="975" t="s">
        <v>268</v>
      </c>
      <c r="C16" s="976"/>
      <c r="D16" s="500" t="s">
        <v>266</v>
      </c>
      <c r="E16" s="501" t="e">
        <f>E12-E13-E14-E15</f>
        <v>#REF!</v>
      </c>
      <c r="F16" s="501" t="e">
        <f>F12-F13-F14-F15</f>
        <v>#REF!</v>
      </c>
      <c r="G16" s="502" t="e">
        <f>G12-G13-G14-G15</f>
        <v>#REF!</v>
      </c>
      <c r="K16" s="414">
        <f>Amortizaciones!$I$5</f>
        <v>141277.33333333334</v>
      </c>
      <c r="L16" s="415">
        <f>Amortizaciones!$J$5</f>
        <v>147660.56666666665</v>
      </c>
      <c r="M16" s="416">
        <f>Amortizaciones!$K$5</f>
        <v>162884.43333333335</v>
      </c>
    </row>
    <row r="17" spans="2:13" ht="15.75" thickBot="1" x14ac:dyDescent="0.3">
      <c r="B17" s="989" t="s">
        <v>269</v>
      </c>
      <c r="C17" s="990"/>
      <c r="D17" s="448" t="s">
        <v>266</v>
      </c>
      <c r="E17" s="420" t="e">
        <f>E12*0.03</f>
        <v>#REF!</v>
      </c>
      <c r="F17" s="420" t="e">
        <f>F12*0.03</f>
        <v>#REF!</v>
      </c>
      <c r="G17" s="494" t="e">
        <f>G12*0.03</f>
        <v>#REF!</v>
      </c>
    </row>
    <row r="18" spans="2:13" ht="27" thickBot="1" x14ac:dyDescent="0.45">
      <c r="B18" s="983" t="s">
        <v>270</v>
      </c>
      <c r="C18" s="984"/>
      <c r="D18" s="492"/>
      <c r="E18" s="413" t="e">
        <f>E16-E17-K16</f>
        <v>#REF!</v>
      </c>
      <c r="F18" s="413" t="e">
        <f>F16-F17-L16</f>
        <v>#REF!</v>
      </c>
      <c r="G18" s="445" t="e">
        <f>G16-G17-M16</f>
        <v>#REF!</v>
      </c>
      <c r="J18" s="838" t="s">
        <v>224</v>
      </c>
      <c r="K18" s="839"/>
      <c r="L18" s="839"/>
      <c r="M18" s="840"/>
    </row>
    <row r="19" spans="2:13" ht="15.75" thickBot="1" x14ac:dyDescent="0.3">
      <c r="B19" s="991" t="s">
        <v>271</v>
      </c>
      <c r="C19" s="992"/>
      <c r="D19" s="499" t="s">
        <v>266</v>
      </c>
      <c r="E19" s="439">
        <v>0</v>
      </c>
      <c r="F19" s="439">
        <v>0</v>
      </c>
      <c r="G19" s="446" t="e">
        <f>F18*0.35</f>
        <v>#REF!</v>
      </c>
      <c r="J19" s="417" t="s">
        <v>225</v>
      </c>
      <c r="K19" s="418">
        <v>2019</v>
      </c>
      <c r="L19" s="418">
        <v>2020</v>
      </c>
      <c r="M19" s="419">
        <v>2021</v>
      </c>
    </row>
    <row r="20" spans="2:13" ht="15.75" thickBot="1" x14ac:dyDescent="0.3">
      <c r="B20" s="975" t="s">
        <v>272</v>
      </c>
      <c r="C20" s="976"/>
      <c r="D20" s="500" t="s">
        <v>266</v>
      </c>
      <c r="E20" s="501" t="e">
        <f>E16-E17-E19</f>
        <v>#REF!</v>
      </c>
      <c r="F20" s="501" t="e">
        <f>F16-F17-F19</f>
        <v>#REF!</v>
      </c>
      <c r="G20" s="502" t="e">
        <f>G16-G17-G19</f>
        <v>#REF!</v>
      </c>
      <c r="J20" s="414">
        <f>'Mod. inversión'!$G$5</f>
        <v>2297572</v>
      </c>
      <c r="K20" s="415">
        <f>'Mod. inversión'!$H$5</f>
        <v>22999</v>
      </c>
      <c r="L20" s="415">
        <f>'Mod. inversión'!$I$5</f>
        <v>70262</v>
      </c>
      <c r="M20" s="416">
        <f>'Mod. inversión'!$J$5</f>
        <v>1306257</v>
      </c>
    </row>
    <row r="21" spans="2:13" ht="15.75" thickBot="1" x14ac:dyDescent="0.3">
      <c r="B21" s="987" t="s">
        <v>273</v>
      </c>
      <c r="C21" s="988"/>
      <c r="D21" s="503">
        <f>-J20</f>
        <v>-2297572</v>
      </c>
      <c r="E21" s="504">
        <f>-K20</f>
        <v>-22999</v>
      </c>
      <c r="F21" s="504">
        <f>-L20</f>
        <v>-70262</v>
      </c>
      <c r="G21" s="505">
        <f>-M20</f>
        <v>-1306257</v>
      </c>
    </row>
    <row r="22" spans="2:13" ht="15.75" thickBot="1" x14ac:dyDescent="0.3">
      <c r="B22" s="977" t="s">
        <v>274</v>
      </c>
      <c r="C22" s="978"/>
      <c r="D22" s="512">
        <f>D21</f>
        <v>-2297572</v>
      </c>
      <c r="E22" s="501" t="e">
        <f>E20+E21</f>
        <v>#REF!</v>
      </c>
      <c r="F22" s="501" t="e">
        <f>F20+F21</f>
        <v>#REF!</v>
      </c>
      <c r="G22" s="502" t="e">
        <f>G20+G21</f>
        <v>#REF!</v>
      </c>
    </row>
    <row r="25" spans="2:13" ht="15.75" thickBot="1" x14ac:dyDescent="0.3"/>
    <row r="26" spans="2:13" x14ac:dyDescent="0.25">
      <c r="F26" s="508" t="s">
        <v>275</v>
      </c>
      <c r="G26" s="625">
        <v>0.7</v>
      </c>
    </row>
    <row r="27" spans="2:13" x14ac:dyDescent="0.25">
      <c r="F27" s="509" t="s">
        <v>276</v>
      </c>
      <c r="G27" s="510" t="e">
        <f>NPV(G26,D22:G22)</f>
        <v>#REF!</v>
      </c>
    </row>
    <row r="28" spans="2:13" ht="15.75" thickBot="1" x14ac:dyDescent="0.3">
      <c r="F28" s="511" t="s">
        <v>277</v>
      </c>
      <c r="G28" s="626" t="e">
        <f>IRR(D22:G22,G26)</f>
        <v>#VALUE!</v>
      </c>
    </row>
    <row r="31" spans="2:13" ht="0.6" customHeight="1" x14ac:dyDescent="0.25">
      <c r="I31" s="513"/>
    </row>
    <row r="32" spans="2:13" x14ac:dyDescent="0.25">
      <c r="I32" s="513"/>
    </row>
    <row r="36" spans="4:9" x14ac:dyDescent="0.25">
      <c r="D36" s="42"/>
      <c r="E36" s="42"/>
      <c r="F36" s="42"/>
      <c r="G36" s="42"/>
      <c r="I36" s="43"/>
    </row>
    <row r="37" spans="4:9" x14ac:dyDescent="0.25">
      <c r="I37" s="43"/>
    </row>
    <row r="38" spans="4:9" x14ac:dyDescent="0.25">
      <c r="H38" s="507"/>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617" customFormat="1" ht="58.5" customHeight="1" x14ac:dyDescent="0.25">
      <c r="A1" s="619"/>
      <c r="B1" s="619"/>
      <c r="C1" s="619"/>
      <c r="D1" s="622" t="s">
        <v>11</v>
      </c>
      <c r="E1" s="619"/>
      <c r="F1" s="619"/>
      <c r="G1" s="623"/>
      <c r="H1" s="623"/>
      <c r="I1" s="619"/>
      <c r="J1" s="619"/>
      <c r="K1" s="619"/>
      <c r="L1" s="619"/>
      <c r="M1" s="619"/>
      <c r="N1" s="619"/>
    </row>
    <row r="3" spans="1:14" ht="15.75" thickBot="1" x14ac:dyDescent="0.3"/>
    <row r="4" spans="1:14" ht="27" thickBot="1" x14ac:dyDescent="0.45">
      <c r="B4" s="949" t="s">
        <v>11</v>
      </c>
      <c r="C4" s="950"/>
      <c r="D4" s="950"/>
      <c r="E4" s="950"/>
      <c r="F4" s="950"/>
      <c r="G4" s="951"/>
    </row>
    <row r="5" spans="1:14" ht="15.75" thickBot="1" x14ac:dyDescent="0.3">
      <c r="B5" s="575" t="s">
        <v>298</v>
      </c>
      <c r="C5" s="576" t="s">
        <v>284</v>
      </c>
      <c r="D5" s="576" t="s">
        <v>285</v>
      </c>
      <c r="E5" s="576" t="s">
        <v>286</v>
      </c>
      <c r="F5" s="577" t="s">
        <v>287</v>
      </c>
      <c r="G5" s="578" t="s">
        <v>288</v>
      </c>
      <c r="H5"/>
    </row>
    <row r="6" spans="1:14" ht="60" customHeight="1" thickBot="1" x14ac:dyDescent="0.3">
      <c r="B6" s="582">
        <v>1</v>
      </c>
      <c r="C6" s="599" t="s">
        <v>339</v>
      </c>
      <c r="D6" s="593" t="s">
        <v>340</v>
      </c>
      <c r="E6" s="593" t="s">
        <v>341</v>
      </c>
      <c r="F6" s="594" t="s">
        <v>290</v>
      </c>
      <c r="G6" s="595" t="s">
        <v>289</v>
      </c>
      <c r="H6" s="571"/>
    </row>
    <row r="7" spans="1:14" ht="61.5" customHeight="1" thickBot="1" x14ac:dyDescent="0.3">
      <c r="B7" s="585">
        <v>2</v>
      </c>
      <c r="C7" s="596" t="s">
        <v>306</v>
      </c>
      <c r="D7" s="539" t="s">
        <v>299</v>
      </c>
      <c r="E7" s="539" t="s">
        <v>305</v>
      </c>
      <c r="F7" s="597" t="s">
        <v>293</v>
      </c>
      <c r="G7" s="598" t="s">
        <v>289</v>
      </c>
      <c r="H7" s="571"/>
    </row>
    <row r="8" spans="1:14" ht="57.75" customHeight="1" thickBot="1" x14ac:dyDescent="0.3">
      <c r="B8" s="591">
        <v>3</v>
      </c>
      <c r="C8" s="592" t="s">
        <v>331</v>
      </c>
      <c r="D8" s="593" t="s">
        <v>330</v>
      </c>
      <c r="E8" s="593" t="s">
        <v>334</v>
      </c>
      <c r="F8" s="594" t="s">
        <v>293</v>
      </c>
      <c r="G8" s="595" t="s">
        <v>289</v>
      </c>
      <c r="H8" s="571"/>
    </row>
    <row r="9" spans="1:14" ht="33" customHeight="1" x14ac:dyDescent="0.25">
      <c r="B9" s="590">
        <v>4</v>
      </c>
      <c r="C9" s="579" t="s">
        <v>307</v>
      </c>
      <c r="D9" s="516" t="s">
        <v>309</v>
      </c>
      <c r="E9" s="516" t="s">
        <v>308</v>
      </c>
      <c r="F9" s="573" t="s">
        <v>290</v>
      </c>
      <c r="G9" s="574" t="s">
        <v>294</v>
      </c>
      <c r="H9" s="102"/>
    </row>
    <row r="10" spans="1:14" ht="30" x14ac:dyDescent="0.25">
      <c r="B10" s="583">
        <v>5</v>
      </c>
      <c r="C10" s="580" t="s">
        <v>295</v>
      </c>
      <c r="D10" s="514" t="s">
        <v>337</v>
      </c>
      <c r="E10" s="514" t="s">
        <v>296</v>
      </c>
      <c r="F10" s="232" t="s">
        <v>290</v>
      </c>
      <c r="G10" s="241" t="s">
        <v>294</v>
      </c>
      <c r="H10" s="102"/>
    </row>
    <row r="11" spans="1:14" ht="30" x14ac:dyDescent="0.25">
      <c r="B11" s="583">
        <v>6</v>
      </c>
      <c r="C11" s="580" t="s">
        <v>310</v>
      </c>
      <c r="D11" s="515" t="s">
        <v>338</v>
      </c>
      <c r="E11" s="515" t="s">
        <v>311</v>
      </c>
      <c r="F11" s="232" t="s">
        <v>290</v>
      </c>
      <c r="G11" s="241" t="s">
        <v>292</v>
      </c>
      <c r="H11" s="102"/>
    </row>
    <row r="12" spans="1:14" x14ac:dyDescent="0.25">
      <c r="B12" s="583">
        <v>7</v>
      </c>
      <c r="C12" s="580" t="s">
        <v>312</v>
      </c>
      <c r="D12" s="515"/>
      <c r="E12" s="515"/>
      <c r="F12" s="232" t="s">
        <v>293</v>
      </c>
      <c r="G12" s="241" t="s">
        <v>292</v>
      </c>
      <c r="H12" s="102"/>
    </row>
    <row r="13" spans="1:14" x14ac:dyDescent="0.25">
      <c r="B13" s="583">
        <v>8</v>
      </c>
      <c r="C13" s="580" t="s">
        <v>313</v>
      </c>
      <c r="D13" s="514"/>
      <c r="E13" s="514"/>
      <c r="F13" s="232" t="s">
        <v>293</v>
      </c>
      <c r="G13" s="241" t="s">
        <v>294</v>
      </c>
      <c r="H13" s="102"/>
    </row>
    <row r="14" spans="1:14" ht="15.75" thickBot="1" x14ac:dyDescent="0.3">
      <c r="B14" s="585">
        <v>9</v>
      </c>
      <c r="C14" s="586" t="s">
        <v>314</v>
      </c>
      <c r="D14" s="587"/>
      <c r="E14" s="587"/>
      <c r="F14" s="588" t="s">
        <v>293</v>
      </c>
      <c r="G14" s="589" t="s">
        <v>292</v>
      </c>
      <c r="H14" s="102"/>
    </row>
    <row r="15" spans="1:14" ht="68.25" customHeight="1" thickBot="1" x14ac:dyDescent="0.3">
      <c r="B15" s="591">
        <v>10</v>
      </c>
      <c r="C15" s="592" t="s">
        <v>327</v>
      </c>
      <c r="D15" s="593"/>
      <c r="E15" s="593"/>
      <c r="F15" s="594" t="s">
        <v>290</v>
      </c>
      <c r="G15" s="595" t="s">
        <v>289</v>
      </c>
      <c r="H15" s="571"/>
    </row>
    <row r="16" spans="1:14" x14ac:dyDescent="0.25">
      <c r="B16" s="590">
        <v>11</v>
      </c>
      <c r="C16" s="579" t="s">
        <v>315</v>
      </c>
      <c r="D16" s="516"/>
      <c r="E16" s="516"/>
      <c r="F16" s="573" t="s">
        <v>290</v>
      </c>
      <c r="G16" s="574" t="s">
        <v>294</v>
      </c>
      <c r="H16" s="102"/>
    </row>
    <row r="17" spans="2:8" x14ac:dyDescent="0.25">
      <c r="B17" s="583">
        <v>12</v>
      </c>
      <c r="C17" s="580" t="s">
        <v>316</v>
      </c>
      <c r="D17" s="514"/>
      <c r="E17" s="514"/>
      <c r="F17" s="232" t="s">
        <v>293</v>
      </c>
      <c r="G17" s="241" t="s">
        <v>294</v>
      </c>
      <c r="H17" s="102"/>
    </row>
    <row r="18" spans="2:8" ht="54.75" customHeight="1" x14ac:dyDescent="0.25">
      <c r="B18" s="583">
        <v>13</v>
      </c>
      <c r="C18" s="580" t="s">
        <v>317</v>
      </c>
      <c r="D18" s="514"/>
      <c r="E18" s="514"/>
      <c r="F18" s="232" t="s">
        <v>293</v>
      </c>
      <c r="G18" s="241" t="s">
        <v>289</v>
      </c>
      <c r="H18" s="102"/>
    </row>
    <row r="19" spans="2:8" x14ac:dyDescent="0.25">
      <c r="B19" s="583">
        <v>14</v>
      </c>
      <c r="C19" s="580" t="s">
        <v>319</v>
      </c>
      <c r="D19" s="514"/>
      <c r="E19" s="514"/>
      <c r="F19" s="232" t="s">
        <v>290</v>
      </c>
      <c r="G19" s="241" t="s">
        <v>289</v>
      </c>
      <c r="H19" s="571"/>
    </row>
    <row r="20" spans="2:8" ht="15.75" thickBot="1" x14ac:dyDescent="0.3">
      <c r="B20" s="584">
        <v>15</v>
      </c>
      <c r="C20" s="581" t="s">
        <v>318</v>
      </c>
      <c r="D20" s="572"/>
      <c r="E20" s="572"/>
      <c r="F20" s="234" t="s">
        <v>290</v>
      </c>
      <c r="G20" s="242" t="s">
        <v>290</v>
      </c>
      <c r="H20" s="102"/>
    </row>
    <row r="21" spans="2:8" x14ac:dyDescent="0.25">
      <c r="H21" s="102"/>
    </row>
    <row r="22" spans="2:8" x14ac:dyDescent="0.25">
      <c r="H22" s="102"/>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7"/>
  <sheetViews>
    <sheetView zoomScale="85" zoomScaleNormal="85" workbookViewId="0">
      <pane ySplit="1" topLeftCell="A9" activePane="bottomLeft" state="frozen"/>
      <selection pane="bottomLeft" activeCell="A24" sqref="A24"/>
    </sheetView>
  </sheetViews>
  <sheetFormatPr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617" customFormat="1" ht="58.5" customHeight="1" x14ac:dyDescent="0.25">
      <c r="A1" s="619"/>
      <c r="B1" s="619"/>
      <c r="C1" s="619"/>
      <c r="D1" s="619"/>
      <c r="E1" s="619"/>
      <c r="F1" s="619"/>
      <c r="G1" s="993" t="s">
        <v>321</v>
      </c>
      <c r="H1" s="994"/>
      <c r="I1" s="994"/>
      <c r="J1" s="619"/>
      <c r="K1" s="619"/>
      <c r="L1" s="619"/>
      <c r="M1" s="619"/>
      <c r="N1" s="619"/>
    </row>
    <row r="2" spans="1:38" ht="20.25" customHeight="1" thickBot="1" x14ac:dyDescent="0.3">
      <c r="G2" s="550"/>
      <c r="H2" s="551"/>
      <c r="I2" s="551"/>
    </row>
    <row r="3" spans="1:38" ht="15.75" thickBot="1" x14ac:dyDescent="0.3">
      <c r="B3" s="552"/>
      <c r="C3" s="553"/>
      <c r="D3" s="553"/>
      <c r="E3" s="553"/>
      <c r="F3" s="553"/>
      <c r="G3" s="553"/>
      <c r="H3" s="553"/>
      <c r="I3" s="553"/>
      <c r="J3" s="553"/>
      <c r="K3" s="553"/>
      <c r="L3" s="554"/>
    </row>
    <row r="4" spans="1:38" ht="15.75" thickBot="1" x14ac:dyDescent="0.3">
      <c r="B4" s="555"/>
      <c r="C4" s="1005" t="s">
        <v>320</v>
      </c>
      <c r="D4" s="1006"/>
      <c r="E4" s="1006"/>
      <c r="F4" s="1006"/>
      <c r="G4" s="1006"/>
      <c r="H4" s="1006"/>
      <c r="I4" s="1006"/>
      <c r="J4" s="1006"/>
      <c r="K4" s="1007"/>
      <c r="L4" s="556"/>
      <c r="M4" s="248"/>
      <c r="N4" s="248"/>
      <c r="O4" s="248"/>
      <c r="P4" s="248"/>
      <c r="Q4" s="248"/>
      <c r="R4" s="248"/>
      <c r="S4" s="248"/>
      <c r="T4" s="248"/>
      <c r="U4" s="248"/>
      <c r="V4" s="248"/>
      <c r="W4" s="248"/>
      <c r="X4" s="248"/>
      <c r="Y4" s="248"/>
      <c r="Z4" s="248"/>
      <c r="AA4" s="248"/>
      <c r="AB4" s="248"/>
      <c r="AC4" s="248"/>
      <c r="AD4" s="248"/>
      <c r="AE4" s="248"/>
      <c r="AF4" s="248"/>
      <c r="AG4" s="248"/>
      <c r="AH4" s="248"/>
      <c r="AI4" s="248"/>
      <c r="AJ4" s="248"/>
      <c r="AK4" s="248"/>
      <c r="AL4" s="248"/>
    </row>
    <row r="5" spans="1:38" ht="15.75" thickBot="1" x14ac:dyDescent="0.3">
      <c r="B5" s="555"/>
      <c r="C5" s="557"/>
      <c r="D5" s="557"/>
      <c r="E5" s="557"/>
      <c r="F5" s="557"/>
      <c r="G5" s="557"/>
      <c r="H5" s="557"/>
      <c r="I5" s="557"/>
      <c r="J5" s="557"/>
      <c r="K5" s="557"/>
      <c r="L5" s="556"/>
      <c r="M5" s="248"/>
      <c r="N5" s="248"/>
      <c r="O5" s="248"/>
      <c r="P5" s="248"/>
      <c r="Q5" s="248"/>
      <c r="R5" s="248"/>
      <c r="S5" s="248"/>
      <c r="T5" s="248"/>
      <c r="U5" s="248"/>
      <c r="V5" s="248"/>
      <c r="W5" s="248"/>
      <c r="X5" s="248"/>
      <c r="Y5" s="248"/>
      <c r="Z5" s="248"/>
      <c r="AA5" s="248"/>
      <c r="AB5" s="248"/>
      <c r="AC5" s="248"/>
      <c r="AD5" s="248"/>
      <c r="AE5" s="248"/>
      <c r="AF5" s="248"/>
      <c r="AG5" s="248"/>
      <c r="AH5" s="248"/>
      <c r="AI5" s="248"/>
      <c r="AJ5" s="248"/>
      <c r="AK5" s="248"/>
      <c r="AL5" s="248"/>
    </row>
    <row r="6" spans="1:38" ht="30.75" thickBot="1" x14ac:dyDescent="0.3">
      <c r="B6" s="555"/>
      <c r="C6" s="102"/>
      <c r="D6" s="102"/>
      <c r="E6" s="102"/>
      <c r="F6" s="529" t="s">
        <v>36</v>
      </c>
      <c r="G6" s="521"/>
      <c r="H6" s="522"/>
      <c r="I6" s="557"/>
      <c r="J6" s="557"/>
      <c r="K6" s="273" t="s">
        <v>332</v>
      </c>
      <c r="L6" s="556"/>
      <c r="M6" s="248"/>
      <c r="N6" s="248"/>
      <c r="O6" s="248"/>
      <c r="P6" s="248"/>
      <c r="Q6" s="248"/>
      <c r="R6" s="248"/>
      <c r="S6" s="248"/>
      <c r="T6" s="248"/>
      <c r="U6" s="248"/>
      <c r="V6" s="248"/>
      <c r="W6" s="248"/>
      <c r="X6" s="248"/>
      <c r="Y6" s="248"/>
      <c r="Z6" s="248"/>
      <c r="AA6" s="248"/>
      <c r="AB6" s="248"/>
      <c r="AC6" s="248"/>
      <c r="AD6" s="248"/>
      <c r="AE6" s="248"/>
      <c r="AF6" s="248"/>
      <c r="AG6" s="248"/>
      <c r="AH6" s="248"/>
      <c r="AI6" s="248"/>
      <c r="AJ6" s="248"/>
      <c r="AK6" s="248"/>
      <c r="AL6" s="248"/>
    </row>
    <row r="7" spans="1:38" x14ac:dyDescent="0.25">
      <c r="B7" s="555"/>
      <c r="E7" s="102"/>
      <c r="F7" s="528">
        <v>2019</v>
      </c>
      <c r="G7" s="528">
        <v>2020</v>
      </c>
      <c r="H7" s="528">
        <v>2021</v>
      </c>
      <c r="I7" s="557"/>
      <c r="J7" s="557"/>
      <c r="K7" s="1001" t="s">
        <v>327</v>
      </c>
      <c r="L7" s="556"/>
      <c r="M7" s="248"/>
      <c r="N7" s="248"/>
      <c r="O7" s="248"/>
      <c r="P7" s="248"/>
      <c r="Q7" s="248"/>
      <c r="R7" s="248"/>
      <c r="S7" s="248"/>
      <c r="T7" s="248"/>
      <c r="U7" s="248"/>
      <c r="V7" s="248"/>
      <c r="W7" s="248"/>
      <c r="X7" s="248"/>
      <c r="Y7" s="248"/>
      <c r="Z7" s="248"/>
      <c r="AA7" s="248"/>
      <c r="AB7" s="248"/>
      <c r="AC7" s="248"/>
      <c r="AD7" s="248"/>
      <c r="AE7" s="248"/>
      <c r="AF7" s="248"/>
      <c r="AG7" s="248"/>
      <c r="AH7" s="248"/>
      <c r="AI7" s="248"/>
      <c r="AJ7" s="248"/>
      <c r="AK7" s="248"/>
      <c r="AL7" s="248"/>
    </row>
    <row r="8" spans="1:38" x14ac:dyDescent="0.25">
      <c r="B8" s="555"/>
      <c r="E8" s="102"/>
      <c r="F8" s="523">
        <f>'Presupuesto financiero'!K5</f>
        <v>0.03</v>
      </c>
      <c r="G8" s="523">
        <f>'Presupuesto financiero'!L5</f>
        <v>7.0000000000000007E-2</v>
      </c>
      <c r="H8" s="523">
        <f>'Presupuesto financiero'!M5</f>
        <v>0.12</v>
      </c>
      <c r="I8" s="557"/>
      <c r="J8" s="557"/>
      <c r="K8" s="1002"/>
      <c r="L8" s="556"/>
      <c r="M8" s="248"/>
      <c r="N8" s="248"/>
      <c r="O8" s="248"/>
      <c r="P8" s="248"/>
      <c r="Q8" s="248"/>
      <c r="R8" s="248"/>
      <c r="S8" s="248"/>
      <c r="T8" s="248"/>
      <c r="U8" s="248"/>
      <c r="V8" s="248"/>
      <c r="W8" s="248"/>
      <c r="X8" s="248"/>
      <c r="Y8" s="248"/>
      <c r="Z8" s="248"/>
      <c r="AA8" s="248"/>
      <c r="AB8" s="248"/>
      <c r="AC8" s="248"/>
      <c r="AD8" s="248"/>
      <c r="AE8" s="248"/>
      <c r="AF8" s="248"/>
      <c r="AG8" s="248"/>
      <c r="AH8" s="248"/>
      <c r="AI8" s="248"/>
      <c r="AJ8" s="248"/>
      <c r="AK8" s="248"/>
      <c r="AL8" s="248"/>
    </row>
    <row r="9" spans="1:38" ht="15.75" thickBot="1" x14ac:dyDescent="0.3">
      <c r="B9" s="555"/>
      <c r="E9" s="534" t="s">
        <v>328</v>
      </c>
      <c r="F9" s="545">
        <f>Hipótesis!$D$24</f>
        <v>18750000</v>
      </c>
      <c r="G9" s="545">
        <f>Hipótesis!$D$25</f>
        <v>43750000.000000007</v>
      </c>
      <c r="H9" s="545">
        <f>Hipótesis!$D$26</f>
        <v>75000000</v>
      </c>
      <c r="I9" s="557"/>
      <c r="J9" s="557"/>
      <c r="K9" s="1003"/>
      <c r="L9" s="556"/>
      <c r="M9" s="248"/>
      <c r="N9" s="248"/>
      <c r="O9" s="248"/>
      <c r="P9" s="248"/>
      <c r="Q9" s="248"/>
      <c r="R9" s="248"/>
      <c r="S9" s="248"/>
      <c r="T9" s="248"/>
      <c r="U9" s="248"/>
      <c r="V9" s="248"/>
      <c r="W9" s="248"/>
      <c r="X9" s="248"/>
      <c r="Y9" s="248"/>
      <c r="Z9" s="248"/>
      <c r="AA9" s="248"/>
      <c r="AB9" s="248"/>
      <c r="AC9" s="248"/>
      <c r="AD9" s="248"/>
      <c r="AE9" s="248"/>
      <c r="AF9" s="248"/>
      <c r="AG9" s="248"/>
      <c r="AH9" s="248"/>
      <c r="AI9" s="248"/>
      <c r="AJ9" s="248"/>
      <c r="AK9" s="248"/>
      <c r="AL9" s="248"/>
    </row>
    <row r="10" spans="1:38" ht="15.75" thickBot="1" x14ac:dyDescent="0.3">
      <c r="B10" s="555"/>
      <c r="C10" s="102"/>
      <c r="D10" s="102"/>
      <c r="E10" s="534" t="s">
        <v>265</v>
      </c>
      <c r="F10" s="524">
        <f>'Presupuesto financiero'!K10</f>
        <v>2343935.7000000002</v>
      </c>
      <c r="G10" s="524">
        <f>'Presupuesto financiero'!L10</f>
        <v>2614351.9749999996</v>
      </c>
      <c r="H10" s="524">
        <f>'Presupuesto financiero'!M10</f>
        <v>2971977.4835000001</v>
      </c>
      <c r="I10" s="557"/>
      <c r="J10" s="557"/>
      <c r="K10" s="273" t="s">
        <v>285</v>
      </c>
      <c r="L10" s="556"/>
      <c r="M10" s="248"/>
      <c r="N10" s="248"/>
      <c r="O10" s="248"/>
      <c r="P10" s="248"/>
      <c r="Q10" s="248"/>
      <c r="R10" s="248"/>
      <c r="S10" s="248"/>
      <c r="T10" s="248"/>
      <c r="U10" s="248"/>
      <c r="V10" s="248"/>
      <c r="W10" s="248"/>
      <c r="X10" s="248"/>
      <c r="Y10" s="248"/>
      <c r="Z10" s="248"/>
      <c r="AA10" s="248"/>
      <c r="AB10" s="248"/>
      <c r="AC10" s="248"/>
      <c r="AD10" s="248"/>
      <c r="AE10" s="248"/>
      <c r="AF10" s="248"/>
      <c r="AG10" s="248"/>
      <c r="AH10" s="248"/>
      <c r="AI10" s="248"/>
      <c r="AJ10" s="248"/>
      <c r="AK10" s="248"/>
      <c r="AL10" s="248"/>
    </row>
    <row r="11" spans="1:38" x14ac:dyDescent="0.25">
      <c r="B11" s="555"/>
      <c r="C11" s="102"/>
      <c r="D11" s="102"/>
      <c r="E11" s="534" t="s">
        <v>220</v>
      </c>
      <c r="F11" s="524" t="e">
        <f>'Presupuesto financiero'!K11</f>
        <v>#REF!</v>
      </c>
      <c r="G11" s="524" t="e">
        <f>'Presupuesto financiero'!L11</f>
        <v>#REF!</v>
      </c>
      <c r="H11" s="524" t="e">
        <f>'Presupuesto financiero'!M11</f>
        <v>#REF!</v>
      </c>
      <c r="I11" s="557"/>
      <c r="J11" s="557"/>
      <c r="K11" s="1004"/>
      <c r="L11" s="556"/>
      <c r="M11" s="248"/>
      <c r="N11" s="248"/>
      <c r="O11" s="248"/>
      <c r="P11" s="248"/>
      <c r="Q11" s="248"/>
      <c r="R11" s="248"/>
      <c r="S11" s="248"/>
      <c r="T11" s="248"/>
      <c r="U11" s="248"/>
      <c r="V11" s="248"/>
      <c r="W11" s="248"/>
      <c r="X11" s="248"/>
      <c r="Y11" s="248"/>
      <c r="Z11" s="248"/>
      <c r="AA11" s="248"/>
      <c r="AB11" s="248"/>
      <c r="AC11" s="248"/>
      <c r="AD11" s="248"/>
      <c r="AE11" s="248"/>
      <c r="AF11" s="248"/>
      <c r="AG11" s="248"/>
      <c r="AH11" s="248"/>
      <c r="AI11" s="248"/>
      <c r="AJ11" s="248"/>
      <c r="AK11" s="248"/>
      <c r="AL11" s="248"/>
    </row>
    <row r="12" spans="1:38" x14ac:dyDescent="0.25">
      <c r="B12" s="555"/>
      <c r="C12" s="102"/>
      <c r="D12" s="102"/>
      <c r="E12" s="534" t="s">
        <v>326</v>
      </c>
      <c r="F12" s="524">
        <f>'Presupuesto financiero'!K12</f>
        <v>7341662.4450000012</v>
      </c>
      <c r="G12" s="524">
        <f>'Presupuesto financiero'!L12</f>
        <v>8446303.9266666677</v>
      </c>
      <c r="H12" s="524">
        <f>'Presupuesto financiero'!M12</f>
        <v>10262133.115833335</v>
      </c>
      <c r="I12" s="557"/>
      <c r="J12" s="557"/>
      <c r="K12" s="1002"/>
      <c r="L12" s="556"/>
      <c r="M12" s="248"/>
      <c r="N12" s="248"/>
      <c r="O12" s="248"/>
      <c r="P12" s="248"/>
      <c r="Q12" s="248"/>
      <c r="R12" s="248"/>
      <c r="S12" s="248"/>
      <c r="T12" s="248"/>
      <c r="U12" s="248"/>
      <c r="V12" s="248"/>
      <c r="W12" s="248"/>
      <c r="X12" s="248"/>
      <c r="Y12" s="248"/>
      <c r="Z12" s="248"/>
      <c r="AA12" s="248"/>
      <c r="AB12" s="248"/>
      <c r="AC12" s="248"/>
      <c r="AD12" s="248"/>
      <c r="AE12" s="248"/>
      <c r="AF12" s="248"/>
      <c r="AG12" s="248"/>
      <c r="AH12" s="248"/>
      <c r="AI12" s="248"/>
      <c r="AJ12" s="248"/>
      <c r="AK12" s="248"/>
      <c r="AL12" s="248"/>
    </row>
    <row r="13" spans="1:38" ht="15.75" thickBot="1" x14ac:dyDescent="0.3">
      <c r="B13" s="555"/>
      <c r="C13" s="102"/>
      <c r="D13" s="102"/>
      <c r="E13" s="102"/>
      <c r="F13" s="102"/>
      <c r="G13" s="102"/>
      <c r="H13" s="102"/>
      <c r="I13" s="557"/>
      <c r="J13" s="557"/>
      <c r="K13" s="1003"/>
      <c r="L13" s="556"/>
      <c r="M13" s="248"/>
      <c r="N13" s="248"/>
      <c r="O13" s="248"/>
      <c r="P13" s="248"/>
      <c r="Q13" s="248"/>
      <c r="R13" s="248"/>
      <c r="S13" s="248"/>
      <c r="T13" s="248"/>
      <c r="U13" s="248"/>
      <c r="V13" s="248"/>
      <c r="W13" s="248"/>
      <c r="X13" s="248"/>
      <c r="Y13" s="248"/>
      <c r="Z13" s="248"/>
      <c r="AA13" s="248"/>
      <c r="AB13" s="248"/>
      <c r="AC13" s="248"/>
      <c r="AD13" s="248"/>
      <c r="AE13" s="248"/>
      <c r="AF13" s="248"/>
      <c r="AG13" s="248"/>
      <c r="AH13" s="248"/>
      <c r="AI13" s="248"/>
      <c r="AJ13" s="248"/>
      <c r="AK13" s="248"/>
      <c r="AL13" s="248"/>
    </row>
    <row r="14" spans="1:38" ht="16.5" customHeight="1" thickBot="1" x14ac:dyDescent="0.3">
      <c r="B14" s="555"/>
      <c r="C14" s="1008" t="s">
        <v>343</v>
      </c>
      <c r="D14" s="1009"/>
      <c r="E14" s="102"/>
      <c r="F14" s="544" t="s">
        <v>250</v>
      </c>
      <c r="G14" s="521"/>
      <c r="H14" s="522"/>
      <c r="I14" s="557"/>
      <c r="J14" s="557"/>
      <c r="K14" s="273" t="s">
        <v>286</v>
      </c>
      <c r="L14" s="556"/>
      <c r="M14" s="248"/>
      <c r="N14" s="248"/>
      <c r="O14" s="248"/>
      <c r="P14" s="248"/>
      <c r="Q14" s="248"/>
      <c r="R14" s="248"/>
      <c r="S14" s="248"/>
      <c r="T14" s="248"/>
      <c r="U14" s="248"/>
      <c r="V14" s="248"/>
      <c r="W14" s="248"/>
      <c r="X14" s="248"/>
      <c r="Y14" s="248"/>
      <c r="Z14" s="248"/>
      <c r="AA14" s="248"/>
      <c r="AB14" s="248"/>
      <c r="AC14" s="248"/>
      <c r="AD14" s="248"/>
      <c r="AE14" s="248"/>
      <c r="AF14" s="248"/>
      <c r="AG14" s="248"/>
      <c r="AH14" s="248"/>
      <c r="AI14" s="248"/>
      <c r="AJ14" s="248"/>
      <c r="AK14" s="248"/>
      <c r="AL14" s="248"/>
    </row>
    <row r="15" spans="1:38" ht="15.75" customHeight="1" x14ac:dyDescent="0.25">
      <c r="B15" s="555"/>
      <c r="C15" s="995">
        <v>2021</v>
      </c>
      <c r="D15" s="996"/>
      <c r="E15" s="102"/>
      <c r="F15" s="308">
        <v>2019</v>
      </c>
      <c r="G15" s="308">
        <v>2020</v>
      </c>
      <c r="H15" s="308">
        <v>2021</v>
      </c>
      <c r="I15" s="557"/>
      <c r="J15" s="557"/>
      <c r="K15" s="1010" t="s">
        <v>342</v>
      </c>
      <c r="L15" s="556"/>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row>
    <row r="16" spans="1:38" ht="15.75" thickBot="1" x14ac:dyDescent="0.3">
      <c r="B16" s="555"/>
      <c r="C16" s="997">
        <v>0.8</v>
      </c>
      <c r="D16" s="998"/>
      <c r="E16" s="546"/>
      <c r="F16" s="524">
        <f>'Presupuesto financiero'!K16</f>
        <v>141277.33333333334</v>
      </c>
      <c r="G16" s="524">
        <f>'Presupuesto financiero'!L16</f>
        <v>147660.56666666665</v>
      </c>
      <c r="H16" s="524">
        <f>'Presupuesto financiero'!M16</f>
        <v>162884.43333333335</v>
      </c>
      <c r="I16" s="557"/>
      <c r="J16" s="557"/>
      <c r="K16" s="1011"/>
      <c r="L16" s="556"/>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248"/>
      <c r="AJ16" s="248"/>
      <c r="AK16" s="248"/>
      <c r="AL16" s="248"/>
    </row>
    <row r="17" spans="2:38" x14ac:dyDescent="0.25">
      <c r="B17" s="555"/>
      <c r="C17" s="102"/>
      <c r="D17" s="102"/>
      <c r="E17" s="546"/>
      <c r="F17" s="42"/>
      <c r="G17" s="42"/>
      <c r="H17" s="42"/>
      <c r="I17" s="557"/>
      <c r="J17" s="557"/>
      <c r="K17" s="557"/>
      <c r="L17" s="556"/>
      <c r="M17" s="248"/>
      <c r="N17" s="248"/>
      <c r="O17" s="248"/>
      <c r="P17" s="248"/>
      <c r="Q17" s="248"/>
      <c r="R17" s="248"/>
      <c r="S17" s="248"/>
      <c r="T17" s="248"/>
      <c r="U17" s="248"/>
      <c r="V17" s="248"/>
      <c r="W17" s="248"/>
      <c r="X17" s="248"/>
      <c r="Y17" s="248"/>
      <c r="Z17" s="248"/>
      <c r="AA17" s="248"/>
      <c r="AB17" s="248"/>
      <c r="AC17" s="248"/>
      <c r="AD17" s="248"/>
      <c r="AE17" s="248"/>
      <c r="AF17" s="248"/>
      <c r="AG17" s="248"/>
      <c r="AH17" s="248"/>
      <c r="AI17" s="248"/>
      <c r="AJ17" s="248"/>
      <c r="AK17" s="248"/>
      <c r="AL17" s="248"/>
    </row>
    <row r="18" spans="2:38" x14ac:dyDescent="0.25">
      <c r="B18" s="555"/>
      <c r="C18" s="102"/>
      <c r="D18" s="102"/>
      <c r="E18" s="544" t="s">
        <v>224</v>
      </c>
      <c r="F18" s="521"/>
      <c r="G18" s="521"/>
      <c r="H18" s="522"/>
      <c r="I18" s="557"/>
      <c r="J18" s="557"/>
      <c r="K18" s="557"/>
      <c r="L18" s="556"/>
      <c r="M18" s="248"/>
      <c r="N18" s="248"/>
      <c r="O18" s="248"/>
      <c r="P18" s="248"/>
      <c r="Q18" s="248"/>
      <c r="R18" s="248"/>
      <c r="S18" s="248"/>
      <c r="T18" s="248"/>
      <c r="U18" s="248"/>
      <c r="V18" s="248"/>
      <c r="W18" s="248"/>
      <c r="X18" s="248"/>
      <c r="Y18" s="248"/>
      <c r="Z18" s="248"/>
      <c r="AA18" s="248"/>
      <c r="AB18" s="248"/>
      <c r="AC18" s="248"/>
      <c r="AD18" s="248"/>
      <c r="AE18" s="248"/>
      <c r="AF18" s="248"/>
      <c r="AG18" s="248"/>
      <c r="AH18" s="248"/>
      <c r="AI18" s="248"/>
      <c r="AJ18" s="248"/>
      <c r="AK18" s="248"/>
      <c r="AL18" s="248"/>
    </row>
    <row r="19" spans="2:38" x14ac:dyDescent="0.25">
      <c r="B19" s="555"/>
      <c r="C19" s="102"/>
      <c r="D19" s="102"/>
      <c r="E19" s="528" t="s">
        <v>225</v>
      </c>
      <c r="F19" s="528">
        <v>2019</v>
      </c>
      <c r="G19" s="528">
        <v>2020</v>
      </c>
      <c r="H19" s="528">
        <v>2021</v>
      </c>
      <c r="I19" s="557"/>
      <c r="J19" s="557"/>
      <c r="K19" s="557"/>
      <c r="L19" s="556"/>
      <c r="M19" s="248"/>
      <c r="N19" s="248"/>
      <c r="O19" s="248"/>
      <c r="P19" s="248"/>
      <c r="Q19" s="248"/>
      <c r="R19" s="248"/>
      <c r="S19" s="248"/>
      <c r="T19" s="248"/>
      <c r="U19" s="248"/>
      <c r="V19" s="248"/>
      <c r="W19" s="248"/>
      <c r="X19" s="248"/>
      <c r="Y19" s="248"/>
      <c r="Z19" s="248"/>
      <c r="AA19" s="248"/>
      <c r="AB19" s="248"/>
      <c r="AC19" s="248"/>
      <c r="AD19" s="248"/>
      <c r="AE19" s="248"/>
      <c r="AF19" s="248"/>
      <c r="AG19" s="248"/>
      <c r="AH19" s="248"/>
      <c r="AI19" s="248"/>
      <c r="AJ19" s="248"/>
      <c r="AK19" s="248"/>
      <c r="AL19" s="248"/>
    </row>
    <row r="20" spans="2:38" x14ac:dyDescent="0.25">
      <c r="B20" s="555"/>
      <c r="C20" s="102"/>
      <c r="D20" s="102"/>
      <c r="E20" s="524">
        <f>'Presupuesto financiero'!J20</f>
        <v>2297572</v>
      </c>
      <c r="F20" s="524">
        <f>'Presupuesto financiero'!K20</f>
        <v>22999</v>
      </c>
      <c r="G20" s="524">
        <f>'Presupuesto financiero'!L20</f>
        <v>70262</v>
      </c>
      <c r="H20" s="524">
        <f>'Presupuesto financiero'!M20</f>
        <v>1306257</v>
      </c>
      <c r="I20" s="557"/>
      <c r="J20" s="557"/>
      <c r="K20" s="557"/>
      <c r="L20" s="556"/>
      <c r="M20" s="248"/>
      <c r="N20" s="248"/>
      <c r="O20" s="248"/>
      <c r="P20" s="248"/>
      <c r="Q20" s="248"/>
      <c r="R20" s="248"/>
      <c r="S20" s="248"/>
      <c r="T20" s="248"/>
      <c r="U20" s="248"/>
      <c r="V20" s="248"/>
      <c r="W20" s="248"/>
      <c r="X20" s="248"/>
      <c r="Y20" s="248"/>
      <c r="Z20" s="248"/>
      <c r="AA20" s="248"/>
      <c r="AB20" s="248"/>
      <c r="AC20" s="248"/>
      <c r="AD20" s="248"/>
      <c r="AE20" s="248"/>
      <c r="AF20" s="248"/>
      <c r="AG20" s="248"/>
      <c r="AH20" s="248"/>
      <c r="AI20" s="248"/>
      <c r="AJ20" s="248"/>
      <c r="AK20" s="248"/>
      <c r="AL20" s="248"/>
    </row>
    <row r="21" spans="2:38" x14ac:dyDescent="0.25">
      <c r="B21" s="555"/>
      <c r="C21" s="102"/>
      <c r="D21" s="102"/>
      <c r="E21" s="102"/>
      <c r="F21" s="102"/>
      <c r="G21" s="102"/>
      <c r="H21" s="102"/>
      <c r="I21" s="557"/>
      <c r="J21" s="557"/>
      <c r="K21" s="557"/>
      <c r="L21" s="556"/>
      <c r="M21" s="248"/>
      <c r="N21" s="248"/>
      <c r="O21" s="248"/>
      <c r="P21" s="248"/>
      <c r="Q21" s="248"/>
      <c r="R21" s="248"/>
      <c r="S21" s="248"/>
      <c r="T21" s="248"/>
      <c r="U21" s="248"/>
      <c r="V21" s="248"/>
      <c r="W21" s="248"/>
      <c r="X21" s="248"/>
      <c r="Y21" s="248"/>
      <c r="Z21" s="248"/>
      <c r="AA21" s="248"/>
      <c r="AB21" s="248"/>
      <c r="AC21" s="248"/>
      <c r="AD21" s="248"/>
      <c r="AE21" s="248"/>
      <c r="AF21" s="248"/>
      <c r="AG21" s="248"/>
      <c r="AH21" s="248"/>
      <c r="AI21" s="248"/>
      <c r="AJ21" s="248"/>
      <c r="AK21" s="248"/>
      <c r="AL21" s="248"/>
    </row>
    <row r="22" spans="2:38" x14ac:dyDescent="0.25">
      <c r="B22" s="555"/>
      <c r="C22" s="102"/>
      <c r="D22" s="102"/>
      <c r="E22" s="531" t="s">
        <v>279</v>
      </c>
      <c r="F22" s="531">
        <v>2019</v>
      </c>
      <c r="G22" s="531">
        <v>2020</v>
      </c>
      <c r="H22" s="531">
        <v>2021</v>
      </c>
      <c r="I22" s="557"/>
      <c r="J22" s="557"/>
      <c r="K22" s="557"/>
      <c r="L22" s="556"/>
      <c r="M22" s="248"/>
      <c r="N22" s="248"/>
      <c r="O22" s="248"/>
      <c r="P22" s="248"/>
      <c r="Q22" s="248"/>
      <c r="R22" s="248"/>
      <c r="S22" s="248"/>
      <c r="T22" s="248"/>
      <c r="U22" s="248"/>
      <c r="V22" s="248"/>
      <c r="W22" s="248"/>
      <c r="X22" s="248"/>
      <c r="Y22" s="248"/>
      <c r="Z22" s="248"/>
      <c r="AA22" s="248"/>
      <c r="AB22" s="248"/>
      <c r="AC22" s="248"/>
      <c r="AD22" s="248"/>
      <c r="AE22" s="248"/>
      <c r="AF22" s="248"/>
      <c r="AG22" s="248"/>
      <c r="AH22" s="248"/>
      <c r="AI22" s="248"/>
      <c r="AJ22" s="248"/>
      <c r="AK22" s="248"/>
      <c r="AL22" s="248"/>
    </row>
    <row r="23" spans="2:38" x14ac:dyDescent="0.25">
      <c r="B23" s="555"/>
      <c r="C23" s="532" t="s">
        <v>41</v>
      </c>
      <c r="D23" s="533"/>
      <c r="E23" s="537" t="s">
        <v>266</v>
      </c>
      <c r="F23" s="538">
        <f t="shared" ref="F23:G26" si="0">F9</f>
        <v>18750000</v>
      </c>
      <c r="G23" s="538">
        <f t="shared" si="0"/>
        <v>43750000.000000007</v>
      </c>
      <c r="H23" s="600">
        <f>H9*$C$16</f>
        <v>60000000</v>
      </c>
      <c r="I23" s="557"/>
      <c r="J23" s="557"/>
      <c r="K23" s="557"/>
      <c r="L23" s="556"/>
      <c r="M23" s="248"/>
      <c r="N23" s="248"/>
      <c r="O23" s="248"/>
      <c r="P23" s="248"/>
      <c r="Q23" s="248"/>
      <c r="R23" s="248"/>
      <c r="S23" s="248"/>
      <c r="T23" s="248"/>
      <c r="U23" s="248"/>
      <c r="V23" s="248"/>
      <c r="W23" s="248"/>
      <c r="X23" s="248"/>
      <c r="Y23" s="248"/>
      <c r="Z23" s="248"/>
      <c r="AA23" s="248"/>
      <c r="AB23" s="248"/>
      <c r="AC23" s="248"/>
      <c r="AD23" s="248"/>
      <c r="AE23" s="248"/>
      <c r="AF23" s="248"/>
      <c r="AG23" s="248"/>
      <c r="AH23" s="248"/>
      <c r="AI23" s="248"/>
      <c r="AJ23" s="248"/>
      <c r="AK23" s="248"/>
      <c r="AL23" s="248"/>
    </row>
    <row r="24" spans="2:38" x14ac:dyDescent="0.25">
      <c r="B24" s="555"/>
      <c r="C24" s="1012" t="s">
        <v>267</v>
      </c>
      <c r="D24" s="534" t="s">
        <v>323</v>
      </c>
      <c r="E24" s="537" t="s">
        <v>266</v>
      </c>
      <c r="F24" s="538">
        <f t="shared" si="0"/>
        <v>2343935.7000000002</v>
      </c>
      <c r="G24" s="538">
        <f t="shared" si="0"/>
        <v>2614351.9749999996</v>
      </c>
      <c r="H24" s="538">
        <f>H10</f>
        <v>2971977.4835000001</v>
      </c>
      <c r="I24" s="557"/>
      <c r="J24" s="557"/>
      <c r="K24" s="557"/>
      <c r="L24" s="556"/>
      <c r="M24" s="248"/>
      <c r="N24" s="248"/>
      <c r="O24" s="248"/>
      <c r="P24" s="248"/>
      <c r="Q24" s="248"/>
      <c r="R24" s="248"/>
      <c r="S24" s="248"/>
      <c r="T24" s="248"/>
      <c r="U24" s="248"/>
      <c r="V24" s="248"/>
      <c r="W24" s="248"/>
      <c r="X24" s="248"/>
      <c r="Y24" s="248"/>
      <c r="Z24" s="248"/>
      <c r="AA24" s="248"/>
      <c r="AB24" s="248"/>
      <c r="AC24" s="248"/>
      <c r="AD24" s="248"/>
      <c r="AE24" s="248"/>
      <c r="AF24" s="248"/>
      <c r="AG24" s="248"/>
      <c r="AH24" s="248"/>
      <c r="AI24" s="248"/>
      <c r="AJ24" s="248"/>
      <c r="AK24" s="248"/>
      <c r="AL24" s="248"/>
    </row>
    <row r="25" spans="2:38" x14ac:dyDescent="0.25">
      <c r="B25" s="555"/>
      <c r="C25" s="1013"/>
      <c r="D25" s="534" t="s">
        <v>324</v>
      </c>
      <c r="E25" s="537" t="s">
        <v>266</v>
      </c>
      <c r="F25" s="538" t="e">
        <f t="shared" si="0"/>
        <v>#REF!</v>
      </c>
      <c r="G25" s="538" t="e">
        <f t="shared" si="0"/>
        <v>#REF!</v>
      </c>
      <c r="H25" s="600" t="e">
        <f>H11*C16</f>
        <v>#REF!</v>
      </c>
      <c r="I25" s="557"/>
      <c r="J25" s="557"/>
      <c r="K25" s="557"/>
      <c r="L25" s="556"/>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row>
    <row r="26" spans="2:38" x14ac:dyDescent="0.25">
      <c r="B26" s="555"/>
      <c r="C26" s="1014"/>
      <c r="D26" s="534" t="s">
        <v>325</v>
      </c>
      <c r="E26" s="537" t="s">
        <v>266</v>
      </c>
      <c r="F26" s="538">
        <f t="shared" si="0"/>
        <v>7341662.4450000012</v>
      </c>
      <c r="G26" s="538">
        <f t="shared" si="0"/>
        <v>8446303.9266666677</v>
      </c>
      <c r="H26" s="538">
        <f>H12</f>
        <v>10262133.115833335</v>
      </c>
      <c r="I26" s="557"/>
      <c r="J26" s="557"/>
      <c r="K26" s="557"/>
      <c r="L26" s="556"/>
      <c r="M26" s="248"/>
      <c r="N26" s="248"/>
      <c r="O26" s="248"/>
      <c r="P26" s="248"/>
      <c r="Q26" s="248"/>
      <c r="R26" s="248"/>
      <c r="S26" s="248"/>
      <c r="T26" s="248"/>
      <c r="U26" s="248"/>
      <c r="V26" s="248"/>
      <c r="W26" s="248"/>
      <c r="X26" s="248"/>
      <c r="Y26" s="248"/>
      <c r="Z26" s="248"/>
      <c r="AA26" s="248"/>
      <c r="AB26" s="248"/>
      <c r="AC26" s="248"/>
      <c r="AD26" s="248"/>
      <c r="AE26" s="248"/>
      <c r="AF26" s="248"/>
      <c r="AG26" s="248"/>
      <c r="AH26" s="248"/>
      <c r="AI26" s="248"/>
      <c r="AJ26" s="248"/>
      <c r="AK26" s="248"/>
      <c r="AL26" s="248"/>
    </row>
    <row r="27" spans="2:38" x14ac:dyDescent="0.25">
      <c r="B27" s="555"/>
      <c r="C27" s="519" t="s">
        <v>268</v>
      </c>
      <c r="D27" s="520"/>
      <c r="E27" s="540" t="s">
        <v>266</v>
      </c>
      <c r="F27" s="541" t="e">
        <f>F23-F24-F25-F26</f>
        <v>#REF!</v>
      </c>
      <c r="G27" s="541" t="e">
        <f>G23-G24-G25-G26</f>
        <v>#REF!</v>
      </c>
      <c r="H27" s="541" t="e">
        <f>H23-H24-H25-H26</f>
        <v>#REF!</v>
      </c>
      <c r="I27" s="557"/>
      <c r="J27" s="557"/>
      <c r="K27" s="557"/>
      <c r="L27" s="556"/>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row>
    <row r="28" spans="2:38" x14ac:dyDescent="0.25">
      <c r="B28" s="555"/>
      <c r="C28" s="535" t="s">
        <v>269</v>
      </c>
      <c r="D28" s="536"/>
      <c r="E28" s="232" t="s">
        <v>266</v>
      </c>
      <c r="F28" s="538">
        <f>F23*0.03</f>
        <v>562500</v>
      </c>
      <c r="G28" s="538">
        <f>G23*0.03</f>
        <v>1312500.0000000002</v>
      </c>
      <c r="H28" s="538">
        <f>H23*0.03</f>
        <v>1800000</v>
      </c>
      <c r="I28" s="557"/>
      <c r="J28" s="557"/>
      <c r="K28" s="557"/>
      <c r="L28" s="556"/>
      <c r="M28" s="248"/>
      <c r="N28" s="248"/>
      <c r="O28" s="248"/>
      <c r="P28" s="248"/>
      <c r="Q28" s="248"/>
      <c r="R28" s="248"/>
      <c r="S28" s="248"/>
      <c r="T28" s="248"/>
      <c r="U28" s="248"/>
      <c r="V28" s="248"/>
      <c r="W28" s="248"/>
      <c r="X28" s="248"/>
      <c r="Y28" s="248"/>
      <c r="Z28" s="248"/>
      <c r="AA28" s="248"/>
      <c r="AB28" s="248"/>
      <c r="AC28" s="248"/>
      <c r="AD28" s="248"/>
      <c r="AE28" s="248"/>
      <c r="AF28" s="248"/>
      <c r="AG28" s="248"/>
      <c r="AH28" s="248"/>
      <c r="AI28" s="248"/>
      <c r="AJ28" s="248"/>
      <c r="AK28" s="248"/>
      <c r="AL28" s="248"/>
    </row>
    <row r="29" spans="2:38" x14ac:dyDescent="0.25">
      <c r="B29" s="555"/>
      <c r="C29" s="999" t="s">
        <v>270</v>
      </c>
      <c r="D29" s="1000"/>
      <c r="E29" s="232"/>
      <c r="F29" s="538" t="e">
        <f>F27-F28</f>
        <v>#REF!</v>
      </c>
      <c r="G29" s="538" t="e">
        <f>G27-G28-G16</f>
        <v>#REF!</v>
      </c>
      <c r="H29" s="538" t="e">
        <f>H27-H28-H16</f>
        <v>#REF!</v>
      </c>
      <c r="I29" s="557"/>
      <c r="J29" s="557"/>
      <c r="K29" s="557"/>
      <c r="L29" s="556"/>
      <c r="M29" s="248"/>
      <c r="N29" s="248"/>
      <c r="O29" s="248"/>
      <c r="P29" s="248"/>
      <c r="Q29" s="248"/>
      <c r="R29" s="248"/>
      <c r="S29" s="248"/>
      <c r="T29" s="248"/>
      <c r="U29" s="248"/>
      <c r="V29" s="248"/>
      <c r="W29" s="248"/>
      <c r="X29" s="248"/>
      <c r="Y29" s="248"/>
      <c r="Z29" s="248"/>
      <c r="AA29" s="248"/>
      <c r="AB29" s="248"/>
      <c r="AC29" s="248"/>
      <c r="AD29" s="248"/>
      <c r="AE29" s="248"/>
      <c r="AF29" s="248"/>
      <c r="AG29" s="248"/>
      <c r="AH29" s="248"/>
      <c r="AI29" s="248"/>
      <c r="AJ29" s="248"/>
      <c r="AK29" s="248"/>
      <c r="AL29" s="248"/>
    </row>
    <row r="30" spans="2:38" x14ac:dyDescent="0.25">
      <c r="B30" s="555"/>
      <c r="C30" s="535" t="s">
        <v>271</v>
      </c>
      <c r="D30" s="536"/>
      <c r="E30" s="232" t="s">
        <v>266</v>
      </c>
      <c r="F30" s="538">
        <v>0</v>
      </c>
      <c r="G30" s="538">
        <v>0</v>
      </c>
      <c r="H30" s="538" t="e">
        <f>0.35*G29</f>
        <v>#REF!</v>
      </c>
      <c r="I30" s="557"/>
      <c r="J30" s="557"/>
      <c r="K30" s="557"/>
      <c r="L30" s="556"/>
      <c r="M30" s="248"/>
      <c r="N30" s="248"/>
      <c r="O30" s="248"/>
      <c r="P30" s="248"/>
      <c r="Q30" s="248"/>
      <c r="R30" s="248"/>
      <c r="S30" s="248"/>
      <c r="T30" s="248"/>
      <c r="U30" s="248"/>
      <c r="V30" s="248"/>
      <c r="W30" s="248"/>
      <c r="X30" s="248"/>
      <c r="Y30" s="248"/>
      <c r="Z30" s="248"/>
      <c r="AA30" s="248"/>
      <c r="AB30" s="248"/>
      <c r="AC30" s="248"/>
      <c r="AD30" s="248"/>
      <c r="AE30" s="248"/>
      <c r="AF30" s="248"/>
      <c r="AG30" s="248"/>
      <c r="AH30" s="248"/>
      <c r="AI30" s="248"/>
      <c r="AJ30" s="248"/>
      <c r="AK30" s="248"/>
      <c r="AL30" s="248"/>
    </row>
    <row r="31" spans="2:38" x14ac:dyDescent="0.25">
      <c r="B31" s="555"/>
      <c r="C31" s="519" t="s">
        <v>272</v>
      </c>
      <c r="D31" s="520"/>
      <c r="E31" s="540" t="s">
        <v>266</v>
      </c>
      <c r="F31" s="541" t="e">
        <f>F27-F28-F30</f>
        <v>#REF!</v>
      </c>
      <c r="G31" s="541" t="e">
        <f>G27-G28-G30</f>
        <v>#REF!</v>
      </c>
      <c r="H31" s="541" t="e">
        <f>H27-H28-H30</f>
        <v>#REF!</v>
      </c>
      <c r="I31" s="557"/>
      <c r="J31" s="557"/>
      <c r="K31" s="557"/>
      <c r="L31" s="556"/>
      <c r="M31" s="248"/>
      <c r="N31" s="248"/>
      <c r="O31" s="248"/>
      <c r="P31" s="248"/>
      <c r="Q31" s="248"/>
      <c r="R31" s="248"/>
      <c r="S31" s="248"/>
      <c r="T31" s="248"/>
      <c r="U31" s="248"/>
      <c r="V31" s="248"/>
      <c r="W31" s="248"/>
      <c r="X31" s="248"/>
      <c r="Y31" s="248"/>
      <c r="Z31" s="248"/>
      <c r="AA31" s="248"/>
      <c r="AB31" s="248"/>
      <c r="AC31" s="248"/>
      <c r="AD31" s="248"/>
      <c r="AE31" s="248"/>
      <c r="AF31" s="248"/>
      <c r="AG31" s="248"/>
      <c r="AH31" s="248"/>
      <c r="AI31" s="248"/>
      <c r="AJ31" s="248"/>
      <c r="AK31" s="248"/>
      <c r="AL31" s="248"/>
    </row>
    <row r="32" spans="2:38" x14ac:dyDescent="0.25">
      <c r="B32" s="555"/>
      <c r="C32" s="535" t="s">
        <v>273</v>
      </c>
      <c r="D32" s="536"/>
      <c r="E32" s="538">
        <f>-E20</f>
        <v>-2297572</v>
      </c>
      <c r="F32" s="538">
        <f>-F20</f>
        <v>-22999</v>
      </c>
      <c r="G32" s="538">
        <f>-G20</f>
        <v>-70262</v>
      </c>
      <c r="H32" s="538">
        <f>-H20</f>
        <v>-1306257</v>
      </c>
      <c r="I32" s="557"/>
      <c r="J32" s="557"/>
      <c r="K32" s="557"/>
      <c r="L32" s="556"/>
      <c r="M32" s="248"/>
      <c r="N32" s="248"/>
      <c r="O32" s="248"/>
      <c r="P32" s="248"/>
      <c r="Q32" s="248"/>
      <c r="R32" s="248"/>
      <c r="S32" s="248"/>
      <c r="T32" s="248"/>
      <c r="U32" s="248"/>
      <c r="V32" s="248"/>
      <c r="W32" s="248"/>
      <c r="X32" s="248"/>
      <c r="Y32" s="248"/>
      <c r="Z32" s="248"/>
      <c r="AA32" s="248"/>
      <c r="AB32" s="248"/>
      <c r="AC32" s="248"/>
      <c r="AD32" s="248"/>
      <c r="AE32" s="248"/>
      <c r="AF32" s="248"/>
      <c r="AG32" s="248"/>
      <c r="AH32" s="248"/>
      <c r="AI32" s="248"/>
      <c r="AJ32" s="248"/>
      <c r="AK32" s="248"/>
      <c r="AL32" s="248"/>
    </row>
    <row r="33" spans="2:38" x14ac:dyDescent="0.25">
      <c r="B33" s="555"/>
      <c r="C33" s="519" t="s">
        <v>274</v>
      </c>
      <c r="D33" s="520"/>
      <c r="E33" s="541">
        <f>E32</f>
        <v>-2297572</v>
      </c>
      <c r="F33" s="541" t="e">
        <f>F31+F32</f>
        <v>#REF!</v>
      </c>
      <c r="G33" s="541" t="e">
        <f>G31+G32</f>
        <v>#REF!</v>
      </c>
      <c r="H33" s="541" t="e">
        <f>H31+H32</f>
        <v>#REF!</v>
      </c>
      <c r="I33" s="557"/>
      <c r="J33" s="557"/>
      <c r="K33" s="557"/>
      <c r="L33" s="556"/>
      <c r="M33" s="248"/>
      <c r="N33" s="248"/>
      <c r="O33" s="248"/>
      <c r="P33" s="248"/>
      <c r="Q33" s="248"/>
      <c r="R33" s="248"/>
      <c r="S33" s="248"/>
      <c r="T33" s="248"/>
      <c r="U33" s="248"/>
      <c r="V33" s="248"/>
      <c r="W33" s="248"/>
      <c r="X33" s="248"/>
      <c r="Y33" s="248"/>
      <c r="Z33" s="248"/>
      <c r="AA33" s="248"/>
      <c r="AB33" s="248"/>
      <c r="AC33" s="248"/>
      <c r="AD33" s="248"/>
      <c r="AE33" s="248"/>
      <c r="AF33" s="248"/>
      <c r="AG33" s="248"/>
      <c r="AH33" s="248"/>
      <c r="AI33" s="248"/>
      <c r="AJ33" s="248"/>
      <c r="AK33" s="248"/>
      <c r="AL33" s="248"/>
    </row>
    <row r="34" spans="2:38" x14ac:dyDescent="0.25">
      <c r="B34" s="555"/>
      <c r="C34" s="102"/>
      <c r="D34" s="102"/>
      <c r="E34" s="102"/>
      <c r="F34" s="102"/>
      <c r="G34" s="102"/>
      <c r="H34" s="102"/>
      <c r="I34" s="557"/>
      <c r="J34" s="557"/>
      <c r="K34" s="557"/>
      <c r="L34" s="556"/>
      <c r="M34" s="248"/>
      <c r="N34" s="248"/>
      <c r="O34" s="248"/>
      <c r="P34" s="248"/>
      <c r="Q34" s="248"/>
      <c r="R34" s="248"/>
      <c r="S34" s="248"/>
      <c r="T34" s="248"/>
      <c r="U34" s="248"/>
      <c r="V34" s="248"/>
      <c r="W34" s="248"/>
      <c r="X34" s="248"/>
      <c r="Y34" s="248"/>
      <c r="Z34" s="248"/>
      <c r="AA34" s="248"/>
      <c r="AB34" s="248"/>
      <c r="AC34" s="248"/>
      <c r="AD34" s="248"/>
      <c r="AE34" s="248"/>
      <c r="AF34" s="248"/>
      <c r="AG34" s="248"/>
      <c r="AH34" s="248"/>
      <c r="AI34" s="248"/>
      <c r="AJ34" s="248"/>
      <c r="AK34" s="248"/>
      <c r="AL34" s="248"/>
    </row>
    <row r="35" spans="2:38" x14ac:dyDescent="0.25">
      <c r="B35" s="555"/>
      <c r="C35" s="102"/>
      <c r="D35" s="102"/>
      <c r="E35" s="102"/>
      <c r="F35" s="102"/>
      <c r="G35" s="567" t="s">
        <v>275</v>
      </c>
      <c r="H35" s="568">
        <v>0.62</v>
      </c>
      <c r="I35" s="557"/>
      <c r="J35" s="557"/>
      <c r="K35" s="557"/>
      <c r="L35" s="556"/>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row>
    <row r="36" spans="2:38" x14ac:dyDescent="0.25">
      <c r="B36" s="555"/>
      <c r="C36" s="102"/>
      <c r="D36" s="102"/>
      <c r="E36" s="102"/>
      <c r="F36" s="102"/>
      <c r="G36" s="567" t="s">
        <v>276</v>
      </c>
      <c r="H36" s="569"/>
      <c r="I36" s="557"/>
      <c r="J36" s="557"/>
      <c r="K36" s="557"/>
      <c r="L36" s="556"/>
      <c r="M36" s="248"/>
      <c r="N36" s="248"/>
      <c r="O36" s="248"/>
      <c r="P36" s="248"/>
      <c r="Q36" s="248"/>
      <c r="R36" s="248"/>
      <c r="S36" s="248"/>
      <c r="T36" s="248"/>
      <c r="U36" s="248"/>
      <c r="V36" s="248"/>
      <c r="W36" s="248"/>
      <c r="X36" s="248"/>
      <c r="Y36" s="248"/>
      <c r="Z36" s="248"/>
      <c r="AA36" s="248"/>
      <c r="AB36" s="248"/>
      <c r="AC36" s="248"/>
      <c r="AD36" s="248"/>
      <c r="AE36" s="248"/>
      <c r="AF36" s="248"/>
      <c r="AG36" s="248"/>
      <c r="AH36" s="248"/>
      <c r="AI36" s="248"/>
      <c r="AJ36" s="248"/>
      <c r="AK36" s="248"/>
      <c r="AL36" s="248"/>
    </row>
    <row r="37" spans="2:38" x14ac:dyDescent="0.25">
      <c r="B37" s="555"/>
      <c r="C37" s="102"/>
      <c r="D37" s="102"/>
      <c r="E37" s="102"/>
      <c r="F37" s="102"/>
      <c r="G37" s="567" t="s">
        <v>277</v>
      </c>
      <c r="H37" s="570"/>
      <c r="I37" s="557"/>
      <c r="J37" s="557"/>
      <c r="K37" s="557"/>
      <c r="L37" s="556"/>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row>
    <row r="38" spans="2:38" ht="15.75" thickBot="1" x14ac:dyDescent="0.3">
      <c r="B38" s="558"/>
      <c r="C38" s="431"/>
      <c r="D38" s="431"/>
      <c r="E38" s="431"/>
      <c r="F38" s="431"/>
      <c r="G38" s="431"/>
      <c r="H38" s="431"/>
      <c r="I38" s="559"/>
      <c r="J38" s="559"/>
      <c r="K38" s="559"/>
      <c r="L38" s="560"/>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row>
    <row r="39" spans="2:38" x14ac:dyDescent="0.25">
      <c r="B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row>
    <row r="40" spans="2:38" x14ac:dyDescent="0.25">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row>
    <row r="41" spans="2:38" x14ac:dyDescent="0.25">
      <c r="M41" s="248"/>
      <c r="N41" s="248"/>
      <c r="O41" s="248"/>
      <c r="P41" s="248"/>
      <c r="Q41" s="248"/>
      <c r="R41" s="248"/>
      <c r="S41" s="248"/>
      <c r="T41" s="248"/>
      <c r="U41" s="248"/>
      <c r="V41" s="248"/>
      <c r="W41" s="248"/>
      <c r="X41" s="248"/>
      <c r="Y41" s="248"/>
      <c r="Z41" s="248"/>
      <c r="AA41" s="248"/>
      <c r="AB41" s="248"/>
      <c r="AC41" s="248"/>
      <c r="AD41" s="248"/>
      <c r="AE41" s="248"/>
      <c r="AF41" s="248"/>
      <c r="AG41" s="248"/>
      <c r="AH41" s="248"/>
      <c r="AI41" s="248"/>
      <c r="AJ41" s="248"/>
      <c r="AK41" s="248"/>
      <c r="AL41" s="248"/>
    </row>
    <row r="42" spans="2:38" x14ac:dyDescent="0.25">
      <c r="M42" s="248"/>
      <c r="N42" s="248"/>
      <c r="O42" s="248"/>
      <c r="P42" s="248"/>
      <c r="Q42" s="248"/>
      <c r="R42" s="248"/>
      <c r="S42" s="248"/>
      <c r="T42" s="248"/>
      <c r="U42" s="248"/>
      <c r="V42" s="248"/>
      <c r="W42" s="248"/>
      <c r="X42" s="248"/>
      <c r="Y42" s="248"/>
      <c r="Z42" s="248"/>
      <c r="AA42" s="248"/>
      <c r="AB42" s="248"/>
      <c r="AC42" s="248"/>
      <c r="AD42" s="248"/>
      <c r="AE42" s="248"/>
      <c r="AF42" s="248"/>
      <c r="AG42" s="248"/>
      <c r="AH42" s="248"/>
      <c r="AI42" s="248"/>
      <c r="AJ42" s="248"/>
      <c r="AK42" s="248"/>
      <c r="AL42" s="248"/>
    </row>
    <row r="77" spans="2:12" x14ac:dyDescent="0.25">
      <c r="B77" s="102"/>
      <c r="C77" s="102"/>
      <c r="D77" s="102"/>
      <c r="E77" s="102"/>
      <c r="F77" s="102"/>
      <c r="G77" s="102"/>
      <c r="H77" s="102"/>
      <c r="I77" s="102"/>
      <c r="J77" s="102"/>
      <c r="K77" s="102"/>
      <c r="L77" s="102"/>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40"/>
  <sheetViews>
    <sheetView topLeftCell="G1" zoomScale="85" zoomScaleNormal="85" workbookViewId="0">
      <pane ySplit="1" topLeftCell="A2" activePane="bottomLeft" state="frozen"/>
      <selection pane="bottomLeft" sqref="A1:N1"/>
    </sheetView>
  </sheetViews>
  <sheetFormatPr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617" customFormat="1" ht="58.5" customHeight="1" x14ac:dyDescent="0.25">
      <c r="A1" s="619"/>
      <c r="B1" s="619"/>
      <c r="C1" s="619"/>
      <c r="D1" s="619"/>
      <c r="E1" s="619"/>
      <c r="F1" s="993" t="s">
        <v>291</v>
      </c>
      <c r="G1" s="994"/>
      <c r="H1" s="994"/>
      <c r="I1" s="619"/>
      <c r="J1" s="619"/>
      <c r="K1" s="619"/>
      <c r="L1" s="619"/>
      <c r="M1" s="619"/>
      <c r="N1" s="619"/>
    </row>
    <row r="3" spans="1:14" ht="15.75" thickBot="1" x14ac:dyDescent="0.3"/>
    <row r="4" spans="1:14" ht="15.75" thickBot="1" x14ac:dyDescent="0.3">
      <c r="B4" s="561"/>
      <c r="C4" s="553"/>
      <c r="D4" s="553"/>
      <c r="E4" s="553"/>
      <c r="F4" s="553"/>
      <c r="G4" s="553"/>
      <c r="H4" s="553"/>
      <c r="I4" s="562"/>
      <c r="J4" s="562"/>
      <c r="K4" s="562"/>
      <c r="L4" s="563"/>
    </row>
    <row r="5" spans="1:14" ht="15.75" thickBot="1" x14ac:dyDescent="0.3">
      <c r="B5" s="555"/>
      <c r="C5" s="1005" t="s">
        <v>329</v>
      </c>
      <c r="D5" s="1006"/>
      <c r="E5" s="1006"/>
      <c r="F5" s="1006"/>
      <c r="G5" s="1006"/>
      <c r="H5" s="1006"/>
      <c r="I5" s="1006"/>
      <c r="J5" s="1006"/>
      <c r="K5" s="1007"/>
      <c r="L5" s="556"/>
    </row>
    <row r="6" spans="1:14" ht="15.75" thickBot="1" x14ac:dyDescent="0.3">
      <c r="B6" s="555"/>
      <c r="C6" s="557"/>
      <c r="D6" s="557"/>
      <c r="E6" s="557"/>
      <c r="F6" s="557"/>
      <c r="G6" s="557"/>
      <c r="H6" s="557"/>
      <c r="I6" s="557"/>
      <c r="J6" s="557"/>
      <c r="K6" s="557"/>
      <c r="L6" s="556"/>
    </row>
    <row r="7" spans="1:14" ht="17.25" customHeight="1" thickBot="1" x14ac:dyDescent="0.3">
      <c r="B7" s="564"/>
      <c r="C7" s="102"/>
      <c r="D7" s="102"/>
      <c r="E7" s="102"/>
      <c r="F7" s="1019" t="s">
        <v>36</v>
      </c>
      <c r="G7" s="1020"/>
      <c r="H7" s="1021"/>
      <c r="I7" s="557"/>
      <c r="J7" s="557"/>
      <c r="K7" s="273" t="s">
        <v>336</v>
      </c>
      <c r="L7" s="565"/>
    </row>
    <row r="8" spans="1:14" x14ac:dyDescent="0.25">
      <c r="B8" s="564"/>
      <c r="E8" s="102"/>
      <c r="F8" s="528">
        <v>2019</v>
      </c>
      <c r="G8" s="528">
        <v>2020</v>
      </c>
      <c r="H8" s="528">
        <v>2021</v>
      </c>
      <c r="I8" s="557"/>
      <c r="J8" s="557"/>
      <c r="K8" s="1004" t="s">
        <v>331</v>
      </c>
      <c r="L8" s="565"/>
    </row>
    <row r="9" spans="1:14" x14ac:dyDescent="0.25">
      <c r="B9" s="564"/>
      <c r="E9" s="102"/>
      <c r="F9" s="523">
        <f>'Presupuesto financiero'!K5</f>
        <v>0.03</v>
      </c>
      <c r="G9" s="523">
        <f>'Presupuesto financiero'!L5</f>
        <v>7.0000000000000007E-2</v>
      </c>
      <c r="H9" s="523">
        <f>'Presupuesto financiero'!M5</f>
        <v>0.12</v>
      </c>
      <c r="I9" s="557"/>
      <c r="J9" s="557"/>
      <c r="K9" s="1002"/>
      <c r="L9" s="565"/>
    </row>
    <row r="10" spans="1:14" ht="15.75" thickBot="1" x14ac:dyDescent="0.3">
      <c r="B10" s="564"/>
      <c r="E10" s="534" t="s">
        <v>328</v>
      </c>
      <c r="F10" s="545">
        <f>'Presupuesto financiero'!K6</f>
        <v>18750000</v>
      </c>
      <c r="G10" s="545">
        <f>'Presupuesto financiero'!L6</f>
        <v>43750000.000000007</v>
      </c>
      <c r="H10" s="545">
        <f>'Presupuesto financiero'!M6</f>
        <v>75000000</v>
      </c>
      <c r="I10" s="557"/>
      <c r="J10" s="557"/>
      <c r="K10" s="1003"/>
      <c r="L10" s="565"/>
    </row>
    <row r="11" spans="1:14" ht="15.75" thickBot="1" x14ac:dyDescent="0.3">
      <c r="B11" s="564"/>
      <c r="C11" s="102"/>
      <c r="D11" s="102"/>
      <c r="E11" s="534" t="s">
        <v>265</v>
      </c>
      <c r="F11" s="524">
        <f>'Presupuesto financiero'!K10</f>
        <v>2343935.7000000002</v>
      </c>
      <c r="G11" s="524">
        <f>'Presupuesto financiero'!L10</f>
        <v>2614351.9749999996</v>
      </c>
      <c r="H11" s="524">
        <f>'Presupuesto financiero'!M10</f>
        <v>2971977.4835000001</v>
      </c>
      <c r="I11" s="557"/>
      <c r="J11" s="557"/>
      <c r="K11" s="273" t="s">
        <v>285</v>
      </c>
      <c r="L11" s="565"/>
    </row>
    <row r="12" spans="1:14" x14ac:dyDescent="0.25">
      <c r="B12" s="564"/>
      <c r="C12" s="102"/>
      <c r="D12" s="102"/>
      <c r="E12" s="534" t="s">
        <v>220</v>
      </c>
      <c r="F12" s="524" t="e">
        <f>'Presupuesto financiero'!K11</f>
        <v>#REF!</v>
      </c>
      <c r="G12" s="524" t="e">
        <f>'Presupuesto financiero'!L11</f>
        <v>#REF!</v>
      </c>
      <c r="H12" s="524" t="e">
        <f>'Presupuesto financiero'!M11</f>
        <v>#REF!</v>
      </c>
      <c r="I12" s="557"/>
      <c r="J12" s="557"/>
      <c r="K12" s="1004" t="s">
        <v>330</v>
      </c>
      <c r="L12" s="565"/>
    </row>
    <row r="13" spans="1:14" x14ac:dyDescent="0.25">
      <c r="B13" s="564"/>
      <c r="C13" s="102"/>
      <c r="D13" s="102"/>
      <c r="E13" s="534" t="s">
        <v>326</v>
      </c>
      <c r="F13" s="524">
        <f>'Presupuesto financiero'!K12</f>
        <v>7341662.4450000012</v>
      </c>
      <c r="G13" s="524">
        <f>'Presupuesto financiero'!L12</f>
        <v>8446303.9266666677</v>
      </c>
      <c r="H13" s="524">
        <f>'Presupuesto financiero'!M12</f>
        <v>10262133.115833335</v>
      </c>
      <c r="I13" s="557"/>
      <c r="J13" s="557"/>
      <c r="K13" s="1002"/>
      <c r="L13" s="565"/>
    </row>
    <row r="14" spans="1:14" ht="15.75" thickBot="1" x14ac:dyDescent="0.3">
      <c r="B14" s="564"/>
      <c r="C14" s="102"/>
      <c r="D14" s="102"/>
      <c r="E14" s="102"/>
      <c r="F14" s="102"/>
      <c r="G14" s="102"/>
      <c r="H14" s="102"/>
      <c r="I14" s="557"/>
      <c r="J14" s="557"/>
      <c r="K14" s="1003"/>
      <c r="L14" s="565"/>
    </row>
    <row r="15" spans="1:14" ht="15.75" thickBot="1" x14ac:dyDescent="0.3">
      <c r="B15" s="564"/>
      <c r="C15" s="542" t="s">
        <v>322</v>
      </c>
      <c r="D15" s="543"/>
      <c r="E15" s="102"/>
      <c r="F15" s="544" t="s">
        <v>250</v>
      </c>
      <c r="G15" s="521"/>
      <c r="H15" s="522"/>
      <c r="I15" s="557"/>
      <c r="J15" s="557"/>
      <c r="K15" s="273" t="s">
        <v>286</v>
      </c>
      <c r="L15" s="565"/>
    </row>
    <row r="16" spans="1:14" ht="30.75" customHeight="1" thickBot="1" x14ac:dyDescent="0.3">
      <c r="B16" s="564"/>
      <c r="C16" s="1015" t="s">
        <v>335</v>
      </c>
      <c r="D16" s="1016"/>
      <c r="E16" s="102"/>
      <c r="F16" s="308">
        <v>2019</v>
      </c>
      <c r="G16" s="308">
        <v>2020</v>
      </c>
      <c r="H16" s="308">
        <v>2021</v>
      </c>
      <c r="I16" s="557"/>
      <c r="J16" s="557"/>
      <c r="K16" s="549" t="s">
        <v>334</v>
      </c>
      <c r="L16" s="565"/>
    </row>
    <row r="17" spans="2:12" x14ac:dyDescent="0.25">
      <c r="B17" s="564"/>
      <c r="C17" s="1017">
        <v>3800000</v>
      </c>
      <c r="D17" s="1018"/>
      <c r="E17" s="546"/>
      <c r="F17" s="524">
        <f>'Presupuesto financiero'!K16</f>
        <v>141277.33333333334</v>
      </c>
      <c r="G17" s="524">
        <f>'Presupuesto financiero'!L16</f>
        <v>147660.56666666665</v>
      </c>
      <c r="H17" s="524">
        <f>'Presupuesto financiero'!M16</f>
        <v>162884.43333333335</v>
      </c>
      <c r="I17" s="557"/>
      <c r="J17" s="557"/>
      <c r="K17" s="557"/>
      <c r="L17" s="565"/>
    </row>
    <row r="18" spans="2:12" x14ac:dyDescent="0.25">
      <c r="B18" s="564"/>
      <c r="C18" s="102"/>
      <c r="D18" s="102"/>
      <c r="E18" s="546"/>
      <c r="F18" s="42"/>
      <c r="G18" s="42"/>
      <c r="H18" s="42"/>
      <c r="I18" s="557"/>
      <c r="J18" s="557"/>
      <c r="K18" s="557"/>
      <c r="L18" s="565"/>
    </row>
    <row r="19" spans="2:12" x14ac:dyDescent="0.25">
      <c r="B19" s="564"/>
      <c r="C19" s="102"/>
      <c r="D19" s="102"/>
      <c r="E19" s="544" t="s">
        <v>224</v>
      </c>
      <c r="F19" s="521"/>
      <c r="G19" s="521"/>
      <c r="H19" s="522"/>
      <c r="I19" s="557"/>
      <c r="J19" s="557"/>
      <c r="K19" s="557"/>
      <c r="L19" s="565"/>
    </row>
    <row r="20" spans="2:12" x14ac:dyDescent="0.25">
      <c r="B20" s="564"/>
      <c r="C20" s="102"/>
      <c r="D20" s="102"/>
      <c r="E20" s="528" t="s">
        <v>225</v>
      </c>
      <c r="F20" s="528">
        <v>2019</v>
      </c>
      <c r="G20" s="528">
        <v>2020</v>
      </c>
      <c r="H20" s="528">
        <v>2021</v>
      </c>
      <c r="I20" s="557"/>
      <c r="J20" s="557"/>
      <c r="K20" s="557"/>
      <c r="L20" s="565"/>
    </row>
    <row r="21" spans="2:12" x14ac:dyDescent="0.25">
      <c r="B21" s="564"/>
      <c r="C21" s="102"/>
      <c r="D21" s="102"/>
      <c r="E21" s="524">
        <f>'Presupuesto financiero'!J20</f>
        <v>2297572</v>
      </c>
      <c r="F21" s="524">
        <f>'Presupuesto financiero'!K20</f>
        <v>22999</v>
      </c>
      <c r="G21" s="524">
        <f>'Presupuesto financiero'!L20</f>
        <v>70262</v>
      </c>
      <c r="H21" s="524">
        <f>'Presupuesto financiero'!M20</f>
        <v>1306257</v>
      </c>
      <c r="I21" s="557"/>
      <c r="J21" s="557"/>
      <c r="K21" s="557"/>
      <c r="L21" s="565"/>
    </row>
    <row r="22" spans="2:12" x14ac:dyDescent="0.25">
      <c r="B22" s="564"/>
      <c r="C22" s="102"/>
      <c r="D22" s="102"/>
      <c r="E22" s="102"/>
      <c r="F22" s="102"/>
      <c r="G22" s="102"/>
      <c r="H22" s="102"/>
      <c r="I22" s="557"/>
      <c r="J22" s="557"/>
      <c r="K22" s="557"/>
      <c r="L22" s="565"/>
    </row>
    <row r="23" spans="2:12" x14ac:dyDescent="0.25">
      <c r="B23" s="564"/>
      <c r="C23" s="102"/>
      <c r="D23" s="102"/>
      <c r="E23" s="531" t="s">
        <v>279</v>
      </c>
      <c r="F23" s="531">
        <v>2019</v>
      </c>
      <c r="G23" s="531">
        <v>2020</v>
      </c>
      <c r="H23" s="531">
        <v>2021</v>
      </c>
      <c r="I23" s="557"/>
      <c r="J23" s="557"/>
      <c r="K23" s="557"/>
      <c r="L23" s="565"/>
    </row>
    <row r="24" spans="2:12" x14ac:dyDescent="0.25">
      <c r="B24" s="564"/>
      <c r="C24" s="532" t="s">
        <v>41</v>
      </c>
      <c r="D24" s="533"/>
      <c r="E24" s="537" t="s">
        <v>266</v>
      </c>
      <c r="F24" s="538">
        <f t="shared" ref="F24:H25" si="0">F10</f>
        <v>18750000</v>
      </c>
      <c r="G24" s="538">
        <f t="shared" si="0"/>
        <v>43750000.000000007</v>
      </c>
      <c r="H24" s="538">
        <f t="shared" si="0"/>
        <v>75000000</v>
      </c>
      <c r="I24" s="557"/>
      <c r="J24" s="557"/>
      <c r="K24" s="557"/>
      <c r="L24" s="565"/>
    </row>
    <row r="25" spans="2:12" x14ac:dyDescent="0.25">
      <c r="B25" s="564"/>
      <c r="C25" s="1012" t="s">
        <v>267</v>
      </c>
      <c r="D25" s="534" t="s">
        <v>323</v>
      </c>
      <c r="E25" s="537" t="s">
        <v>266</v>
      </c>
      <c r="F25" s="538">
        <f t="shared" si="0"/>
        <v>2343935.7000000002</v>
      </c>
      <c r="G25" s="538">
        <f t="shared" si="0"/>
        <v>2614351.9749999996</v>
      </c>
      <c r="H25" s="538">
        <f t="shared" si="0"/>
        <v>2971977.4835000001</v>
      </c>
      <c r="I25" s="557"/>
      <c r="J25" s="557"/>
      <c r="K25" s="557"/>
      <c r="L25" s="565"/>
    </row>
    <row r="26" spans="2:12" x14ac:dyDescent="0.25">
      <c r="B26" s="564"/>
      <c r="C26" s="1013"/>
      <c r="D26" s="534" t="s">
        <v>324</v>
      </c>
      <c r="E26" s="537" t="s">
        <v>266</v>
      </c>
      <c r="F26" s="538" t="e">
        <f>F12</f>
        <v>#REF!</v>
      </c>
      <c r="G26" s="566" t="e">
        <f>G12+C17</f>
        <v>#REF!</v>
      </c>
      <c r="H26" s="538" t="e">
        <f>H12</f>
        <v>#REF!</v>
      </c>
      <c r="I26" s="557"/>
      <c r="J26" s="557"/>
      <c r="K26" s="557"/>
      <c r="L26" s="565"/>
    </row>
    <row r="27" spans="2:12" x14ac:dyDescent="0.25">
      <c r="B27" s="564"/>
      <c r="C27" s="1014"/>
      <c r="D27" s="534" t="s">
        <v>325</v>
      </c>
      <c r="E27" s="537" t="s">
        <v>266</v>
      </c>
      <c r="F27" s="538">
        <f>F13</f>
        <v>7341662.4450000012</v>
      </c>
      <c r="G27" s="538">
        <f>G13</f>
        <v>8446303.9266666677</v>
      </c>
      <c r="H27" s="538">
        <f>H13</f>
        <v>10262133.115833335</v>
      </c>
      <c r="I27" s="557"/>
      <c r="J27" s="557"/>
      <c r="K27" s="557"/>
      <c r="L27" s="565"/>
    </row>
    <row r="28" spans="2:12" x14ac:dyDescent="0.25">
      <c r="B28" s="564"/>
      <c r="C28" s="519" t="s">
        <v>268</v>
      </c>
      <c r="D28" s="520"/>
      <c r="E28" s="540" t="s">
        <v>266</v>
      </c>
      <c r="F28" s="541" t="e">
        <f>F24-F25-F26-F27</f>
        <v>#REF!</v>
      </c>
      <c r="G28" s="541" t="e">
        <f>G24-G25-G26-G27</f>
        <v>#REF!</v>
      </c>
      <c r="H28" s="541" t="e">
        <f>H24-H25-H26-H27</f>
        <v>#REF!</v>
      </c>
      <c r="I28" s="557"/>
      <c r="J28" s="557"/>
      <c r="K28" s="557"/>
      <c r="L28" s="565"/>
    </row>
    <row r="29" spans="2:12" x14ac:dyDescent="0.25">
      <c r="B29" s="564"/>
      <c r="C29" s="535" t="s">
        <v>269</v>
      </c>
      <c r="D29" s="536"/>
      <c r="E29" s="232" t="s">
        <v>266</v>
      </c>
      <c r="F29" s="538">
        <f>F24*0.03</f>
        <v>562500</v>
      </c>
      <c r="G29" s="538">
        <f>G24*0.03</f>
        <v>1312500.0000000002</v>
      </c>
      <c r="H29" s="538">
        <f>H24*0.03</f>
        <v>2250000</v>
      </c>
      <c r="I29" s="557"/>
      <c r="J29" s="557"/>
      <c r="K29" s="557"/>
      <c r="L29" s="565"/>
    </row>
    <row r="30" spans="2:12" x14ac:dyDescent="0.25">
      <c r="B30" s="564"/>
      <c r="C30" s="999" t="s">
        <v>270</v>
      </c>
      <c r="D30" s="1000"/>
      <c r="E30" s="232"/>
      <c r="F30" s="538" t="e">
        <f>F28-F29</f>
        <v>#REF!</v>
      </c>
      <c r="G30" s="538" t="e">
        <f>G28-G29-G17</f>
        <v>#REF!</v>
      </c>
      <c r="H30" s="538" t="e">
        <f>H28-H29</f>
        <v>#REF!</v>
      </c>
      <c r="I30" s="557"/>
      <c r="J30" s="557"/>
      <c r="K30" s="557"/>
      <c r="L30" s="565"/>
    </row>
    <row r="31" spans="2:12" x14ac:dyDescent="0.25">
      <c r="B31" s="564"/>
      <c r="C31" s="535" t="s">
        <v>271</v>
      </c>
      <c r="D31" s="536"/>
      <c r="E31" s="232" t="s">
        <v>266</v>
      </c>
      <c r="F31" s="538">
        <v>0</v>
      </c>
      <c r="G31" s="538">
        <v>0</v>
      </c>
      <c r="H31" s="538">
        <v>0</v>
      </c>
      <c r="I31" s="557"/>
      <c r="J31" s="557"/>
      <c r="K31" s="557"/>
      <c r="L31" s="565"/>
    </row>
    <row r="32" spans="2:12" x14ac:dyDescent="0.25">
      <c r="B32" s="564"/>
      <c r="C32" s="519" t="s">
        <v>272</v>
      </c>
      <c r="D32" s="520"/>
      <c r="E32" s="540" t="s">
        <v>266</v>
      </c>
      <c r="F32" s="541" t="e">
        <f>F28-F29-F31</f>
        <v>#REF!</v>
      </c>
      <c r="G32" s="541" t="e">
        <f>G28-G29-G31</f>
        <v>#REF!</v>
      </c>
      <c r="H32" s="541" t="e">
        <f>H28-H29-H31</f>
        <v>#REF!</v>
      </c>
      <c r="I32" s="557"/>
      <c r="J32" s="557"/>
      <c r="K32" s="557"/>
      <c r="L32" s="565"/>
    </row>
    <row r="33" spans="2:12" x14ac:dyDescent="0.25">
      <c r="B33" s="564"/>
      <c r="C33" s="535" t="s">
        <v>273</v>
      </c>
      <c r="D33" s="536"/>
      <c r="E33" s="538">
        <f>-E21</f>
        <v>-2297572</v>
      </c>
      <c r="F33" s="538">
        <f>-F21</f>
        <v>-22999</v>
      </c>
      <c r="G33" s="538">
        <f>-G21</f>
        <v>-70262</v>
      </c>
      <c r="H33" s="538">
        <f>-H21</f>
        <v>-1306257</v>
      </c>
      <c r="I33" s="557"/>
      <c r="J33" s="557"/>
      <c r="K33" s="557"/>
      <c r="L33" s="565"/>
    </row>
    <row r="34" spans="2:12" x14ac:dyDescent="0.25">
      <c r="B34" s="564"/>
      <c r="C34" s="519" t="s">
        <v>274</v>
      </c>
      <c r="D34" s="520"/>
      <c r="E34" s="541">
        <f>E33</f>
        <v>-2297572</v>
      </c>
      <c r="F34" s="541" t="e">
        <f>F32+F33</f>
        <v>#REF!</v>
      </c>
      <c r="G34" s="541" t="e">
        <f>G32+G33</f>
        <v>#REF!</v>
      </c>
      <c r="H34" s="541" t="e">
        <f>H32+H33</f>
        <v>#REF!</v>
      </c>
      <c r="I34" s="557"/>
      <c r="J34" s="557"/>
      <c r="K34" s="557"/>
      <c r="L34" s="565"/>
    </row>
    <row r="35" spans="2:12" x14ac:dyDescent="0.25">
      <c r="B35" s="564"/>
      <c r="C35" s="102"/>
      <c r="D35" s="102"/>
      <c r="E35" s="102"/>
      <c r="F35" s="102"/>
      <c r="G35" s="102"/>
      <c r="H35" s="102"/>
      <c r="I35" s="557"/>
      <c r="J35" s="557"/>
      <c r="K35" s="557"/>
      <c r="L35" s="565"/>
    </row>
    <row r="36" spans="2:12" x14ac:dyDescent="0.25">
      <c r="B36" s="564"/>
      <c r="C36" s="102"/>
      <c r="D36" s="102"/>
      <c r="E36" s="102"/>
      <c r="F36" s="102"/>
      <c r="G36" s="567" t="s">
        <v>275</v>
      </c>
      <c r="H36" s="568">
        <v>0.62</v>
      </c>
      <c r="I36" s="557"/>
      <c r="J36" s="557"/>
      <c r="K36" s="557"/>
      <c r="L36" s="565"/>
    </row>
    <row r="37" spans="2:12" x14ac:dyDescent="0.25">
      <c r="B37" s="564"/>
      <c r="C37" s="102"/>
      <c r="D37" s="102"/>
      <c r="E37" s="102"/>
      <c r="F37" s="102"/>
      <c r="G37" s="567" t="s">
        <v>276</v>
      </c>
      <c r="H37" s="569"/>
      <c r="I37" s="557"/>
      <c r="J37" s="557"/>
      <c r="K37" s="557"/>
      <c r="L37" s="565"/>
    </row>
    <row r="38" spans="2:12" x14ac:dyDescent="0.25">
      <c r="B38" s="564"/>
      <c r="C38" s="102"/>
      <c r="D38" s="102"/>
      <c r="E38" s="102"/>
      <c r="F38" s="102"/>
      <c r="G38" s="567" t="s">
        <v>277</v>
      </c>
      <c r="H38" s="570"/>
      <c r="I38" s="557"/>
      <c r="J38" s="557"/>
      <c r="K38" s="557"/>
      <c r="L38" s="565"/>
    </row>
    <row r="39" spans="2:12" x14ac:dyDescent="0.25">
      <c r="B39" s="564"/>
      <c r="C39" s="102"/>
      <c r="D39" s="102"/>
      <c r="E39" s="102"/>
      <c r="F39" s="102"/>
      <c r="G39" s="102"/>
      <c r="H39" s="102"/>
      <c r="I39" s="102"/>
      <c r="J39" s="102"/>
      <c r="K39" s="102"/>
      <c r="L39" s="565"/>
    </row>
    <row r="40" spans="2:12" ht="15.75" thickBot="1" x14ac:dyDescent="0.3">
      <c r="B40" s="430"/>
      <c r="C40" s="431"/>
      <c r="D40" s="431"/>
      <c r="E40" s="431"/>
      <c r="F40" s="431"/>
      <c r="G40" s="431"/>
      <c r="H40" s="431"/>
      <c r="I40" s="431"/>
      <c r="J40" s="431"/>
      <c r="K40" s="431"/>
      <c r="L40" s="432"/>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38"/>
  <sheetViews>
    <sheetView topLeftCell="L1" zoomScale="90" zoomScaleNormal="90" workbookViewId="0">
      <pane ySplit="1" topLeftCell="A2" activePane="bottomLeft" state="frozen"/>
      <selection pane="bottomLeft" sqref="A1:N1"/>
    </sheetView>
  </sheetViews>
  <sheetFormatPr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617" customFormat="1" ht="58.5" customHeight="1" x14ac:dyDescent="0.25">
      <c r="A1" s="619"/>
      <c r="B1" s="619"/>
      <c r="C1" s="619"/>
      <c r="D1" s="619"/>
      <c r="E1" s="619"/>
      <c r="F1" s="993" t="s">
        <v>297</v>
      </c>
      <c r="G1" s="994"/>
      <c r="H1" s="994"/>
      <c r="I1" s="619"/>
      <c r="J1" s="619"/>
      <c r="K1" s="619"/>
      <c r="L1" s="619"/>
      <c r="M1" s="619"/>
      <c r="N1" s="619"/>
    </row>
    <row r="2" spans="1:14" ht="15.75" thickBot="1" x14ac:dyDescent="0.3"/>
    <row r="3" spans="1:14" ht="15.75" thickBot="1" x14ac:dyDescent="0.3">
      <c r="B3" s="552"/>
      <c r="C3" s="553"/>
      <c r="D3" s="553"/>
      <c r="E3" s="553"/>
      <c r="F3" s="553"/>
      <c r="G3" s="553"/>
      <c r="H3" s="553"/>
      <c r="I3" s="553"/>
      <c r="J3" s="553"/>
      <c r="K3" s="553"/>
      <c r="L3" s="554"/>
    </row>
    <row r="4" spans="1:14" ht="15.75" thickBot="1" x14ac:dyDescent="0.3">
      <c r="B4" s="564"/>
      <c r="C4" s="836" t="s">
        <v>333</v>
      </c>
      <c r="D4" s="1022"/>
      <c r="E4" s="1022"/>
      <c r="F4" s="1022"/>
      <c r="G4" s="1022"/>
      <c r="H4" s="1022"/>
      <c r="I4" s="1022"/>
      <c r="J4" s="1022"/>
      <c r="K4" s="837"/>
      <c r="L4" s="565"/>
    </row>
    <row r="5" spans="1:14" ht="15.75" thickBot="1" x14ac:dyDescent="0.3">
      <c r="B5" s="564"/>
      <c r="C5" s="557"/>
      <c r="D5" s="557"/>
      <c r="E5" s="557"/>
      <c r="F5" s="557"/>
      <c r="G5" s="557"/>
      <c r="H5" s="557"/>
      <c r="I5" s="557"/>
      <c r="J5" s="557"/>
      <c r="K5" s="557"/>
      <c r="L5" s="565"/>
    </row>
    <row r="6" spans="1:14" ht="15.75" thickBot="1" x14ac:dyDescent="0.3">
      <c r="B6" s="564"/>
      <c r="C6" s="102"/>
      <c r="D6" s="102"/>
      <c r="E6" s="102"/>
      <c r="F6" s="1019" t="s">
        <v>36</v>
      </c>
      <c r="G6" s="1020"/>
      <c r="H6" s="1021"/>
      <c r="I6" s="557"/>
      <c r="J6" s="557"/>
      <c r="K6" s="273" t="s">
        <v>344</v>
      </c>
      <c r="L6" s="565"/>
    </row>
    <row r="7" spans="1:14" x14ac:dyDescent="0.25">
      <c r="B7" s="564"/>
      <c r="E7" s="102"/>
      <c r="F7" s="528">
        <v>2019</v>
      </c>
      <c r="G7" s="528">
        <v>2020</v>
      </c>
      <c r="H7" s="528">
        <v>2021</v>
      </c>
      <c r="I7" s="557"/>
      <c r="J7" s="557"/>
      <c r="K7" s="1004" t="s">
        <v>339</v>
      </c>
      <c r="L7" s="565"/>
    </row>
    <row r="8" spans="1:14" x14ac:dyDescent="0.25">
      <c r="B8" s="564"/>
      <c r="E8" s="102"/>
      <c r="F8" s="523">
        <f>'Presupuesto financiero'!K5</f>
        <v>0.03</v>
      </c>
      <c r="G8" s="523">
        <f>'Presupuesto financiero'!L5</f>
        <v>7.0000000000000007E-2</v>
      </c>
      <c r="H8" s="523">
        <f>'Presupuesto financiero'!M5</f>
        <v>0.12</v>
      </c>
      <c r="I8" s="557"/>
      <c r="J8" s="557"/>
      <c r="K8" s="1002"/>
      <c r="L8" s="565"/>
    </row>
    <row r="9" spans="1:14" ht="15.75" thickBot="1" x14ac:dyDescent="0.3">
      <c r="B9" s="564"/>
      <c r="E9" s="534" t="s">
        <v>328</v>
      </c>
      <c r="F9" s="545">
        <f>'Presupuesto financiero'!K6</f>
        <v>18750000</v>
      </c>
      <c r="G9" s="545">
        <f>'Presupuesto financiero'!L6</f>
        <v>43750000.000000007</v>
      </c>
      <c r="H9" s="545">
        <f>'Presupuesto financiero'!M6</f>
        <v>75000000</v>
      </c>
      <c r="I9" s="557"/>
      <c r="J9" s="557"/>
      <c r="K9" s="1003"/>
      <c r="L9" s="565"/>
    </row>
    <row r="10" spans="1:14" ht="15.75" thickBot="1" x14ac:dyDescent="0.3">
      <c r="B10" s="564"/>
      <c r="C10" s="102"/>
      <c r="D10" s="102"/>
      <c r="E10" s="534" t="s">
        <v>265</v>
      </c>
      <c r="F10" s="524">
        <f>'Presupuesto financiero'!K10</f>
        <v>2343935.7000000002</v>
      </c>
      <c r="G10" s="524">
        <f>'Presupuesto financiero'!L10</f>
        <v>2614351.9749999996</v>
      </c>
      <c r="H10" s="524">
        <f>'Presupuesto financiero'!M10</f>
        <v>2971977.4835000001</v>
      </c>
      <c r="I10" s="557"/>
      <c r="J10" s="557"/>
      <c r="K10" s="273" t="s">
        <v>285</v>
      </c>
      <c r="L10" s="565"/>
    </row>
    <row r="11" spans="1:14" x14ac:dyDescent="0.25">
      <c r="B11" s="564"/>
      <c r="C11" s="102"/>
      <c r="D11" s="102"/>
      <c r="E11" s="534" t="s">
        <v>220</v>
      </c>
      <c r="F11" s="524" t="e">
        <f>'Presupuesto financiero'!K11</f>
        <v>#REF!</v>
      </c>
      <c r="G11" s="524" t="e">
        <f>'Presupuesto financiero'!L11</f>
        <v>#REF!</v>
      </c>
      <c r="H11" s="524" t="e">
        <f>'Presupuesto financiero'!M11</f>
        <v>#REF!</v>
      </c>
      <c r="I11" s="557"/>
      <c r="J11" s="557"/>
      <c r="K11" s="1004"/>
      <c r="L11" s="565"/>
    </row>
    <row r="12" spans="1:14" x14ac:dyDescent="0.25">
      <c r="B12" s="564"/>
      <c r="C12" s="102"/>
      <c r="D12" s="102"/>
      <c r="E12" s="534" t="s">
        <v>326</v>
      </c>
      <c r="F12" s="524">
        <f>'Presupuesto financiero'!K12</f>
        <v>7341662.4450000012</v>
      </c>
      <c r="G12" s="524">
        <f>'Presupuesto financiero'!L12</f>
        <v>8446303.9266666677</v>
      </c>
      <c r="H12" s="524">
        <f>'Presupuesto financiero'!M12</f>
        <v>10262133.115833335</v>
      </c>
      <c r="I12" s="557"/>
      <c r="J12" s="557"/>
      <c r="K12" s="1002"/>
      <c r="L12" s="565"/>
    </row>
    <row r="13" spans="1:14" ht="15.75" thickBot="1" x14ac:dyDescent="0.3">
      <c r="B13" s="564"/>
      <c r="C13" s="102"/>
      <c r="D13" s="102"/>
      <c r="E13" s="102"/>
      <c r="F13" s="102"/>
      <c r="G13" s="102"/>
      <c r="H13" s="102"/>
      <c r="I13" s="557"/>
      <c r="J13" s="557"/>
      <c r="K13" s="1003"/>
      <c r="L13" s="565"/>
    </row>
    <row r="14" spans="1:14" ht="15.75" thickBot="1" x14ac:dyDescent="0.3">
      <c r="B14" s="564"/>
      <c r="C14" s="1008" t="s">
        <v>343</v>
      </c>
      <c r="D14" s="1009"/>
      <c r="E14" s="102"/>
      <c r="F14" s="544" t="s">
        <v>250</v>
      </c>
      <c r="G14" s="521"/>
      <c r="H14" s="522"/>
      <c r="I14" s="557"/>
      <c r="J14" s="557"/>
      <c r="K14" s="273" t="s">
        <v>286</v>
      </c>
      <c r="L14" s="565"/>
    </row>
    <row r="15" spans="1:14" ht="20.25" customHeight="1" thickBot="1" x14ac:dyDescent="0.3">
      <c r="B15" s="564"/>
      <c r="C15" s="528">
        <v>2020</v>
      </c>
      <c r="D15" s="528">
        <v>2021</v>
      </c>
      <c r="E15" s="102"/>
      <c r="F15" s="308">
        <v>2019</v>
      </c>
      <c r="G15" s="308">
        <v>2020</v>
      </c>
      <c r="H15" s="308">
        <v>2021</v>
      </c>
      <c r="I15" s="557"/>
      <c r="J15" s="557"/>
      <c r="K15" s="549" t="s">
        <v>341</v>
      </c>
      <c r="L15" s="565"/>
    </row>
    <row r="16" spans="1:14" x14ac:dyDescent="0.25">
      <c r="B16" s="564"/>
      <c r="C16" s="601">
        <v>0.9</v>
      </c>
      <c r="D16" s="601">
        <v>0.9</v>
      </c>
      <c r="E16" s="546"/>
      <c r="F16" s="524">
        <f>'Presupuesto financiero'!K16</f>
        <v>141277.33333333334</v>
      </c>
      <c r="G16" s="524">
        <f>'Presupuesto financiero'!L16</f>
        <v>147660.56666666665</v>
      </c>
      <c r="H16" s="524">
        <f>'Presupuesto financiero'!M16</f>
        <v>162884.43333333335</v>
      </c>
      <c r="I16" s="557"/>
      <c r="J16" s="557"/>
      <c r="K16" s="557"/>
      <c r="L16" s="565"/>
    </row>
    <row r="17" spans="2:12" x14ac:dyDescent="0.25">
      <c r="B17" s="564"/>
      <c r="C17" s="102"/>
      <c r="D17" s="102"/>
      <c r="E17" s="546"/>
      <c r="F17" s="42"/>
      <c r="G17" s="42"/>
      <c r="H17" s="42"/>
      <c r="I17" s="557"/>
      <c r="J17" s="557"/>
      <c r="K17" s="557"/>
      <c r="L17" s="565"/>
    </row>
    <row r="18" spans="2:12" x14ac:dyDescent="0.25">
      <c r="B18" s="564"/>
      <c r="C18" s="102"/>
      <c r="D18" s="102"/>
      <c r="E18" s="544" t="s">
        <v>224</v>
      </c>
      <c r="F18" s="521"/>
      <c r="G18" s="521"/>
      <c r="H18" s="522"/>
      <c r="I18" s="557"/>
      <c r="J18" s="557"/>
      <c r="K18" s="557"/>
      <c r="L18" s="565"/>
    </row>
    <row r="19" spans="2:12" x14ac:dyDescent="0.25">
      <c r="B19" s="564"/>
      <c r="C19" s="102"/>
      <c r="D19" s="102"/>
      <c r="E19" s="528" t="s">
        <v>225</v>
      </c>
      <c r="F19" s="528">
        <v>2019</v>
      </c>
      <c r="G19" s="528">
        <v>2020</v>
      </c>
      <c r="H19" s="528">
        <v>2021</v>
      </c>
      <c r="I19" s="557"/>
      <c r="J19" s="557"/>
      <c r="K19" s="557"/>
      <c r="L19" s="565"/>
    </row>
    <row r="20" spans="2:12" x14ac:dyDescent="0.25">
      <c r="B20" s="564"/>
      <c r="C20" s="102"/>
      <c r="D20" s="102"/>
      <c r="E20" s="524">
        <f>'Presupuesto financiero'!J20</f>
        <v>2297572</v>
      </c>
      <c r="F20" s="524">
        <f>'Presupuesto financiero'!K20</f>
        <v>22999</v>
      </c>
      <c r="G20" s="524">
        <f>'Presupuesto financiero'!L20</f>
        <v>70262</v>
      </c>
      <c r="H20" s="524">
        <f>'Presupuesto financiero'!M20</f>
        <v>1306257</v>
      </c>
      <c r="I20" s="557"/>
      <c r="J20" s="557"/>
      <c r="K20" s="557"/>
      <c r="L20" s="565"/>
    </row>
    <row r="21" spans="2:12" x14ac:dyDescent="0.25">
      <c r="B21" s="564"/>
      <c r="C21" s="102"/>
      <c r="D21" s="102"/>
      <c r="E21" s="102"/>
      <c r="F21" s="102"/>
      <c r="G21" s="102"/>
      <c r="H21" s="102"/>
      <c r="I21" s="557"/>
      <c r="J21" s="557"/>
      <c r="K21" s="557"/>
      <c r="L21" s="565"/>
    </row>
    <row r="22" spans="2:12" x14ac:dyDescent="0.25">
      <c r="B22" s="564"/>
      <c r="C22" s="102"/>
      <c r="D22" s="102"/>
      <c r="E22" s="531" t="s">
        <v>279</v>
      </c>
      <c r="F22" s="531">
        <v>2019</v>
      </c>
      <c r="G22" s="531">
        <v>2020</v>
      </c>
      <c r="H22" s="531">
        <v>2021</v>
      </c>
      <c r="I22" s="557"/>
      <c r="J22" s="557"/>
      <c r="K22" s="557"/>
      <c r="L22" s="565"/>
    </row>
    <row r="23" spans="2:12" x14ac:dyDescent="0.25">
      <c r="B23" s="564"/>
      <c r="C23" s="532" t="s">
        <v>41</v>
      </c>
      <c r="D23" s="533"/>
      <c r="E23" s="537" t="s">
        <v>266</v>
      </c>
      <c r="F23" s="538">
        <f>F9</f>
        <v>18750000</v>
      </c>
      <c r="G23" s="600">
        <f>G9*C16</f>
        <v>39375000.000000007</v>
      </c>
      <c r="H23" s="600">
        <f>H9*D16</f>
        <v>67500000</v>
      </c>
      <c r="I23" s="557"/>
      <c r="J23" s="557"/>
      <c r="K23" s="557"/>
      <c r="L23" s="565"/>
    </row>
    <row r="24" spans="2:12" x14ac:dyDescent="0.25">
      <c r="B24" s="564"/>
      <c r="C24" s="1012" t="s">
        <v>267</v>
      </c>
      <c r="D24" s="534" t="s">
        <v>323</v>
      </c>
      <c r="E24" s="537" t="s">
        <v>266</v>
      </c>
      <c r="F24" s="538">
        <f>F10</f>
        <v>2343935.7000000002</v>
      </c>
      <c r="G24" s="538">
        <f>G10</f>
        <v>2614351.9749999996</v>
      </c>
      <c r="H24" s="538">
        <f>H10</f>
        <v>2971977.4835000001</v>
      </c>
      <c r="I24" s="557"/>
      <c r="J24" s="557"/>
      <c r="K24" s="557"/>
      <c r="L24" s="565"/>
    </row>
    <row r="25" spans="2:12" x14ac:dyDescent="0.25">
      <c r="B25" s="564"/>
      <c r="C25" s="1013"/>
      <c r="D25" s="534" t="s">
        <v>324</v>
      </c>
      <c r="E25" s="537" t="s">
        <v>266</v>
      </c>
      <c r="F25" s="538" t="e">
        <f>F11</f>
        <v>#REF!</v>
      </c>
      <c r="G25" s="600" t="e">
        <f>G11*C16</f>
        <v>#REF!</v>
      </c>
      <c r="H25" s="600" t="e">
        <f>H11*D16</f>
        <v>#REF!</v>
      </c>
      <c r="I25" s="557"/>
      <c r="J25" s="557"/>
      <c r="K25" s="557"/>
      <c r="L25" s="565"/>
    </row>
    <row r="26" spans="2:12" x14ac:dyDescent="0.25">
      <c r="B26" s="564"/>
      <c r="C26" s="1014"/>
      <c r="D26" s="534" t="s">
        <v>325</v>
      </c>
      <c r="E26" s="537" t="s">
        <v>266</v>
      </c>
      <c r="F26" s="538">
        <f>F12</f>
        <v>7341662.4450000012</v>
      </c>
      <c r="G26" s="538">
        <f>G12</f>
        <v>8446303.9266666677</v>
      </c>
      <c r="H26" s="538">
        <f>H12</f>
        <v>10262133.115833335</v>
      </c>
      <c r="I26" s="557"/>
      <c r="J26" s="557"/>
      <c r="K26" s="557"/>
      <c r="L26" s="565"/>
    </row>
    <row r="27" spans="2:12" x14ac:dyDescent="0.25">
      <c r="B27" s="564"/>
      <c r="C27" s="535" t="s">
        <v>268</v>
      </c>
      <c r="D27" s="536"/>
      <c r="E27" s="540" t="s">
        <v>266</v>
      </c>
      <c r="F27" s="541" t="e">
        <f>F23-F24-F25-F26</f>
        <v>#REF!</v>
      </c>
      <c r="G27" s="541" t="e">
        <f>G23-G24-G25-G26</f>
        <v>#REF!</v>
      </c>
      <c r="H27" s="541" t="e">
        <f>H23-H24-H25-H26</f>
        <v>#REF!</v>
      </c>
      <c r="I27" s="557"/>
      <c r="J27" s="557"/>
      <c r="K27" s="557"/>
      <c r="L27" s="565"/>
    </row>
    <row r="28" spans="2:12" x14ac:dyDescent="0.25">
      <c r="B28" s="564"/>
      <c r="C28" s="535" t="s">
        <v>269</v>
      </c>
      <c r="D28" s="536"/>
      <c r="E28" s="232" t="s">
        <v>266</v>
      </c>
      <c r="F28" s="538">
        <f>F23*0.03</f>
        <v>562500</v>
      </c>
      <c r="G28" s="538">
        <f>G23*0.03</f>
        <v>1181250.0000000002</v>
      </c>
      <c r="H28" s="538">
        <f>H23*0.03</f>
        <v>2025000</v>
      </c>
      <c r="I28" s="557"/>
      <c r="J28" s="557"/>
      <c r="K28" s="557"/>
      <c r="L28" s="565"/>
    </row>
    <row r="29" spans="2:12" x14ac:dyDescent="0.25">
      <c r="B29" s="564"/>
      <c r="C29" s="999" t="s">
        <v>270</v>
      </c>
      <c r="D29" s="1000"/>
      <c r="E29" s="232"/>
      <c r="F29" s="538" t="e">
        <f>F27-F28</f>
        <v>#REF!</v>
      </c>
      <c r="G29" s="538" t="e">
        <f>G27-G28-G16</f>
        <v>#REF!</v>
      </c>
      <c r="H29" s="538" t="e">
        <f>H27-H28-H16</f>
        <v>#REF!</v>
      </c>
      <c r="I29" s="557"/>
      <c r="J29" s="557"/>
      <c r="K29" s="557"/>
      <c r="L29" s="565"/>
    </row>
    <row r="30" spans="2:12" x14ac:dyDescent="0.25">
      <c r="B30" s="564"/>
      <c r="C30" s="535" t="s">
        <v>271</v>
      </c>
      <c r="D30" s="536"/>
      <c r="E30" s="232" t="s">
        <v>266</v>
      </c>
      <c r="F30" s="538">
        <v>0</v>
      </c>
      <c r="G30" s="538">
        <v>0</v>
      </c>
      <c r="H30" s="538" t="e">
        <f>0.35*G29</f>
        <v>#REF!</v>
      </c>
      <c r="I30" s="557"/>
      <c r="J30" s="557"/>
      <c r="K30" s="557"/>
      <c r="L30" s="565"/>
    </row>
    <row r="31" spans="2:12" x14ac:dyDescent="0.25">
      <c r="B31" s="564"/>
      <c r="C31" s="535" t="s">
        <v>272</v>
      </c>
      <c r="D31" s="536"/>
      <c r="E31" s="540" t="s">
        <v>266</v>
      </c>
      <c r="F31" s="541" t="e">
        <f>F27-F28-F30</f>
        <v>#REF!</v>
      </c>
      <c r="G31" s="541" t="e">
        <f>G27-G28-G30</f>
        <v>#REF!</v>
      </c>
      <c r="H31" s="541" t="e">
        <f>H27-H28-H30</f>
        <v>#REF!</v>
      </c>
      <c r="I31" s="557"/>
      <c r="J31" s="557"/>
      <c r="K31" s="557"/>
      <c r="L31" s="565"/>
    </row>
    <row r="32" spans="2:12" x14ac:dyDescent="0.25">
      <c r="B32" s="564"/>
      <c r="C32" s="535" t="s">
        <v>273</v>
      </c>
      <c r="D32" s="536"/>
      <c r="E32" s="538">
        <f>-E20</f>
        <v>-2297572</v>
      </c>
      <c r="F32" s="538">
        <f>-F20</f>
        <v>-22999</v>
      </c>
      <c r="G32" s="538">
        <f>-G20</f>
        <v>-70262</v>
      </c>
      <c r="H32" s="538">
        <f>-H20</f>
        <v>-1306257</v>
      </c>
      <c r="I32" s="557"/>
      <c r="J32" s="557"/>
      <c r="K32" s="557"/>
      <c r="L32" s="565"/>
    </row>
    <row r="33" spans="2:12" x14ac:dyDescent="0.25">
      <c r="B33" s="564"/>
      <c r="C33" s="535" t="s">
        <v>274</v>
      </c>
      <c r="D33" s="536"/>
      <c r="E33" s="541">
        <f>E32</f>
        <v>-2297572</v>
      </c>
      <c r="F33" s="541" t="e">
        <f>F31+F32</f>
        <v>#REF!</v>
      </c>
      <c r="G33" s="541" t="e">
        <f>G31+G32</f>
        <v>#REF!</v>
      </c>
      <c r="H33" s="541" t="e">
        <f>H31+H32</f>
        <v>#REF!</v>
      </c>
      <c r="I33" s="557"/>
      <c r="J33" s="557"/>
      <c r="K33" s="557"/>
      <c r="L33" s="565"/>
    </row>
    <row r="34" spans="2:12" x14ac:dyDescent="0.25">
      <c r="B34" s="564"/>
      <c r="C34" s="102"/>
      <c r="D34" s="102"/>
      <c r="E34" s="102"/>
      <c r="F34" s="102"/>
      <c r="G34" s="102"/>
      <c r="H34" s="102"/>
      <c r="I34" s="557"/>
      <c r="J34" s="557"/>
      <c r="K34" s="557"/>
      <c r="L34" s="565"/>
    </row>
    <row r="35" spans="2:12" x14ac:dyDescent="0.25">
      <c r="B35" s="564"/>
      <c r="C35" s="102"/>
      <c r="D35" s="102"/>
      <c r="E35" s="102"/>
      <c r="F35" s="102"/>
      <c r="G35" s="530" t="s">
        <v>275</v>
      </c>
      <c r="H35" s="525">
        <v>0.62</v>
      </c>
      <c r="I35" s="557"/>
      <c r="J35" s="557"/>
      <c r="K35" s="557"/>
      <c r="L35" s="565"/>
    </row>
    <row r="36" spans="2:12" x14ac:dyDescent="0.25">
      <c r="B36" s="564"/>
      <c r="C36" s="102"/>
      <c r="D36" s="102"/>
      <c r="E36" s="102"/>
      <c r="F36" s="102"/>
      <c r="G36" s="530" t="s">
        <v>276</v>
      </c>
      <c r="H36" s="526"/>
      <c r="I36" s="557"/>
      <c r="J36" s="557"/>
      <c r="K36" s="557"/>
      <c r="L36" s="565"/>
    </row>
    <row r="37" spans="2:12" x14ac:dyDescent="0.25">
      <c r="B37" s="564"/>
      <c r="C37" s="102"/>
      <c r="D37" s="102"/>
      <c r="E37" s="102"/>
      <c r="F37" s="102"/>
      <c r="G37" s="530" t="s">
        <v>277</v>
      </c>
      <c r="H37" s="527"/>
      <c r="I37" s="557"/>
      <c r="J37" s="557"/>
      <c r="K37" s="557"/>
      <c r="L37" s="565"/>
    </row>
    <row r="38" spans="2:12" ht="15.75" thickBot="1" x14ac:dyDescent="0.3">
      <c r="B38" s="430"/>
      <c r="C38" s="431"/>
      <c r="D38" s="431"/>
      <c r="E38" s="431"/>
      <c r="F38" s="431"/>
      <c r="G38" s="431"/>
      <c r="H38" s="431"/>
      <c r="I38" s="431"/>
      <c r="J38" s="431"/>
      <c r="K38" s="431"/>
      <c r="L38" s="432"/>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2"/>
  <sheetViews>
    <sheetView zoomScale="70" zoomScaleNormal="70" workbookViewId="0">
      <pane ySplit="1" topLeftCell="A17" activePane="bottomLeft" state="frozen"/>
      <selection pane="bottomLeft"/>
    </sheetView>
  </sheetViews>
  <sheetFormatPr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617" customFormat="1" ht="58.5" customHeight="1" x14ac:dyDescent="0.25">
      <c r="A1" s="618"/>
      <c r="B1" s="618"/>
      <c r="C1" s="618"/>
      <c r="D1" s="618"/>
      <c r="E1" s="618"/>
      <c r="F1" s="620" t="s">
        <v>12</v>
      </c>
      <c r="G1" s="621"/>
      <c r="H1" s="621"/>
      <c r="I1" s="618"/>
      <c r="J1" s="618"/>
      <c r="K1" s="618"/>
      <c r="L1" s="618"/>
      <c r="M1" s="618"/>
      <c r="N1" s="618"/>
      <c r="O1" s="618"/>
    </row>
    <row r="2" spans="1:15" ht="15.75" thickBot="1" x14ac:dyDescent="0.3"/>
    <row r="3" spans="1:15" ht="21.75" thickBot="1" x14ac:dyDescent="0.4">
      <c r="C3" s="1026" t="s">
        <v>346</v>
      </c>
      <c r="D3" s="1027"/>
      <c r="E3" s="1027"/>
      <c r="F3" s="1027"/>
      <c r="G3" s="1027"/>
      <c r="H3" s="1027"/>
      <c r="I3" s="1027"/>
      <c r="J3" s="1027"/>
      <c r="K3" s="1027"/>
      <c r="L3" s="1027"/>
      <c r="M3" s="1027"/>
      <c r="N3" s="1028"/>
    </row>
    <row r="4" spans="1:15" ht="15.75" thickBot="1" x14ac:dyDescent="0.3"/>
    <row r="5" spans="1:15" ht="15.75" customHeight="1" thickBot="1" x14ac:dyDescent="0.3">
      <c r="C5" s="273" t="s">
        <v>344</v>
      </c>
      <c r="F5" s="102"/>
      <c r="G5" s="102"/>
      <c r="H5" s="102"/>
      <c r="I5" s="1019" t="s">
        <v>36</v>
      </c>
      <c r="J5" s="1020"/>
      <c r="K5" s="1021"/>
    </row>
    <row r="6" spans="1:15" x14ac:dyDescent="0.25">
      <c r="C6" s="1004" t="s">
        <v>339</v>
      </c>
      <c r="H6" s="102"/>
      <c r="I6" s="528">
        <v>2019</v>
      </c>
      <c r="J6" s="528">
        <v>2020</v>
      </c>
      <c r="K6" s="528">
        <v>2021</v>
      </c>
    </row>
    <row r="7" spans="1:15" x14ac:dyDescent="0.25">
      <c r="C7" s="1002"/>
      <c r="H7" s="102"/>
      <c r="I7" s="523">
        <f>'Escenario 3'!F8</f>
        <v>0.03</v>
      </c>
      <c r="J7" s="523">
        <f>'Escenario 3'!G8</f>
        <v>7.0000000000000007E-2</v>
      </c>
      <c r="K7" s="523">
        <f>'Escenario 3'!H8</f>
        <v>0.12</v>
      </c>
    </row>
    <row r="8" spans="1:15" ht="15.75" thickBot="1" x14ac:dyDescent="0.3">
      <c r="C8" s="1003"/>
      <c r="H8" s="534" t="s">
        <v>328</v>
      </c>
      <c r="I8" s="545">
        <f>'Escenario 3'!F9</f>
        <v>18750000</v>
      </c>
      <c r="J8" s="545">
        <f>'Escenario 3'!G9</f>
        <v>43750000.000000007</v>
      </c>
      <c r="K8" s="545">
        <f>'Escenario 3'!H9</f>
        <v>75000000</v>
      </c>
    </row>
    <row r="9" spans="1:15" ht="15.75" thickBot="1" x14ac:dyDescent="0.3">
      <c r="C9" s="273" t="s">
        <v>285</v>
      </c>
      <c r="F9" s="102"/>
      <c r="G9" s="102"/>
      <c r="H9" s="534" t="s">
        <v>265</v>
      </c>
      <c r="I9" s="524">
        <f>'Escenario 3'!F10</f>
        <v>2343935.7000000002</v>
      </c>
      <c r="J9" s="524">
        <f>'Escenario 3'!G10</f>
        <v>2614351.9749999996</v>
      </c>
      <c r="K9" s="524">
        <f>'Escenario 3'!H10</f>
        <v>2971977.4835000001</v>
      </c>
    </row>
    <row r="10" spans="1:15" x14ac:dyDescent="0.25">
      <c r="C10" s="1004" t="s">
        <v>340</v>
      </c>
      <c r="F10" s="102"/>
      <c r="G10" s="102"/>
      <c r="H10" s="534" t="s">
        <v>220</v>
      </c>
      <c r="I10" s="524" t="e">
        <f>'Escenario 3'!F11</f>
        <v>#REF!</v>
      </c>
      <c r="J10" s="524" t="e">
        <f>'Escenario 3'!G11</f>
        <v>#REF!</v>
      </c>
      <c r="K10" s="524" t="e">
        <f>'Escenario 3'!H11</f>
        <v>#REF!</v>
      </c>
    </row>
    <row r="11" spans="1:15" x14ac:dyDescent="0.25">
      <c r="C11" s="1002"/>
      <c r="F11" s="102"/>
      <c r="G11" s="102"/>
      <c r="H11" s="534" t="s">
        <v>326</v>
      </c>
      <c r="I11" s="524">
        <f>'Escenario 3'!F12</f>
        <v>7341662.4450000012</v>
      </c>
      <c r="J11" s="524">
        <f>'Escenario 3'!G12</f>
        <v>8446303.9266666677</v>
      </c>
      <c r="K11" s="524">
        <f>'Escenario 3'!H12</f>
        <v>10262133.115833335</v>
      </c>
    </row>
    <row r="12" spans="1:15" ht="15.75" thickBot="1" x14ac:dyDescent="0.3">
      <c r="C12" s="1003"/>
      <c r="F12" s="102"/>
      <c r="G12" s="102"/>
      <c r="H12" s="102"/>
      <c r="I12" s="102"/>
      <c r="J12" s="102"/>
      <c r="K12" s="102"/>
    </row>
    <row r="13" spans="1:15" ht="15.75" thickBot="1" x14ac:dyDescent="0.3">
      <c r="C13" s="273" t="s">
        <v>286</v>
      </c>
      <c r="H13" s="102"/>
      <c r="I13" s="544" t="s">
        <v>250</v>
      </c>
      <c r="J13" s="521"/>
      <c r="K13" s="522"/>
    </row>
    <row r="14" spans="1:15" ht="19.5" customHeight="1" thickBot="1" x14ac:dyDescent="0.3">
      <c r="C14" s="549" t="s">
        <v>341</v>
      </c>
      <c r="H14" s="102"/>
      <c r="I14" s="308">
        <v>2019</v>
      </c>
      <c r="J14" s="308">
        <v>2020</v>
      </c>
      <c r="K14" s="308">
        <v>2021</v>
      </c>
    </row>
    <row r="15" spans="1:15" x14ac:dyDescent="0.25">
      <c r="H15" s="546"/>
      <c r="I15" s="524">
        <f>'Escenario 3'!F16</f>
        <v>141277.33333333334</v>
      </c>
      <c r="J15" s="524">
        <f>'Escenario 3'!G16</f>
        <v>147660.56666666665</v>
      </c>
      <c r="K15" s="524">
        <f>'Escenario 3'!H16</f>
        <v>162884.43333333335</v>
      </c>
    </row>
    <row r="16" spans="1:15" ht="15.75" thickBot="1" x14ac:dyDescent="0.3">
      <c r="C16" s="102"/>
      <c r="F16" s="102"/>
      <c r="G16" s="102"/>
      <c r="H16" s="546"/>
      <c r="I16" s="42"/>
      <c r="J16" s="42"/>
      <c r="K16" s="42"/>
    </row>
    <row r="17" spans="3:14" ht="15.75" thickBot="1" x14ac:dyDescent="0.3">
      <c r="C17" s="612" t="s">
        <v>345</v>
      </c>
      <c r="F17" s="102"/>
      <c r="G17" s="102"/>
      <c r="H17" s="544" t="s">
        <v>224</v>
      </c>
      <c r="I17" s="521"/>
      <c r="J17" s="521"/>
      <c r="K17" s="522"/>
    </row>
    <row r="18" spans="3:14" ht="15" customHeight="1" x14ac:dyDescent="0.25">
      <c r="C18" s="1031" t="s">
        <v>354</v>
      </c>
      <c r="F18" s="102"/>
      <c r="G18" s="102"/>
      <c r="H18" s="528" t="s">
        <v>225</v>
      </c>
      <c r="I18" s="528">
        <v>2019</v>
      </c>
      <c r="J18" s="528">
        <v>2020</v>
      </c>
      <c r="K18" s="528">
        <v>2021</v>
      </c>
    </row>
    <row r="19" spans="3:14" ht="30" customHeight="1" x14ac:dyDescent="0.25">
      <c r="C19" s="1032"/>
      <c r="F19" s="102"/>
      <c r="G19" s="102"/>
      <c r="H19" s="524">
        <f>'Escenario 3'!E20</f>
        <v>2297572</v>
      </c>
      <c r="I19" s="524">
        <f>'Escenario 3'!F20</f>
        <v>22999</v>
      </c>
      <c r="J19" s="524">
        <f>'Escenario 3'!G20</f>
        <v>70262</v>
      </c>
      <c r="K19" s="524">
        <f>'Escenario 3'!H20</f>
        <v>1306257</v>
      </c>
    </row>
    <row r="20" spans="3:14" x14ac:dyDescent="0.25">
      <c r="C20" s="1032"/>
      <c r="F20" s="102"/>
      <c r="G20" s="102"/>
      <c r="H20" s="102"/>
      <c r="I20" s="102"/>
      <c r="J20" s="102"/>
      <c r="K20" s="102"/>
    </row>
    <row r="21" spans="3:14" x14ac:dyDescent="0.25">
      <c r="C21" s="1032"/>
      <c r="F21" s="102"/>
      <c r="G21" s="102"/>
      <c r="H21" s="531" t="s">
        <v>279</v>
      </c>
      <c r="I21" s="531">
        <v>2019</v>
      </c>
      <c r="J21" s="531">
        <v>2020</v>
      </c>
      <c r="K21" s="531">
        <v>2021</v>
      </c>
      <c r="M21" s="1008" t="s">
        <v>348</v>
      </c>
      <c r="N21" s="1009"/>
    </row>
    <row r="22" spans="3:14" x14ac:dyDescent="0.25">
      <c r="C22" s="1032"/>
      <c r="F22" s="532" t="s">
        <v>41</v>
      </c>
      <c r="G22" s="533"/>
      <c r="H22" s="537" t="s">
        <v>266</v>
      </c>
      <c r="I22" s="538">
        <f>I8</f>
        <v>18750000</v>
      </c>
      <c r="J22" s="600">
        <f>J8*M23</f>
        <v>39375000.000000007</v>
      </c>
      <c r="K22" s="600">
        <f>K8*N23</f>
        <v>69000000</v>
      </c>
      <c r="M22" s="528">
        <v>2020</v>
      </c>
      <c r="N22" s="528">
        <v>2021</v>
      </c>
    </row>
    <row r="23" spans="3:14" x14ac:dyDescent="0.25">
      <c r="C23" s="1032"/>
      <c r="F23" s="1012" t="s">
        <v>267</v>
      </c>
      <c r="G23" s="534" t="s">
        <v>323</v>
      </c>
      <c r="H23" s="537" t="s">
        <v>266</v>
      </c>
      <c r="I23" s="538">
        <f>I9</f>
        <v>2343935.7000000002</v>
      </c>
      <c r="J23" s="538">
        <f>J9</f>
        <v>2614351.9749999996</v>
      </c>
      <c r="K23" s="538">
        <f>K9</f>
        <v>2971977.4835000001</v>
      </c>
      <c r="M23" s="601">
        <v>0.9</v>
      </c>
      <c r="N23" s="601">
        <v>0.92</v>
      </c>
    </row>
    <row r="24" spans="3:14" x14ac:dyDescent="0.25">
      <c r="C24" s="1032"/>
      <c r="F24" s="1013"/>
      <c r="G24" s="534" t="s">
        <v>324</v>
      </c>
      <c r="H24" s="537" t="s">
        <v>266</v>
      </c>
      <c r="I24" s="538" t="e">
        <f>I10</f>
        <v>#REF!</v>
      </c>
      <c r="J24" s="600" t="e">
        <f>J10*M23</f>
        <v>#REF!</v>
      </c>
      <c r="K24" s="600" t="e">
        <f>K10*N23</f>
        <v>#REF!</v>
      </c>
    </row>
    <row r="25" spans="3:14" x14ac:dyDescent="0.25">
      <c r="C25" s="1032"/>
      <c r="F25" s="1014"/>
      <c r="G25" s="534" t="s">
        <v>325</v>
      </c>
      <c r="H25" s="537" t="s">
        <v>266</v>
      </c>
      <c r="I25" s="538">
        <f>I11</f>
        <v>7341662.4450000012</v>
      </c>
      <c r="J25" s="614">
        <f>J11-N30</f>
        <v>7896645.1166666672</v>
      </c>
      <c r="K25" s="615">
        <f>K11-N31</f>
        <v>8465054.0258333348</v>
      </c>
    </row>
    <row r="26" spans="3:14" x14ac:dyDescent="0.25">
      <c r="C26" s="1032"/>
      <c r="F26" s="535" t="s">
        <v>268</v>
      </c>
      <c r="G26" s="536"/>
      <c r="H26" s="540" t="s">
        <v>266</v>
      </c>
      <c r="I26" s="541" t="e">
        <f>I22-I23-I24-I25</f>
        <v>#REF!</v>
      </c>
      <c r="J26" s="541" t="e">
        <f>J22-J23-J24-J25</f>
        <v>#REF!</v>
      </c>
      <c r="K26" s="541" t="e">
        <f>K22-K23-K24-K25</f>
        <v>#REF!</v>
      </c>
    </row>
    <row r="27" spans="3:14" x14ac:dyDescent="0.25">
      <c r="C27" s="1032"/>
      <c r="F27" s="535" t="s">
        <v>269</v>
      </c>
      <c r="G27" s="536"/>
      <c r="H27" s="232" t="s">
        <v>266</v>
      </c>
      <c r="I27" s="538">
        <f>I22*0.03</f>
        <v>562500</v>
      </c>
      <c r="J27" s="538">
        <f>J22*0.03</f>
        <v>1181250.0000000002</v>
      </c>
      <c r="K27" s="538">
        <f>K22*0.03</f>
        <v>2070000</v>
      </c>
    </row>
    <row r="28" spans="3:14" x14ac:dyDescent="0.25">
      <c r="C28" s="1032"/>
      <c r="F28" s="999" t="s">
        <v>270</v>
      </c>
      <c r="G28" s="1000"/>
      <c r="H28" s="232"/>
      <c r="I28" s="538" t="e">
        <f>I26-I27</f>
        <v>#REF!</v>
      </c>
      <c r="J28" s="538" t="e">
        <f>J26-J27-J15</f>
        <v>#REF!</v>
      </c>
      <c r="K28" s="538" t="e">
        <f>K26-K27-K15</f>
        <v>#REF!</v>
      </c>
      <c r="M28" s="1008" t="s">
        <v>349</v>
      </c>
      <c r="N28" s="1009"/>
    </row>
    <row r="29" spans="3:14" x14ac:dyDescent="0.25">
      <c r="C29" s="1032"/>
      <c r="F29" s="535" t="s">
        <v>271</v>
      </c>
      <c r="G29" s="536"/>
      <c r="H29" s="232" t="s">
        <v>266</v>
      </c>
      <c r="I29" s="538">
        <v>0</v>
      </c>
      <c r="J29" s="538">
        <v>0</v>
      </c>
      <c r="K29" s="538" t="e">
        <f>0.35*J28</f>
        <v>#REF!</v>
      </c>
      <c r="M29" s="609" t="s">
        <v>350</v>
      </c>
      <c r="N29" s="613">
        <v>1234590</v>
      </c>
    </row>
    <row r="30" spans="3:14" x14ac:dyDescent="0.25">
      <c r="C30" s="1032"/>
      <c r="F30" s="535" t="s">
        <v>272</v>
      </c>
      <c r="G30" s="536"/>
      <c r="H30" s="540" t="s">
        <v>266</v>
      </c>
      <c r="I30" s="541" t="e">
        <f>I26-I27-I29</f>
        <v>#REF!</v>
      </c>
      <c r="J30" s="541" t="e">
        <f>J26-J27-J29</f>
        <v>#REF!</v>
      </c>
      <c r="K30" s="541" t="e">
        <f>K26-K27-K29</f>
        <v>#REF!</v>
      </c>
      <c r="M30" s="610" t="s">
        <v>352</v>
      </c>
      <c r="N30" s="614">
        <f>549658.81</f>
        <v>549658.81000000006</v>
      </c>
    </row>
    <row r="31" spans="3:14" x14ac:dyDescent="0.25">
      <c r="C31" s="1032"/>
      <c r="F31" s="535" t="s">
        <v>273</v>
      </c>
      <c r="G31" s="536"/>
      <c r="H31" s="538">
        <f>-H19</f>
        <v>-2297572</v>
      </c>
      <c r="I31" s="538">
        <f>-I19</f>
        <v>-22999</v>
      </c>
      <c r="J31" s="538">
        <f>-J19</f>
        <v>-70262</v>
      </c>
      <c r="K31" s="613">
        <f>-K19+N29</f>
        <v>-71667</v>
      </c>
      <c r="M31" s="610" t="s">
        <v>351</v>
      </c>
      <c r="N31" s="615">
        <f>634277.41+824488.21+338313.47</f>
        <v>1797079.09</v>
      </c>
    </row>
    <row r="32" spans="3:14" x14ac:dyDescent="0.25">
      <c r="C32" s="1032"/>
      <c r="F32" s="535" t="s">
        <v>274</v>
      </c>
      <c r="G32" s="536"/>
      <c r="H32" s="541">
        <f>H31</f>
        <v>-2297572</v>
      </c>
      <c r="I32" s="541" t="e">
        <f>I30+I31</f>
        <v>#REF!</v>
      </c>
      <c r="J32" s="541" t="e">
        <f>J30+J31</f>
        <v>#REF!</v>
      </c>
      <c r="K32" s="541" t="e">
        <f>K30+K31</f>
        <v>#REF!</v>
      </c>
    </row>
    <row r="33" spans="3:14" ht="15.75" thickBot="1" x14ac:dyDescent="0.3">
      <c r="C33" s="1032"/>
      <c r="F33" s="102"/>
      <c r="G33" s="102"/>
      <c r="H33" s="102"/>
      <c r="I33" s="102"/>
      <c r="J33" s="102"/>
      <c r="K33" s="102"/>
      <c r="N33" s="611"/>
    </row>
    <row r="34" spans="3:14" ht="15.75" thickBot="1" x14ac:dyDescent="0.3">
      <c r="C34" s="1032"/>
      <c r="F34" s="102"/>
      <c r="G34" s="1029" t="s">
        <v>297</v>
      </c>
      <c r="H34" s="1030"/>
      <c r="I34" s="102"/>
      <c r="J34" s="1029" t="s">
        <v>347</v>
      </c>
      <c r="K34" s="1030"/>
    </row>
    <row r="35" spans="3:14" x14ac:dyDescent="0.25">
      <c r="C35" s="1032"/>
      <c r="F35" s="102"/>
      <c r="G35" s="603" t="s">
        <v>275</v>
      </c>
      <c r="H35" s="604">
        <v>0.62</v>
      </c>
      <c r="I35" s="102"/>
      <c r="J35" s="603" t="s">
        <v>275</v>
      </c>
      <c r="K35" s="604">
        <v>0.62</v>
      </c>
    </row>
    <row r="36" spans="3:14" x14ac:dyDescent="0.25">
      <c r="C36" s="1032"/>
      <c r="F36" s="102"/>
      <c r="G36" s="605" t="s">
        <v>276</v>
      </c>
      <c r="H36" s="606"/>
      <c r="I36" s="102"/>
      <c r="J36" s="605" t="s">
        <v>276</v>
      </c>
      <c r="K36" s="606"/>
    </row>
    <row r="37" spans="3:14" ht="15.75" thickBot="1" x14ac:dyDescent="0.3">
      <c r="C37" s="1032"/>
      <c r="G37" s="607" t="s">
        <v>277</v>
      </c>
      <c r="H37" s="608"/>
      <c r="J37" s="607" t="s">
        <v>277</v>
      </c>
      <c r="K37" s="608"/>
    </row>
    <row r="38" spans="3:14" x14ac:dyDescent="0.25">
      <c r="C38" s="1032"/>
    </row>
    <row r="39" spans="3:14" ht="15.75" thickBot="1" x14ac:dyDescent="0.3">
      <c r="C39" s="1033"/>
    </row>
    <row r="40" spans="3:14" ht="15" customHeight="1" x14ac:dyDescent="0.25">
      <c r="G40" s="1034" t="s">
        <v>142</v>
      </c>
      <c r="H40" s="1035"/>
      <c r="I40" s="1035"/>
      <c r="J40" s="1035"/>
      <c r="K40" s="1036"/>
    </row>
    <row r="41" spans="3:14" ht="3" customHeight="1" thickBot="1" x14ac:dyDescent="0.3">
      <c r="G41" s="1037"/>
      <c r="H41" s="1038"/>
      <c r="I41" s="1038"/>
      <c r="J41" s="1038"/>
      <c r="K41" s="1039"/>
    </row>
    <row r="42" spans="3:14" ht="69.75" customHeight="1" thickBot="1" x14ac:dyDescent="0.3">
      <c r="G42" s="1023" t="s">
        <v>355</v>
      </c>
      <c r="H42" s="1024"/>
      <c r="I42" s="1024"/>
      <c r="J42" s="1024"/>
      <c r="K42" s="1025"/>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9"/>
  <sheetViews>
    <sheetView workbookViewId="0">
      <selection activeCell="D6" sqref="D6"/>
    </sheetView>
  </sheetViews>
  <sheetFormatPr defaultColWidth="11.42578125"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21"/>
      <c r="C1" s="17" t="s">
        <v>17</v>
      </c>
      <c r="D1" s="9"/>
      <c r="E1" s="6"/>
    </row>
    <row r="2" spans="1:10" x14ac:dyDescent="0.25">
      <c r="B2" s="15" t="s">
        <v>16</v>
      </c>
      <c r="C2" s="22">
        <v>3072029</v>
      </c>
      <c r="D2" s="8"/>
      <c r="E2" s="7"/>
      <c r="H2" s="10">
        <v>2019</v>
      </c>
      <c r="I2" s="11">
        <v>3072029</v>
      </c>
      <c r="J2" s="12"/>
    </row>
    <row r="3" spans="1:10" x14ac:dyDescent="0.25">
      <c r="B3" s="20" t="s">
        <v>18</v>
      </c>
      <c r="C3" s="16">
        <v>44938712</v>
      </c>
      <c r="D3" s="8"/>
      <c r="E3" s="7"/>
      <c r="H3" s="13">
        <v>2019</v>
      </c>
      <c r="I3" s="14">
        <v>17370144</v>
      </c>
      <c r="J3" s="12"/>
    </row>
    <row r="4" spans="1:10" x14ac:dyDescent="0.25">
      <c r="B4" s="15" t="s">
        <v>24</v>
      </c>
      <c r="C4" s="16">
        <f>C3*32/100</f>
        <v>14380387.84</v>
      </c>
      <c r="E4" s="7"/>
      <c r="H4" s="10">
        <v>2019</v>
      </c>
      <c r="I4" s="11">
        <v>44938712</v>
      </c>
      <c r="J4" s="12">
        <f>I4*32/100</f>
        <v>14380387.84</v>
      </c>
    </row>
    <row r="5" spans="1:10" x14ac:dyDescent="0.25">
      <c r="B5" s="18" t="s">
        <v>19</v>
      </c>
      <c r="C5" s="19">
        <f>C4+C2</f>
        <v>17452416.84</v>
      </c>
    </row>
    <row r="6" spans="1:10" x14ac:dyDescent="0.25">
      <c r="B6" s="6"/>
    </row>
    <row r="7" spans="1:10" x14ac:dyDescent="0.25">
      <c r="A7" t="s">
        <v>21</v>
      </c>
      <c r="B7" s="6" t="s">
        <v>20</v>
      </c>
    </row>
    <row r="8" spans="1:10" x14ac:dyDescent="0.25">
      <c r="A8" t="s">
        <v>23</v>
      </c>
      <c r="B8" s="6" t="s">
        <v>22</v>
      </c>
    </row>
    <row r="11" spans="1:10" ht="15.75" thickBot="1" x14ac:dyDescent="0.3">
      <c r="B11" s="1"/>
      <c r="C11" s="1"/>
      <c r="D11" s="1"/>
      <c r="E11" s="1"/>
      <c r="F11" s="1"/>
      <c r="G11" s="1"/>
      <c r="H11" s="1"/>
      <c r="I11" s="1"/>
      <c r="J11" s="1"/>
    </row>
    <row r="12" spans="1:10" ht="27" thickBot="1" x14ac:dyDescent="0.45">
      <c r="B12" s="838" t="s">
        <v>15</v>
      </c>
      <c r="C12" s="839"/>
      <c r="D12" s="839"/>
      <c r="E12" s="839"/>
      <c r="F12" s="839"/>
      <c r="G12" s="839"/>
      <c r="H12" s="839"/>
      <c r="I12" s="839"/>
      <c r="J12" s="840"/>
    </row>
    <row r="13" spans="1:10" ht="18.75" x14ac:dyDescent="0.25">
      <c r="B13" s="1040" t="s">
        <v>35</v>
      </c>
      <c r="C13" s="1041"/>
      <c r="D13" s="1041"/>
      <c r="E13" s="1041"/>
      <c r="F13" s="1041"/>
      <c r="G13" s="1041"/>
      <c r="H13" s="1041"/>
      <c r="I13" s="1041"/>
      <c r="J13" s="1042"/>
    </row>
    <row r="14" spans="1:10" x14ac:dyDescent="0.25">
      <c r="B14" s="1"/>
      <c r="C14" s="1"/>
      <c r="D14" s="1"/>
      <c r="E14" s="1"/>
      <c r="F14" s="1"/>
      <c r="G14" s="1"/>
      <c r="H14" s="1"/>
      <c r="I14" s="1"/>
      <c r="J14" s="1"/>
    </row>
    <row r="15" spans="1:10" x14ac:dyDescent="0.25">
      <c r="B15" s="21"/>
      <c r="C15" s="24" t="s">
        <v>26</v>
      </c>
      <c r="D15" s="1"/>
      <c r="E15" s="1"/>
      <c r="F15" s="1"/>
      <c r="G15" s="1"/>
      <c r="H15" s="1"/>
      <c r="I15" s="1"/>
      <c r="J15" s="1"/>
    </row>
    <row r="16" spans="1:10" x14ac:dyDescent="0.25">
      <c r="B16" s="36" t="s">
        <v>16</v>
      </c>
      <c r="C16" s="25">
        <v>3072029</v>
      </c>
      <c r="D16" s="1"/>
      <c r="E16" s="1"/>
      <c r="F16" s="1"/>
      <c r="G16" s="1"/>
      <c r="H16" s="1"/>
      <c r="I16" s="1"/>
      <c r="J16" s="1"/>
    </row>
    <row r="17" spans="2:10" x14ac:dyDescent="0.25">
      <c r="B17" s="37" t="s">
        <v>18</v>
      </c>
      <c r="C17" s="26">
        <v>44938712</v>
      </c>
      <c r="D17" s="1"/>
      <c r="E17" s="1"/>
      <c r="F17" s="1"/>
      <c r="G17" s="1"/>
      <c r="H17" s="1"/>
      <c r="I17" s="1"/>
      <c r="J17" s="1"/>
    </row>
    <row r="18" spans="2:10" x14ac:dyDescent="0.25">
      <c r="B18" s="36" t="s">
        <v>24</v>
      </c>
      <c r="C18" s="26">
        <f>ROUND(C17*32/100,0)</f>
        <v>14380388</v>
      </c>
      <c r="D18" s="1"/>
      <c r="E18" s="1"/>
      <c r="F18" s="1"/>
      <c r="G18" s="1"/>
      <c r="H18" s="1"/>
      <c r="I18" s="1"/>
      <c r="J18" s="1"/>
    </row>
    <row r="19" spans="2:10" x14ac:dyDescent="0.25">
      <c r="B19" s="38" t="s">
        <v>27</v>
      </c>
      <c r="C19" s="27">
        <f>C18+C16</f>
        <v>17452417</v>
      </c>
      <c r="D19" s="1" t="s">
        <v>25</v>
      </c>
      <c r="E19" s="1"/>
      <c r="F19" s="1"/>
      <c r="G19" s="1"/>
      <c r="H19" s="1"/>
      <c r="I19" s="1"/>
      <c r="J19" s="1"/>
    </row>
  </sheetData>
  <mergeCells count="2">
    <mergeCell ref="B12:J12"/>
    <mergeCell ref="B13:J13"/>
  </mergeCells>
  <hyperlinks>
    <hyperlink ref="B7" r:id="rId1" xr:uid="{00000000-0004-0000-1200-000000000000}"/>
    <hyperlink ref="B8"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D1:D18"/>
  <sheetViews>
    <sheetView workbookViewId="0">
      <selection activeCell="F10" sqref="F10"/>
    </sheetView>
  </sheetViews>
  <sheetFormatPr defaultColWidth="11.42578125" defaultRowHeight="15" x14ac:dyDescent="0.25"/>
  <cols>
    <col min="1" max="1" width="11.42578125" style="617"/>
    <col min="2" max="2" width="13" style="617" bestFit="1" customWidth="1"/>
    <col min="3" max="3" width="11.42578125" style="617"/>
    <col min="4" max="4" width="39.140625" style="617" customWidth="1"/>
    <col min="5" max="16384" width="11.42578125" style="617"/>
  </cols>
  <sheetData>
    <row r="1" spans="4:4" ht="15.75" thickBot="1" x14ac:dyDescent="0.3">
      <c r="D1" s="616"/>
    </row>
    <row r="2" spans="4:4" ht="22.5" thickTop="1" thickBot="1" x14ac:dyDescent="0.4">
      <c r="D2" s="632" t="s">
        <v>14</v>
      </c>
    </row>
    <row r="3" spans="4:4" ht="16.5" thickTop="1" thickBot="1" x14ac:dyDescent="0.3"/>
    <row r="4" spans="4:4" ht="18.75" x14ac:dyDescent="0.25">
      <c r="D4" s="629" t="s">
        <v>1</v>
      </c>
    </row>
    <row r="5" spans="4:4" ht="18.75" x14ac:dyDescent="0.25">
      <c r="D5" s="630" t="s">
        <v>2</v>
      </c>
    </row>
    <row r="6" spans="4:4" ht="18.75" x14ac:dyDescent="0.25">
      <c r="D6" s="630" t="s">
        <v>3</v>
      </c>
    </row>
    <row r="7" spans="4:4" ht="18.75" x14ac:dyDescent="0.25">
      <c r="D7" s="630" t="s">
        <v>4</v>
      </c>
    </row>
    <row r="8" spans="4:4" ht="18.75" x14ac:dyDescent="0.25">
      <c r="D8" s="630" t="s">
        <v>5</v>
      </c>
    </row>
    <row r="9" spans="4:4" ht="18.75" x14ac:dyDescent="0.25">
      <c r="D9" s="630" t="s">
        <v>6</v>
      </c>
    </row>
    <row r="10" spans="4:4" ht="18.75" x14ac:dyDescent="0.25">
      <c r="D10" s="630" t="s">
        <v>7</v>
      </c>
    </row>
    <row r="11" spans="4:4" ht="18.75" x14ac:dyDescent="0.25">
      <c r="D11" s="630" t="s">
        <v>8</v>
      </c>
    </row>
    <row r="12" spans="4:4" ht="18.75" x14ac:dyDescent="0.25">
      <c r="D12" s="630" t="s">
        <v>9</v>
      </c>
    </row>
    <row r="13" spans="4:4" ht="18.75" x14ac:dyDescent="0.25">
      <c r="D13" s="630" t="s">
        <v>10</v>
      </c>
    </row>
    <row r="14" spans="4:4" ht="18.75" x14ac:dyDescent="0.25">
      <c r="D14" s="630" t="s">
        <v>11</v>
      </c>
    </row>
    <row r="15" spans="4:4" ht="18.75" x14ac:dyDescent="0.25">
      <c r="D15" s="630" t="s">
        <v>321</v>
      </c>
    </row>
    <row r="16" spans="4:4" ht="18.75" x14ac:dyDescent="0.25">
      <c r="D16" s="630" t="s">
        <v>291</v>
      </c>
    </row>
    <row r="17" spans="4:4" ht="18.75" x14ac:dyDescent="0.25">
      <c r="D17" s="630" t="s">
        <v>297</v>
      </c>
    </row>
    <row r="18" spans="4:4" ht="19.5" thickBot="1" x14ac:dyDescent="0.3">
      <c r="D18" s="631" t="s">
        <v>12</v>
      </c>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 ref="D9" location="'Costos RRHH'!A1" display="Estructura de costos de RRHH" xr:uid="{00000000-0004-0000-0100-000005000000}"/>
    <hyperlink ref="D10" location="'Mod. Egresos'!A1" display="Modelo de egresos" xr:uid="{00000000-0004-0000-0100-000006000000}"/>
    <hyperlink ref="D11" location="'Mod. Inversión'!A1" display="Modelo de inversión" xr:uid="{00000000-0004-0000-0100-000007000000}"/>
    <hyperlink ref="D12" location="Amortizaciones!A1" display="Amortizaciones" xr:uid="{00000000-0004-0000-0100-000008000000}"/>
    <hyperlink ref="D13" location="'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M65"/>
  <sheetViews>
    <sheetView zoomScale="80" zoomScaleNormal="80" workbookViewId="0">
      <pane ySplit="1" topLeftCell="A8" activePane="bottomLeft" state="frozen"/>
      <selection pane="bottomLeft" activeCell="C31" sqref="C31"/>
    </sheetView>
  </sheetViews>
  <sheetFormatPr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21.5703125" style="1" customWidth="1"/>
    <col min="7" max="7" width="11.42578125" style="1"/>
    <col min="8" max="8" width="11.5703125" style="1" customWidth="1"/>
    <col min="9" max="9" width="9.42578125" style="1" customWidth="1"/>
    <col min="10" max="12" width="11.42578125" style="1"/>
    <col min="13" max="13" width="8.85546875" style="1" customWidth="1"/>
    <col min="14" max="14" width="43.5703125" style="1" bestFit="1" customWidth="1"/>
    <col min="15" max="16384" width="11.42578125" style="1"/>
  </cols>
  <sheetData>
    <row r="1" spans="1:10" s="635" customFormat="1" ht="58.5" customHeight="1" thickTop="1" thickBot="1" x14ac:dyDescent="0.3">
      <c r="A1" s="634"/>
      <c r="E1" s="636" t="s">
        <v>1</v>
      </c>
      <c r="F1" s="637"/>
      <c r="G1" s="637"/>
    </row>
    <row r="2" spans="1:10" ht="16.5" thickTop="1" thickBot="1" x14ac:dyDescent="0.3">
      <c r="C2" s="5"/>
    </row>
    <row r="3" spans="1:10" ht="27" thickBot="1" x14ac:dyDescent="0.45">
      <c r="B3" s="756" t="s">
        <v>93</v>
      </c>
      <c r="C3" s="757"/>
      <c r="D3" s="757"/>
      <c r="E3" s="757"/>
      <c r="F3" s="757"/>
      <c r="G3" s="757"/>
      <c r="H3" s="757"/>
      <c r="I3" s="758"/>
    </row>
    <row r="4" spans="1:10" ht="54.75" customHeight="1" x14ac:dyDescent="0.25">
      <c r="B4" s="779" t="s">
        <v>371</v>
      </c>
      <c r="C4" s="780"/>
      <c r="D4" s="780"/>
      <c r="E4" s="780"/>
      <c r="F4" s="780"/>
      <c r="G4" s="780"/>
      <c r="H4" s="780"/>
      <c r="I4" s="781"/>
      <c r="J4" s="4"/>
    </row>
    <row r="5" spans="1:10" ht="46.5" customHeight="1" x14ac:dyDescent="0.25">
      <c r="B5" s="782" t="s">
        <v>372</v>
      </c>
      <c r="C5" s="783"/>
      <c r="D5" s="783"/>
      <c r="E5" s="783"/>
      <c r="F5" s="783"/>
      <c r="G5" s="783"/>
      <c r="H5" s="783"/>
      <c r="I5" s="784"/>
    </row>
    <row r="6" spans="1:10" ht="15.75" thickBot="1" x14ac:dyDescent="0.3"/>
    <row r="7" spans="1:10" ht="27" thickBot="1" x14ac:dyDescent="0.45">
      <c r="B7" s="756" t="s">
        <v>94</v>
      </c>
      <c r="C7" s="757"/>
      <c r="D7" s="757"/>
      <c r="E7" s="757"/>
      <c r="F7" s="757"/>
      <c r="G7" s="757"/>
      <c r="H7" s="757"/>
      <c r="I7" s="758"/>
    </row>
    <row r="8" spans="1:10" ht="85.5" customHeight="1" x14ac:dyDescent="0.25">
      <c r="B8" s="759" t="s">
        <v>373</v>
      </c>
      <c r="C8" s="760"/>
      <c r="D8" s="760"/>
      <c r="E8" s="760"/>
      <c r="F8" s="760"/>
      <c r="G8" s="760"/>
      <c r="H8" s="760"/>
      <c r="I8" s="761"/>
    </row>
    <row r="9" spans="1:10" ht="18.75" x14ac:dyDescent="0.25">
      <c r="B9" s="174"/>
      <c r="C9" s="174"/>
      <c r="D9" s="174"/>
      <c r="E9" s="174"/>
      <c r="F9" s="174"/>
      <c r="G9" s="174"/>
      <c r="H9" s="174"/>
      <c r="I9" s="174"/>
    </row>
    <row r="10" spans="1:10" ht="18.75" x14ac:dyDescent="0.25">
      <c r="B10" s="174"/>
      <c r="C10" s="174"/>
      <c r="D10" s="174"/>
      <c r="E10" s="174"/>
      <c r="F10" s="174"/>
      <c r="G10" s="174"/>
      <c r="H10" s="174"/>
      <c r="I10" s="174"/>
    </row>
    <row r="11" spans="1:10" ht="18.75" x14ac:dyDescent="0.25">
      <c r="B11" s="642" t="s">
        <v>357</v>
      </c>
      <c r="C11" s="642" t="s">
        <v>358</v>
      </c>
      <c r="D11" s="642" t="s">
        <v>39</v>
      </c>
      <c r="E11" s="174"/>
      <c r="F11" s="174"/>
      <c r="G11" s="174"/>
      <c r="H11" s="174"/>
      <c r="I11" s="174"/>
    </row>
    <row r="12" spans="1:10" ht="21" customHeight="1" x14ac:dyDescent="0.25">
      <c r="B12" s="643">
        <v>250</v>
      </c>
      <c r="C12" s="644">
        <v>2500000</v>
      </c>
      <c r="D12" s="645">
        <f>B12*C12</f>
        <v>625000000</v>
      </c>
      <c r="E12" s="174"/>
      <c r="F12" s="174"/>
      <c r="G12" s="174"/>
      <c r="H12" s="174"/>
      <c r="I12" s="174"/>
    </row>
    <row r="13" spans="1:10" ht="12" customHeight="1" x14ac:dyDescent="0.25">
      <c r="B13" s="174"/>
      <c r="C13" s="174"/>
      <c r="D13" s="174"/>
      <c r="E13" s="174"/>
      <c r="F13" s="174"/>
      <c r="G13" s="174"/>
      <c r="H13" s="174"/>
      <c r="I13" s="174"/>
    </row>
    <row r="14" spans="1:10" ht="12.75" customHeight="1" thickBot="1" x14ac:dyDescent="0.3"/>
    <row r="15" spans="1:10" ht="27" thickBot="1" x14ac:dyDescent="0.45">
      <c r="B15" s="756" t="s">
        <v>95</v>
      </c>
      <c r="C15" s="757"/>
      <c r="D15" s="757"/>
      <c r="E15" s="757"/>
      <c r="F15" s="757"/>
      <c r="G15" s="757"/>
      <c r="H15" s="757"/>
      <c r="I15" s="758"/>
    </row>
    <row r="16" spans="1:10" ht="63.75" customHeight="1" x14ac:dyDescent="0.25">
      <c r="B16" s="759" t="s">
        <v>397</v>
      </c>
      <c r="C16" s="760"/>
      <c r="D16" s="760"/>
      <c r="E16" s="760"/>
      <c r="F16" s="760"/>
      <c r="G16" s="760"/>
      <c r="H16" s="760"/>
      <c r="I16" s="761"/>
    </row>
    <row r="17" spans="2:13" ht="15.75" x14ac:dyDescent="0.25">
      <c r="B17" s="23"/>
      <c r="C17" s="23"/>
      <c r="D17" s="23"/>
      <c r="E17" s="23"/>
      <c r="F17" s="23"/>
      <c r="G17" s="23"/>
      <c r="H17" s="23"/>
      <c r="I17" s="23"/>
      <c r="J17" s="23"/>
      <c r="K17" s="23"/>
      <c r="L17" s="23"/>
      <c r="M17" s="23"/>
    </row>
    <row r="18" spans="2:13" ht="15.75" x14ac:dyDescent="0.25">
      <c r="E18" s="23"/>
      <c r="F18" s="23"/>
      <c r="G18" s="23"/>
      <c r="H18" s="23"/>
      <c r="I18" s="23"/>
      <c r="J18" s="23"/>
      <c r="K18" s="23"/>
      <c r="L18" s="23"/>
      <c r="M18" s="23"/>
    </row>
    <row r="19" spans="2:13" ht="15.75" x14ac:dyDescent="0.25">
      <c r="E19" s="23"/>
      <c r="F19" s="23"/>
      <c r="G19" s="23"/>
      <c r="H19" s="23"/>
      <c r="I19" s="23"/>
      <c r="J19" s="23"/>
      <c r="K19" s="23"/>
      <c r="L19" s="23"/>
      <c r="M19" s="23"/>
    </row>
    <row r="20" spans="2:13" ht="15.75" x14ac:dyDescent="0.25">
      <c r="D20" s="23"/>
      <c r="E20" s="23"/>
      <c r="F20" s="23"/>
      <c r="G20" s="23"/>
      <c r="H20" s="23"/>
      <c r="I20" s="23"/>
      <c r="J20" s="23"/>
      <c r="K20" s="23"/>
      <c r="L20" s="23"/>
      <c r="M20" s="23"/>
    </row>
    <row r="21" spans="2:13" ht="15.75" x14ac:dyDescent="0.25">
      <c r="B21" s="23"/>
      <c r="C21" s="23"/>
      <c r="D21" s="23"/>
      <c r="E21" s="23"/>
      <c r="F21" s="23"/>
      <c r="G21" s="23"/>
      <c r="H21" s="23"/>
      <c r="I21" s="23"/>
      <c r="J21" s="23"/>
      <c r="K21" s="23"/>
      <c r="L21" s="23"/>
      <c r="M21" s="23"/>
    </row>
    <row r="22" spans="2:13" ht="26.25" customHeight="1" x14ac:dyDescent="0.4">
      <c r="B22" s="766" t="s">
        <v>70</v>
      </c>
      <c r="C22" s="766"/>
      <c r="D22" s="766"/>
      <c r="E22" s="23"/>
      <c r="F22" s="23"/>
      <c r="G22" s="23"/>
      <c r="H22" s="23"/>
      <c r="I22" s="23"/>
      <c r="J22" s="23"/>
      <c r="K22" s="23"/>
      <c r="L22" s="23"/>
      <c r="M22" s="23"/>
    </row>
    <row r="23" spans="2:13" ht="18.75" x14ac:dyDescent="0.25">
      <c r="B23" s="638" t="s">
        <v>37</v>
      </c>
      <c r="C23" s="638" t="s">
        <v>38</v>
      </c>
      <c r="D23" s="638" t="s">
        <v>19</v>
      </c>
      <c r="E23" s="23"/>
      <c r="F23" s="23"/>
      <c r="G23" s="23"/>
      <c r="H23" s="23"/>
      <c r="I23" s="23"/>
      <c r="J23" s="23"/>
      <c r="K23" s="23"/>
      <c r="L23" s="23"/>
      <c r="M23" s="23"/>
    </row>
    <row r="24" spans="2:13" ht="15.75" x14ac:dyDescent="0.25">
      <c r="B24" s="639">
        <v>2022</v>
      </c>
      <c r="C24" s="640">
        <v>0.03</v>
      </c>
      <c r="D24" s="641">
        <f>C24*$D$12</f>
        <v>18750000</v>
      </c>
      <c r="E24" s="23"/>
      <c r="F24" s="23"/>
      <c r="G24" s="23"/>
      <c r="H24" s="23"/>
      <c r="I24" s="23"/>
      <c r="J24" s="23"/>
      <c r="K24" s="23"/>
      <c r="L24" s="23"/>
      <c r="M24" s="23"/>
    </row>
    <row r="25" spans="2:13" ht="15.75" x14ac:dyDescent="0.25">
      <c r="B25" s="639">
        <v>2023</v>
      </c>
      <c r="C25" s="640">
        <v>7.0000000000000007E-2</v>
      </c>
      <c r="D25" s="641">
        <f>C25*$D$12</f>
        <v>43750000.000000007</v>
      </c>
      <c r="E25" s="23"/>
      <c r="F25" s="23"/>
      <c r="G25" s="23"/>
      <c r="H25" s="23"/>
      <c r="I25" s="23"/>
      <c r="J25" s="23"/>
      <c r="K25" s="23"/>
      <c r="L25" s="23"/>
      <c r="M25" s="23"/>
    </row>
    <row r="26" spans="2:13" ht="15.75" x14ac:dyDescent="0.25">
      <c r="B26" s="639">
        <v>2024</v>
      </c>
      <c r="C26" s="640">
        <v>0.12</v>
      </c>
      <c r="D26" s="641">
        <f>C26*$D$12</f>
        <v>75000000</v>
      </c>
      <c r="E26" s="23"/>
      <c r="F26" s="23"/>
      <c r="G26" s="23"/>
      <c r="H26" s="23"/>
      <c r="I26" s="23"/>
      <c r="J26" s="23"/>
      <c r="K26" s="23"/>
      <c r="L26" s="23"/>
      <c r="M26" s="23"/>
    </row>
    <row r="27" spans="2:13" ht="15.75" x14ac:dyDescent="0.25">
      <c r="B27" s="23"/>
      <c r="C27" s="109"/>
      <c r="D27" s="110"/>
      <c r="E27" s="23"/>
      <c r="F27" s="23"/>
      <c r="G27" s="23"/>
      <c r="H27" s="23"/>
      <c r="I27" s="23"/>
      <c r="J27" s="23"/>
      <c r="K27" s="23"/>
      <c r="L27" s="23"/>
      <c r="M27" s="23"/>
    </row>
    <row r="28" spans="2:13" ht="15.75" x14ac:dyDescent="0.25">
      <c r="B28" s="23"/>
      <c r="C28" s="109"/>
      <c r="D28" s="110"/>
      <c r="E28" s="23"/>
      <c r="F28" s="23"/>
      <c r="G28" s="23"/>
      <c r="H28" s="23"/>
      <c r="I28" s="23"/>
      <c r="J28" s="23"/>
      <c r="K28" s="23"/>
      <c r="L28" s="23"/>
      <c r="M28" s="23"/>
    </row>
    <row r="29" spans="2:13" ht="15.75" x14ac:dyDescent="0.25">
      <c r="B29" s="23"/>
      <c r="C29" s="109"/>
      <c r="D29" s="110"/>
      <c r="E29" s="23"/>
      <c r="F29" s="23"/>
      <c r="G29" s="23"/>
      <c r="H29" s="23"/>
      <c r="I29" s="23"/>
      <c r="J29" s="23"/>
      <c r="K29" s="23"/>
      <c r="L29" s="23"/>
      <c r="M29" s="23"/>
    </row>
    <row r="30" spans="2:13" ht="15.75" x14ac:dyDescent="0.25">
      <c r="B30" s="23"/>
      <c r="C30" s="109"/>
      <c r="D30" s="110"/>
      <c r="E30" s="23"/>
      <c r="F30" s="23"/>
      <c r="G30" s="23"/>
      <c r="H30" s="23"/>
      <c r="I30" s="23"/>
      <c r="J30" s="23"/>
      <c r="K30" s="23"/>
      <c r="L30" s="23"/>
      <c r="M30" s="23"/>
    </row>
    <row r="31" spans="2:13" ht="15.75" x14ac:dyDescent="0.25">
      <c r="B31" s="23"/>
      <c r="C31" s="109"/>
      <c r="D31" s="110"/>
      <c r="E31" s="23"/>
      <c r="F31" s="23"/>
      <c r="G31" s="23"/>
      <c r="H31" s="23"/>
      <c r="I31" s="23"/>
      <c r="J31" s="23"/>
      <c r="K31" s="23"/>
      <c r="L31" s="23"/>
      <c r="M31" s="23"/>
    </row>
    <row r="32" spans="2:13" ht="16.5" thickBot="1" x14ac:dyDescent="0.3">
      <c r="B32" s="23"/>
      <c r="C32" s="23"/>
      <c r="D32" s="23"/>
      <c r="E32" s="23"/>
      <c r="F32" s="23"/>
      <c r="H32" s="23"/>
      <c r="I32" s="23"/>
      <c r="J32" s="23"/>
      <c r="K32" s="23"/>
      <c r="L32" s="23"/>
      <c r="M32" s="23"/>
    </row>
    <row r="33" spans="1:13" ht="27" thickBot="1" x14ac:dyDescent="0.45">
      <c r="B33" s="756" t="s">
        <v>96</v>
      </c>
      <c r="C33" s="757"/>
      <c r="D33" s="757"/>
      <c r="E33" s="756"/>
      <c r="F33" s="758"/>
      <c r="H33" s="122"/>
      <c r="I33" s="122"/>
      <c r="J33" s="122"/>
      <c r="K33" s="122"/>
      <c r="L33" s="122"/>
      <c r="M33" s="122"/>
    </row>
    <row r="34" spans="1:13" ht="27" thickBot="1" x14ac:dyDescent="0.45">
      <c r="A34" s="102"/>
      <c r="B34" s="39"/>
      <c r="C34" s="39"/>
      <c r="D34" s="39"/>
      <c r="E34" s="39"/>
      <c r="F34" s="39"/>
      <c r="G34" s="102"/>
      <c r="H34" s="122"/>
      <c r="I34" s="122"/>
      <c r="J34" s="122"/>
      <c r="K34" s="122"/>
      <c r="L34" s="122"/>
      <c r="M34" s="122"/>
    </row>
    <row r="35" spans="1:13" ht="27" thickBot="1" x14ac:dyDescent="0.45">
      <c r="B35" s="756" t="s">
        <v>31</v>
      </c>
      <c r="C35" s="757"/>
      <c r="D35" s="757"/>
      <c r="E35" s="762"/>
      <c r="F35" s="763"/>
    </row>
    <row r="36" spans="1:13" ht="20.25" customHeight="1" x14ac:dyDescent="0.25">
      <c r="B36" s="28"/>
      <c r="C36" s="767" t="s">
        <v>30</v>
      </c>
      <c r="D36" s="768"/>
      <c r="E36" s="768"/>
      <c r="F36" s="769"/>
    </row>
    <row r="37" spans="1:13" ht="15" hidden="1" customHeight="1" x14ac:dyDescent="0.25">
      <c r="B37" s="28"/>
      <c r="C37" s="770"/>
      <c r="D37" s="771"/>
      <c r="E37" s="771"/>
      <c r="F37" s="772"/>
    </row>
    <row r="38" spans="1:13" ht="15.75" thickBot="1" x14ac:dyDescent="0.3">
      <c r="B38" s="28"/>
      <c r="C38" s="773"/>
      <c r="D38" s="774"/>
      <c r="E38" s="774"/>
      <c r="F38" s="775"/>
    </row>
    <row r="39" spans="1:13" ht="16.5" thickBot="1" x14ac:dyDescent="0.3">
      <c r="B39" s="28"/>
      <c r="C39" s="741" t="s">
        <v>374</v>
      </c>
      <c r="D39" s="742"/>
      <c r="E39" s="741" t="s">
        <v>375</v>
      </c>
      <c r="F39" s="742"/>
    </row>
    <row r="40" spans="1:13" ht="28.5" customHeight="1" x14ac:dyDescent="0.25">
      <c r="B40" s="776" t="s">
        <v>29</v>
      </c>
      <c r="C40" s="764" t="s">
        <v>376</v>
      </c>
      <c r="D40" s="765"/>
      <c r="E40" s="743" t="s">
        <v>388</v>
      </c>
      <c r="F40" s="744"/>
    </row>
    <row r="41" spans="1:13" ht="15" customHeight="1" x14ac:dyDescent="0.25">
      <c r="B41" s="777"/>
      <c r="C41" s="737"/>
      <c r="D41" s="738"/>
      <c r="E41" s="745"/>
      <c r="F41" s="746"/>
    </row>
    <row r="42" spans="1:13" ht="19.5" customHeight="1" x14ac:dyDescent="0.25">
      <c r="B42" s="777"/>
      <c r="C42" s="737"/>
      <c r="D42" s="738"/>
      <c r="E42" s="745"/>
      <c r="F42" s="746"/>
    </row>
    <row r="43" spans="1:13" ht="15" customHeight="1" x14ac:dyDescent="0.25">
      <c r="B43" s="777"/>
      <c r="C43" s="737" t="s">
        <v>377</v>
      </c>
      <c r="D43" s="738"/>
      <c r="E43" s="745" t="s">
        <v>389</v>
      </c>
      <c r="F43" s="746"/>
    </row>
    <row r="44" spans="1:13" ht="15" customHeight="1" x14ac:dyDescent="0.25">
      <c r="B44" s="777"/>
      <c r="C44" s="737"/>
      <c r="D44" s="738"/>
      <c r="E44" s="745"/>
      <c r="F44" s="746"/>
    </row>
    <row r="45" spans="1:13" ht="30" customHeight="1" x14ac:dyDescent="0.25">
      <c r="B45" s="777"/>
      <c r="C45" s="737"/>
      <c r="D45" s="738"/>
      <c r="E45" s="745"/>
      <c r="F45" s="746"/>
    </row>
    <row r="46" spans="1:13" ht="15" customHeight="1" x14ac:dyDescent="0.25">
      <c r="B46" s="777"/>
      <c r="C46" s="737" t="s">
        <v>378</v>
      </c>
      <c r="D46" s="738"/>
      <c r="E46" s="745" t="s">
        <v>390</v>
      </c>
      <c r="F46" s="746"/>
    </row>
    <row r="47" spans="1:13" ht="15" customHeight="1" x14ac:dyDescent="0.25">
      <c r="B47" s="777"/>
      <c r="C47" s="737"/>
      <c r="D47" s="738"/>
      <c r="E47" s="745"/>
      <c r="F47" s="746"/>
    </row>
    <row r="48" spans="1:13" ht="24" customHeight="1" x14ac:dyDescent="0.25">
      <c r="B48" s="777"/>
      <c r="C48" s="737"/>
      <c r="D48" s="738"/>
      <c r="E48" s="745"/>
      <c r="F48" s="746"/>
    </row>
    <row r="49" spans="2:6" ht="15" customHeight="1" x14ac:dyDescent="0.25">
      <c r="B49" s="777"/>
      <c r="C49" s="737" t="s">
        <v>379</v>
      </c>
      <c r="D49" s="738"/>
      <c r="E49" s="747" t="s">
        <v>391</v>
      </c>
      <c r="F49" s="748"/>
    </row>
    <row r="50" spans="2:6" ht="15" customHeight="1" x14ac:dyDescent="0.25">
      <c r="B50" s="777"/>
      <c r="C50" s="737"/>
      <c r="D50" s="738"/>
      <c r="E50" s="749"/>
      <c r="F50" s="750"/>
    </row>
    <row r="51" spans="2:6" ht="15.75" customHeight="1" x14ac:dyDescent="0.25">
      <c r="B51" s="777"/>
      <c r="C51" s="737"/>
      <c r="D51" s="738"/>
      <c r="E51" s="749"/>
      <c r="F51" s="750"/>
    </row>
    <row r="52" spans="2:6" ht="15" customHeight="1" x14ac:dyDescent="0.25">
      <c r="B52" s="777"/>
      <c r="C52" s="737"/>
      <c r="D52" s="738"/>
      <c r="E52" s="749"/>
      <c r="F52" s="750"/>
    </row>
    <row r="53" spans="2:6" ht="5.25" customHeight="1" thickBot="1" x14ac:dyDescent="0.3">
      <c r="B53" s="778"/>
      <c r="C53" s="739"/>
      <c r="D53" s="740"/>
      <c r="E53" s="751"/>
      <c r="F53" s="752"/>
    </row>
    <row r="55" spans="2:6" ht="15.75" thickBot="1" x14ac:dyDescent="0.3"/>
    <row r="56" spans="2:6" ht="27" thickBot="1" x14ac:dyDescent="0.45">
      <c r="B56" s="753" t="s">
        <v>28</v>
      </c>
      <c r="C56" s="754"/>
      <c r="D56" s="755"/>
    </row>
    <row r="57" spans="2:6" ht="18" customHeight="1" thickBot="1" x14ac:dyDescent="0.3">
      <c r="B57" s="646" t="s">
        <v>32</v>
      </c>
      <c r="C57" s="646" t="s">
        <v>33</v>
      </c>
      <c r="D57" s="646" t="s">
        <v>40</v>
      </c>
    </row>
    <row r="58" spans="2:6" ht="18" customHeight="1" x14ac:dyDescent="0.25">
      <c r="B58" s="647" t="s">
        <v>383</v>
      </c>
      <c r="C58" s="648">
        <v>2000000</v>
      </c>
      <c r="D58" s="657" t="s">
        <v>266</v>
      </c>
    </row>
    <row r="59" spans="2:6" ht="18" customHeight="1" x14ac:dyDescent="0.25">
      <c r="B59" s="647" t="s">
        <v>380</v>
      </c>
      <c r="C59" s="648">
        <v>2300000</v>
      </c>
      <c r="D59" s="657" t="s">
        <v>266</v>
      </c>
    </row>
    <row r="60" spans="2:6" ht="18" customHeight="1" x14ac:dyDescent="0.25">
      <c r="B60" s="647" t="s">
        <v>381</v>
      </c>
      <c r="C60" s="648">
        <v>2300000</v>
      </c>
      <c r="D60" s="657" t="s">
        <v>266</v>
      </c>
    </row>
    <row r="61" spans="2:6" ht="18" customHeight="1" thickBot="1" x14ac:dyDescent="0.3">
      <c r="B61" s="649" t="s">
        <v>382</v>
      </c>
      <c r="C61" s="650">
        <v>2500000</v>
      </c>
      <c r="D61" s="657" t="s">
        <v>266</v>
      </c>
    </row>
    <row r="62" spans="2:6" ht="18" customHeight="1" x14ac:dyDescent="0.25">
      <c r="B62" s="651" t="s">
        <v>384</v>
      </c>
      <c r="C62" s="652">
        <v>300000</v>
      </c>
      <c r="D62" s="658" t="s">
        <v>266</v>
      </c>
    </row>
    <row r="63" spans="2:6" ht="18" customHeight="1" x14ac:dyDescent="0.25">
      <c r="B63" s="653" t="s">
        <v>385</v>
      </c>
      <c r="C63" s="654">
        <v>500000</v>
      </c>
      <c r="D63" s="659" t="s">
        <v>266</v>
      </c>
    </row>
    <row r="64" spans="2:6" ht="18" customHeight="1" x14ac:dyDescent="0.25">
      <c r="B64" s="653" t="s">
        <v>386</v>
      </c>
      <c r="C64" s="654">
        <v>600000</v>
      </c>
      <c r="D64" s="659" t="s">
        <v>266</v>
      </c>
    </row>
    <row r="65" spans="2:4" ht="18" customHeight="1" thickBot="1" x14ac:dyDescent="0.3">
      <c r="B65" s="655" t="s">
        <v>387</v>
      </c>
      <c r="C65" s="656">
        <v>800000</v>
      </c>
      <c r="D65" s="660" t="s">
        <v>266</v>
      </c>
    </row>
  </sheetData>
  <mergeCells count="25">
    <mergeCell ref="B3:I3"/>
    <mergeCell ref="B22:D22"/>
    <mergeCell ref="C36:F38"/>
    <mergeCell ref="B40:B53"/>
    <mergeCell ref="B4:I4"/>
    <mergeCell ref="B7:I7"/>
    <mergeCell ref="B8:I8"/>
    <mergeCell ref="B5:I5"/>
    <mergeCell ref="C43:D45"/>
    <mergeCell ref="B56:D56"/>
    <mergeCell ref="B15:I15"/>
    <mergeCell ref="B16:I16"/>
    <mergeCell ref="B33:D33"/>
    <mergeCell ref="E33:F33"/>
    <mergeCell ref="B35:D35"/>
    <mergeCell ref="E35:F35"/>
    <mergeCell ref="C40:D42"/>
    <mergeCell ref="C46:D48"/>
    <mergeCell ref="C49:D53"/>
    <mergeCell ref="C39:D39"/>
    <mergeCell ref="E40:F42"/>
    <mergeCell ref="E43:F45"/>
    <mergeCell ref="E46:F48"/>
    <mergeCell ref="E39:F39"/>
    <mergeCell ref="E49:F5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W183"/>
  <sheetViews>
    <sheetView zoomScale="85" zoomScaleNormal="85" workbookViewId="0">
      <pane xSplit="2" ySplit="1" topLeftCell="C11" activePane="bottomRight" state="frozen"/>
      <selection pane="topRight" activeCell="C1" sqref="C1"/>
      <selection pane="bottomLeft" activeCell="A2" sqref="A2"/>
      <selection pane="bottomRight" activeCell="A32" sqref="A32"/>
    </sheetView>
  </sheetViews>
  <sheetFormatPr defaultColWidth="11.42578125" defaultRowHeight="15" x14ac:dyDescent="0.25"/>
  <cols>
    <col min="1" max="1" width="44.5703125" style="1" customWidth="1"/>
    <col min="2" max="2" width="20.5703125" style="1" customWidth="1"/>
    <col min="3" max="3" width="19" style="1" bestFit="1" customWidth="1"/>
    <col min="4" max="4" width="37.2851562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179" s="663" customFormat="1" ht="58.5" customHeight="1" thickTop="1" thickBot="1" x14ac:dyDescent="0.3">
      <c r="A1" s="661"/>
      <c r="B1" s="662" t="s">
        <v>2</v>
      </c>
      <c r="G1" s="664"/>
      <c r="H1" s="664"/>
      <c r="I1" s="664"/>
      <c r="J1" s="664"/>
    </row>
    <row r="2" spans="1:179" ht="15.75" thickTop="1" x14ac:dyDescent="0.25"/>
    <row r="4" spans="1:179" ht="15.75" thickBot="1" x14ac:dyDescent="0.3">
      <c r="A4" s="29"/>
      <c r="B4" s="29"/>
      <c r="C4" s="29"/>
      <c r="D4" s="29"/>
      <c r="E4" s="29"/>
      <c r="F4" s="29"/>
      <c r="G4" s="32"/>
      <c r="H4" s="32"/>
      <c r="I4" s="32"/>
      <c r="J4" s="32"/>
      <c r="K4" s="32"/>
      <c r="L4" s="32"/>
      <c r="M4" s="32"/>
      <c r="N4" s="32"/>
      <c r="O4" s="32"/>
      <c r="P4" s="32"/>
      <c r="Q4" s="32"/>
      <c r="R4" s="32"/>
      <c r="S4" s="32"/>
      <c r="T4" s="32"/>
      <c r="U4" s="32"/>
      <c r="V4" s="32"/>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row>
    <row r="5" spans="1:179" s="102" customFormat="1" ht="27" thickBot="1" x14ac:dyDescent="0.45">
      <c r="A5" s="30"/>
      <c r="B5" s="860" t="s">
        <v>36</v>
      </c>
      <c r="C5" s="861"/>
      <c r="D5" s="862"/>
      <c r="E5" s="1"/>
      <c r="F5" s="1"/>
      <c r="G5" s="860" t="s">
        <v>62</v>
      </c>
      <c r="H5" s="861"/>
      <c r="I5" s="861"/>
      <c r="J5" s="861"/>
      <c r="K5" s="861"/>
      <c r="L5" s="862"/>
      <c r="M5" s="39"/>
      <c r="N5" s="39"/>
      <c r="O5" s="39"/>
      <c r="P5" s="39"/>
      <c r="Q5" s="39"/>
      <c r="R5" s="39"/>
      <c r="S5" s="39"/>
      <c r="T5" s="39"/>
      <c r="U5" s="39"/>
      <c r="AJ5" s="32"/>
      <c r="AK5" s="32"/>
      <c r="AL5" s="32"/>
      <c r="AM5" s="32"/>
      <c r="AN5" s="32"/>
      <c r="AO5" s="32"/>
      <c r="AP5" s="32"/>
      <c r="AQ5" s="32"/>
      <c r="AR5" s="32"/>
      <c r="AS5" s="32"/>
      <c r="AT5" s="32"/>
      <c r="AU5" s="32"/>
      <c r="AV5" s="32"/>
      <c r="AW5" s="32"/>
    </row>
    <row r="6" spans="1:179" s="102" customFormat="1" ht="30" customHeight="1" thickBot="1" x14ac:dyDescent="0.3">
      <c r="A6" s="31"/>
      <c r="B6" s="686">
        <v>2022</v>
      </c>
      <c r="C6" s="686">
        <v>2023</v>
      </c>
      <c r="D6" s="686">
        <v>2024</v>
      </c>
      <c r="E6" s="1"/>
      <c r="F6" s="1"/>
      <c r="G6" s="868" t="s">
        <v>401</v>
      </c>
      <c r="H6" s="869"/>
      <c r="I6" s="869"/>
      <c r="J6" s="869"/>
      <c r="K6" s="869"/>
      <c r="L6" s="870"/>
      <c r="M6" s="101"/>
      <c r="N6" s="101"/>
      <c r="O6" s="101"/>
      <c r="P6" s="101"/>
      <c r="Q6" s="101"/>
      <c r="R6" s="101"/>
      <c r="S6" s="101"/>
      <c r="T6" s="101"/>
      <c r="U6" s="101"/>
      <c r="AJ6" s="32"/>
      <c r="AK6" s="32"/>
      <c r="AL6" s="32"/>
      <c r="AM6" s="32"/>
      <c r="AN6" s="32"/>
      <c r="AO6" s="32"/>
      <c r="AP6" s="32"/>
      <c r="AQ6" s="32"/>
      <c r="AR6" s="32"/>
      <c r="AS6" s="32"/>
      <c r="AT6" s="32"/>
      <c r="AU6" s="32"/>
      <c r="AV6" s="32"/>
      <c r="AW6" s="32"/>
    </row>
    <row r="7" spans="1:179" s="102" customFormat="1" ht="21" customHeight="1" x14ac:dyDescent="0.25">
      <c r="A7" s="31"/>
      <c r="B7" s="687">
        <f>Hipótesis!C24</f>
        <v>0.03</v>
      </c>
      <c r="C7" s="688">
        <f>Hipótesis!C25</f>
        <v>7.0000000000000007E-2</v>
      </c>
      <c r="D7" s="689">
        <f>Hipótesis!C26</f>
        <v>0.12</v>
      </c>
      <c r="E7" s="1"/>
      <c r="F7" s="1"/>
      <c r="G7" s="871"/>
      <c r="H7" s="872"/>
      <c r="I7" s="872"/>
      <c r="J7" s="872"/>
      <c r="K7" s="872"/>
      <c r="L7" s="873"/>
      <c r="M7" s="101"/>
      <c r="N7" s="101"/>
      <c r="O7" s="101"/>
      <c r="P7" s="101"/>
      <c r="Q7" s="101"/>
      <c r="R7" s="101"/>
      <c r="S7" s="101"/>
      <c r="T7" s="101"/>
      <c r="U7" s="101"/>
      <c r="AJ7" s="32"/>
      <c r="AK7" s="32"/>
      <c r="AL7" s="32"/>
      <c r="AM7" s="32"/>
      <c r="AN7" s="32"/>
      <c r="AO7" s="32"/>
      <c r="AP7" s="32"/>
      <c r="AQ7" s="32"/>
      <c r="AR7" s="32"/>
      <c r="AS7" s="32"/>
      <c r="AT7" s="32"/>
      <c r="AU7" s="32"/>
      <c r="AV7" s="32"/>
      <c r="AW7" s="32"/>
    </row>
    <row r="8" spans="1:179" s="102" customFormat="1" ht="21" customHeight="1" thickBot="1" x14ac:dyDescent="0.3">
      <c r="A8" s="31"/>
      <c r="B8" s="690">
        <f>Hipótesis!D24</f>
        <v>18750000</v>
      </c>
      <c r="C8" s="691">
        <f>Hipótesis!D25</f>
        <v>43750000.000000007</v>
      </c>
      <c r="D8" s="692">
        <f>Hipótesis!D26</f>
        <v>75000000</v>
      </c>
      <c r="E8" s="1"/>
      <c r="F8" s="1"/>
      <c r="G8" s="871"/>
      <c r="H8" s="872"/>
      <c r="I8" s="872"/>
      <c r="J8" s="872"/>
      <c r="K8" s="872"/>
      <c r="L8" s="873"/>
      <c r="M8" s="101"/>
      <c r="N8" s="101"/>
      <c r="O8" s="101"/>
      <c r="P8" s="101"/>
      <c r="Q8" s="101"/>
      <c r="R8" s="101"/>
      <c r="S8" s="101"/>
      <c r="T8" s="101"/>
      <c r="U8" s="101"/>
      <c r="AJ8" s="32"/>
      <c r="AK8" s="32"/>
      <c r="AL8" s="32"/>
      <c r="AM8" s="32"/>
      <c r="AN8" s="32"/>
      <c r="AO8" s="32"/>
      <c r="AP8" s="32"/>
      <c r="AQ8" s="32"/>
      <c r="AR8" s="32"/>
      <c r="AS8" s="32"/>
      <c r="AT8" s="32"/>
      <c r="AU8" s="32"/>
      <c r="AV8" s="32"/>
      <c r="AW8" s="32"/>
    </row>
    <row r="9" spans="1:179" s="102" customFormat="1" x14ac:dyDescent="0.25">
      <c r="A9" s="29"/>
      <c r="B9" s="29"/>
      <c r="C9" s="29"/>
      <c r="D9" s="29"/>
      <c r="E9" s="1"/>
      <c r="F9" s="1"/>
      <c r="G9" s="871"/>
      <c r="H9" s="872"/>
      <c r="I9" s="872"/>
      <c r="J9" s="872"/>
      <c r="K9" s="872"/>
      <c r="L9" s="873"/>
      <c r="M9" s="101"/>
      <c r="N9" s="101"/>
      <c r="O9" s="101"/>
      <c r="P9" s="101"/>
      <c r="Q9" s="101"/>
      <c r="R9" s="101"/>
      <c r="S9" s="101"/>
      <c r="T9" s="101"/>
      <c r="U9" s="101"/>
      <c r="AJ9" s="32"/>
      <c r="AK9" s="32"/>
      <c r="AL9" s="32"/>
      <c r="AM9" s="32"/>
      <c r="AN9" s="32"/>
      <c r="AO9" s="32"/>
      <c r="AP9" s="32"/>
      <c r="AQ9" s="32"/>
      <c r="AR9" s="32"/>
      <c r="AS9" s="32"/>
      <c r="AT9" s="32"/>
      <c r="AU9" s="32"/>
      <c r="AV9" s="32"/>
      <c r="AW9" s="32"/>
    </row>
    <row r="10" spans="1:179" s="102" customFormat="1" x14ac:dyDescent="0.25">
      <c r="A10" s="29" t="s">
        <v>54</v>
      </c>
      <c r="B10" s="29"/>
      <c r="C10" s="29"/>
      <c r="D10" s="29"/>
      <c r="E10" s="1"/>
      <c r="F10" s="1"/>
      <c r="G10" s="871"/>
      <c r="H10" s="872"/>
      <c r="I10" s="872"/>
      <c r="J10" s="872"/>
      <c r="K10" s="872"/>
      <c r="L10" s="873"/>
      <c r="M10" s="101"/>
      <c r="N10" s="101"/>
      <c r="O10" s="101"/>
      <c r="P10" s="101"/>
      <c r="Q10" s="101"/>
      <c r="R10" s="101"/>
      <c r="S10" s="101"/>
      <c r="T10" s="101"/>
      <c r="U10" s="101"/>
      <c r="AJ10" s="32"/>
      <c r="AK10" s="32"/>
      <c r="AL10" s="32"/>
      <c r="AM10" s="32"/>
      <c r="AN10" s="32"/>
      <c r="AO10" s="32"/>
      <c r="AP10" s="32"/>
      <c r="AQ10" s="32"/>
      <c r="AR10" s="32"/>
      <c r="AS10" s="32"/>
      <c r="AT10" s="32"/>
      <c r="AU10" s="32"/>
      <c r="AV10" s="32"/>
      <c r="AW10" s="32"/>
    </row>
    <row r="11" spans="1:179" s="102" customFormat="1" x14ac:dyDescent="0.25">
      <c r="A11" s="29"/>
      <c r="B11" s="29"/>
      <c r="C11" s="29"/>
      <c r="D11" s="29"/>
      <c r="E11" s="1"/>
      <c r="F11" s="1"/>
      <c r="G11" s="871"/>
      <c r="H11" s="872"/>
      <c r="I11" s="872"/>
      <c r="J11" s="872"/>
      <c r="K11" s="872"/>
      <c r="L11" s="873"/>
      <c r="M11" s="101"/>
      <c r="N11" s="101"/>
      <c r="O11" s="101"/>
      <c r="P11" s="101"/>
      <c r="Q11" s="101"/>
      <c r="R11" s="101"/>
      <c r="S11" s="101"/>
      <c r="T11" s="101"/>
      <c r="U11" s="101"/>
      <c r="AJ11" s="32"/>
      <c r="AK11" s="32"/>
      <c r="AL11" s="32"/>
      <c r="AM11" s="32"/>
      <c r="AN11" s="32"/>
      <c r="AO11" s="32"/>
      <c r="AP11" s="32"/>
      <c r="AQ11" s="32"/>
      <c r="AR11" s="32"/>
      <c r="AS11" s="32"/>
      <c r="AT11" s="32"/>
      <c r="AU11" s="32"/>
      <c r="AV11" s="32"/>
      <c r="AW11" s="32"/>
    </row>
    <row r="12" spans="1:179" s="102" customFormat="1" ht="64.5" customHeight="1" thickBot="1" x14ac:dyDescent="0.3">
      <c r="A12" s="29"/>
      <c r="B12" s="29"/>
      <c r="C12" s="29"/>
      <c r="D12" s="29"/>
      <c r="E12" s="29"/>
      <c r="F12" s="29"/>
      <c r="G12" s="874"/>
      <c r="H12" s="875"/>
      <c r="I12" s="875"/>
      <c r="J12" s="875"/>
      <c r="K12" s="875"/>
      <c r="L12" s="876"/>
      <c r="M12" s="101"/>
      <c r="N12" s="101"/>
      <c r="O12" s="101"/>
      <c r="P12" s="101"/>
      <c r="Q12" s="101"/>
      <c r="R12" s="101"/>
      <c r="S12" s="101"/>
      <c r="T12" s="101"/>
      <c r="U12" s="101"/>
      <c r="AJ12" s="32"/>
      <c r="AK12" s="32"/>
      <c r="AL12" s="32"/>
      <c r="AM12" s="32"/>
      <c r="AN12" s="32"/>
      <c r="AO12" s="32"/>
      <c r="AP12" s="32"/>
      <c r="AQ12" s="32"/>
      <c r="AR12" s="32"/>
      <c r="AS12" s="32"/>
      <c r="AT12" s="32"/>
      <c r="AU12" s="32"/>
      <c r="AV12" s="32"/>
      <c r="AW12" s="32"/>
    </row>
    <row r="13" spans="1:179" x14ac:dyDescent="0.25">
      <c r="A13" s="29"/>
      <c r="B13" s="29"/>
      <c r="C13" s="29"/>
      <c r="D13" s="29"/>
      <c r="E13" s="29"/>
      <c r="F13" s="29"/>
      <c r="G13" s="32"/>
      <c r="H13" s="32"/>
      <c r="I13" s="32"/>
      <c r="J13" s="32"/>
      <c r="K13" s="32"/>
      <c r="L13" s="32"/>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row>
    <row r="14" spans="1:179" ht="15.75" thickBot="1"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row>
    <row r="15" spans="1:179" s="685" customFormat="1" ht="27" thickBot="1" x14ac:dyDescent="0.45">
      <c r="A15" s="842" t="s">
        <v>392</v>
      </c>
      <c r="B15" s="843"/>
      <c r="C15" s="843"/>
      <c r="D15" s="843"/>
      <c r="E15" s="843"/>
      <c r="F15" s="843"/>
      <c r="G15" s="843"/>
      <c r="H15" s="843"/>
      <c r="I15" s="843"/>
      <c r="J15" s="843"/>
      <c r="K15" s="843"/>
      <c r="L15" s="843"/>
      <c r="M15" s="843"/>
      <c r="N15" s="843"/>
      <c r="O15" s="843"/>
      <c r="P15" s="843"/>
      <c r="Q15" s="843"/>
      <c r="R15" s="843"/>
      <c r="S15" s="843"/>
      <c r="T15" s="843"/>
      <c r="U15" s="843"/>
      <c r="V15" s="843"/>
      <c r="W15" s="843"/>
      <c r="X15" s="843"/>
      <c r="Y15" s="843"/>
      <c r="Z15" s="843"/>
      <c r="AA15" s="843"/>
      <c r="AB15" s="843"/>
      <c r="AC15" s="718"/>
      <c r="AD15" s="719"/>
      <c r="AE15" s="719"/>
      <c r="AF15" s="719"/>
      <c r="AG15" s="719"/>
      <c r="AH15" s="719"/>
      <c r="AI15" s="719"/>
      <c r="AJ15" s="719"/>
      <c r="AK15" s="719"/>
      <c r="AL15" s="719"/>
      <c r="AM15" s="719"/>
      <c r="AN15" s="719"/>
      <c r="AO15" s="719"/>
      <c r="AP15" s="719"/>
      <c r="AQ15" s="719"/>
      <c r="AR15" s="719"/>
      <c r="AS15" s="719"/>
      <c r="AT15" s="719"/>
      <c r="AU15" s="719"/>
      <c r="AV15" s="719"/>
      <c r="AW15" s="719"/>
      <c r="AX15" s="720"/>
      <c r="AY15" s="720"/>
      <c r="AZ15" s="720"/>
      <c r="BA15" s="720"/>
      <c r="BB15" s="720"/>
      <c r="BC15" s="720"/>
      <c r="BD15" s="720"/>
      <c r="BE15" s="720"/>
      <c r="BF15" s="720"/>
      <c r="BG15" s="720"/>
      <c r="BH15" s="720"/>
      <c r="BI15" s="720"/>
      <c r="BJ15" s="720"/>
      <c r="BK15" s="720"/>
      <c r="BL15" s="720"/>
      <c r="BM15" s="720"/>
      <c r="BN15" s="720"/>
      <c r="BO15" s="720"/>
      <c r="BP15" s="720"/>
      <c r="BQ15" s="720"/>
      <c r="BR15" s="720"/>
      <c r="BS15" s="720"/>
      <c r="BT15" s="720"/>
      <c r="BU15" s="720"/>
      <c r="BV15" s="720"/>
      <c r="BW15" s="720"/>
      <c r="BX15" s="720"/>
      <c r="BY15" s="720"/>
      <c r="BZ15" s="720"/>
      <c r="CA15" s="720"/>
      <c r="CB15" s="720"/>
      <c r="CC15" s="720"/>
      <c r="CD15" s="720"/>
      <c r="CE15" s="720"/>
      <c r="CF15" s="720"/>
      <c r="CG15" s="720"/>
      <c r="CH15" s="720"/>
      <c r="CI15" s="720"/>
      <c r="CJ15" s="720"/>
      <c r="CK15" s="720"/>
      <c r="CL15" s="720"/>
      <c r="CM15" s="720"/>
      <c r="CN15" s="720"/>
      <c r="CO15" s="720"/>
      <c r="CP15" s="720"/>
      <c r="CQ15" s="720"/>
      <c r="CR15" s="720"/>
      <c r="CS15" s="720"/>
      <c r="CT15" s="720"/>
      <c r="CU15" s="720"/>
      <c r="CV15" s="720"/>
      <c r="CW15" s="720"/>
      <c r="CX15" s="720"/>
      <c r="CY15" s="720"/>
      <c r="CZ15" s="720"/>
      <c r="DA15" s="720"/>
      <c r="DB15" s="720"/>
      <c r="DC15" s="720"/>
      <c r="DD15" s="720"/>
      <c r="DE15" s="720"/>
      <c r="DF15" s="720"/>
      <c r="DG15" s="720"/>
      <c r="DH15" s="720"/>
      <c r="DI15" s="720"/>
      <c r="DJ15" s="720"/>
      <c r="DK15" s="720"/>
      <c r="DL15" s="720"/>
      <c r="DM15" s="720"/>
      <c r="DN15" s="720"/>
      <c r="DO15" s="720"/>
      <c r="DP15" s="720"/>
      <c r="DQ15" s="720"/>
      <c r="DR15" s="720"/>
      <c r="DS15" s="720"/>
      <c r="DT15" s="720"/>
      <c r="DU15" s="720"/>
      <c r="DV15" s="720"/>
      <c r="DW15" s="720"/>
      <c r="DX15" s="720"/>
      <c r="DY15" s="720"/>
      <c r="DZ15" s="720"/>
      <c r="EA15" s="720"/>
      <c r="EB15" s="720"/>
      <c r="EC15" s="720"/>
      <c r="ED15" s="720"/>
      <c r="EE15" s="720"/>
      <c r="EF15" s="720"/>
      <c r="EG15" s="720"/>
      <c r="EH15" s="720"/>
      <c r="EI15" s="720"/>
      <c r="EJ15" s="720"/>
      <c r="EK15" s="720"/>
      <c r="EL15" s="720"/>
      <c r="EM15" s="720"/>
      <c r="EN15" s="720"/>
      <c r="EO15" s="720"/>
      <c r="EP15" s="720"/>
      <c r="EQ15" s="720"/>
      <c r="ER15" s="720"/>
      <c r="ES15" s="720"/>
      <c r="ET15" s="720"/>
      <c r="EU15" s="720"/>
      <c r="EV15" s="720"/>
      <c r="EW15" s="720"/>
      <c r="EX15" s="720"/>
      <c r="EY15" s="720"/>
      <c r="EZ15" s="720"/>
      <c r="FA15" s="720"/>
      <c r="FB15" s="720"/>
      <c r="FC15" s="720"/>
      <c r="FD15" s="720"/>
      <c r="FE15" s="720"/>
      <c r="FF15" s="720"/>
      <c r="FG15" s="720"/>
      <c r="FH15" s="720"/>
      <c r="FI15" s="720"/>
      <c r="FJ15" s="720"/>
      <c r="FK15" s="720"/>
      <c r="FL15" s="720"/>
      <c r="FM15" s="720"/>
      <c r="FN15" s="721"/>
      <c r="FO15" s="721"/>
      <c r="FP15" s="721"/>
      <c r="FQ15" s="721"/>
      <c r="FR15" s="721"/>
      <c r="FS15" s="721"/>
      <c r="FT15" s="721"/>
      <c r="FU15" s="721"/>
      <c r="FV15" s="721"/>
      <c r="FW15" s="721"/>
    </row>
    <row r="16" spans="1:179" s="633" customFormat="1" x14ac:dyDescent="0.25">
      <c r="A16" s="849" t="s">
        <v>32</v>
      </c>
      <c r="B16" s="849" t="s">
        <v>33</v>
      </c>
      <c r="C16" s="863" t="s">
        <v>61</v>
      </c>
      <c r="D16" s="864"/>
      <c r="E16" s="852" t="s">
        <v>42</v>
      </c>
      <c r="F16" s="853"/>
      <c r="G16" s="852" t="s">
        <v>43</v>
      </c>
      <c r="H16" s="853"/>
      <c r="I16" s="852" t="s">
        <v>44</v>
      </c>
      <c r="J16" s="853"/>
      <c r="K16" s="852" t="s">
        <v>45</v>
      </c>
      <c r="L16" s="853"/>
      <c r="M16" s="852" t="s">
        <v>46</v>
      </c>
      <c r="N16" s="853"/>
      <c r="O16" s="852" t="s">
        <v>47</v>
      </c>
      <c r="P16" s="853"/>
      <c r="Q16" s="852" t="s">
        <v>48</v>
      </c>
      <c r="R16" s="853"/>
      <c r="S16" s="852" t="s">
        <v>49</v>
      </c>
      <c r="T16" s="853"/>
      <c r="U16" s="852" t="s">
        <v>50</v>
      </c>
      <c r="V16" s="853"/>
      <c r="W16" s="852" t="s">
        <v>51</v>
      </c>
      <c r="X16" s="853"/>
      <c r="Y16" s="852" t="s">
        <v>52</v>
      </c>
      <c r="Z16" s="853"/>
      <c r="AA16" s="852" t="s">
        <v>53</v>
      </c>
      <c r="AB16" s="855"/>
      <c r="AC16" s="718"/>
      <c r="AD16" s="719"/>
      <c r="AE16" s="719"/>
      <c r="AF16" s="719"/>
      <c r="AG16" s="719"/>
      <c r="AH16" s="719"/>
      <c r="AI16" s="719"/>
      <c r="AJ16" s="719"/>
      <c r="AK16" s="719"/>
      <c r="AL16" s="719"/>
      <c r="AM16" s="719"/>
      <c r="AN16" s="719"/>
      <c r="AO16" s="719"/>
      <c r="AP16" s="719"/>
      <c r="AQ16" s="719"/>
      <c r="AR16" s="719"/>
      <c r="AS16" s="719"/>
      <c r="AT16" s="719"/>
      <c r="AU16" s="719"/>
      <c r="AV16" s="719"/>
      <c r="AW16" s="719"/>
      <c r="AX16" s="720"/>
      <c r="AY16" s="720"/>
      <c r="AZ16" s="720"/>
      <c r="BA16" s="720"/>
      <c r="BB16" s="720"/>
      <c r="BC16" s="720"/>
      <c r="BD16" s="720"/>
      <c r="BE16" s="720"/>
      <c r="BF16" s="720"/>
      <c r="BG16" s="720"/>
      <c r="BH16" s="720"/>
      <c r="BI16" s="720"/>
      <c r="BJ16" s="720"/>
      <c r="BK16" s="720"/>
      <c r="BL16" s="720"/>
      <c r="BM16" s="720"/>
      <c r="BN16" s="720"/>
      <c r="BO16" s="720"/>
      <c r="BP16" s="720"/>
      <c r="BQ16" s="720"/>
      <c r="BR16" s="720"/>
      <c r="BS16" s="720"/>
      <c r="BT16" s="720"/>
      <c r="BU16" s="720"/>
      <c r="BV16" s="720"/>
      <c r="BW16" s="720"/>
      <c r="BX16" s="720"/>
      <c r="BY16" s="720"/>
      <c r="BZ16" s="720"/>
      <c r="CA16" s="720"/>
      <c r="CB16" s="720"/>
      <c r="CC16" s="720"/>
      <c r="CD16" s="720"/>
      <c r="CE16" s="720"/>
      <c r="CF16" s="720"/>
      <c r="CG16" s="720"/>
      <c r="CH16" s="720"/>
      <c r="CI16" s="720"/>
      <c r="CJ16" s="720"/>
      <c r="CK16" s="720"/>
      <c r="CL16" s="720"/>
      <c r="CM16" s="720"/>
      <c r="CN16" s="720"/>
      <c r="CO16" s="720"/>
      <c r="CP16" s="720"/>
      <c r="CQ16" s="720"/>
      <c r="CR16" s="720"/>
      <c r="CS16" s="720"/>
      <c r="CT16" s="720"/>
      <c r="CU16" s="720"/>
      <c r="CV16" s="720"/>
      <c r="CW16" s="720"/>
      <c r="CX16" s="720"/>
      <c r="CY16" s="720"/>
      <c r="CZ16" s="720"/>
      <c r="DA16" s="720"/>
      <c r="DB16" s="720"/>
      <c r="DC16" s="720"/>
      <c r="DD16" s="720"/>
      <c r="DE16" s="720"/>
      <c r="DF16" s="720"/>
      <c r="DG16" s="720"/>
      <c r="DH16" s="720"/>
      <c r="DI16" s="720"/>
      <c r="DJ16" s="720"/>
      <c r="DK16" s="720"/>
      <c r="DL16" s="720"/>
      <c r="DM16" s="720"/>
      <c r="DN16" s="720"/>
      <c r="DO16" s="720"/>
      <c r="DP16" s="720"/>
      <c r="DQ16" s="720"/>
      <c r="DR16" s="720"/>
      <c r="DS16" s="720"/>
      <c r="DT16" s="720"/>
      <c r="DU16" s="720"/>
      <c r="DV16" s="720"/>
      <c r="DW16" s="720"/>
      <c r="DX16" s="720"/>
      <c r="DY16" s="720"/>
      <c r="DZ16" s="720"/>
      <c r="EA16" s="720"/>
      <c r="EB16" s="720"/>
      <c r="EC16" s="720"/>
      <c r="ED16" s="720"/>
      <c r="EE16" s="720"/>
      <c r="EF16" s="720"/>
      <c r="EG16" s="720"/>
      <c r="EH16" s="720"/>
      <c r="EI16" s="720"/>
      <c r="EJ16" s="720"/>
      <c r="EK16" s="720"/>
      <c r="EL16" s="720"/>
      <c r="EM16" s="720"/>
      <c r="EN16" s="720"/>
      <c r="EO16" s="720"/>
      <c r="EP16" s="720"/>
      <c r="EQ16" s="720"/>
      <c r="ER16" s="720"/>
      <c r="ES16" s="720"/>
      <c r="ET16" s="720"/>
      <c r="EU16" s="720"/>
      <c r="EV16" s="720"/>
      <c r="EW16" s="720"/>
      <c r="EX16" s="720"/>
      <c r="EY16" s="720"/>
      <c r="EZ16" s="720"/>
      <c r="FA16" s="720"/>
      <c r="FB16" s="720"/>
      <c r="FC16" s="720"/>
      <c r="FD16" s="720"/>
      <c r="FE16" s="720"/>
      <c r="FF16" s="720"/>
      <c r="FG16" s="720"/>
      <c r="FH16" s="720"/>
      <c r="FI16" s="720"/>
      <c r="FJ16" s="720"/>
      <c r="FK16" s="720"/>
      <c r="FL16" s="720"/>
      <c r="FM16" s="720"/>
      <c r="FN16" s="722"/>
      <c r="FO16" s="722"/>
      <c r="FP16" s="722"/>
      <c r="FQ16" s="722"/>
      <c r="FR16" s="722"/>
      <c r="FS16" s="722"/>
      <c r="FT16" s="722"/>
      <c r="FU16" s="722"/>
      <c r="FV16" s="722"/>
      <c r="FW16" s="722"/>
    </row>
    <row r="17" spans="1:179" x14ac:dyDescent="0.25">
      <c r="A17" s="850"/>
      <c r="B17" s="850"/>
      <c r="C17" s="856" t="s">
        <v>60</v>
      </c>
      <c r="D17" s="858" t="s">
        <v>41</v>
      </c>
      <c r="E17" s="845">
        <v>0.06</v>
      </c>
      <c r="F17" s="854"/>
      <c r="G17" s="845">
        <v>0.04</v>
      </c>
      <c r="H17" s="854"/>
      <c r="I17" s="845">
        <v>0.08</v>
      </c>
      <c r="J17" s="854"/>
      <c r="K17" s="845">
        <v>7.0000000000000007E-2</v>
      </c>
      <c r="L17" s="854"/>
      <c r="M17" s="845">
        <v>0.11</v>
      </c>
      <c r="N17" s="854"/>
      <c r="O17" s="845">
        <v>0.04</v>
      </c>
      <c r="P17" s="854"/>
      <c r="Q17" s="845">
        <v>0.06</v>
      </c>
      <c r="R17" s="854"/>
      <c r="S17" s="845">
        <v>0.12</v>
      </c>
      <c r="T17" s="854"/>
      <c r="U17" s="845">
        <v>0.11</v>
      </c>
      <c r="V17" s="854"/>
      <c r="W17" s="845">
        <v>0.14000000000000001</v>
      </c>
      <c r="X17" s="854"/>
      <c r="Y17" s="845">
        <v>0.08</v>
      </c>
      <c r="Z17" s="854"/>
      <c r="AA17" s="845">
        <v>0.09</v>
      </c>
      <c r="AB17" s="846"/>
      <c r="AC17" s="718"/>
      <c r="AD17" s="719"/>
      <c r="AE17" s="719"/>
      <c r="AF17" s="719"/>
      <c r="AG17" s="719"/>
      <c r="AH17" s="719"/>
      <c r="AI17" s="719"/>
      <c r="AJ17" s="719"/>
      <c r="AK17" s="719"/>
      <c r="AL17" s="719"/>
      <c r="AM17" s="719"/>
      <c r="AN17" s="719"/>
      <c r="AO17" s="719"/>
      <c r="AP17" s="719"/>
      <c r="AQ17" s="719"/>
      <c r="AR17" s="719"/>
      <c r="AS17" s="719"/>
      <c r="AT17" s="719"/>
      <c r="AU17" s="719"/>
      <c r="AV17" s="719"/>
      <c r="AW17" s="719"/>
      <c r="AX17" s="720"/>
      <c r="AY17" s="720"/>
      <c r="AZ17" s="720"/>
      <c r="BA17" s="720"/>
      <c r="BB17" s="720"/>
      <c r="BC17" s="720"/>
      <c r="BD17" s="720"/>
      <c r="BE17" s="720"/>
      <c r="BF17" s="720"/>
      <c r="BG17" s="720"/>
      <c r="BH17" s="720"/>
      <c r="BI17" s="720"/>
      <c r="BJ17" s="720"/>
      <c r="BK17" s="720"/>
      <c r="BL17" s="720"/>
      <c r="BM17" s="720"/>
      <c r="BN17" s="720"/>
      <c r="BO17" s="720"/>
      <c r="BP17" s="720"/>
      <c r="BQ17" s="720"/>
      <c r="BR17" s="720"/>
      <c r="BS17" s="720"/>
      <c r="BT17" s="720"/>
      <c r="BU17" s="720"/>
      <c r="BV17" s="720"/>
      <c r="BW17" s="720"/>
      <c r="BX17" s="720"/>
      <c r="BY17" s="720"/>
      <c r="BZ17" s="720"/>
      <c r="CA17" s="720"/>
      <c r="CB17" s="720"/>
      <c r="CC17" s="720"/>
      <c r="CD17" s="720"/>
      <c r="CE17" s="720"/>
      <c r="CF17" s="720"/>
      <c r="CG17" s="720"/>
      <c r="CH17" s="720"/>
      <c r="CI17" s="720"/>
      <c r="CJ17" s="720"/>
      <c r="CK17" s="720"/>
      <c r="CL17" s="720"/>
      <c r="CM17" s="720"/>
      <c r="CN17" s="720"/>
      <c r="CO17" s="720"/>
      <c r="CP17" s="720"/>
      <c r="CQ17" s="720"/>
      <c r="CR17" s="720"/>
      <c r="CS17" s="720"/>
      <c r="CT17" s="720"/>
      <c r="CU17" s="720"/>
      <c r="CV17" s="720"/>
      <c r="CW17" s="720"/>
      <c r="CX17" s="720"/>
      <c r="CY17" s="720"/>
      <c r="CZ17" s="720"/>
      <c r="DA17" s="720"/>
      <c r="DB17" s="720"/>
      <c r="DC17" s="720"/>
      <c r="DD17" s="720"/>
      <c r="DE17" s="720"/>
      <c r="DF17" s="720"/>
      <c r="DG17" s="720"/>
      <c r="DH17" s="720"/>
      <c r="DI17" s="720"/>
      <c r="DJ17" s="720"/>
      <c r="DK17" s="720"/>
      <c r="DL17" s="720"/>
      <c r="DM17" s="720"/>
      <c r="DN17" s="720"/>
      <c r="DO17" s="720"/>
      <c r="DP17" s="720"/>
      <c r="DQ17" s="720"/>
      <c r="DR17" s="720"/>
      <c r="DS17" s="720"/>
      <c r="DT17" s="720"/>
      <c r="DU17" s="720"/>
      <c r="DV17" s="720"/>
      <c r="DW17" s="720"/>
      <c r="DX17" s="720"/>
      <c r="DY17" s="720"/>
      <c r="DZ17" s="720"/>
      <c r="EA17" s="720"/>
      <c r="EB17" s="720"/>
      <c r="EC17" s="720"/>
      <c r="ED17" s="720"/>
      <c r="EE17" s="720"/>
      <c r="EF17" s="720"/>
      <c r="EG17" s="720"/>
      <c r="EH17" s="720"/>
      <c r="EI17" s="720"/>
      <c r="EJ17" s="720"/>
      <c r="EK17" s="720"/>
      <c r="EL17" s="720"/>
      <c r="EM17" s="720"/>
      <c r="EN17" s="720"/>
      <c r="EO17" s="720"/>
      <c r="EP17" s="720"/>
      <c r="EQ17" s="720"/>
      <c r="ER17" s="720"/>
      <c r="ES17" s="720"/>
      <c r="ET17" s="720"/>
      <c r="EU17" s="720"/>
      <c r="EV17" s="720"/>
      <c r="EW17" s="720"/>
      <c r="EX17" s="720"/>
      <c r="EY17" s="720"/>
      <c r="EZ17" s="720"/>
      <c r="FA17" s="720"/>
      <c r="FB17" s="720"/>
      <c r="FC17" s="720"/>
      <c r="FD17" s="720"/>
      <c r="FE17" s="720"/>
      <c r="FF17" s="720"/>
      <c r="FG17" s="720"/>
      <c r="FH17" s="720"/>
      <c r="FI17" s="720"/>
      <c r="FJ17" s="720"/>
      <c r="FK17" s="720"/>
      <c r="FL17" s="720"/>
      <c r="FM17" s="720"/>
      <c r="FN17" s="723"/>
      <c r="FO17" s="723"/>
      <c r="FP17" s="723"/>
      <c r="FQ17" s="723"/>
      <c r="FR17" s="723"/>
      <c r="FS17" s="723"/>
      <c r="FT17" s="723"/>
      <c r="FU17" s="723"/>
      <c r="FV17" s="723"/>
      <c r="FW17" s="723"/>
    </row>
    <row r="18" spans="1:179" s="633" customFormat="1" ht="15.75" customHeight="1" thickBot="1" x14ac:dyDescent="0.3">
      <c r="A18" s="851"/>
      <c r="B18" s="851"/>
      <c r="C18" s="857"/>
      <c r="D18" s="859"/>
      <c r="E18" s="683" t="s">
        <v>60</v>
      </c>
      <c r="F18" s="684" t="s">
        <v>41</v>
      </c>
      <c r="G18" s="683" t="s">
        <v>60</v>
      </c>
      <c r="H18" s="684" t="s">
        <v>41</v>
      </c>
      <c r="I18" s="683" t="s">
        <v>60</v>
      </c>
      <c r="J18" s="684" t="s">
        <v>41</v>
      </c>
      <c r="K18" s="683" t="s">
        <v>60</v>
      </c>
      <c r="L18" s="684" t="s">
        <v>41</v>
      </c>
      <c r="M18" s="683" t="s">
        <v>60</v>
      </c>
      <c r="N18" s="684" t="s">
        <v>41</v>
      </c>
      <c r="O18" s="683" t="s">
        <v>60</v>
      </c>
      <c r="P18" s="684" t="s">
        <v>41</v>
      </c>
      <c r="Q18" s="683" t="s">
        <v>60</v>
      </c>
      <c r="R18" s="684" t="s">
        <v>41</v>
      </c>
      <c r="S18" s="683" t="s">
        <v>60</v>
      </c>
      <c r="T18" s="684" t="s">
        <v>41</v>
      </c>
      <c r="U18" s="683" t="s">
        <v>60</v>
      </c>
      <c r="V18" s="684" t="s">
        <v>41</v>
      </c>
      <c r="W18" s="683" t="s">
        <v>60</v>
      </c>
      <c r="X18" s="684" t="s">
        <v>41</v>
      </c>
      <c r="Y18" s="683" t="s">
        <v>60</v>
      </c>
      <c r="Z18" s="684" t="s">
        <v>41</v>
      </c>
      <c r="AA18" s="683" t="s">
        <v>60</v>
      </c>
      <c r="AB18" s="714" t="s">
        <v>41</v>
      </c>
      <c r="AC18" s="718"/>
      <c r="AD18" s="719"/>
      <c r="AE18" s="719"/>
      <c r="AF18" s="719"/>
      <c r="AG18" s="719"/>
      <c r="AH18" s="719"/>
      <c r="AI18" s="719"/>
      <c r="AJ18" s="719"/>
      <c r="AK18" s="719"/>
      <c r="AL18" s="719"/>
      <c r="AM18" s="719"/>
      <c r="AN18" s="719"/>
      <c r="AO18" s="719"/>
      <c r="AP18" s="719"/>
      <c r="AQ18" s="719"/>
      <c r="AR18" s="719"/>
      <c r="AS18" s="719"/>
      <c r="AT18" s="719"/>
      <c r="AU18" s="719"/>
      <c r="AV18" s="719"/>
      <c r="AW18" s="719"/>
      <c r="AX18" s="720"/>
      <c r="AY18" s="720"/>
      <c r="AZ18" s="720"/>
      <c r="BA18" s="720"/>
      <c r="BB18" s="720"/>
      <c r="BC18" s="720"/>
      <c r="BD18" s="720"/>
      <c r="BE18" s="720"/>
      <c r="BF18" s="720"/>
      <c r="BG18" s="720"/>
      <c r="BH18" s="720"/>
      <c r="BI18" s="720"/>
      <c r="BJ18" s="720"/>
      <c r="BK18" s="720"/>
      <c r="BL18" s="720"/>
      <c r="BM18" s="720"/>
      <c r="BN18" s="720"/>
      <c r="BO18" s="720"/>
      <c r="BP18" s="720"/>
      <c r="BQ18" s="720"/>
      <c r="BR18" s="720"/>
      <c r="BS18" s="720"/>
      <c r="BT18" s="720"/>
      <c r="BU18" s="720"/>
      <c r="BV18" s="720"/>
      <c r="BW18" s="720"/>
      <c r="BX18" s="720"/>
      <c r="BY18" s="720"/>
      <c r="BZ18" s="720"/>
      <c r="CA18" s="720"/>
      <c r="CB18" s="720"/>
      <c r="CC18" s="720"/>
      <c r="CD18" s="720"/>
      <c r="CE18" s="720"/>
      <c r="CF18" s="720"/>
      <c r="CG18" s="720"/>
      <c r="CH18" s="720"/>
      <c r="CI18" s="720"/>
      <c r="CJ18" s="720"/>
      <c r="CK18" s="720"/>
      <c r="CL18" s="720"/>
      <c r="CM18" s="720"/>
      <c r="CN18" s="720"/>
      <c r="CO18" s="720"/>
      <c r="CP18" s="720"/>
      <c r="CQ18" s="720"/>
      <c r="CR18" s="720"/>
      <c r="CS18" s="720"/>
      <c r="CT18" s="720"/>
      <c r="CU18" s="720"/>
      <c r="CV18" s="720"/>
      <c r="CW18" s="720"/>
      <c r="CX18" s="720"/>
      <c r="CY18" s="720"/>
      <c r="CZ18" s="720"/>
      <c r="DA18" s="720"/>
      <c r="DB18" s="720"/>
      <c r="DC18" s="720"/>
      <c r="DD18" s="720"/>
      <c r="DE18" s="720"/>
      <c r="DF18" s="720"/>
      <c r="DG18" s="720"/>
      <c r="DH18" s="720"/>
      <c r="DI18" s="720"/>
      <c r="DJ18" s="720"/>
      <c r="DK18" s="720"/>
      <c r="DL18" s="720"/>
      <c r="DM18" s="720"/>
      <c r="DN18" s="720"/>
      <c r="DO18" s="720"/>
      <c r="DP18" s="720"/>
      <c r="DQ18" s="720"/>
      <c r="DR18" s="720"/>
      <c r="DS18" s="720"/>
      <c r="DT18" s="720"/>
      <c r="DU18" s="720"/>
      <c r="DV18" s="720"/>
      <c r="DW18" s="720"/>
      <c r="DX18" s="720"/>
      <c r="DY18" s="720"/>
      <c r="DZ18" s="720"/>
      <c r="EA18" s="720"/>
      <c r="EB18" s="720"/>
      <c r="EC18" s="720"/>
      <c r="ED18" s="720"/>
      <c r="EE18" s="720"/>
      <c r="EF18" s="720"/>
      <c r="EG18" s="720"/>
      <c r="EH18" s="720"/>
      <c r="EI18" s="720"/>
      <c r="EJ18" s="720"/>
      <c r="EK18" s="720"/>
      <c r="EL18" s="720"/>
      <c r="EM18" s="720"/>
      <c r="EN18" s="720"/>
      <c r="EO18" s="720"/>
      <c r="EP18" s="720"/>
      <c r="EQ18" s="720"/>
      <c r="ER18" s="720"/>
      <c r="ES18" s="720"/>
      <c r="ET18" s="720"/>
      <c r="EU18" s="720"/>
      <c r="EV18" s="720"/>
      <c r="EW18" s="720"/>
      <c r="EX18" s="720"/>
      <c r="EY18" s="720"/>
      <c r="EZ18" s="720"/>
      <c r="FA18" s="720"/>
      <c r="FB18" s="720"/>
      <c r="FC18" s="720"/>
      <c r="FD18" s="720"/>
      <c r="FE18" s="720"/>
      <c r="FF18" s="720"/>
      <c r="FG18" s="720"/>
      <c r="FH18" s="720"/>
      <c r="FI18" s="720"/>
      <c r="FJ18" s="720"/>
      <c r="FK18" s="720"/>
      <c r="FL18" s="720"/>
      <c r="FM18" s="720"/>
      <c r="FN18" s="722"/>
      <c r="FO18" s="722"/>
      <c r="FP18" s="722"/>
      <c r="FQ18" s="722"/>
      <c r="FR18" s="722"/>
      <c r="FS18" s="722"/>
      <c r="FT18" s="722"/>
      <c r="FU18" s="722"/>
      <c r="FV18" s="722"/>
      <c r="FW18" s="722"/>
    </row>
    <row r="19" spans="1:179" s="676" customFormat="1" ht="15.75" x14ac:dyDescent="0.25">
      <c r="A19" s="665" t="str">
        <f>Hipótesis!B58</f>
        <v>Portal básico</v>
      </c>
      <c r="B19" s="673">
        <f>Hipótesis!C58</f>
        <v>2000000</v>
      </c>
      <c r="C19" s="674">
        <v>2</v>
      </c>
      <c r="D19" s="673">
        <f>B19*C19</f>
        <v>4000000</v>
      </c>
      <c r="E19" s="675">
        <f>C19*$E$17</f>
        <v>0.12</v>
      </c>
      <c r="F19" s="673">
        <f>D19*$E$17</f>
        <v>240000</v>
      </c>
      <c r="G19" s="675">
        <f>C19*$G$17</f>
        <v>0.08</v>
      </c>
      <c r="H19" s="673">
        <f>D19*$G$17</f>
        <v>160000</v>
      </c>
      <c r="I19" s="675">
        <f t="shared" ref="I19:I26" si="0">C19*$I$17</f>
        <v>0.16</v>
      </c>
      <c r="J19" s="673">
        <f t="shared" ref="J19:J26" si="1">D19*$I$17</f>
        <v>320000</v>
      </c>
      <c r="K19" s="675">
        <f t="shared" ref="K19:K26" si="2">C19*$K$17</f>
        <v>0.14000000000000001</v>
      </c>
      <c r="L19" s="673">
        <f t="shared" ref="L19:L26" si="3">D19*$K$17</f>
        <v>280000</v>
      </c>
      <c r="M19" s="675">
        <f>C19*$M$17</f>
        <v>0.22</v>
      </c>
      <c r="N19" s="673">
        <f>D19*$M$17</f>
        <v>440000</v>
      </c>
      <c r="O19" s="675">
        <f t="shared" ref="O19:O26" si="4">C19*$O$17</f>
        <v>0.08</v>
      </c>
      <c r="P19" s="673">
        <f t="shared" ref="P19:P26" si="5">D19*$O$17</f>
        <v>160000</v>
      </c>
      <c r="Q19" s="675">
        <f t="shared" ref="Q19:Q26" si="6">C19*$Q$17</f>
        <v>0.12</v>
      </c>
      <c r="R19" s="673">
        <f t="shared" ref="R19:R26" si="7">D19*$Q$17</f>
        <v>240000</v>
      </c>
      <c r="S19" s="675">
        <f t="shared" ref="S19:S26" si="8">C19*$S$17</f>
        <v>0.24</v>
      </c>
      <c r="T19" s="673">
        <f t="shared" ref="T19:T26" si="9">D19*$S$17</f>
        <v>480000</v>
      </c>
      <c r="U19" s="675">
        <f t="shared" ref="U19:U26" si="10">C19*$U$17</f>
        <v>0.22</v>
      </c>
      <c r="V19" s="673">
        <f t="shared" ref="V19:V26" si="11">D19*$U$17</f>
        <v>440000</v>
      </c>
      <c r="W19" s="675">
        <f t="shared" ref="W19:W26" si="12">C19*$W$17</f>
        <v>0.28000000000000003</v>
      </c>
      <c r="X19" s="673">
        <f t="shared" ref="X19:X26" si="13">D19*$W$17</f>
        <v>560000</v>
      </c>
      <c r="Y19" s="675">
        <f t="shared" ref="Y19:Y26" si="14">C19*$Y$17</f>
        <v>0.16</v>
      </c>
      <c r="Z19" s="675">
        <f t="shared" ref="Z19:Z26" si="15">D19*$Y$17</f>
        <v>320000</v>
      </c>
      <c r="AA19" s="675">
        <f>C19*$AA$17</f>
        <v>0.18</v>
      </c>
      <c r="AB19" s="666">
        <f>D19*$AA$17</f>
        <v>360000</v>
      </c>
      <c r="AC19" s="724"/>
      <c r="AD19" s="720"/>
      <c r="AE19" s="720"/>
      <c r="AF19" s="720"/>
      <c r="AG19" s="720"/>
      <c r="AH19" s="720"/>
      <c r="AI19" s="720"/>
      <c r="AJ19" s="720"/>
      <c r="AK19" s="720"/>
      <c r="AL19" s="720"/>
      <c r="AM19" s="720"/>
      <c r="AN19" s="720"/>
      <c r="AO19" s="720"/>
      <c r="AP19" s="720"/>
      <c r="AQ19" s="720"/>
      <c r="AR19" s="720"/>
      <c r="AS19" s="720"/>
      <c r="AT19" s="720"/>
      <c r="AU19" s="720"/>
      <c r="AV19" s="720"/>
      <c r="AW19" s="720"/>
      <c r="AX19" s="720"/>
      <c r="AY19" s="720"/>
      <c r="AZ19" s="720"/>
      <c r="BA19" s="720"/>
      <c r="BB19" s="720"/>
      <c r="BC19" s="720"/>
      <c r="BD19" s="720"/>
      <c r="BE19" s="720"/>
      <c r="BF19" s="720"/>
      <c r="BG19" s="720"/>
      <c r="BH19" s="720"/>
      <c r="BI19" s="720"/>
      <c r="BJ19" s="720"/>
      <c r="BK19" s="720"/>
      <c r="BL19" s="720"/>
      <c r="BM19" s="720"/>
      <c r="BN19" s="720"/>
      <c r="BO19" s="720"/>
      <c r="BP19" s="720"/>
      <c r="BQ19" s="720"/>
      <c r="BR19" s="720"/>
      <c r="BS19" s="720"/>
      <c r="BT19" s="720"/>
      <c r="BU19" s="720"/>
      <c r="BV19" s="720"/>
      <c r="BW19" s="720"/>
      <c r="BX19" s="720"/>
      <c r="BY19" s="720"/>
      <c r="BZ19" s="720"/>
      <c r="CA19" s="720"/>
      <c r="CB19" s="720"/>
      <c r="CC19" s="720"/>
      <c r="CD19" s="720"/>
      <c r="CE19" s="720"/>
      <c r="CF19" s="720"/>
      <c r="CG19" s="720"/>
      <c r="CH19" s="720"/>
      <c r="CI19" s="720"/>
      <c r="CJ19" s="720"/>
      <c r="CK19" s="720"/>
      <c r="CL19" s="720"/>
      <c r="CM19" s="720"/>
      <c r="CN19" s="720"/>
      <c r="CO19" s="720"/>
      <c r="CP19" s="720"/>
      <c r="CQ19" s="720"/>
      <c r="CR19" s="720"/>
      <c r="CS19" s="720"/>
      <c r="CT19" s="720"/>
      <c r="CU19" s="720"/>
      <c r="CV19" s="720"/>
      <c r="CW19" s="720"/>
      <c r="CX19" s="720"/>
      <c r="CY19" s="720"/>
      <c r="CZ19" s="720"/>
      <c r="DA19" s="720"/>
      <c r="DB19" s="720"/>
      <c r="DC19" s="720"/>
      <c r="DD19" s="720"/>
      <c r="DE19" s="720"/>
      <c r="DF19" s="720"/>
      <c r="DG19" s="720"/>
      <c r="DH19" s="720"/>
      <c r="DI19" s="720"/>
      <c r="DJ19" s="720"/>
      <c r="DK19" s="720"/>
      <c r="DL19" s="720"/>
      <c r="DM19" s="720"/>
      <c r="DN19" s="720"/>
      <c r="DO19" s="720"/>
      <c r="DP19" s="720"/>
      <c r="DQ19" s="720"/>
      <c r="DR19" s="720"/>
      <c r="DS19" s="720"/>
      <c r="DT19" s="720"/>
      <c r="DU19" s="720"/>
      <c r="DV19" s="720"/>
      <c r="DW19" s="720"/>
      <c r="DX19" s="720"/>
      <c r="DY19" s="720"/>
      <c r="DZ19" s="720"/>
      <c r="EA19" s="720"/>
      <c r="EB19" s="720"/>
      <c r="EC19" s="720"/>
      <c r="ED19" s="720"/>
      <c r="EE19" s="720"/>
      <c r="EF19" s="720"/>
      <c r="EG19" s="720"/>
      <c r="EH19" s="720"/>
      <c r="EI19" s="720"/>
      <c r="EJ19" s="720"/>
      <c r="EK19" s="720"/>
      <c r="EL19" s="720"/>
      <c r="EM19" s="720"/>
      <c r="EN19" s="720"/>
      <c r="EO19" s="720"/>
      <c r="EP19" s="720"/>
      <c r="EQ19" s="720"/>
      <c r="ER19" s="720"/>
      <c r="ES19" s="720"/>
      <c r="ET19" s="720"/>
      <c r="EU19" s="720"/>
      <c r="EV19" s="720"/>
      <c r="EW19" s="720"/>
      <c r="EX19" s="720"/>
      <c r="EY19" s="720"/>
      <c r="EZ19" s="720"/>
      <c r="FA19" s="720"/>
      <c r="FB19" s="720"/>
      <c r="FC19" s="720"/>
      <c r="FD19" s="720"/>
      <c r="FE19" s="720"/>
      <c r="FF19" s="720"/>
      <c r="FG19" s="720"/>
      <c r="FH19" s="720"/>
      <c r="FI19" s="720"/>
      <c r="FJ19" s="720"/>
      <c r="FK19" s="720"/>
      <c r="FL19" s="720"/>
      <c r="FM19" s="720"/>
      <c r="FN19" s="725"/>
      <c r="FO19" s="725"/>
      <c r="FP19" s="725"/>
      <c r="FQ19" s="725"/>
      <c r="FR19" s="725"/>
      <c r="FS19" s="725"/>
      <c r="FT19" s="725"/>
      <c r="FU19" s="725"/>
      <c r="FV19" s="725"/>
      <c r="FW19" s="725"/>
    </row>
    <row r="20" spans="1:179" s="672" customFormat="1" ht="15.75" x14ac:dyDescent="0.25">
      <c r="A20" s="677" t="str">
        <f>Hipótesis!B59</f>
        <v>Portal aprendizaje</v>
      </c>
      <c r="B20" s="669">
        <f>Hipótesis!C59</f>
        <v>2300000</v>
      </c>
      <c r="C20" s="670">
        <v>2</v>
      </c>
      <c r="D20" s="669">
        <f t="shared" ref="D20:D26" si="16">B20*C20</f>
        <v>4600000</v>
      </c>
      <c r="E20" s="671">
        <f t="shared" ref="E20:E26" si="17">C20*$E$17</f>
        <v>0.12</v>
      </c>
      <c r="F20" s="669">
        <f t="shared" ref="F20:F26" si="18">D20*$E$17</f>
        <v>276000</v>
      </c>
      <c r="G20" s="671">
        <f t="shared" ref="G20:G26" si="19">C20*$G$17</f>
        <v>0.08</v>
      </c>
      <c r="H20" s="669">
        <f t="shared" ref="H20:H26" si="20">D20*$G$17</f>
        <v>184000</v>
      </c>
      <c r="I20" s="671">
        <f t="shared" si="0"/>
        <v>0.16</v>
      </c>
      <c r="J20" s="669">
        <f t="shared" si="1"/>
        <v>368000</v>
      </c>
      <c r="K20" s="671">
        <f t="shared" si="2"/>
        <v>0.14000000000000001</v>
      </c>
      <c r="L20" s="669">
        <f t="shared" si="3"/>
        <v>322000.00000000006</v>
      </c>
      <c r="M20" s="671">
        <f t="shared" ref="M20:M26" si="21">C20*$M$17</f>
        <v>0.22</v>
      </c>
      <c r="N20" s="669">
        <f t="shared" ref="N20:N26" si="22">D20*$M$17</f>
        <v>506000</v>
      </c>
      <c r="O20" s="671">
        <f t="shared" si="4"/>
        <v>0.08</v>
      </c>
      <c r="P20" s="669">
        <f t="shared" si="5"/>
        <v>184000</v>
      </c>
      <c r="Q20" s="671">
        <f t="shared" si="6"/>
        <v>0.12</v>
      </c>
      <c r="R20" s="669">
        <f t="shared" si="7"/>
        <v>276000</v>
      </c>
      <c r="S20" s="671">
        <f t="shared" si="8"/>
        <v>0.24</v>
      </c>
      <c r="T20" s="669">
        <f t="shared" si="9"/>
        <v>552000</v>
      </c>
      <c r="U20" s="671">
        <f t="shared" si="10"/>
        <v>0.22</v>
      </c>
      <c r="V20" s="669">
        <f t="shared" si="11"/>
        <v>506000</v>
      </c>
      <c r="W20" s="671">
        <f t="shared" si="12"/>
        <v>0.28000000000000003</v>
      </c>
      <c r="X20" s="669">
        <f t="shared" si="13"/>
        <v>644000.00000000012</v>
      </c>
      <c r="Y20" s="671">
        <f t="shared" si="14"/>
        <v>0.16</v>
      </c>
      <c r="Z20" s="671">
        <f t="shared" si="15"/>
        <v>368000</v>
      </c>
      <c r="AA20" s="671">
        <f>C20*$AA$17</f>
        <v>0.18</v>
      </c>
      <c r="AB20" s="667">
        <f>D20*$AA$17</f>
        <v>414000</v>
      </c>
      <c r="AC20" s="724"/>
      <c r="AD20" s="720"/>
      <c r="AE20" s="720"/>
      <c r="AF20" s="720"/>
      <c r="AG20" s="720"/>
      <c r="AH20" s="720"/>
      <c r="AI20" s="720"/>
      <c r="AJ20" s="720"/>
      <c r="AK20" s="720"/>
      <c r="AL20" s="720"/>
      <c r="AM20" s="720"/>
      <c r="AN20" s="720"/>
      <c r="AO20" s="720"/>
      <c r="AP20" s="720"/>
      <c r="AQ20" s="720"/>
      <c r="AR20" s="720"/>
      <c r="AS20" s="720"/>
      <c r="AT20" s="720"/>
      <c r="AU20" s="720"/>
      <c r="AV20" s="720"/>
      <c r="AW20" s="720"/>
      <c r="AX20" s="720"/>
      <c r="AY20" s="720"/>
      <c r="AZ20" s="720"/>
      <c r="BA20" s="720"/>
      <c r="BB20" s="720"/>
      <c r="BC20" s="720"/>
      <c r="BD20" s="720"/>
      <c r="BE20" s="720"/>
      <c r="BF20" s="720"/>
      <c r="BG20" s="720"/>
      <c r="BH20" s="720"/>
      <c r="BI20" s="720"/>
      <c r="BJ20" s="720"/>
      <c r="BK20" s="720"/>
      <c r="BL20" s="720"/>
      <c r="BM20" s="720"/>
      <c r="BN20" s="720"/>
      <c r="BO20" s="720"/>
      <c r="BP20" s="720"/>
      <c r="BQ20" s="720"/>
      <c r="BR20" s="720"/>
      <c r="BS20" s="720"/>
      <c r="BT20" s="720"/>
      <c r="BU20" s="720"/>
      <c r="BV20" s="720"/>
      <c r="BW20" s="720"/>
      <c r="BX20" s="720"/>
      <c r="BY20" s="720"/>
      <c r="BZ20" s="720"/>
      <c r="CA20" s="720"/>
      <c r="CB20" s="720"/>
      <c r="CC20" s="720"/>
      <c r="CD20" s="720"/>
      <c r="CE20" s="720"/>
      <c r="CF20" s="720"/>
      <c r="CG20" s="720"/>
      <c r="CH20" s="720"/>
      <c r="CI20" s="720"/>
      <c r="CJ20" s="720"/>
      <c r="CK20" s="720"/>
      <c r="CL20" s="720"/>
      <c r="CM20" s="720"/>
      <c r="CN20" s="720"/>
      <c r="CO20" s="720"/>
      <c r="CP20" s="720"/>
      <c r="CQ20" s="720"/>
      <c r="CR20" s="720"/>
      <c r="CS20" s="720"/>
      <c r="CT20" s="720"/>
      <c r="CU20" s="720"/>
      <c r="CV20" s="720"/>
      <c r="CW20" s="720"/>
      <c r="CX20" s="720"/>
      <c r="CY20" s="720"/>
      <c r="CZ20" s="720"/>
      <c r="DA20" s="720"/>
      <c r="DB20" s="720"/>
      <c r="DC20" s="720"/>
      <c r="DD20" s="720"/>
      <c r="DE20" s="720"/>
      <c r="DF20" s="720"/>
      <c r="DG20" s="720"/>
      <c r="DH20" s="720"/>
      <c r="DI20" s="720"/>
      <c r="DJ20" s="720"/>
      <c r="DK20" s="720"/>
      <c r="DL20" s="720"/>
      <c r="DM20" s="720"/>
      <c r="DN20" s="720"/>
      <c r="DO20" s="720"/>
      <c r="DP20" s="720"/>
      <c r="DQ20" s="720"/>
      <c r="DR20" s="720"/>
      <c r="DS20" s="720"/>
      <c r="DT20" s="720"/>
      <c r="DU20" s="720"/>
      <c r="DV20" s="720"/>
      <c r="DW20" s="720"/>
      <c r="DX20" s="720"/>
      <c r="DY20" s="720"/>
      <c r="DZ20" s="720"/>
      <c r="EA20" s="720"/>
      <c r="EB20" s="720"/>
      <c r="EC20" s="720"/>
      <c r="ED20" s="720"/>
      <c r="EE20" s="720"/>
      <c r="EF20" s="720"/>
      <c r="EG20" s="720"/>
      <c r="EH20" s="720"/>
      <c r="EI20" s="720"/>
      <c r="EJ20" s="720"/>
      <c r="EK20" s="720"/>
      <c r="EL20" s="720"/>
      <c r="EM20" s="720"/>
      <c r="EN20" s="720"/>
      <c r="EO20" s="720"/>
      <c r="EP20" s="720"/>
      <c r="EQ20" s="720"/>
      <c r="ER20" s="720"/>
      <c r="ES20" s="720"/>
      <c r="ET20" s="720"/>
      <c r="EU20" s="720"/>
      <c r="EV20" s="720"/>
      <c r="EW20" s="720"/>
      <c r="EX20" s="720"/>
      <c r="EY20" s="720"/>
      <c r="EZ20" s="720"/>
      <c r="FA20" s="720"/>
      <c r="FB20" s="720"/>
      <c r="FC20" s="720"/>
      <c r="FD20" s="720"/>
      <c r="FE20" s="720"/>
      <c r="FF20" s="720"/>
      <c r="FG20" s="720"/>
      <c r="FH20" s="720"/>
      <c r="FI20" s="720"/>
      <c r="FJ20" s="720"/>
      <c r="FK20" s="720"/>
      <c r="FL20" s="720"/>
      <c r="FM20" s="720"/>
      <c r="FN20" s="725"/>
      <c r="FO20" s="725"/>
      <c r="FP20" s="725"/>
      <c r="FQ20" s="725"/>
      <c r="FR20" s="725"/>
      <c r="FS20" s="725"/>
      <c r="FT20" s="725"/>
      <c r="FU20" s="725"/>
      <c r="FV20" s="725"/>
      <c r="FW20" s="725"/>
    </row>
    <row r="21" spans="1:179" s="672" customFormat="1" ht="15.75" x14ac:dyDescent="0.25">
      <c r="A21" s="677" t="str">
        <f>Hipótesis!B60</f>
        <v>Portal sugerencia</v>
      </c>
      <c r="B21" s="669">
        <f>Hipótesis!C60</f>
        <v>2300000</v>
      </c>
      <c r="C21" s="670">
        <v>1</v>
      </c>
      <c r="D21" s="669">
        <f t="shared" si="16"/>
        <v>2300000</v>
      </c>
      <c r="E21" s="671">
        <f t="shared" si="17"/>
        <v>0.06</v>
      </c>
      <c r="F21" s="669">
        <f t="shared" si="18"/>
        <v>138000</v>
      </c>
      <c r="G21" s="671">
        <f t="shared" si="19"/>
        <v>0.04</v>
      </c>
      <c r="H21" s="669">
        <f t="shared" si="20"/>
        <v>92000</v>
      </c>
      <c r="I21" s="671">
        <f t="shared" si="0"/>
        <v>0.08</v>
      </c>
      <c r="J21" s="669">
        <f t="shared" si="1"/>
        <v>184000</v>
      </c>
      <c r="K21" s="671">
        <f t="shared" si="2"/>
        <v>7.0000000000000007E-2</v>
      </c>
      <c r="L21" s="669">
        <f t="shared" si="3"/>
        <v>161000.00000000003</v>
      </c>
      <c r="M21" s="671">
        <f t="shared" si="21"/>
        <v>0.11</v>
      </c>
      <c r="N21" s="669">
        <f t="shared" si="22"/>
        <v>253000</v>
      </c>
      <c r="O21" s="671">
        <f t="shared" si="4"/>
        <v>0.04</v>
      </c>
      <c r="P21" s="669">
        <f t="shared" si="5"/>
        <v>92000</v>
      </c>
      <c r="Q21" s="671">
        <f t="shared" si="6"/>
        <v>0.06</v>
      </c>
      <c r="R21" s="669">
        <f t="shared" si="7"/>
        <v>138000</v>
      </c>
      <c r="S21" s="671">
        <f t="shared" si="8"/>
        <v>0.12</v>
      </c>
      <c r="T21" s="669">
        <f t="shared" si="9"/>
        <v>276000</v>
      </c>
      <c r="U21" s="671">
        <f t="shared" si="10"/>
        <v>0.11</v>
      </c>
      <c r="V21" s="669">
        <f t="shared" si="11"/>
        <v>253000</v>
      </c>
      <c r="W21" s="671">
        <f t="shared" si="12"/>
        <v>0.14000000000000001</v>
      </c>
      <c r="X21" s="669">
        <f t="shared" si="13"/>
        <v>322000.00000000006</v>
      </c>
      <c r="Y21" s="671">
        <f t="shared" si="14"/>
        <v>0.08</v>
      </c>
      <c r="Z21" s="671">
        <f t="shared" si="15"/>
        <v>184000</v>
      </c>
      <c r="AA21" s="671">
        <f t="shared" ref="AA21:AA26" si="23">C21*$AA$17</f>
        <v>0.09</v>
      </c>
      <c r="AB21" s="667">
        <f t="shared" ref="AB21:AB26" si="24">D21*$AA$17</f>
        <v>207000</v>
      </c>
      <c r="AC21" s="724"/>
      <c r="AD21" s="720"/>
      <c r="AE21" s="720"/>
      <c r="AF21" s="720"/>
      <c r="AG21" s="720"/>
      <c r="AH21" s="720"/>
      <c r="AI21" s="720"/>
      <c r="AJ21" s="720"/>
      <c r="AK21" s="720"/>
      <c r="AL21" s="720"/>
      <c r="AM21" s="720"/>
      <c r="AN21" s="720"/>
      <c r="AO21" s="720"/>
      <c r="AP21" s="720"/>
      <c r="AQ21" s="720"/>
      <c r="AR21" s="720"/>
      <c r="AS21" s="720"/>
      <c r="AT21" s="720"/>
      <c r="AU21" s="720"/>
      <c r="AV21" s="720"/>
      <c r="AW21" s="720"/>
      <c r="AX21" s="720"/>
      <c r="AY21" s="720"/>
      <c r="AZ21" s="720"/>
      <c r="BA21" s="720"/>
      <c r="BB21" s="720"/>
      <c r="BC21" s="720"/>
      <c r="BD21" s="720"/>
      <c r="BE21" s="720"/>
      <c r="BF21" s="720"/>
      <c r="BG21" s="720"/>
      <c r="BH21" s="720"/>
      <c r="BI21" s="720"/>
      <c r="BJ21" s="720"/>
      <c r="BK21" s="720"/>
      <c r="BL21" s="720"/>
      <c r="BM21" s="720"/>
      <c r="BN21" s="720"/>
      <c r="BO21" s="720"/>
      <c r="BP21" s="720"/>
      <c r="BQ21" s="720"/>
      <c r="BR21" s="720"/>
      <c r="BS21" s="720"/>
      <c r="BT21" s="720"/>
      <c r="BU21" s="720"/>
      <c r="BV21" s="720"/>
      <c r="BW21" s="720"/>
      <c r="BX21" s="720"/>
      <c r="BY21" s="720"/>
      <c r="BZ21" s="720"/>
      <c r="CA21" s="720"/>
      <c r="CB21" s="720"/>
      <c r="CC21" s="720"/>
      <c r="CD21" s="720"/>
      <c r="CE21" s="720"/>
      <c r="CF21" s="720"/>
      <c r="CG21" s="720"/>
      <c r="CH21" s="720"/>
      <c r="CI21" s="720"/>
      <c r="CJ21" s="720"/>
      <c r="CK21" s="720"/>
      <c r="CL21" s="720"/>
      <c r="CM21" s="720"/>
      <c r="CN21" s="720"/>
      <c r="CO21" s="720"/>
      <c r="CP21" s="720"/>
      <c r="CQ21" s="720"/>
      <c r="CR21" s="720"/>
      <c r="CS21" s="720"/>
      <c r="CT21" s="720"/>
      <c r="CU21" s="720"/>
      <c r="CV21" s="720"/>
      <c r="CW21" s="720"/>
      <c r="CX21" s="720"/>
      <c r="CY21" s="720"/>
      <c r="CZ21" s="720"/>
      <c r="DA21" s="720"/>
      <c r="DB21" s="720"/>
      <c r="DC21" s="720"/>
      <c r="DD21" s="720"/>
      <c r="DE21" s="720"/>
      <c r="DF21" s="720"/>
      <c r="DG21" s="720"/>
      <c r="DH21" s="720"/>
      <c r="DI21" s="720"/>
      <c r="DJ21" s="720"/>
      <c r="DK21" s="720"/>
      <c r="DL21" s="720"/>
      <c r="DM21" s="720"/>
      <c r="DN21" s="720"/>
      <c r="DO21" s="720"/>
      <c r="DP21" s="720"/>
      <c r="DQ21" s="720"/>
      <c r="DR21" s="720"/>
      <c r="DS21" s="720"/>
      <c r="DT21" s="720"/>
      <c r="DU21" s="720"/>
      <c r="DV21" s="720"/>
      <c r="DW21" s="720"/>
      <c r="DX21" s="720"/>
      <c r="DY21" s="720"/>
      <c r="DZ21" s="720"/>
      <c r="EA21" s="720"/>
      <c r="EB21" s="720"/>
      <c r="EC21" s="720"/>
      <c r="ED21" s="720"/>
      <c r="EE21" s="720"/>
      <c r="EF21" s="720"/>
      <c r="EG21" s="720"/>
      <c r="EH21" s="720"/>
      <c r="EI21" s="720"/>
      <c r="EJ21" s="720"/>
      <c r="EK21" s="720"/>
      <c r="EL21" s="720"/>
      <c r="EM21" s="720"/>
      <c r="EN21" s="720"/>
      <c r="EO21" s="720"/>
      <c r="EP21" s="720"/>
      <c r="EQ21" s="720"/>
      <c r="ER21" s="720"/>
      <c r="ES21" s="720"/>
      <c r="ET21" s="720"/>
      <c r="EU21" s="720"/>
      <c r="EV21" s="720"/>
      <c r="EW21" s="720"/>
      <c r="EX21" s="720"/>
      <c r="EY21" s="720"/>
      <c r="EZ21" s="720"/>
      <c r="FA21" s="720"/>
      <c r="FB21" s="720"/>
      <c r="FC21" s="720"/>
      <c r="FD21" s="720"/>
      <c r="FE21" s="720"/>
      <c r="FF21" s="720"/>
      <c r="FG21" s="720"/>
      <c r="FH21" s="720"/>
      <c r="FI21" s="720"/>
      <c r="FJ21" s="720"/>
      <c r="FK21" s="720"/>
      <c r="FL21" s="720"/>
      <c r="FM21" s="720"/>
      <c r="FN21" s="725"/>
      <c r="FO21" s="725"/>
      <c r="FP21" s="725"/>
      <c r="FQ21" s="725"/>
      <c r="FR21" s="725"/>
      <c r="FS21" s="725"/>
      <c r="FT21" s="725"/>
      <c r="FU21" s="725"/>
      <c r="FV21" s="725"/>
      <c r="FW21" s="725"/>
    </row>
    <row r="22" spans="1:179" s="682" customFormat="1" ht="16.5" thickBot="1" x14ac:dyDescent="0.3">
      <c r="A22" s="678" t="str">
        <f>Hipótesis!B61</f>
        <v>Portal experto</v>
      </c>
      <c r="B22" s="679">
        <f>Hipótesis!C61</f>
        <v>2500000</v>
      </c>
      <c r="C22" s="680">
        <v>2</v>
      </c>
      <c r="D22" s="679">
        <f t="shared" si="16"/>
        <v>5000000</v>
      </c>
      <c r="E22" s="681">
        <f t="shared" si="17"/>
        <v>0.12</v>
      </c>
      <c r="F22" s="679">
        <f t="shared" si="18"/>
        <v>300000</v>
      </c>
      <c r="G22" s="681">
        <f t="shared" si="19"/>
        <v>0.08</v>
      </c>
      <c r="H22" s="679">
        <f t="shared" si="20"/>
        <v>200000</v>
      </c>
      <c r="I22" s="681">
        <f t="shared" si="0"/>
        <v>0.16</v>
      </c>
      <c r="J22" s="679">
        <f t="shared" si="1"/>
        <v>400000</v>
      </c>
      <c r="K22" s="681">
        <f t="shared" si="2"/>
        <v>0.14000000000000001</v>
      </c>
      <c r="L22" s="679">
        <f t="shared" si="3"/>
        <v>350000.00000000006</v>
      </c>
      <c r="M22" s="681">
        <f t="shared" si="21"/>
        <v>0.22</v>
      </c>
      <c r="N22" s="679">
        <f t="shared" si="22"/>
        <v>550000</v>
      </c>
      <c r="O22" s="681">
        <f t="shared" si="4"/>
        <v>0.08</v>
      </c>
      <c r="P22" s="679">
        <f t="shared" si="5"/>
        <v>200000</v>
      </c>
      <c r="Q22" s="681">
        <f t="shared" si="6"/>
        <v>0.12</v>
      </c>
      <c r="R22" s="679">
        <f t="shared" si="7"/>
        <v>300000</v>
      </c>
      <c r="S22" s="681">
        <f t="shared" si="8"/>
        <v>0.24</v>
      </c>
      <c r="T22" s="679">
        <f t="shared" si="9"/>
        <v>600000</v>
      </c>
      <c r="U22" s="681">
        <f t="shared" si="10"/>
        <v>0.22</v>
      </c>
      <c r="V22" s="679">
        <f t="shared" si="11"/>
        <v>550000</v>
      </c>
      <c r="W22" s="681">
        <f t="shared" si="12"/>
        <v>0.28000000000000003</v>
      </c>
      <c r="X22" s="679">
        <f t="shared" si="13"/>
        <v>700000.00000000012</v>
      </c>
      <c r="Y22" s="681">
        <f t="shared" si="14"/>
        <v>0.16</v>
      </c>
      <c r="Z22" s="681">
        <f t="shared" si="15"/>
        <v>400000</v>
      </c>
      <c r="AA22" s="681">
        <f t="shared" si="23"/>
        <v>0.18</v>
      </c>
      <c r="AB22" s="668">
        <f t="shared" si="24"/>
        <v>450000</v>
      </c>
      <c r="AC22" s="724"/>
      <c r="AD22" s="720"/>
      <c r="AE22" s="720"/>
      <c r="AF22" s="720"/>
      <c r="AG22" s="720"/>
      <c r="AH22" s="720"/>
      <c r="AI22" s="720"/>
      <c r="AJ22" s="720"/>
      <c r="AK22" s="720"/>
      <c r="AL22" s="720"/>
      <c r="AM22" s="720"/>
      <c r="AN22" s="720"/>
      <c r="AO22" s="720"/>
      <c r="AP22" s="720"/>
      <c r="AQ22" s="720"/>
      <c r="AR22" s="720"/>
      <c r="AS22" s="720"/>
      <c r="AT22" s="720"/>
      <c r="AU22" s="720"/>
      <c r="AV22" s="720"/>
      <c r="AW22" s="720"/>
      <c r="AX22" s="720"/>
      <c r="AY22" s="720"/>
      <c r="AZ22" s="720"/>
      <c r="BA22" s="720"/>
      <c r="BB22" s="720"/>
      <c r="BC22" s="720"/>
      <c r="BD22" s="720"/>
      <c r="BE22" s="720"/>
      <c r="BF22" s="720"/>
      <c r="BG22" s="720"/>
      <c r="BH22" s="720"/>
      <c r="BI22" s="720"/>
      <c r="BJ22" s="720"/>
      <c r="BK22" s="720"/>
      <c r="BL22" s="720"/>
      <c r="BM22" s="720"/>
      <c r="BN22" s="720"/>
      <c r="BO22" s="720"/>
      <c r="BP22" s="720"/>
      <c r="BQ22" s="720"/>
      <c r="BR22" s="720"/>
      <c r="BS22" s="720"/>
      <c r="BT22" s="720"/>
      <c r="BU22" s="720"/>
      <c r="BV22" s="720"/>
      <c r="BW22" s="720"/>
      <c r="BX22" s="720"/>
      <c r="BY22" s="720"/>
      <c r="BZ22" s="720"/>
      <c r="CA22" s="720"/>
      <c r="CB22" s="720"/>
      <c r="CC22" s="720"/>
      <c r="CD22" s="720"/>
      <c r="CE22" s="720"/>
      <c r="CF22" s="720"/>
      <c r="CG22" s="720"/>
      <c r="CH22" s="720"/>
      <c r="CI22" s="720"/>
      <c r="CJ22" s="720"/>
      <c r="CK22" s="720"/>
      <c r="CL22" s="720"/>
      <c r="CM22" s="720"/>
      <c r="CN22" s="720"/>
      <c r="CO22" s="720"/>
      <c r="CP22" s="720"/>
      <c r="CQ22" s="720"/>
      <c r="CR22" s="720"/>
      <c r="CS22" s="720"/>
      <c r="CT22" s="720"/>
      <c r="CU22" s="720"/>
      <c r="CV22" s="720"/>
      <c r="CW22" s="720"/>
      <c r="CX22" s="720"/>
      <c r="CY22" s="720"/>
      <c r="CZ22" s="720"/>
      <c r="DA22" s="720"/>
      <c r="DB22" s="720"/>
      <c r="DC22" s="720"/>
      <c r="DD22" s="720"/>
      <c r="DE22" s="720"/>
      <c r="DF22" s="720"/>
      <c r="DG22" s="720"/>
      <c r="DH22" s="720"/>
      <c r="DI22" s="720"/>
      <c r="DJ22" s="720"/>
      <c r="DK22" s="720"/>
      <c r="DL22" s="720"/>
      <c r="DM22" s="720"/>
      <c r="DN22" s="720"/>
      <c r="DO22" s="720"/>
      <c r="DP22" s="720"/>
      <c r="DQ22" s="720"/>
      <c r="DR22" s="720"/>
      <c r="DS22" s="720"/>
      <c r="DT22" s="720"/>
      <c r="DU22" s="720"/>
      <c r="DV22" s="720"/>
      <c r="DW22" s="720"/>
      <c r="DX22" s="720"/>
      <c r="DY22" s="720"/>
      <c r="DZ22" s="720"/>
      <c r="EA22" s="720"/>
      <c r="EB22" s="720"/>
      <c r="EC22" s="720"/>
      <c r="ED22" s="720"/>
      <c r="EE22" s="720"/>
      <c r="EF22" s="720"/>
      <c r="EG22" s="720"/>
      <c r="EH22" s="720"/>
      <c r="EI22" s="720"/>
      <c r="EJ22" s="720"/>
      <c r="EK22" s="720"/>
      <c r="EL22" s="720"/>
      <c r="EM22" s="720"/>
      <c r="EN22" s="720"/>
      <c r="EO22" s="720"/>
      <c r="EP22" s="720"/>
      <c r="EQ22" s="720"/>
      <c r="ER22" s="720"/>
      <c r="ES22" s="720"/>
      <c r="ET22" s="720"/>
      <c r="EU22" s="720"/>
      <c r="EV22" s="720"/>
      <c r="EW22" s="720"/>
      <c r="EX22" s="720"/>
      <c r="EY22" s="720"/>
      <c r="EZ22" s="720"/>
      <c r="FA22" s="720"/>
      <c r="FB22" s="720"/>
      <c r="FC22" s="720"/>
      <c r="FD22" s="720"/>
      <c r="FE22" s="720"/>
      <c r="FF22" s="720"/>
      <c r="FG22" s="720"/>
      <c r="FH22" s="720"/>
      <c r="FI22" s="720"/>
      <c r="FJ22" s="720"/>
      <c r="FK22" s="720"/>
      <c r="FL22" s="720"/>
      <c r="FM22" s="720"/>
      <c r="FN22" s="725"/>
      <c r="FO22" s="725"/>
      <c r="FP22" s="725"/>
      <c r="FQ22" s="725"/>
      <c r="FR22" s="725"/>
      <c r="FS22" s="725"/>
      <c r="FT22" s="725"/>
      <c r="FU22" s="725"/>
      <c r="FV22" s="725"/>
      <c r="FW22" s="725"/>
    </row>
    <row r="23" spans="1:179" s="703" customFormat="1" ht="15.75" x14ac:dyDescent="0.25">
      <c r="A23" s="699" t="str">
        <f>Hipótesis!B62</f>
        <v>Simple</v>
      </c>
      <c r="B23" s="700">
        <f>Hipótesis!C62</f>
        <v>300000</v>
      </c>
      <c r="C23" s="701">
        <v>1</v>
      </c>
      <c r="D23" s="700">
        <f t="shared" si="16"/>
        <v>300000</v>
      </c>
      <c r="E23" s="702">
        <f t="shared" si="17"/>
        <v>0.06</v>
      </c>
      <c r="F23" s="700">
        <f t="shared" si="18"/>
        <v>18000</v>
      </c>
      <c r="G23" s="702">
        <f t="shared" si="19"/>
        <v>0.04</v>
      </c>
      <c r="H23" s="700">
        <f t="shared" si="20"/>
        <v>12000</v>
      </c>
      <c r="I23" s="702">
        <f t="shared" si="0"/>
        <v>0.08</v>
      </c>
      <c r="J23" s="700">
        <f t="shared" si="1"/>
        <v>24000</v>
      </c>
      <c r="K23" s="702">
        <f t="shared" si="2"/>
        <v>7.0000000000000007E-2</v>
      </c>
      <c r="L23" s="700">
        <f t="shared" si="3"/>
        <v>21000.000000000004</v>
      </c>
      <c r="M23" s="702">
        <f t="shared" si="21"/>
        <v>0.11</v>
      </c>
      <c r="N23" s="700">
        <f t="shared" si="22"/>
        <v>33000</v>
      </c>
      <c r="O23" s="702">
        <f t="shared" si="4"/>
        <v>0.04</v>
      </c>
      <c r="P23" s="700">
        <f t="shared" si="5"/>
        <v>12000</v>
      </c>
      <c r="Q23" s="702">
        <f t="shared" si="6"/>
        <v>0.06</v>
      </c>
      <c r="R23" s="700">
        <f t="shared" si="7"/>
        <v>18000</v>
      </c>
      <c r="S23" s="702">
        <f t="shared" si="8"/>
        <v>0.12</v>
      </c>
      <c r="T23" s="700">
        <f t="shared" si="9"/>
        <v>36000</v>
      </c>
      <c r="U23" s="702">
        <f t="shared" si="10"/>
        <v>0.11</v>
      </c>
      <c r="V23" s="700">
        <f t="shared" si="11"/>
        <v>33000</v>
      </c>
      <c r="W23" s="702">
        <f t="shared" si="12"/>
        <v>0.14000000000000001</v>
      </c>
      <c r="X23" s="700">
        <f t="shared" si="13"/>
        <v>42000.000000000007</v>
      </c>
      <c r="Y23" s="702">
        <f t="shared" si="14"/>
        <v>0.08</v>
      </c>
      <c r="Z23" s="702">
        <f t="shared" si="15"/>
        <v>24000</v>
      </c>
      <c r="AA23" s="702">
        <f t="shared" si="23"/>
        <v>0.09</v>
      </c>
      <c r="AB23" s="715">
        <f t="shared" si="24"/>
        <v>27000</v>
      </c>
      <c r="AC23" s="724"/>
      <c r="AD23" s="720"/>
      <c r="AE23" s="720"/>
      <c r="AF23" s="720"/>
      <c r="AG23" s="720"/>
      <c r="AH23" s="720"/>
      <c r="AI23" s="720"/>
      <c r="AJ23" s="720"/>
      <c r="AK23" s="720"/>
      <c r="AL23" s="720"/>
      <c r="AM23" s="720"/>
      <c r="AN23" s="720"/>
      <c r="AO23" s="720"/>
      <c r="AP23" s="720"/>
      <c r="AQ23" s="720"/>
      <c r="AR23" s="720"/>
      <c r="AS23" s="720"/>
      <c r="AT23" s="720"/>
      <c r="AU23" s="720"/>
      <c r="AV23" s="720"/>
      <c r="AW23" s="720"/>
      <c r="AX23" s="720"/>
      <c r="AY23" s="720"/>
      <c r="AZ23" s="720"/>
      <c r="BA23" s="720"/>
      <c r="BB23" s="720"/>
      <c r="BC23" s="720"/>
      <c r="BD23" s="720"/>
      <c r="BE23" s="720"/>
      <c r="BF23" s="720"/>
      <c r="BG23" s="720"/>
      <c r="BH23" s="720"/>
      <c r="BI23" s="720"/>
      <c r="BJ23" s="720"/>
      <c r="BK23" s="720"/>
      <c r="BL23" s="720"/>
      <c r="BM23" s="720"/>
      <c r="BN23" s="720"/>
      <c r="BO23" s="720"/>
      <c r="BP23" s="720"/>
      <c r="BQ23" s="720"/>
      <c r="BR23" s="720"/>
      <c r="BS23" s="720"/>
      <c r="BT23" s="720"/>
      <c r="BU23" s="720"/>
      <c r="BV23" s="720"/>
      <c r="BW23" s="720"/>
      <c r="BX23" s="720"/>
      <c r="BY23" s="720"/>
      <c r="BZ23" s="720"/>
      <c r="CA23" s="720"/>
      <c r="CB23" s="720"/>
      <c r="CC23" s="720"/>
      <c r="CD23" s="720"/>
      <c r="CE23" s="720"/>
      <c r="CF23" s="720"/>
      <c r="CG23" s="720"/>
      <c r="CH23" s="720"/>
      <c r="CI23" s="720"/>
      <c r="CJ23" s="720"/>
      <c r="CK23" s="720"/>
      <c r="CL23" s="720"/>
      <c r="CM23" s="720"/>
      <c r="CN23" s="720"/>
      <c r="CO23" s="720"/>
      <c r="CP23" s="720"/>
      <c r="CQ23" s="720"/>
      <c r="CR23" s="720"/>
      <c r="CS23" s="720"/>
      <c r="CT23" s="720"/>
      <c r="CU23" s="720"/>
      <c r="CV23" s="720"/>
      <c r="CW23" s="720"/>
      <c r="CX23" s="720"/>
      <c r="CY23" s="720"/>
      <c r="CZ23" s="720"/>
      <c r="DA23" s="720"/>
      <c r="DB23" s="720"/>
      <c r="DC23" s="720"/>
      <c r="DD23" s="720"/>
      <c r="DE23" s="720"/>
      <c r="DF23" s="720"/>
      <c r="DG23" s="720"/>
      <c r="DH23" s="720"/>
      <c r="DI23" s="720"/>
      <c r="DJ23" s="720"/>
      <c r="DK23" s="720"/>
      <c r="DL23" s="720"/>
      <c r="DM23" s="720"/>
      <c r="DN23" s="720"/>
      <c r="DO23" s="720"/>
      <c r="DP23" s="720"/>
      <c r="DQ23" s="720"/>
      <c r="DR23" s="720"/>
      <c r="DS23" s="720"/>
      <c r="DT23" s="720"/>
      <c r="DU23" s="720"/>
      <c r="DV23" s="720"/>
      <c r="DW23" s="720"/>
      <c r="DX23" s="720"/>
      <c r="DY23" s="720"/>
      <c r="DZ23" s="720"/>
      <c r="EA23" s="720"/>
      <c r="EB23" s="720"/>
      <c r="EC23" s="720"/>
      <c r="ED23" s="720"/>
      <c r="EE23" s="720"/>
      <c r="EF23" s="720"/>
      <c r="EG23" s="720"/>
      <c r="EH23" s="720"/>
      <c r="EI23" s="720"/>
      <c r="EJ23" s="720"/>
      <c r="EK23" s="720"/>
      <c r="EL23" s="720"/>
      <c r="EM23" s="720"/>
      <c r="EN23" s="720"/>
      <c r="EO23" s="720"/>
      <c r="EP23" s="720"/>
      <c r="EQ23" s="720"/>
      <c r="ER23" s="720"/>
      <c r="ES23" s="720"/>
      <c r="ET23" s="720"/>
      <c r="EU23" s="720"/>
      <c r="EV23" s="720"/>
      <c r="EW23" s="720"/>
      <c r="EX23" s="720"/>
      <c r="EY23" s="720"/>
      <c r="EZ23" s="720"/>
      <c r="FA23" s="720"/>
      <c r="FB23" s="720"/>
      <c r="FC23" s="720"/>
      <c r="FD23" s="720"/>
      <c r="FE23" s="720"/>
      <c r="FF23" s="720"/>
      <c r="FG23" s="720"/>
      <c r="FH23" s="720"/>
      <c r="FI23" s="720"/>
      <c r="FJ23" s="720"/>
      <c r="FK23" s="720"/>
      <c r="FL23" s="720"/>
      <c r="FM23" s="720"/>
      <c r="FN23" s="726"/>
      <c r="FO23" s="726"/>
      <c r="FP23" s="726"/>
      <c r="FQ23" s="726"/>
      <c r="FR23" s="726"/>
      <c r="FS23" s="726"/>
      <c r="FT23" s="726"/>
      <c r="FU23" s="726"/>
      <c r="FV23" s="726"/>
      <c r="FW23" s="726"/>
    </row>
    <row r="24" spans="1:179" s="708" customFormat="1" ht="15.75" x14ac:dyDescent="0.25">
      <c r="A24" s="704" t="str">
        <f>Hipótesis!B63</f>
        <v>Funcional</v>
      </c>
      <c r="B24" s="705">
        <f>Hipótesis!C63</f>
        <v>500000</v>
      </c>
      <c r="C24" s="706">
        <v>1</v>
      </c>
      <c r="D24" s="705">
        <f t="shared" si="16"/>
        <v>500000</v>
      </c>
      <c r="E24" s="707">
        <f t="shared" si="17"/>
        <v>0.06</v>
      </c>
      <c r="F24" s="705">
        <f t="shared" si="18"/>
        <v>30000</v>
      </c>
      <c r="G24" s="707">
        <f t="shared" si="19"/>
        <v>0.04</v>
      </c>
      <c r="H24" s="705">
        <f t="shared" si="20"/>
        <v>20000</v>
      </c>
      <c r="I24" s="707">
        <f t="shared" si="0"/>
        <v>0.08</v>
      </c>
      <c r="J24" s="705">
        <f t="shared" si="1"/>
        <v>40000</v>
      </c>
      <c r="K24" s="707">
        <f t="shared" si="2"/>
        <v>7.0000000000000007E-2</v>
      </c>
      <c r="L24" s="705">
        <f t="shared" si="3"/>
        <v>35000</v>
      </c>
      <c r="M24" s="707">
        <f t="shared" si="21"/>
        <v>0.11</v>
      </c>
      <c r="N24" s="705">
        <f t="shared" si="22"/>
        <v>55000</v>
      </c>
      <c r="O24" s="707">
        <f t="shared" si="4"/>
        <v>0.04</v>
      </c>
      <c r="P24" s="705">
        <f t="shared" si="5"/>
        <v>20000</v>
      </c>
      <c r="Q24" s="707">
        <f t="shared" si="6"/>
        <v>0.06</v>
      </c>
      <c r="R24" s="705">
        <f t="shared" si="7"/>
        <v>30000</v>
      </c>
      <c r="S24" s="707">
        <f t="shared" si="8"/>
        <v>0.12</v>
      </c>
      <c r="T24" s="705">
        <f t="shared" si="9"/>
        <v>60000</v>
      </c>
      <c r="U24" s="707">
        <f t="shared" si="10"/>
        <v>0.11</v>
      </c>
      <c r="V24" s="705">
        <f t="shared" si="11"/>
        <v>55000</v>
      </c>
      <c r="W24" s="707">
        <f t="shared" si="12"/>
        <v>0.14000000000000001</v>
      </c>
      <c r="X24" s="705">
        <f t="shared" si="13"/>
        <v>70000</v>
      </c>
      <c r="Y24" s="707">
        <f t="shared" si="14"/>
        <v>0.08</v>
      </c>
      <c r="Z24" s="707">
        <f t="shared" si="15"/>
        <v>40000</v>
      </c>
      <c r="AA24" s="707">
        <f t="shared" si="23"/>
        <v>0.09</v>
      </c>
      <c r="AB24" s="716">
        <f t="shared" si="24"/>
        <v>45000</v>
      </c>
      <c r="AC24" s="724"/>
      <c r="AD24" s="720"/>
      <c r="AE24" s="720"/>
      <c r="AF24" s="720"/>
      <c r="AG24" s="720"/>
      <c r="AH24" s="720"/>
      <c r="AI24" s="720"/>
      <c r="AJ24" s="720"/>
      <c r="AK24" s="720"/>
      <c r="AL24" s="720"/>
      <c r="AM24" s="720"/>
      <c r="AN24" s="720"/>
      <c r="AO24" s="720"/>
      <c r="AP24" s="720"/>
      <c r="AQ24" s="720"/>
      <c r="AR24" s="720"/>
      <c r="AS24" s="720"/>
      <c r="AT24" s="720"/>
      <c r="AU24" s="720"/>
      <c r="AV24" s="720"/>
      <c r="AW24" s="720"/>
      <c r="AX24" s="720"/>
      <c r="AY24" s="720"/>
      <c r="AZ24" s="720"/>
      <c r="BA24" s="720"/>
      <c r="BB24" s="720"/>
      <c r="BC24" s="720"/>
      <c r="BD24" s="720"/>
      <c r="BE24" s="720"/>
      <c r="BF24" s="720"/>
      <c r="BG24" s="720"/>
      <c r="BH24" s="720"/>
      <c r="BI24" s="720"/>
      <c r="BJ24" s="720"/>
      <c r="BK24" s="720"/>
      <c r="BL24" s="720"/>
      <c r="BM24" s="720"/>
      <c r="BN24" s="720"/>
      <c r="BO24" s="720"/>
      <c r="BP24" s="720"/>
      <c r="BQ24" s="720"/>
      <c r="BR24" s="720"/>
      <c r="BS24" s="720"/>
      <c r="BT24" s="720"/>
      <c r="BU24" s="720"/>
      <c r="BV24" s="720"/>
      <c r="BW24" s="720"/>
      <c r="BX24" s="720"/>
      <c r="BY24" s="720"/>
      <c r="BZ24" s="720"/>
      <c r="CA24" s="720"/>
      <c r="CB24" s="720"/>
      <c r="CC24" s="720"/>
      <c r="CD24" s="720"/>
      <c r="CE24" s="720"/>
      <c r="CF24" s="720"/>
      <c r="CG24" s="720"/>
      <c r="CH24" s="720"/>
      <c r="CI24" s="720"/>
      <c r="CJ24" s="720"/>
      <c r="CK24" s="720"/>
      <c r="CL24" s="720"/>
      <c r="CM24" s="720"/>
      <c r="CN24" s="720"/>
      <c r="CO24" s="720"/>
      <c r="CP24" s="720"/>
      <c r="CQ24" s="720"/>
      <c r="CR24" s="720"/>
      <c r="CS24" s="720"/>
      <c r="CT24" s="720"/>
      <c r="CU24" s="720"/>
      <c r="CV24" s="720"/>
      <c r="CW24" s="720"/>
      <c r="CX24" s="720"/>
      <c r="CY24" s="720"/>
      <c r="CZ24" s="720"/>
      <c r="DA24" s="720"/>
      <c r="DB24" s="720"/>
      <c r="DC24" s="720"/>
      <c r="DD24" s="720"/>
      <c r="DE24" s="720"/>
      <c r="DF24" s="720"/>
      <c r="DG24" s="720"/>
      <c r="DH24" s="720"/>
      <c r="DI24" s="720"/>
      <c r="DJ24" s="720"/>
      <c r="DK24" s="720"/>
      <c r="DL24" s="720"/>
      <c r="DM24" s="720"/>
      <c r="DN24" s="720"/>
      <c r="DO24" s="720"/>
      <c r="DP24" s="720"/>
      <c r="DQ24" s="720"/>
      <c r="DR24" s="720"/>
      <c r="DS24" s="720"/>
      <c r="DT24" s="720"/>
      <c r="DU24" s="720"/>
      <c r="DV24" s="720"/>
      <c r="DW24" s="720"/>
      <c r="DX24" s="720"/>
      <c r="DY24" s="720"/>
      <c r="DZ24" s="720"/>
      <c r="EA24" s="720"/>
      <c r="EB24" s="720"/>
      <c r="EC24" s="720"/>
      <c r="ED24" s="720"/>
      <c r="EE24" s="720"/>
      <c r="EF24" s="720"/>
      <c r="EG24" s="720"/>
      <c r="EH24" s="720"/>
      <c r="EI24" s="720"/>
      <c r="EJ24" s="720"/>
      <c r="EK24" s="720"/>
      <c r="EL24" s="720"/>
      <c r="EM24" s="720"/>
      <c r="EN24" s="720"/>
      <c r="EO24" s="720"/>
      <c r="EP24" s="720"/>
      <c r="EQ24" s="720"/>
      <c r="ER24" s="720"/>
      <c r="ES24" s="720"/>
      <c r="ET24" s="720"/>
      <c r="EU24" s="720"/>
      <c r="EV24" s="720"/>
      <c r="EW24" s="720"/>
      <c r="EX24" s="720"/>
      <c r="EY24" s="720"/>
      <c r="EZ24" s="720"/>
      <c r="FA24" s="720"/>
      <c r="FB24" s="720"/>
      <c r="FC24" s="720"/>
      <c r="FD24" s="720"/>
      <c r="FE24" s="720"/>
      <c r="FF24" s="720"/>
      <c r="FG24" s="720"/>
      <c r="FH24" s="720"/>
      <c r="FI24" s="720"/>
      <c r="FJ24" s="720"/>
      <c r="FK24" s="720"/>
      <c r="FL24" s="720"/>
      <c r="FM24" s="720"/>
      <c r="FN24" s="726"/>
      <c r="FO24" s="726"/>
      <c r="FP24" s="726"/>
      <c r="FQ24" s="726"/>
      <c r="FR24" s="726"/>
      <c r="FS24" s="726"/>
      <c r="FT24" s="726"/>
      <c r="FU24" s="726"/>
      <c r="FV24" s="726"/>
      <c r="FW24" s="726"/>
    </row>
    <row r="25" spans="1:179" s="708" customFormat="1" ht="15.75" x14ac:dyDescent="0.25">
      <c r="A25" s="704" t="str">
        <f>Hipótesis!B64</f>
        <v>Temporal</v>
      </c>
      <c r="B25" s="705">
        <f>Hipótesis!C64</f>
        <v>600000</v>
      </c>
      <c r="C25" s="706">
        <v>1</v>
      </c>
      <c r="D25" s="705">
        <f t="shared" si="16"/>
        <v>600000</v>
      </c>
      <c r="E25" s="707">
        <f t="shared" si="17"/>
        <v>0.06</v>
      </c>
      <c r="F25" s="705">
        <f t="shared" si="18"/>
        <v>36000</v>
      </c>
      <c r="G25" s="707">
        <f t="shared" si="19"/>
        <v>0.04</v>
      </c>
      <c r="H25" s="705">
        <f t="shared" si="20"/>
        <v>24000</v>
      </c>
      <c r="I25" s="707">
        <f t="shared" si="0"/>
        <v>0.08</v>
      </c>
      <c r="J25" s="705">
        <f t="shared" si="1"/>
        <v>48000</v>
      </c>
      <c r="K25" s="707">
        <f t="shared" si="2"/>
        <v>7.0000000000000007E-2</v>
      </c>
      <c r="L25" s="705">
        <f t="shared" si="3"/>
        <v>42000.000000000007</v>
      </c>
      <c r="M25" s="707">
        <f t="shared" si="21"/>
        <v>0.11</v>
      </c>
      <c r="N25" s="705">
        <f t="shared" si="22"/>
        <v>66000</v>
      </c>
      <c r="O25" s="707">
        <f t="shared" si="4"/>
        <v>0.04</v>
      </c>
      <c r="P25" s="705">
        <f t="shared" si="5"/>
        <v>24000</v>
      </c>
      <c r="Q25" s="707">
        <f t="shared" si="6"/>
        <v>0.06</v>
      </c>
      <c r="R25" s="705">
        <f t="shared" si="7"/>
        <v>36000</v>
      </c>
      <c r="S25" s="707">
        <f t="shared" si="8"/>
        <v>0.12</v>
      </c>
      <c r="T25" s="705">
        <f t="shared" si="9"/>
        <v>72000</v>
      </c>
      <c r="U25" s="707">
        <f t="shared" si="10"/>
        <v>0.11</v>
      </c>
      <c r="V25" s="705">
        <f t="shared" si="11"/>
        <v>66000</v>
      </c>
      <c r="W25" s="707">
        <f t="shared" si="12"/>
        <v>0.14000000000000001</v>
      </c>
      <c r="X25" s="705">
        <f t="shared" si="13"/>
        <v>84000.000000000015</v>
      </c>
      <c r="Y25" s="707">
        <f t="shared" si="14"/>
        <v>0.08</v>
      </c>
      <c r="Z25" s="707">
        <f t="shared" si="15"/>
        <v>48000</v>
      </c>
      <c r="AA25" s="707">
        <f t="shared" si="23"/>
        <v>0.09</v>
      </c>
      <c r="AB25" s="716">
        <f t="shared" si="24"/>
        <v>54000</v>
      </c>
      <c r="AC25" s="724"/>
      <c r="AD25" s="720"/>
      <c r="AE25" s="720"/>
      <c r="AF25" s="720"/>
      <c r="AG25" s="720"/>
      <c r="AH25" s="720"/>
      <c r="AI25" s="720"/>
      <c r="AJ25" s="720"/>
      <c r="AK25" s="720"/>
      <c r="AL25" s="720"/>
      <c r="AM25" s="720"/>
      <c r="AN25" s="720"/>
      <c r="AO25" s="720"/>
      <c r="AP25" s="720"/>
      <c r="AQ25" s="720"/>
      <c r="AR25" s="720"/>
      <c r="AS25" s="720"/>
      <c r="AT25" s="720"/>
      <c r="AU25" s="720"/>
      <c r="AV25" s="720"/>
      <c r="AW25" s="720"/>
      <c r="AX25" s="720"/>
      <c r="AY25" s="720"/>
      <c r="AZ25" s="720"/>
      <c r="BA25" s="720"/>
      <c r="BB25" s="720"/>
      <c r="BC25" s="720"/>
      <c r="BD25" s="720"/>
      <c r="BE25" s="720"/>
      <c r="BF25" s="720"/>
      <c r="BG25" s="720"/>
      <c r="BH25" s="720"/>
      <c r="BI25" s="720"/>
      <c r="BJ25" s="720"/>
      <c r="BK25" s="720"/>
      <c r="BL25" s="720"/>
      <c r="BM25" s="720"/>
      <c r="BN25" s="720"/>
      <c r="BO25" s="720"/>
      <c r="BP25" s="720"/>
      <c r="BQ25" s="720"/>
      <c r="BR25" s="720"/>
      <c r="BS25" s="720"/>
      <c r="BT25" s="720"/>
      <c r="BU25" s="720"/>
      <c r="BV25" s="720"/>
      <c r="BW25" s="720"/>
      <c r="BX25" s="720"/>
      <c r="BY25" s="720"/>
      <c r="BZ25" s="720"/>
      <c r="CA25" s="720"/>
      <c r="CB25" s="720"/>
      <c r="CC25" s="720"/>
      <c r="CD25" s="720"/>
      <c r="CE25" s="720"/>
      <c r="CF25" s="720"/>
      <c r="CG25" s="720"/>
      <c r="CH25" s="720"/>
      <c r="CI25" s="720"/>
      <c r="CJ25" s="720"/>
      <c r="CK25" s="720"/>
      <c r="CL25" s="720"/>
      <c r="CM25" s="720"/>
      <c r="CN25" s="720"/>
      <c r="CO25" s="720"/>
      <c r="CP25" s="720"/>
      <c r="CQ25" s="720"/>
      <c r="CR25" s="720"/>
      <c r="CS25" s="720"/>
      <c r="CT25" s="720"/>
      <c r="CU25" s="720"/>
      <c r="CV25" s="720"/>
      <c r="CW25" s="720"/>
      <c r="CX25" s="720"/>
      <c r="CY25" s="720"/>
      <c r="CZ25" s="720"/>
      <c r="DA25" s="720"/>
      <c r="DB25" s="720"/>
      <c r="DC25" s="720"/>
      <c r="DD25" s="720"/>
      <c r="DE25" s="720"/>
      <c r="DF25" s="720"/>
      <c r="DG25" s="720"/>
      <c r="DH25" s="720"/>
      <c r="DI25" s="720"/>
      <c r="DJ25" s="720"/>
      <c r="DK25" s="720"/>
      <c r="DL25" s="720"/>
      <c r="DM25" s="720"/>
      <c r="DN25" s="720"/>
      <c r="DO25" s="720"/>
      <c r="DP25" s="720"/>
      <c r="DQ25" s="720"/>
      <c r="DR25" s="720"/>
      <c r="DS25" s="720"/>
      <c r="DT25" s="720"/>
      <c r="DU25" s="720"/>
      <c r="DV25" s="720"/>
      <c r="DW25" s="720"/>
      <c r="DX25" s="720"/>
      <c r="DY25" s="720"/>
      <c r="DZ25" s="720"/>
      <c r="EA25" s="720"/>
      <c r="EB25" s="720"/>
      <c r="EC25" s="720"/>
      <c r="ED25" s="720"/>
      <c r="EE25" s="720"/>
      <c r="EF25" s="720"/>
      <c r="EG25" s="720"/>
      <c r="EH25" s="720"/>
      <c r="EI25" s="720"/>
      <c r="EJ25" s="720"/>
      <c r="EK25" s="720"/>
      <c r="EL25" s="720"/>
      <c r="EM25" s="720"/>
      <c r="EN25" s="720"/>
      <c r="EO25" s="720"/>
      <c r="EP25" s="720"/>
      <c r="EQ25" s="720"/>
      <c r="ER25" s="720"/>
      <c r="ES25" s="720"/>
      <c r="ET25" s="720"/>
      <c r="EU25" s="720"/>
      <c r="EV25" s="720"/>
      <c r="EW25" s="720"/>
      <c r="EX25" s="720"/>
      <c r="EY25" s="720"/>
      <c r="EZ25" s="720"/>
      <c r="FA25" s="720"/>
      <c r="FB25" s="720"/>
      <c r="FC25" s="720"/>
      <c r="FD25" s="720"/>
      <c r="FE25" s="720"/>
      <c r="FF25" s="720"/>
      <c r="FG25" s="720"/>
      <c r="FH25" s="720"/>
      <c r="FI25" s="720"/>
      <c r="FJ25" s="720"/>
      <c r="FK25" s="720"/>
      <c r="FL25" s="720"/>
      <c r="FM25" s="720"/>
      <c r="FN25" s="726"/>
      <c r="FO25" s="726"/>
      <c r="FP25" s="726"/>
      <c r="FQ25" s="726"/>
      <c r="FR25" s="726"/>
      <c r="FS25" s="726"/>
      <c r="FT25" s="726"/>
      <c r="FU25" s="726"/>
      <c r="FV25" s="726"/>
      <c r="FW25" s="726"/>
    </row>
    <row r="26" spans="1:179" s="713" customFormat="1" ht="16.5" thickBot="1" x14ac:dyDescent="0.3">
      <c r="A26" s="709" t="str">
        <f>Hipótesis!B65</f>
        <v>Experto</v>
      </c>
      <c r="B26" s="710">
        <f>Hipótesis!C65</f>
        <v>800000</v>
      </c>
      <c r="C26" s="711">
        <v>1</v>
      </c>
      <c r="D26" s="710">
        <f t="shared" si="16"/>
        <v>800000</v>
      </c>
      <c r="E26" s="712">
        <f t="shared" si="17"/>
        <v>0.06</v>
      </c>
      <c r="F26" s="710">
        <f t="shared" si="18"/>
        <v>48000</v>
      </c>
      <c r="G26" s="712">
        <f t="shared" si="19"/>
        <v>0.04</v>
      </c>
      <c r="H26" s="710">
        <f t="shared" si="20"/>
        <v>32000</v>
      </c>
      <c r="I26" s="712">
        <f t="shared" si="0"/>
        <v>0.08</v>
      </c>
      <c r="J26" s="710">
        <f t="shared" si="1"/>
        <v>64000</v>
      </c>
      <c r="K26" s="712">
        <f t="shared" si="2"/>
        <v>7.0000000000000007E-2</v>
      </c>
      <c r="L26" s="710">
        <f t="shared" si="3"/>
        <v>56000.000000000007</v>
      </c>
      <c r="M26" s="712">
        <f t="shared" si="21"/>
        <v>0.11</v>
      </c>
      <c r="N26" s="710">
        <f t="shared" si="22"/>
        <v>88000</v>
      </c>
      <c r="O26" s="712">
        <f t="shared" si="4"/>
        <v>0.04</v>
      </c>
      <c r="P26" s="710">
        <f t="shared" si="5"/>
        <v>32000</v>
      </c>
      <c r="Q26" s="712">
        <f t="shared" si="6"/>
        <v>0.06</v>
      </c>
      <c r="R26" s="710">
        <f t="shared" si="7"/>
        <v>48000</v>
      </c>
      <c r="S26" s="712">
        <f t="shared" si="8"/>
        <v>0.12</v>
      </c>
      <c r="T26" s="710">
        <f t="shared" si="9"/>
        <v>96000</v>
      </c>
      <c r="U26" s="712">
        <f t="shared" si="10"/>
        <v>0.11</v>
      </c>
      <c r="V26" s="710">
        <f t="shared" si="11"/>
        <v>88000</v>
      </c>
      <c r="W26" s="712">
        <f t="shared" si="12"/>
        <v>0.14000000000000001</v>
      </c>
      <c r="X26" s="710">
        <f t="shared" si="13"/>
        <v>112000.00000000001</v>
      </c>
      <c r="Y26" s="712">
        <f t="shared" si="14"/>
        <v>0.08</v>
      </c>
      <c r="Z26" s="712">
        <f t="shared" si="15"/>
        <v>64000</v>
      </c>
      <c r="AA26" s="712">
        <f t="shared" si="23"/>
        <v>0.09</v>
      </c>
      <c r="AB26" s="717">
        <f t="shared" si="24"/>
        <v>72000</v>
      </c>
      <c r="AC26" s="724"/>
      <c r="AD26" s="720"/>
      <c r="AE26" s="720"/>
      <c r="AF26" s="720"/>
      <c r="AG26" s="720"/>
      <c r="AH26" s="720"/>
      <c r="AI26" s="720"/>
      <c r="AJ26" s="720"/>
      <c r="AK26" s="720"/>
      <c r="AL26" s="720"/>
      <c r="AM26" s="720"/>
      <c r="AN26" s="720"/>
      <c r="AO26" s="720"/>
      <c r="AP26" s="720"/>
      <c r="AQ26" s="720"/>
      <c r="AR26" s="720"/>
      <c r="AS26" s="720"/>
      <c r="AT26" s="720"/>
      <c r="AU26" s="720"/>
      <c r="AV26" s="720"/>
      <c r="AW26" s="720"/>
      <c r="AX26" s="720"/>
      <c r="AY26" s="720"/>
      <c r="AZ26" s="720"/>
      <c r="BA26" s="720"/>
      <c r="BB26" s="720"/>
      <c r="BC26" s="720"/>
      <c r="BD26" s="720"/>
      <c r="BE26" s="720"/>
      <c r="BF26" s="720"/>
      <c r="BG26" s="720"/>
      <c r="BH26" s="720"/>
      <c r="BI26" s="720"/>
      <c r="BJ26" s="720"/>
      <c r="BK26" s="720"/>
      <c r="BL26" s="720"/>
      <c r="BM26" s="720"/>
      <c r="BN26" s="720"/>
      <c r="BO26" s="720"/>
      <c r="BP26" s="720"/>
      <c r="BQ26" s="720"/>
      <c r="BR26" s="720"/>
      <c r="BS26" s="720"/>
      <c r="BT26" s="720"/>
      <c r="BU26" s="720"/>
      <c r="BV26" s="720"/>
      <c r="BW26" s="720"/>
      <c r="BX26" s="720"/>
      <c r="BY26" s="720"/>
      <c r="BZ26" s="720"/>
      <c r="CA26" s="720"/>
      <c r="CB26" s="720"/>
      <c r="CC26" s="720"/>
      <c r="CD26" s="720"/>
      <c r="CE26" s="720"/>
      <c r="CF26" s="720"/>
      <c r="CG26" s="720"/>
      <c r="CH26" s="720"/>
      <c r="CI26" s="720"/>
      <c r="CJ26" s="720"/>
      <c r="CK26" s="720"/>
      <c r="CL26" s="720"/>
      <c r="CM26" s="720"/>
      <c r="CN26" s="720"/>
      <c r="CO26" s="720"/>
      <c r="CP26" s="720"/>
      <c r="CQ26" s="720"/>
      <c r="CR26" s="720"/>
      <c r="CS26" s="720"/>
      <c r="CT26" s="720"/>
      <c r="CU26" s="720"/>
      <c r="CV26" s="720"/>
      <c r="CW26" s="720"/>
      <c r="CX26" s="720"/>
      <c r="CY26" s="720"/>
      <c r="CZ26" s="720"/>
      <c r="DA26" s="720"/>
      <c r="DB26" s="720"/>
      <c r="DC26" s="720"/>
      <c r="DD26" s="720"/>
      <c r="DE26" s="720"/>
      <c r="DF26" s="720"/>
      <c r="DG26" s="720"/>
      <c r="DH26" s="720"/>
      <c r="DI26" s="720"/>
      <c r="DJ26" s="720"/>
      <c r="DK26" s="720"/>
      <c r="DL26" s="720"/>
      <c r="DM26" s="720"/>
      <c r="DN26" s="720"/>
      <c r="DO26" s="720"/>
      <c r="DP26" s="720"/>
      <c r="DQ26" s="720"/>
      <c r="DR26" s="720"/>
      <c r="DS26" s="720"/>
      <c r="DT26" s="720"/>
      <c r="DU26" s="720"/>
      <c r="DV26" s="720"/>
      <c r="DW26" s="720"/>
      <c r="DX26" s="720"/>
      <c r="DY26" s="720"/>
      <c r="DZ26" s="720"/>
      <c r="EA26" s="720"/>
      <c r="EB26" s="720"/>
      <c r="EC26" s="720"/>
      <c r="ED26" s="720"/>
      <c r="EE26" s="720"/>
      <c r="EF26" s="720"/>
      <c r="EG26" s="720"/>
      <c r="EH26" s="720"/>
      <c r="EI26" s="720"/>
      <c r="EJ26" s="720"/>
      <c r="EK26" s="720"/>
      <c r="EL26" s="720"/>
      <c r="EM26" s="720"/>
      <c r="EN26" s="720"/>
      <c r="EO26" s="720"/>
      <c r="EP26" s="720"/>
      <c r="EQ26" s="720"/>
      <c r="ER26" s="720"/>
      <c r="ES26" s="720"/>
      <c r="ET26" s="720"/>
      <c r="EU26" s="720"/>
      <c r="EV26" s="720"/>
      <c r="EW26" s="720"/>
      <c r="EX26" s="720"/>
      <c r="EY26" s="720"/>
      <c r="EZ26" s="720"/>
      <c r="FA26" s="720"/>
      <c r="FB26" s="720"/>
      <c r="FC26" s="720"/>
      <c r="FD26" s="720"/>
      <c r="FE26" s="720"/>
      <c r="FF26" s="720"/>
      <c r="FG26" s="720"/>
      <c r="FH26" s="720"/>
      <c r="FI26" s="720"/>
      <c r="FJ26" s="720"/>
      <c r="FK26" s="720"/>
      <c r="FL26" s="720"/>
      <c r="FM26" s="720"/>
      <c r="FN26" s="726"/>
      <c r="FO26" s="726"/>
      <c r="FP26" s="726"/>
      <c r="FQ26" s="726"/>
      <c r="FR26" s="726"/>
      <c r="FS26" s="726"/>
      <c r="FT26" s="726"/>
      <c r="FU26" s="726"/>
      <c r="FV26" s="726"/>
      <c r="FW26" s="726"/>
    </row>
    <row r="27" spans="1:179" ht="16.5" thickBot="1" x14ac:dyDescent="0.3">
      <c r="A27" s="791" t="s">
        <v>101</v>
      </c>
      <c r="B27" s="792"/>
      <c r="C27" s="733"/>
      <c r="D27" s="734">
        <f>SUM(D19:D26)</f>
        <v>18100000</v>
      </c>
      <c r="E27" s="735"/>
      <c r="F27" s="736">
        <f>SUM(F19:F26)</f>
        <v>1086000</v>
      </c>
      <c r="G27" s="735"/>
      <c r="H27" s="736">
        <f>SUM(H19:H26)</f>
        <v>724000</v>
      </c>
      <c r="I27" s="735"/>
      <c r="J27" s="736">
        <f>SUM(J19:J26)</f>
        <v>1448000</v>
      </c>
      <c r="K27" s="735"/>
      <c r="L27" s="736">
        <f>SUM(L19:L26)</f>
        <v>1267000</v>
      </c>
      <c r="M27" s="735"/>
      <c r="N27" s="736">
        <f>SUM(N19:N26)</f>
        <v>1991000</v>
      </c>
      <c r="O27" s="735"/>
      <c r="P27" s="736">
        <f>SUM(P19:P26)</f>
        <v>724000</v>
      </c>
      <c r="Q27" s="735"/>
      <c r="R27" s="736">
        <f>SUM(R19:R26)</f>
        <v>1086000</v>
      </c>
      <c r="S27" s="735"/>
      <c r="T27" s="736">
        <f>SUM(T19:T26)</f>
        <v>2172000</v>
      </c>
      <c r="U27" s="735"/>
      <c r="V27" s="736">
        <f>SUM(V19:V26)</f>
        <v>1991000</v>
      </c>
      <c r="W27" s="735"/>
      <c r="X27" s="736">
        <f>SUM(X19:X26)</f>
        <v>2534000</v>
      </c>
      <c r="Y27" s="735"/>
      <c r="Z27" s="736">
        <f>SUM(Z19:Z26)</f>
        <v>1448000</v>
      </c>
      <c r="AA27" s="735"/>
      <c r="AB27" s="736">
        <f>SUM(AB19:AB26)</f>
        <v>1629000</v>
      </c>
      <c r="AC27" s="43"/>
    </row>
    <row r="28" spans="1:179" ht="15.75" x14ac:dyDescent="0.25">
      <c r="A28" s="793" t="s">
        <v>398</v>
      </c>
      <c r="B28" s="794"/>
      <c r="C28" s="729">
        <f>SUM(C19:C22)</f>
        <v>7</v>
      </c>
      <c r="D28" s="730"/>
      <c r="E28" s="731">
        <f>E19</f>
        <v>0.12</v>
      </c>
      <c r="F28" s="732"/>
      <c r="G28" s="731">
        <f>G19</f>
        <v>0.08</v>
      </c>
      <c r="H28" s="732"/>
      <c r="I28" s="731">
        <f>I19</f>
        <v>0.16</v>
      </c>
      <c r="J28" s="732"/>
      <c r="K28" s="731">
        <f>K19</f>
        <v>0.14000000000000001</v>
      </c>
      <c r="L28" s="732"/>
      <c r="M28" s="731">
        <f>M19</f>
        <v>0.22</v>
      </c>
      <c r="N28" s="732"/>
      <c r="O28" s="731">
        <f>O19</f>
        <v>0.08</v>
      </c>
      <c r="P28" s="732"/>
      <c r="Q28" s="731">
        <f>Q19</f>
        <v>0.12</v>
      </c>
      <c r="R28" s="732"/>
      <c r="S28" s="731">
        <f>S19</f>
        <v>0.24</v>
      </c>
      <c r="T28" s="732"/>
      <c r="U28" s="731">
        <f>U19</f>
        <v>0.22</v>
      </c>
      <c r="V28" s="732"/>
      <c r="W28" s="731">
        <f>W19</f>
        <v>0.28000000000000003</v>
      </c>
      <c r="X28" s="732"/>
      <c r="Y28" s="731">
        <f>Y19</f>
        <v>0.16</v>
      </c>
      <c r="Z28" s="732"/>
      <c r="AA28" s="731">
        <f>AA19</f>
        <v>0.18</v>
      </c>
      <c r="AB28" s="730"/>
    </row>
    <row r="29" spans="1:179" ht="16.5" thickBot="1" x14ac:dyDescent="0.3">
      <c r="A29" s="795" t="s">
        <v>399</v>
      </c>
      <c r="B29" s="796"/>
      <c r="C29" s="727">
        <f>SUM(C23:C26)</f>
        <v>4</v>
      </c>
      <c r="D29" s="187"/>
      <c r="E29" s="728">
        <f>E20</f>
        <v>0.12</v>
      </c>
      <c r="F29" s="186"/>
      <c r="G29" s="728">
        <f>G20</f>
        <v>0.08</v>
      </c>
      <c r="H29" s="186"/>
      <c r="I29" s="728">
        <f>I20</f>
        <v>0.16</v>
      </c>
      <c r="J29" s="186"/>
      <c r="K29" s="728">
        <f>K20</f>
        <v>0.14000000000000001</v>
      </c>
      <c r="L29" s="186"/>
      <c r="M29" s="728">
        <f>M20</f>
        <v>0.22</v>
      </c>
      <c r="N29" s="186"/>
      <c r="O29" s="728">
        <f>O20</f>
        <v>0.08</v>
      </c>
      <c r="P29" s="186"/>
      <c r="Q29" s="728">
        <f>Q20</f>
        <v>0.12</v>
      </c>
      <c r="R29" s="186"/>
      <c r="S29" s="728">
        <f>S20</f>
        <v>0.24</v>
      </c>
      <c r="T29" s="186"/>
      <c r="U29" s="728">
        <f>U20</f>
        <v>0.22</v>
      </c>
      <c r="V29" s="186"/>
      <c r="W29" s="728">
        <f>W20</f>
        <v>0.28000000000000003</v>
      </c>
      <c r="X29" s="186"/>
      <c r="Y29" s="728">
        <f>Y20</f>
        <v>0.16</v>
      </c>
      <c r="Z29" s="186"/>
      <c r="AA29" s="728">
        <f>AA20</f>
        <v>0.18</v>
      </c>
      <c r="AB29" s="187"/>
    </row>
    <row r="30" spans="1:179" ht="15.75" thickBot="1" x14ac:dyDescent="0.3">
      <c r="D30" s="35"/>
      <c r="I30" s="41"/>
      <c r="J30" s="41"/>
      <c r="K30" s="41"/>
      <c r="L30" s="41"/>
      <c r="N30" s="41"/>
      <c r="O30" s="41"/>
      <c r="P30" s="41"/>
      <c r="Q30" s="41"/>
      <c r="R30" s="41"/>
      <c r="S30" s="41"/>
      <c r="T30" s="41"/>
      <c r="U30" s="41"/>
      <c r="V30" s="41"/>
      <c r="W30" s="41"/>
      <c r="X30" s="41"/>
      <c r="Y30" s="41"/>
      <c r="Z30" s="41"/>
      <c r="AB30" s="41"/>
    </row>
    <row r="31" spans="1:179" ht="27" thickBot="1" x14ac:dyDescent="0.45">
      <c r="A31" s="842" t="s">
        <v>393</v>
      </c>
      <c r="B31" s="843"/>
      <c r="C31" s="843"/>
      <c r="D31" s="843"/>
      <c r="E31" s="843"/>
      <c r="F31" s="843"/>
      <c r="G31" s="843"/>
      <c r="H31" s="843"/>
      <c r="I31" s="843"/>
      <c r="J31" s="843"/>
      <c r="K31" s="843"/>
      <c r="L31" s="843"/>
      <c r="M31" s="843"/>
      <c r="N31" s="843"/>
      <c r="O31" s="843"/>
      <c r="P31" s="843"/>
      <c r="Q31" s="843"/>
      <c r="R31" s="843"/>
      <c r="S31" s="843"/>
      <c r="T31" s="843"/>
      <c r="U31" s="843"/>
      <c r="V31" s="843"/>
      <c r="W31" s="843"/>
      <c r="X31" s="843"/>
      <c r="Y31" s="843"/>
      <c r="Z31" s="843"/>
      <c r="AA31" s="843"/>
      <c r="AB31" s="844"/>
    </row>
    <row r="32" spans="1:179" ht="184.5" customHeight="1" thickBot="1" x14ac:dyDescent="0.3">
      <c r="A32" s="1043" t="s">
        <v>71</v>
      </c>
      <c r="B32" s="865" t="s">
        <v>245</v>
      </c>
      <c r="C32" s="866"/>
      <c r="D32" s="866"/>
      <c r="E32" s="866"/>
      <c r="F32" s="866"/>
      <c r="G32" s="866"/>
      <c r="H32" s="866"/>
      <c r="I32" s="866"/>
      <c r="J32" s="866"/>
      <c r="K32" s="866"/>
      <c r="L32" s="866"/>
      <c r="M32" s="866"/>
      <c r="N32" s="866"/>
      <c r="O32" s="866"/>
      <c r="P32" s="866"/>
      <c r="Q32" s="866"/>
      <c r="R32" s="866"/>
      <c r="S32" s="866"/>
      <c r="T32" s="866"/>
      <c r="U32" s="866"/>
      <c r="V32" s="866"/>
      <c r="W32" s="866"/>
      <c r="X32" s="866"/>
      <c r="Y32" s="866"/>
      <c r="Z32" s="866"/>
      <c r="AA32" s="866"/>
      <c r="AB32" s="867"/>
    </row>
    <row r="33" spans="1:28" ht="21.75" thickBot="1" x14ac:dyDescent="0.4">
      <c r="A33" s="1044" t="s">
        <v>64</v>
      </c>
      <c r="B33" s="1045"/>
      <c r="C33" s="847" t="s">
        <v>65</v>
      </c>
      <c r="D33" s="848"/>
      <c r="E33" s="1094" t="s">
        <v>400</v>
      </c>
      <c r="F33" s="1094"/>
      <c r="G33" s="1094"/>
      <c r="H33" s="1094"/>
      <c r="I33" s="1094"/>
      <c r="J33" s="1094"/>
      <c r="K33" s="1094"/>
      <c r="L33" s="1094"/>
      <c r="M33" s="1094"/>
      <c r="N33" s="1094"/>
      <c r="O33" s="1094"/>
      <c r="P33" s="1094"/>
      <c r="Q33" s="1094"/>
      <c r="R33" s="1094"/>
      <c r="S33" s="1094"/>
      <c r="T33" s="1094"/>
      <c r="U33" s="1094"/>
      <c r="V33" s="1094"/>
      <c r="W33" s="1094"/>
      <c r="X33" s="1094"/>
      <c r="Y33" s="1094"/>
      <c r="Z33" s="1094"/>
      <c r="AA33" s="1094"/>
      <c r="AB33" s="1095"/>
    </row>
    <row r="34" spans="1:28" ht="15.75" thickBot="1" x14ac:dyDescent="0.3">
      <c r="A34" s="1046"/>
      <c r="B34" s="1047"/>
      <c r="C34" s="116" t="s">
        <v>60</v>
      </c>
      <c r="D34" s="117" t="s">
        <v>64</v>
      </c>
      <c r="E34" s="1091" t="s">
        <v>42</v>
      </c>
      <c r="F34" s="1092"/>
      <c r="G34" s="1093" t="s">
        <v>43</v>
      </c>
      <c r="H34" s="1092"/>
      <c r="I34" s="1093" t="s">
        <v>44</v>
      </c>
      <c r="J34" s="1092"/>
      <c r="K34" s="1093" t="s">
        <v>45</v>
      </c>
      <c r="L34" s="1092"/>
      <c r="M34" s="1093" t="s">
        <v>46</v>
      </c>
      <c r="N34" s="1092"/>
      <c r="O34" s="1093" t="s">
        <v>47</v>
      </c>
      <c r="P34" s="1092"/>
      <c r="Q34" s="1093" t="s">
        <v>48</v>
      </c>
      <c r="R34" s="1092"/>
      <c r="S34" s="1093" t="s">
        <v>49</v>
      </c>
      <c r="T34" s="1092"/>
      <c r="U34" s="1093" t="s">
        <v>50</v>
      </c>
      <c r="V34" s="1092"/>
      <c r="W34" s="1093" t="s">
        <v>51</v>
      </c>
      <c r="X34" s="1092"/>
      <c r="Y34" s="1093" t="s">
        <v>52</v>
      </c>
      <c r="Z34" s="1092"/>
      <c r="AA34" s="1093" t="s">
        <v>53</v>
      </c>
      <c r="AB34" s="1092"/>
    </row>
    <row r="35" spans="1:28" x14ac:dyDescent="0.25">
      <c r="A35" s="1048" t="s">
        <v>63</v>
      </c>
      <c r="B35" s="1049"/>
      <c r="C35" s="118">
        <v>1</v>
      </c>
      <c r="D35" s="119"/>
      <c r="E35" s="820"/>
      <c r="F35" s="798"/>
      <c r="G35" s="798"/>
      <c r="H35" s="798"/>
      <c r="I35" s="798"/>
      <c r="J35" s="798"/>
      <c r="K35" s="798"/>
      <c r="L35" s="798"/>
      <c r="M35" s="798"/>
      <c r="N35" s="798"/>
      <c r="O35" s="798"/>
      <c r="P35" s="798"/>
      <c r="Q35" s="798"/>
      <c r="R35" s="798"/>
      <c r="S35" s="798"/>
      <c r="T35" s="798"/>
      <c r="U35" s="798"/>
      <c r="V35" s="798"/>
      <c r="W35" s="798"/>
      <c r="X35" s="798"/>
      <c r="Y35" s="798"/>
      <c r="Z35" s="798"/>
      <c r="AA35" s="798" t="s">
        <v>67</v>
      </c>
      <c r="AB35" s="824"/>
    </row>
    <row r="36" spans="1:28" x14ac:dyDescent="0.25">
      <c r="A36" s="1050"/>
      <c r="B36" s="1051"/>
      <c r="C36" s="123">
        <v>1</v>
      </c>
      <c r="D36" s="124"/>
      <c r="E36" s="817"/>
      <c r="F36" s="811"/>
      <c r="G36" s="811"/>
      <c r="H36" s="811"/>
      <c r="I36" s="811"/>
      <c r="J36" s="811"/>
      <c r="K36" s="811"/>
      <c r="L36" s="811"/>
      <c r="M36" s="811"/>
      <c r="N36" s="811"/>
      <c r="O36" s="811"/>
      <c r="P36" s="811"/>
      <c r="Q36" s="811"/>
      <c r="R36" s="811"/>
      <c r="S36" s="811"/>
      <c r="T36" s="811"/>
      <c r="U36" s="811"/>
      <c r="V36" s="811"/>
      <c r="W36" s="811"/>
      <c r="X36" s="811"/>
      <c r="Y36" s="811"/>
      <c r="Z36" s="811"/>
      <c r="AA36" s="811" t="s">
        <v>67</v>
      </c>
      <c r="AB36" s="815"/>
    </row>
    <row r="37" spans="1:28" x14ac:dyDescent="0.25">
      <c r="A37" s="1050"/>
      <c r="B37" s="1051"/>
      <c r="C37" s="120">
        <v>0</v>
      </c>
      <c r="D37" s="121"/>
      <c r="E37" s="817"/>
      <c r="F37" s="811"/>
      <c r="G37" s="811"/>
      <c r="H37" s="811"/>
      <c r="I37" s="811"/>
      <c r="J37" s="811"/>
      <c r="K37" s="811"/>
      <c r="L37" s="811"/>
      <c r="M37" s="811"/>
      <c r="N37" s="811"/>
      <c r="O37" s="811"/>
      <c r="P37" s="811"/>
      <c r="Q37" s="811"/>
      <c r="R37" s="811"/>
      <c r="S37" s="811"/>
      <c r="T37" s="811"/>
      <c r="U37" s="811"/>
      <c r="V37" s="811"/>
      <c r="W37" s="811"/>
      <c r="X37" s="811"/>
      <c r="Y37" s="811"/>
      <c r="Z37" s="811"/>
      <c r="AA37" s="811" t="s">
        <v>67</v>
      </c>
      <c r="AB37" s="815"/>
    </row>
    <row r="38" spans="1:28" x14ac:dyDescent="0.25">
      <c r="A38" s="1050"/>
      <c r="B38" s="1051"/>
      <c r="C38" s="115">
        <v>0</v>
      </c>
      <c r="D38" s="111"/>
      <c r="E38" s="817"/>
      <c r="F38" s="811"/>
      <c r="G38" s="811"/>
      <c r="H38" s="811"/>
      <c r="I38" s="811"/>
      <c r="J38" s="811"/>
      <c r="K38" s="811"/>
      <c r="L38" s="811"/>
      <c r="M38" s="811"/>
      <c r="N38" s="811"/>
      <c r="O38" s="811"/>
      <c r="P38" s="811"/>
      <c r="Q38" s="811"/>
      <c r="R38" s="811"/>
      <c r="S38" s="811"/>
      <c r="T38" s="811"/>
      <c r="U38" s="811"/>
      <c r="V38" s="811"/>
      <c r="W38" s="811"/>
      <c r="X38" s="811"/>
      <c r="Y38" s="811"/>
      <c r="Z38" s="811"/>
      <c r="AA38" s="811" t="s">
        <v>67</v>
      </c>
      <c r="AB38" s="815"/>
    </row>
    <row r="39" spans="1:28" x14ac:dyDescent="0.25">
      <c r="A39" s="1050"/>
      <c r="B39" s="1051"/>
      <c r="C39" s="115">
        <v>0</v>
      </c>
      <c r="D39" s="111"/>
      <c r="E39" s="817"/>
      <c r="F39" s="811"/>
      <c r="G39" s="811"/>
      <c r="H39" s="811"/>
      <c r="I39" s="811"/>
      <c r="J39" s="811"/>
      <c r="K39" s="811"/>
      <c r="L39" s="811"/>
      <c r="M39" s="811"/>
      <c r="N39" s="811"/>
      <c r="O39" s="811"/>
      <c r="P39" s="811"/>
      <c r="Q39" s="811"/>
      <c r="R39" s="811"/>
      <c r="S39" s="811"/>
      <c r="T39" s="811"/>
      <c r="U39" s="811"/>
      <c r="V39" s="811"/>
      <c r="W39" s="811"/>
      <c r="X39" s="811"/>
      <c r="Y39" s="811"/>
      <c r="Z39" s="811"/>
      <c r="AA39" s="811" t="s">
        <v>67</v>
      </c>
      <c r="AB39" s="815"/>
    </row>
    <row r="40" spans="1:28" x14ac:dyDescent="0.25">
      <c r="A40" s="1050"/>
      <c r="B40" s="1051"/>
      <c r="C40" s="115">
        <v>0</v>
      </c>
      <c r="D40" s="111"/>
      <c r="E40" s="817"/>
      <c r="F40" s="811"/>
      <c r="G40" s="811"/>
      <c r="H40" s="811"/>
      <c r="I40" s="811"/>
      <c r="J40" s="811"/>
      <c r="K40" s="811"/>
      <c r="L40" s="811"/>
      <c r="M40" s="811"/>
      <c r="N40" s="811"/>
      <c r="O40" s="811"/>
      <c r="P40" s="811"/>
      <c r="Q40" s="811"/>
      <c r="R40" s="811"/>
      <c r="S40" s="811"/>
      <c r="T40" s="811"/>
      <c r="U40" s="811"/>
      <c r="V40" s="811"/>
      <c r="W40" s="811"/>
      <c r="X40" s="811"/>
      <c r="Y40" s="811"/>
      <c r="Z40" s="811"/>
      <c r="AA40" s="811" t="s">
        <v>67</v>
      </c>
      <c r="AB40" s="815"/>
    </row>
    <row r="41" spans="1:28" x14ac:dyDescent="0.25">
      <c r="A41" s="1050"/>
      <c r="B41" s="1051"/>
      <c r="C41" s="115">
        <v>0</v>
      </c>
      <c r="D41" s="111"/>
      <c r="E41" s="817"/>
      <c r="F41" s="811"/>
      <c r="G41" s="811"/>
      <c r="H41" s="811"/>
      <c r="I41" s="811"/>
      <c r="J41" s="811"/>
      <c r="K41" s="811"/>
      <c r="L41" s="811"/>
      <c r="M41" s="811"/>
      <c r="N41" s="811"/>
      <c r="O41" s="811"/>
      <c r="P41" s="811"/>
      <c r="Q41" s="811"/>
      <c r="R41" s="811"/>
      <c r="S41" s="811"/>
      <c r="T41" s="811"/>
      <c r="U41" s="811"/>
      <c r="V41" s="811"/>
      <c r="W41" s="811"/>
      <c r="X41" s="811"/>
      <c r="Y41" s="811"/>
      <c r="Z41" s="811"/>
      <c r="AA41" s="811" t="s">
        <v>67</v>
      </c>
      <c r="AB41" s="815"/>
    </row>
    <row r="42" spans="1:28" x14ac:dyDescent="0.25">
      <c r="A42" s="1050"/>
      <c r="B42" s="1051"/>
      <c r="C42" s="123">
        <v>1</v>
      </c>
      <c r="D42" s="124"/>
      <c r="E42" s="817"/>
      <c r="F42" s="811"/>
      <c r="G42" s="811"/>
      <c r="H42" s="811"/>
      <c r="I42" s="811"/>
      <c r="J42" s="811"/>
      <c r="K42" s="811"/>
      <c r="L42" s="811"/>
      <c r="M42" s="811"/>
      <c r="N42" s="811"/>
      <c r="O42" s="811"/>
      <c r="P42" s="811"/>
      <c r="Q42" s="811"/>
      <c r="R42" s="811"/>
      <c r="S42" s="811"/>
      <c r="T42" s="811"/>
      <c r="U42" s="811"/>
      <c r="V42" s="811"/>
      <c r="W42" s="811"/>
      <c r="X42" s="811"/>
      <c r="Y42" s="811"/>
      <c r="Z42" s="811"/>
      <c r="AA42" s="811" t="s">
        <v>67</v>
      </c>
      <c r="AB42" s="815"/>
    </row>
    <row r="43" spans="1:28" x14ac:dyDescent="0.25">
      <c r="A43" s="1050"/>
      <c r="B43" s="1051"/>
      <c r="C43" s="115">
        <v>0</v>
      </c>
      <c r="D43" s="111"/>
      <c r="E43" s="817"/>
      <c r="F43" s="811"/>
      <c r="G43" s="811"/>
      <c r="H43" s="811"/>
      <c r="I43" s="811"/>
      <c r="J43" s="811"/>
      <c r="K43" s="811"/>
      <c r="L43" s="811"/>
      <c r="M43" s="811"/>
      <c r="N43" s="811"/>
      <c r="O43" s="811"/>
      <c r="P43" s="811"/>
      <c r="Q43" s="811"/>
      <c r="R43" s="811"/>
      <c r="S43" s="811"/>
      <c r="T43" s="811"/>
      <c r="U43" s="811"/>
      <c r="V43" s="811"/>
      <c r="W43" s="811"/>
      <c r="X43" s="811"/>
      <c r="Y43" s="811"/>
      <c r="Z43" s="811"/>
      <c r="AA43" s="811" t="s">
        <v>67</v>
      </c>
      <c r="AB43" s="815"/>
    </row>
    <row r="44" spans="1:28" x14ac:dyDescent="0.25">
      <c r="A44" s="1050"/>
      <c r="B44" s="1051"/>
      <c r="C44" s="123">
        <v>1</v>
      </c>
      <c r="D44" s="124"/>
      <c r="E44" s="817"/>
      <c r="F44" s="811"/>
      <c r="G44" s="811"/>
      <c r="H44" s="811"/>
      <c r="I44" s="811"/>
      <c r="J44" s="811"/>
      <c r="K44" s="811"/>
      <c r="L44" s="811"/>
      <c r="M44" s="811"/>
      <c r="N44" s="811"/>
      <c r="O44" s="811"/>
      <c r="P44" s="811"/>
      <c r="Q44" s="811"/>
      <c r="R44" s="811"/>
      <c r="S44" s="811"/>
      <c r="T44" s="811"/>
      <c r="U44" s="811"/>
      <c r="V44" s="811"/>
      <c r="W44" s="811"/>
      <c r="X44" s="811"/>
      <c r="Y44" s="811"/>
      <c r="Z44" s="811"/>
      <c r="AA44" s="811" t="s">
        <v>67</v>
      </c>
      <c r="AB44" s="815"/>
    </row>
    <row r="45" spans="1:28" x14ac:dyDescent="0.25">
      <c r="A45" s="1050"/>
      <c r="B45" s="1051"/>
      <c r="C45" s="123">
        <v>1</v>
      </c>
      <c r="D45" s="124"/>
      <c r="E45" s="817"/>
      <c r="F45" s="811"/>
      <c r="G45" s="811"/>
      <c r="H45" s="811"/>
      <c r="I45" s="811"/>
      <c r="J45" s="811"/>
      <c r="K45" s="811"/>
      <c r="L45" s="811"/>
      <c r="M45" s="811"/>
      <c r="N45" s="811"/>
      <c r="O45" s="811"/>
      <c r="P45" s="811"/>
      <c r="Q45" s="811"/>
      <c r="R45" s="811"/>
      <c r="S45" s="811"/>
      <c r="T45" s="811"/>
      <c r="U45" s="811"/>
      <c r="V45" s="811"/>
      <c r="W45" s="811"/>
      <c r="X45" s="811"/>
      <c r="Y45" s="811"/>
      <c r="Z45" s="811"/>
      <c r="AA45" s="811" t="s">
        <v>67</v>
      </c>
      <c r="AB45" s="815"/>
    </row>
    <row r="46" spans="1:28" x14ac:dyDescent="0.25">
      <c r="A46" s="1050"/>
      <c r="B46" s="1051"/>
      <c r="C46" s="115">
        <v>0</v>
      </c>
      <c r="D46" s="111"/>
      <c r="E46" s="817"/>
      <c r="F46" s="811"/>
      <c r="G46" s="811"/>
      <c r="H46" s="811"/>
      <c r="I46" s="811"/>
      <c r="J46" s="811"/>
      <c r="K46" s="811"/>
      <c r="L46" s="811"/>
      <c r="M46" s="811"/>
      <c r="N46" s="811"/>
      <c r="O46" s="811"/>
      <c r="P46" s="811"/>
      <c r="Q46" s="811"/>
      <c r="R46" s="811"/>
      <c r="S46" s="811"/>
      <c r="T46" s="811"/>
      <c r="U46" s="811"/>
      <c r="V46" s="811"/>
      <c r="W46" s="811"/>
      <c r="X46" s="811"/>
      <c r="Y46" s="812" t="s">
        <v>75</v>
      </c>
      <c r="Z46" s="812"/>
      <c r="AA46" s="811" t="s">
        <v>67</v>
      </c>
      <c r="AB46" s="815"/>
    </row>
    <row r="47" spans="1:28" x14ac:dyDescent="0.25">
      <c r="A47" s="1050"/>
      <c r="B47" s="1051"/>
      <c r="C47" s="115">
        <v>0</v>
      </c>
      <c r="D47" s="111"/>
      <c r="E47" s="817"/>
      <c r="F47" s="811"/>
      <c r="G47" s="811"/>
      <c r="H47" s="811"/>
      <c r="I47" s="811"/>
      <c r="J47" s="811"/>
      <c r="K47" s="811"/>
      <c r="L47" s="811"/>
      <c r="M47" s="811"/>
      <c r="N47" s="811"/>
      <c r="O47" s="811"/>
      <c r="P47" s="811"/>
      <c r="Q47" s="811"/>
      <c r="R47" s="811"/>
      <c r="S47" s="811"/>
      <c r="T47" s="811"/>
      <c r="U47" s="811"/>
      <c r="V47" s="811"/>
      <c r="W47" s="811"/>
      <c r="X47" s="811"/>
      <c r="Y47" s="811"/>
      <c r="Z47" s="811"/>
      <c r="AA47" s="811" t="s">
        <v>67</v>
      </c>
      <c r="AB47" s="815"/>
    </row>
    <row r="48" spans="1:28" x14ac:dyDescent="0.25">
      <c r="A48" s="1050"/>
      <c r="B48" s="1051"/>
      <c r="C48" s="123">
        <v>1</v>
      </c>
      <c r="D48" s="124"/>
      <c r="E48" s="817"/>
      <c r="F48" s="811"/>
      <c r="G48" s="811"/>
      <c r="H48" s="811"/>
      <c r="I48" s="811"/>
      <c r="J48" s="811"/>
      <c r="K48" s="811"/>
      <c r="L48" s="811"/>
      <c r="M48" s="811"/>
      <c r="N48" s="811"/>
      <c r="O48" s="811"/>
      <c r="P48" s="811"/>
      <c r="Q48" s="811"/>
      <c r="R48" s="811"/>
      <c r="S48" s="811"/>
      <c r="T48" s="811"/>
      <c r="U48" s="811"/>
      <c r="V48" s="811"/>
      <c r="W48" s="811"/>
      <c r="X48" s="811"/>
      <c r="Y48" s="811"/>
      <c r="Z48" s="811"/>
      <c r="AA48" s="811" t="s">
        <v>67</v>
      </c>
      <c r="AB48" s="815"/>
    </row>
    <row r="49" spans="1:28" x14ac:dyDescent="0.25">
      <c r="A49" s="1050"/>
      <c r="B49" s="1051"/>
      <c r="C49" s="123">
        <v>1</v>
      </c>
      <c r="D49" s="124"/>
      <c r="E49" s="817"/>
      <c r="F49" s="811"/>
      <c r="G49" s="811"/>
      <c r="H49" s="811"/>
      <c r="I49" s="811"/>
      <c r="J49" s="811"/>
      <c r="K49" s="811"/>
      <c r="L49" s="811"/>
      <c r="M49" s="811"/>
      <c r="N49" s="811"/>
      <c r="O49" s="811"/>
      <c r="P49" s="811"/>
      <c r="Q49" s="811"/>
      <c r="R49" s="811"/>
      <c r="S49" s="811"/>
      <c r="T49" s="811"/>
      <c r="U49" s="811"/>
      <c r="V49" s="811"/>
      <c r="W49" s="811"/>
      <c r="X49" s="811"/>
      <c r="Y49" s="811"/>
      <c r="Z49" s="811"/>
      <c r="AA49" s="811" t="s">
        <v>67</v>
      </c>
      <c r="AB49" s="815"/>
    </row>
    <row r="50" spans="1:28" ht="30" customHeight="1" x14ac:dyDescent="0.25">
      <c r="A50" s="1050"/>
      <c r="B50" s="1051"/>
      <c r="C50" s="115">
        <v>0</v>
      </c>
      <c r="D50" s="111"/>
      <c r="E50" s="817"/>
      <c r="F50" s="811"/>
      <c r="G50" s="811"/>
      <c r="H50" s="811"/>
      <c r="I50" s="811"/>
      <c r="J50" s="811"/>
      <c r="K50" s="811"/>
      <c r="L50" s="811"/>
      <c r="M50" s="811"/>
      <c r="N50" s="811"/>
      <c r="O50" s="811"/>
      <c r="P50" s="811"/>
      <c r="Q50" s="811"/>
      <c r="R50" s="811"/>
      <c r="S50" s="811"/>
      <c r="T50" s="811"/>
      <c r="U50" s="811"/>
      <c r="V50" s="811"/>
      <c r="W50" s="811"/>
      <c r="X50" s="811"/>
      <c r="Y50" s="811"/>
      <c r="Z50" s="811"/>
      <c r="AA50" s="811" t="s">
        <v>67</v>
      </c>
      <c r="AB50" s="815"/>
    </row>
    <row r="51" spans="1:28" x14ac:dyDescent="0.25">
      <c r="A51" s="1050"/>
      <c r="B51" s="1051"/>
      <c r="C51" s="123">
        <v>2</v>
      </c>
      <c r="D51" s="124"/>
      <c r="E51" s="817"/>
      <c r="F51" s="811"/>
      <c r="G51" s="811"/>
      <c r="H51" s="811"/>
      <c r="I51" s="811"/>
      <c r="J51" s="811"/>
      <c r="K51" s="811"/>
      <c r="L51" s="811"/>
      <c r="M51" s="811"/>
      <c r="N51" s="811"/>
      <c r="O51" s="811"/>
      <c r="P51" s="811"/>
      <c r="Q51" s="811"/>
      <c r="R51" s="811"/>
      <c r="S51" s="811"/>
      <c r="T51" s="811"/>
      <c r="U51" s="811"/>
      <c r="V51" s="811"/>
      <c r="W51" s="811"/>
      <c r="X51" s="811"/>
      <c r="Y51" s="811"/>
      <c r="Z51" s="811"/>
      <c r="AA51" s="811" t="s">
        <v>67</v>
      </c>
      <c r="AB51" s="815"/>
    </row>
    <row r="52" spans="1:28" ht="29.25" customHeight="1" thickBot="1" x14ac:dyDescent="0.3">
      <c r="A52" s="1052"/>
      <c r="B52" s="1053"/>
      <c r="C52" s="125">
        <v>2</v>
      </c>
      <c r="D52" s="126"/>
      <c r="E52" s="823"/>
      <c r="F52" s="797"/>
      <c r="G52" s="797"/>
      <c r="H52" s="797"/>
      <c r="I52" s="797"/>
      <c r="J52" s="797"/>
      <c r="K52" s="797"/>
      <c r="L52" s="797"/>
      <c r="M52" s="797"/>
      <c r="N52" s="797"/>
      <c r="O52" s="797"/>
      <c r="P52" s="797"/>
      <c r="Q52" s="797"/>
      <c r="R52" s="797"/>
      <c r="S52" s="797"/>
      <c r="T52" s="797"/>
      <c r="U52" s="797"/>
      <c r="V52" s="797"/>
      <c r="W52" s="797"/>
      <c r="X52" s="797"/>
      <c r="Y52" s="797"/>
      <c r="Z52" s="797"/>
      <c r="AA52" s="797" t="s">
        <v>67</v>
      </c>
      <c r="AB52" s="821"/>
    </row>
    <row r="53" spans="1:28" x14ac:dyDescent="0.25">
      <c r="A53" s="1054" t="s">
        <v>68</v>
      </c>
      <c r="B53" s="1055"/>
      <c r="C53" s="118">
        <v>6</v>
      </c>
      <c r="D53" s="127"/>
      <c r="E53" s="820"/>
      <c r="F53" s="798"/>
      <c r="G53" s="798"/>
      <c r="H53" s="798"/>
      <c r="I53" s="798"/>
      <c r="J53" s="798"/>
      <c r="K53" s="798"/>
      <c r="L53" s="798"/>
      <c r="M53" s="798"/>
      <c r="N53" s="798"/>
      <c r="O53" s="798"/>
      <c r="P53" s="798"/>
      <c r="Q53" s="798"/>
      <c r="R53" s="798"/>
      <c r="S53" s="798"/>
      <c r="T53" s="798"/>
      <c r="U53" s="811"/>
      <c r="V53" s="811"/>
      <c r="W53" s="798"/>
      <c r="X53" s="798"/>
      <c r="Y53" s="812" t="s">
        <v>73</v>
      </c>
      <c r="Z53" s="812"/>
      <c r="AA53" s="798" t="s">
        <v>67</v>
      </c>
      <c r="AB53" s="824"/>
    </row>
    <row r="54" spans="1:28" x14ac:dyDescent="0.25">
      <c r="A54" s="1056"/>
      <c r="B54" s="1057"/>
      <c r="C54" s="123">
        <v>2</v>
      </c>
      <c r="D54" s="124"/>
      <c r="E54" s="817"/>
      <c r="F54" s="811"/>
      <c r="G54" s="811"/>
      <c r="H54" s="811"/>
      <c r="I54" s="811"/>
      <c r="J54" s="811"/>
      <c r="K54" s="811"/>
      <c r="L54" s="811"/>
      <c r="M54" s="811"/>
      <c r="N54" s="811"/>
      <c r="O54" s="811"/>
      <c r="P54" s="811"/>
      <c r="Q54" s="811"/>
      <c r="R54" s="811"/>
      <c r="S54" s="811"/>
      <c r="T54" s="811"/>
      <c r="U54" s="811"/>
      <c r="V54" s="811"/>
      <c r="W54" s="811"/>
      <c r="X54" s="811"/>
      <c r="Y54" s="811"/>
      <c r="Z54" s="811"/>
      <c r="AA54" s="811" t="s">
        <v>67</v>
      </c>
      <c r="AB54" s="815"/>
    </row>
    <row r="55" spans="1:28" x14ac:dyDescent="0.25">
      <c r="A55" s="1056"/>
      <c r="B55" s="1057"/>
      <c r="C55" s="123">
        <v>8</v>
      </c>
      <c r="D55" s="124"/>
      <c r="E55" s="817"/>
      <c r="F55" s="811"/>
      <c r="G55" s="811"/>
      <c r="H55" s="811"/>
      <c r="I55" s="811"/>
      <c r="J55" s="811"/>
      <c r="K55" s="811"/>
      <c r="L55" s="811"/>
      <c r="M55" s="811"/>
      <c r="N55" s="811"/>
      <c r="O55" s="811"/>
      <c r="P55" s="811"/>
      <c r="Q55" s="811"/>
      <c r="R55" s="811"/>
      <c r="S55" s="811"/>
      <c r="T55" s="811"/>
      <c r="U55" s="811"/>
      <c r="V55" s="811"/>
      <c r="W55" s="811"/>
      <c r="X55" s="811"/>
      <c r="Y55" s="812" t="s">
        <v>74</v>
      </c>
      <c r="Z55" s="812"/>
      <c r="AA55" s="811" t="s">
        <v>67</v>
      </c>
      <c r="AB55" s="815"/>
    </row>
    <row r="56" spans="1:28" x14ac:dyDescent="0.25">
      <c r="A56" s="1056"/>
      <c r="B56" s="1057"/>
      <c r="C56" s="123">
        <v>2</v>
      </c>
      <c r="D56" s="124"/>
      <c r="E56" s="817"/>
      <c r="F56" s="811"/>
      <c r="G56" s="811"/>
      <c r="H56" s="811"/>
      <c r="I56" s="811"/>
      <c r="J56" s="811"/>
      <c r="K56" s="811"/>
      <c r="L56" s="811"/>
      <c r="M56" s="811"/>
      <c r="N56" s="811"/>
      <c r="O56" s="811"/>
      <c r="P56" s="811"/>
      <c r="Q56" s="811"/>
      <c r="R56" s="811"/>
      <c r="S56" s="811"/>
      <c r="T56" s="811"/>
      <c r="U56" s="811"/>
      <c r="V56" s="811"/>
      <c r="W56" s="811"/>
      <c r="X56" s="811"/>
      <c r="Y56" s="811"/>
      <c r="Z56" s="811"/>
      <c r="AA56" s="811" t="s">
        <v>67</v>
      </c>
      <c r="AB56" s="815"/>
    </row>
    <row r="57" spans="1:28" x14ac:dyDescent="0.25">
      <c r="A57" s="1056"/>
      <c r="B57" s="1057"/>
      <c r="C57" s="123">
        <v>6</v>
      </c>
      <c r="D57" s="124"/>
      <c r="E57" s="817"/>
      <c r="F57" s="811"/>
      <c r="G57" s="811"/>
      <c r="H57" s="811"/>
      <c r="I57" s="811"/>
      <c r="J57" s="811"/>
      <c r="K57" s="811"/>
      <c r="L57" s="811"/>
      <c r="M57" s="811"/>
      <c r="N57" s="811"/>
      <c r="O57" s="811"/>
      <c r="P57" s="811"/>
      <c r="Q57" s="811"/>
      <c r="R57" s="811"/>
      <c r="S57" s="811"/>
      <c r="T57" s="811"/>
      <c r="U57" s="811"/>
      <c r="V57" s="811"/>
      <c r="W57" s="811"/>
      <c r="X57" s="811"/>
      <c r="Y57" s="811"/>
      <c r="Z57" s="811"/>
      <c r="AA57" s="811" t="s">
        <v>67</v>
      </c>
      <c r="AB57" s="815"/>
    </row>
    <row r="58" spans="1:28" x14ac:dyDescent="0.25">
      <c r="A58" s="1056"/>
      <c r="B58" s="1057"/>
      <c r="C58" s="123">
        <v>1</v>
      </c>
      <c r="D58" s="124"/>
      <c r="E58" s="817"/>
      <c r="F58" s="811"/>
      <c r="G58" s="811"/>
      <c r="H58" s="811"/>
      <c r="I58" s="811"/>
      <c r="J58" s="811"/>
      <c r="K58" s="811"/>
      <c r="L58" s="811"/>
      <c r="M58" s="811"/>
      <c r="N58" s="811"/>
      <c r="O58" s="811"/>
      <c r="P58" s="811"/>
      <c r="Q58" s="811"/>
      <c r="R58" s="811"/>
      <c r="S58" s="811"/>
      <c r="T58" s="811"/>
      <c r="U58" s="811"/>
      <c r="V58" s="811"/>
      <c r="W58" s="811"/>
      <c r="X58" s="811"/>
      <c r="Y58" s="811"/>
      <c r="Z58" s="811"/>
      <c r="AA58" s="811" t="s">
        <v>67</v>
      </c>
      <c r="AB58" s="815"/>
    </row>
    <row r="59" spans="1:28" ht="36.75" customHeight="1" x14ac:dyDescent="0.25">
      <c r="A59" s="1056"/>
      <c r="B59" s="1057"/>
      <c r="C59" s="128" t="s">
        <v>72</v>
      </c>
      <c r="D59" s="129"/>
      <c r="E59" s="817"/>
      <c r="F59" s="811"/>
      <c r="G59" s="811"/>
      <c r="H59" s="811"/>
      <c r="I59" s="811"/>
      <c r="J59" s="811"/>
      <c r="K59" s="811"/>
      <c r="L59" s="811"/>
      <c r="M59" s="811"/>
      <c r="N59" s="811"/>
      <c r="O59" s="811"/>
      <c r="P59" s="811"/>
      <c r="Q59" s="811"/>
      <c r="R59" s="811"/>
      <c r="S59" s="811"/>
      <c r="T59" s="811"/>
      <c r="U59" s="811"/>
      <c r="V59" s="811"/>
      <c r="W59" s="811"/>
      <c r="X59" s="811"/>
      <c r="Y59" s="812" t="s">
        <v>76</v>
      </c>
      <c r="Z59" s="812"/>
      <c r="AA59" s="811" t="s">
        <v>67</v>
      </c>
      <c r="AB59" s="815"/>
    </row>
    <row r="60" spans="1:28" x14ac:dyDescent="0.25">
      <c r="A60" s="1056"/>
      <c r="B60" s="1057"/>
      <c r="C60" s="123">
        <v>9</v>
      </c>
      <c r="D60" s="124"/>
      <c r="E60" s="817"/>
      <c r="F60" s="811"/>
      <c r="G60" s="811"/>
      <c r="H60" s="811"/>
      <c r="I60" s="811"/>
      <c r="J60" s="811"/>
      <c r="K60" s="811"/>
      <c r="L60" s="811"/>
      <c r="M60" s="811"/>
      <c r="N60" s="811"/>
      <c r="O60" s="811"/>
      <c r="P60" s="811"/>
      <c r="Q60" s="811"/>
      <c r="R60" s="811"/>
      <c r="S60" s="811"/>
      <c r="T60" s="811"/>
      <c r="U60" s="811"/>
      <c r="V60" s="811"/>
      <c r="W60" s="811"/>
      <c r="X60" s="811"/>
      <c r="Y60" s="812" t="s">
        <v>77</v>
      </c>
      <c r="Z60" s="812"/>
      <c r="AA60" s="811" t="s">
        <v>67</v>
      </c>
      <c r="AB60" s="815"/>
    </row>
    <row r="61" spans="1:28" x14ac:dyDescent="0.25">
      <c r="A61" s="1056"/>
      <c r="B61" s="1057"/>
      <c r="C61" s="123">
        <v>5</v>
      </c>
      <c r="D61" s="124"/>
      <c r="E61" s="817"/>
      <c r="F61" s="811"/>
      <c r="G61" s="811"/>
      <c r="H61" s="811"/>
      <c r="I61" s="811"/>
      <c r="J61" s="811"/>
      <c r="K61" s="811"/>
      <c r="L61" s="811"/>
      <c r="M61" s="811"/>
      <c r="N61" s="811"/>
      <c r="O61" s="811"/>
      <c r="P61" s="811"/>
      <c r="Q61" s="811"/>
      <c r="R61" s="811"/>
      <c r="S61" s="811"/>
      <c r="T61" s="811"/>
      <c r="U61" s="811"/>
      <c r="V61" s="811"/>
      <c r="W61" s="811"/>
      <c r="X61" s="811"/>
      <c r="Y61" s="811"/>
      <c r="Z61" s="811"/>
      <c r="AA61" s="811" t="s">
        <v>67</v>
      </c>
      <c r="AB61" s="815"/>
    </row>
    <row r="62" spans="1:28" x14ac:dyDescent="0.25">
      <c r="A62" s="1056"/>
      <c r="B62" s="1057"/>
      <c r="C62" s="123">
        <v>5</v>
      </c>
      <c r="D62" s="124"/>
      <c r="E62" s="817"/>
      <c r="F62" s="811"/>
      <c r="G62" s="811"/>
      <c r="H62" s="811"/>
      <c r="I62" s="811"/>
      <c r="J62" s="811"/>
      <c r="K62" s="811"/>
      <c r="L62" s="811"/>
      <c r="M62" s="811"/>
      <c r="N62" s="811"/>
      <c r="O62" s="811"/>
      <c r="P62" s="811"/>
      <c r="Q62" s="811"/>
      <c r="R62" s="811"/>
      <c r="S62" s="811"/>
      <c r="T62" s="811"/>
      <c r="U62" s="811"/>
      <c r="V62" s="811"/>
      <c r="W62" s="811"/>
      <c r="X62" s="811"/>
      <c r="Y62" s="811"/>
      <c r="Z62" s="811"/>
      <c r="AA62" s="811" t="s">
        <v>67</v>
      </c>
      <c r="AB62" s="815"/>
    </row>
    <row r="63" spans="1:28" ht="15.75" thickBot="1" x14ac:dyDescent="0.3">
      <c r="A63" s="1056"/>
      <c r="B63" s="1057"/>
      <c r="C63" s="123">
        <v>2</v>
      </c>
      <c r="D63" s="124"/>
      <c r="E63" s="817"/>
      <c r="F63" s="811"/>
      <c r="G63" s="811"/>
      <c r="H63" s="811"/>
      <c r="I63" s="811"/>
      <c r="J63" s="811"/>
      <c r="K63" s="811"/>
      <c r="L63" s="811"/>
      <c r="M63" s="811"/>
      <c r="N63" s="811"/>
      <c r="O63" s="811"/>
      <c r="P63" s="811"/>
      <c r="Q63" s="811"/>
      <c r="R63" s="811"/>
      <c r="S63" s="811"/>
      <c r="T63" s="811"/>
      <c r="U63" s="811"/>
      <c r="V63" s="811"/>
      <c r="W63" s="811"/>
      <c r="X63" s="811"/>
      <c r="Y63" s="811"/>
      <c r="Z63" s="811"/>
      <c r="AA63" s="811" t="s">
        <v>67</v>
      </c>
      <c r="AB63" s="815"/>
    </row>
    <row r="64" spans="1:28" x14ac:dyDescent="0.25">
      <c r="A64" s="1054" t="s">
        <v>69</v>
      </c>
      <c r="B64" s="1055"/>
      <c r="C64" s="118">
        <v>1</v>
      </c>
      <c r="D64" s="130"/>
      <c r="E64" s="820"/>
      <c r="F64" s="798"/>
      <c r="G64" s="798"/>
      <c r="H64" s="798"/>
      <c r="I64" s="798"/>
      <c r="J64" s="798"/>
      <c r="K64" s="798"/>
      <c r="L64" s="798"/>
      <c r="M64" s="798"/>
      <c r="N64" s="798"/>
      <c r="O64" s="798"/>
      <c r="P64" s="798"/>
      <c r="Q64" s="798"/>
      <c r="R64" s="798"/>
      <c r="S64" s="798"/>
      <c r="T64" s="798"/>
      <c r="U64" s="798"/>
      <c r="V64" s="798"/>
      <c r="W64" s="798"/>
      <c r="X64" s="798"/>
      <c r="Y64" s="798"/>
      <c r="Z64" s="798"/>
      <c r="AA64" s="798" t="s">
        <v>67</v>
      </c>
      <c r="AB64" s="824"/>
    </row>
    <row r="65" spans="1:43" ht="15.75" thickBot="1" x14ac:dyDescent="0.3">
      <c r="A65" s="1058"/>
      <c r="B65" s="1059"/>
      <c r="C65" s="125">
        <v>1</v>
      </c>
      <c r="D65" s="131"/>
      <c r="E65" s="823"/>
      <c r="F65" s="797"/>
      <c r="G65" s="797"/>
      <c r="H65" s="797"/>
      <c r="I65" s="797"/>
      <c r="J65" s="797"/>
      <c r="K65" s="797"/>
      <c r="L65" s="797"/>
      <c r="M65" s="797"/>
      <c r="N65" s="797"/>
      <c r="O65" s="797"/>
      <c r="P65" s="797"/>
      <c r="Q65" s="797"/>
      <c r="R65" s="797"/>
      <c r="S65" s="797"/>
      <c r="T65" s="797"/>
      <c r="U65" s="797"/>
      <c r="V65" s="797"/>
      <c r="W65" s="797"/>
      <c r="X65" s="797"/>
      <c r="Y65" s="797"/>
      <c r="Z65" s="797"/>
      <c r="AA65" s="797" t="s">
        <v>67</v>
      </c>
      <c r="AB65" s="821"/>
    </row>
    <row r="66" spans="1:43" ht="18.75" customHeight="1" x14ac:dyDescent="0.25">
      <c r="A66" s="112"/>
      <c r="B66" s="112"/>
      <c r="C66" s="102"/>
      <c r="D66" s="42"/>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row>
    <row r="67" spans="1:43" ht="23.25" customHeight="1" x14ac:dyDescent="0.25">
      <c r="A67" s="112"/>
      <c r="B67" s="112"/>
      <c r="C67" s="102"/>
      <c r="D67" s="42"/>
      <c r="E67" s="627"/>
      <c r="F67" s="627"/>
      <c r="G67" s="627"/>
      <c r="H67" s="627"/>
      <c r="I67" s="627"/>
      <c r="J67" s="627"/>
      <c r="K67" s="627"/>
      <c r="L67" s="627"/>
      <c r="M67" s="627"/>
      <c r="N67" s="627"/>
      <c r="O67" s="627"/>
      <c r="P67" s="627"/>
      <c r="Q67" s="627"/>
      <c r="R67" s="627"/>
      <c r="S67" s="627"/>
      <c r="T67" s="627"/>
      <c r="U67" s="627"/>
      <c r="V67" s="627"/>
      <c r="W67" s="627"/>
      <c r="X67" s="627"/>
      <c r="Y67" s="627"/>
      <c r="Z67" s="627"/>
      <c r="AA67" s="627"/>
      <c r="AB67" s="627"/>
    </row>
    <row r="68" spans="1:43" ht="3" customHeight="1" x14ac:dyDescent="0.25">
      <c r="A68" s="168"/>
      <c r="B68" s="168"/>
      <c r="C68" s="169"/>
      <c r="D68" s="170"/>
      <c r="E68" s="171"/>
      <c r="F68" s="171"/>
      <c r="G68" s="171"/>
      <c r="H68" s="171"/>
      <c r="I68" s="171"/>
      <c r="J68" s="171"/>
      <c r="K68" s="171"/>
      <c r="L68" s="171"/>
      <c r="M68" s="171"/>
      <c r="N68" s="171"/>
      <c r="O68" s="171"/>
      <c r="P68" s="171"/>
      <c r="Q68" s="171"/>
      <c r="R68" s="171"/>
      <c r="S68" s="171"/>
      <c r="T68" s="171"/>
      <c r="U68" s="171"/>
      <c r="V68" s="171"/>
      <c r="W68" s="171"/>
      <c r="X68" s="171"/>
      <c r="Y68" s="171"/>
      <c r="Z68" s="171"/>
      <c r="AA68" s="171"/>
      <c r="AB68" s="171"/>
      <c r="AC68" s="172"/>
      <c r="AD68" s="172"/>
      <c r="AE68" s="172"/>
      <c r="AF68" s="172"/>
      <c r="AG68" s="172"/>
      <c r="AH68" s="172"/>
      <c r="AI68" s="172"/>
      <c r="AJ68" s="172"/>
      <c r="AK68" s="172"/>
      <c r="AL68" s="172"/>
      <c r="AM68" s="172"/>
      <c r="AN68" s="172"/>
      <c r="AO68" s="172"/>
      <c r="AP68" s="172"/>
      <c r="AQ68" s="172"/>
    </row>
    <row r="70" spans="1:43" ht="26.25" customHeight="1" thickBot="1" x14ac:dyDescent="0.3"/>
    <row r="71" spans="1:43" ht="27" thickBot="1" x14ac:dyDescent="0.45">
      <c r="A71" s="842" t="s">
        <v>394</v>
      </c>
      <c r="B71" s="843"/>
      <c r="C71" s="843"/>
      <c r="D71" s="843"/>
      <c r="E71" s="843"/>
      <c r="F71" s="843"/>
      <c r="G71" s="843"/>
      <c r="H71" s="843"/>
      <c r="I71" s="843"/>
      <c r="J71" s="843"/>
      <c r="K71" s="843"/>
      <c r="L71" s="843"/>
      <c r="M71" s="843"/>
      <c r="N71" s="843"/>
      <c r="O71" s="843"/>
      <c r="P71" s="843"/>
      <c r="Q71" s="843"/>
      <c r="R71" s="843"/>
      <c r="S71" s="843"/>
      <c r="T71" s="843"/>
      <c r="U71" s="843"/>
      <c r="V71" s="843"/>
      <c r="W71" s="843"/>
      <c r="X71" s="843"/>
      <c r="Y71" s="843"/>
      <c r="Z71" s="843"/>
      <c r="AA71" s="843"/>
      <c r="AB71" s="844"/>
    </row>
    <row r="72" spans="1:43" x14ac:dyDescent="0.25">
      <c r="A72" s="863" t="s">
        <v>32</v>
      </c>
      <c r="B72" s="849" t="s">
        <v>33</v>
      </c>
      <c r="C72" s="863" t="s">
        <v>61</v>
      </c>
      <c r="D72" s="864"/>
      <c r="E72" s="852" t="s">
        <v>42</v>
      </c>
      <c r="F72" s="853"/>
      <c r="G72" s="852" t="s">
        <v>43</v>
      </c>
      <c r="H72" s="853"/>
      <c r="I72" s="852" t="s">
        <v>44</v>
      </c>
      <c r="J72" s="853"/>
      <c r="K72" s="852" t="s">
        <v>45</v>
      </c>
      <c r="L72" s="853"/>
      <c r="M72" s="852" t="s">
        <v>46</v>
      </c>
      <c r="N72" s="853"/>
      <c r="O72" s="852" t="s">
        <v>47</v>
      </c>
      <c r="P72" s="853"/>
      <c r="Q72" s="852" t="s">
        <v>48</v>
      </c>
      <c r="R72" s="853"/>
      <c r="S72" s="852" t="s">
        <v>49</v>
      </c>
      <c r="T72" s="853"/>
      <c r="U72" s="852" t="s">
        <v>50</v>
      </c>
      <c r="V72" s="853"/>
      <c r="W72" s="852" t="s">
        <v>51</v>
      </c>
      <c r="X72" s="853"/>
      <c r="Y72" s="852" t="s">
        <v>52</v>
      </c>
      <c r="Z72" s="853"/>
      <c r="AA72" s="852" t="s">
        <v>53</v>
      </c>
      <c r="AB72" s="853"/>
    </row>
    <row r="73" spans="1:43" x14ac:dyDescent="0.25">
      <c r="A73" s="1060"/>
      <c r="B73" s="850"/>
      <c r="C73" s="856" t="s">
        <v>60</v>
      </c>
      <c r="D73" s="858" t="s">
        <v>41</v>
      </c>
      <c r="E73" s="845">
        <v>0.11</v>
      </c>
      <c r="F73" s="854"/>
      <c r="G73" s="845">
        <v>0.1</v>
      </c>
      <c r="H73" s="854"/>
      <c r="I73" s="845">
        <v>7.0000000000000007E-2</v>
      </c>
      <c r="J73" s="854"/>
      <c r="K73" s="845">
        <v>0.06</v>
      </c>
      <c r="L73" s="854"/>
      <c r="M73" s="845">
        <v>0.06</v>
      </c>
      <c r="N73" s="854"/>
      <c r="O73" s="845">
        <v>0.04</v>
      </c>
      <c r="P73" s="854"/>
      <c r="Q73" s="845">
        <v>0.09</v>
      </c>
      <c r="R73" s="854"/>
      <c r="S73" s="845">
        <v>0.05</v>
      </c>
      <c r="T73" s="854"/>
      <c r="U73" s="845">
        <v>0.09</v>
      </c>
      <c r="V73" s="854"/>
      <c r="W73" s="845">
        <v>0.1</v>
      </c>
      <c r="X73" s="854"/>
      <c r="Y73" s="845">
        <v>0.11</v>
      </c>
      <c r="Z73" s="854"/>
      <c r="AA73" s="845">
        <v>0.12</v>
      </c>
      <c r="AB73" s="854"/>
    </row>
    <row r="74" spans="1:43" ht="15.75" thickBot="1" x14ac:dyDescent="0.3">
      <c r="A74" s="1061"/>
      <c r="B74" s="1062"/>
      <c r="C74" s="1063"/>
      <c r="D74" s="1064"/>
      <c r="E74" s="1065" t="s">
        <v>60</v>
      </c>
      <c r="F74" s="1066" t="s">
        <v>41</v>
      </c>
      <c r="G74" s="1065" t="s">
        <v>60</v>
      </c>
      <c r="H74" s="1066" t="s">
        <v>41</v>
      </c>
      <c r="I74" s="1065" t="s">
        <v>60</v>
      </c>
      <c r="J74" s="1066" t="s">
        <v>41</v>
      </c>
      <c r="K74" s="1065" t="s">
        <v>60</v>
      </c>
      <c r="L74" s="1066" t="s">
        <v>41</v>
      </c>
      <c r="M74" s="1065" t="s">
        <v>60</v>
      </c>
      <c r="N74" s="1066" t="s">
        <v>41</v>
      </c>
      <c r="O74" s="1065" t="s">
        <v>60</v>
      </c>
      <c r="P74" s="1066" t="s">
        <v>41</v>
      </c>
      <c r="Q74" s="1065" t="s">
        <v>60</v>
      </c>
      <c r="R74" s="1066" t="s">
        <v>41</v>
      </c>
      <c r="S74" s="683" t="s">
        <v>60</v>
      </c>
      <c r="T74" s="684" t="s">
        <v>41</v>
      </c>
      <c r="U74" s="683" t="s">
        <v>60</v>
      </c>
      <c r="V74" s="684" t="s">
        <v>41</v>
      </c>
      <c r="W74" s="683" t="s">
        <v>60</v>
      </c>
      <c r="X74" s="684" t="s">
        <v>41</v>
      </c>
      <c r="Y74" s="683" t="s">
        <v>60</v>
      </c>
      <c r="Z74" s="684" t="s">
        <v>41</v>
      </c>
      <c r="AA74" s="683" t="s">
        <v>60</v>
      </c>
      <c r="AB74" s="684" t="s">
        <v>41</v>
      </c>
    </row>
    <row r="75" spans="1:43" ht="15.75" x14ac:dyDescent="0.25">
      <c r="A75" s="50"/>
      <c r="B75" s="51">
        <f>Hipótesis!C58</f>
        <v>2000000</v>
      </c>
      <c r="C75" s="90">
        <v>1200</v>
      </c>
      <c r="D75" s="53">
        <f>B75*C75</f>
        <v>2400000000</v>
      </c>
      <c r="E75" s="73">
        <f t="shared" ref="E75:E82" si="25">C75*$E$73</f>
        <v>132</v>
      </c>
      <c r="F75" s="53">
        <f>D75*$E$17</f>
        <v>144000000</v>
      </c>
      <c r="G75" s="73">
        <f t="shared" ref="G75:G82" si="26">C75*$G$73</f>
        <v>120</v>
      </c>
      <c r="H75" s="53">
        <f>D75*$G$17</f>
        <v>96000000</v>
      </c>
      <c r="I75" s="73">
        <f t="shared" ref="I75:I82" si="27">C75*$I$73</f>
        <v>84.000000000000014</v>
      </c>
      <c r="J75" s="53">
        <f t="shared" ref="J75:J82" si="28">D75*$I$17</f>
        <v>192000000</v>
      </c>
      <c r="K75" s="73">
        <f t="shared" ref="K75:K82" si="29">C75*$K$73</f>
        <v>72</v>
      </c>
      <c r="L75" s="53">
        <f t="shared" ref="L75:L82" si="30">D75*$K$17</f>
        <v>168000000.00000003</v>
      </c>
      <c r="M75" s="73">
        <f t="shared" ref="M75:M82" si="31">C75*$M$73</f>
        <v>72</v>
      </c>
      <c r="N75" s="53">
        <f>D75*$M$17</f>
        <v>264000000</v>
      </c>
      <c r="O75" s="73">
        <f t="shared" ref="O75:O82" si="32">C75*$O$73</f>
        <v>48</v>
      </c>
      <c r="P75" s="53">
        <f t="shared" ref="P75:P82" si="33">D75*$O$17</f>
        <v>96000000</v>
      </c>
      <c r="Q75" s="73">
        <f t="shared" ref="Q75:Q82" si="34">C75*$Q$73</f>
        <v>108</v>
      </c>
      <c r="R75" s="53">
        <f t="shared" ref="R75:R82" si="35">D75*$Q$17</f>
        <v>144000000</v>
      </c>
      <c r="S75" s="73">
        <f t="shared" ref="S75:S82" si="36">C75*$S$73</f>
        <v>60</v>
      </c>
      <c r="T75" s="53">
        <f t="shared" ref="T75:T82" si="37">D75*$S$17</f>
        <v>288000000</v>
      </c>
      <c r="U75" s="73">
        <f t="shared" ref="U75:U82" si="38">C75*$U$73</f>
        <v>108</v>
      </c>
      <c r="V75" s="53">
        <f t="shared" ref="V75:V82" si="39">D75*$U$17</f>
        <v>264000000</v>
      </c>
      <c r="W75" s="73">
        <f t="shared" ref="W75:W82" si="40">C75*$W$73</f>
        <v>120</v>
      </c>
      <c r="X75" s="53">
        <f t="shared" ref="X75:X82" si="41">D75*$W$17</f>
        <v>336000000.00000006</v>
      </c>
      <c r="Y75" s="73">
        <f t="shared" ref="Y75:Y82" si="42">C75*$Y$73</f>
        <v>132</v>
      </c>
      <c r="Z75" s="80">
        <f t="shared" ref="Z75:Z82" si="43">D75*$Y$17</f>
        <v>192000000</v>
      </c>
      <c r="AA75" s="73">
        <f t="shared" ref="AA75:AA82" si="44">C75*$AA$73</f>
        <v>144</v>
      </c>
      <c r="AB75" s="53">
        <f>D75*$AA$17</f>
        <v>216000000</v>
      </c>
    </row>
    <row r="76" spans="1:43" ht="15.75" x14ac:dyDescent="0.25">
      <c r="A76" s="54"/>
      <c r="B76" s="44">
        <f>Hipótesis!C59</f>
        <v>2300000</v>
      </c>
      <c r="C76" s="87">
        <v>845</v>
      </c>
      <c r="D76" s="47">
        <f t="shared" ref="D76:D82" si="45">B76*C76</f>
        <v>1943500000</v>
      </c>
      <c r="E76" s="74">
        <f t="shared" si="25"/>
        <v>92.95</v>
      </c>
      <c r="F76" s="47">
        <f t="shared" ref="F76:F82" si="46">D76*$E$17</f>
        <v>116610000</v>
      </c>
      <c r="G76" s="74">
        <f t="shared" si="26"/>
        <v>84.5</v>
      </c>
      <c r="H76" s="47">
        <f t="shared" ref="H76:H82" si="47">D76*$G$17</f>
        <v>77740000</v>
      </c>
      <c r="I76" s="74">
        <f t="shared" si="27"/>
        <v>59.150000000000006</v>
      </c>
      <c r="J76" s="47">
        <f t="shared" si="28"/>
        <v>155480000</v>
      </c>
      <c r="K76" s="74">
        <f t="shared" si="29"/>
        <v>50.699999999999996</v>
      </c>
      <c r="L76" s="47">
        <f t="shared" si="30"/>
        <v>136045000</v>
      </c>
      <c r="M76" s="74">
        <f t="shared" si="31"/>
        <v>50.699999999999996</v>
      </c>
      <c r="N76" s="47">
        <f t="shared" ref="N76:N82" si="48">D76*$M$17</f>
        <v>213785000</v>
      </c>
      <c r="O76" s="74">
        <f t="shared" si="32"/>
        <v>33.799999999999997</v>
      </c>
      <c r="P76" s="47">
        <f t="shared" si="33"/>
        <v>77740000</v>
      </c>
      <c r="Q76" s="74">
        <f t="shared" si="34"/>
        <v>76.05</v>
      </c>
      <c r="R76" s="47">
        <f t="shared" si="35"/>
        <v>116610000</v>
      </c>
      <c r="S76" s="74">
        <f t="shared" si="36"/>
        <v>42.25</v>
      </c>
      <c r="T76" s="47">
        <f t="shared" si="37"/>
        <v>233220000</v>
      </c>
      <c r="U76" s="74">
        <f t="shared" si="38"/>
        <v>76.05</v>
      </c>
      <c r="V76" s="47">
        <f t="shared" si="39"/>
        <v>213785000</v>
      </c>
      <c r="W76" s="74">
        <f t="shared" si="40"/>
        <v>84.5</v>
      </c>
      <c r="X76" s="47">
        <f t="shared" si="41"/>
        <v>272090000</v>
      </c>
      <c r="Y76" s="74">
        <f t="shared" si="42"/>
        <v>92.95</v>
      </c>
      <c r="Z76" s="81">
        <f t="shared" si="43"/>
        <v>155480000</v>
      </c>
      <c r="AA76" s="74">
        <f t="shared" si="44"/>
        <v>101.39999999999999</v>
      </c>
      <c r="AB76" s="47">
        <f>D76*$AA$17</f>
        <v>174915000</v>
      </c>
    </row>
    <row r="77" spans="1:43" ht="16.5" thickBot="1" x14ac:dyDescent="0.3">
      <c r="A77" s="55"/>
      <c r="B77" s="56">
        <f>Hipótesis!C60</f>
        <v>2300000</v>
      </c>
      <c r="C77" s="91">
        <v>245</v>
      </c>
      <c r="D77" s="58">
        <f t="shared" si="45"/>
        <v>563500000</v>
      </c>
      <c r="E77" s="75">
        <f t="shared" si="25"/>
        <v>26.95</v>
      </c>
      <c r="F77" s="58">
        <f t="shared" si="46"/>
        <v>33810000</v>
      </c>
      <c r="G77" s="75">
        <f t="shared" si="26"/>
        <v>24.5</v>
      </c>
      <c r="H77" s="58">
        <f t="shared" si="47"/>
        <v>22540000</v>
      </c>
      <c r="I77" s="75">
        <f t="shared" si="27"/>
        <v>17.150000000000002</v>
      </c>
      <c r="J77" s="58">
        <f t="shared" si="28"/>
        <v>45080000</v>
      </c>
      <c r="K77" s="75">
        <f t="shared" si="29"/>
        <v>14.7</v>
      </c>
      <c r="L77" s="58">
        <f t="shared" si="30"/>
        <v>39445000.000000007</v>
      </c>
      <c r="M77" s="75">
        <f t="shared" si="31"/>
        <v>14.7</v>
      </c>
      <c r="N77" s="58">
        <f t="shared" si="48"/>
        <v>61985000</v>
      </c>
      <c r="O77" s="75">
        <f t="shared" si="32"/>
        <v>9.8000000000000007</v>
      </c>
      <c r="P77" s="58">
        <f t="shared" si="33"/>
        <v>22540000</v>
      </c>
      <c r="Q77" s="75">
        <f t="shared" si="34"/>
        <v>22.05</v>
      </c>
      <c r="R77" s="58">
        <f t="shared" si="35"/>
        <v>33810000</v>
      </c>
      <c r="S77" s="75">
        <f t="shared" si="36"/>
        <v>12.25</v>
      </c>
      <c r="T77" s="58">
        <f t="shared" si="37"/>
        <v>67620000</v>
      </c>
      <c r="U77" s="75">
        <f t="shared" si="38"/>
        <v>22.05</v>
      </c>
      <c r="V77" s="58">
        <f t="shared" si="39"/>
        <v>61985000</v>
      </c>
      <c r="W77" s="75">
        <f t="shared" si="40"/>
        <v>24.5</v>
      </c>
      <c r="X77" s="58">
        <f t="shared" si="41"/>
        <v>78890000.000000015</v>
      </c>
      <c r="Y77" s="75">
        <f t="shared" si="42"/>
        <v>26.95</v>
      </c>
      <c r="Z77" s="82">
        <f t="shared" si="43"/>
        <v>45080000</v>
      </c>
      <c r="AA77" s="75">
        <f t="shared" si="44"/>
        <v>29.4</v>
      </c>
      <c r="AB77" s="58">
        <f t="shared" ref="AB77:AB82" si="49">D77*$AA$17</f>
        <v>50715000</v>
      </c>
    </row>
    <row r="78" spans="1:43" ht="15.75" x14ac:dyDescent="0.25">
      <c r="A78" s="59"/>
      <c r="B78" s="60">
        <f>Hipótesis!C61</f>
        <v>2500000</v>
      </c>
      <c r="C78" s="92">
        <v>1800</v>
      </c>
      <c r="D78" s="62">
        <f t="shared" si="45"/>
        <v>4500000000</v>
      </c>
      <c r="E78" s="76">
        <f t="shared" si="25"/>
        <v>198</v>
      </c>
      <c r="F78" s="62">
        <f t="shared" si="46"/>
        <v>270000000</v>
      </c>
      <c r="G78" s="76">
        <f t="shared" si="26"/>
        <v>180</v>
      </c>
      <c r="H78" s="62">
        <f t="shared" si="47"/>
        <v>180000000</v>
      </c>
      <c r="I78" s="76">
        <f t="shared" si="27"/>
        <v>126.00000000000001</v>
      </c>
      <c r="J78" s="62">
        <f t="shared" si="28"/>
        <v>360000000</v>
      </c>
      <c r="K78" s="76">
        <f t="shared" si="29"/>
        <v>108</v>
      </c>
      <c r="L78" s="62">
        <f t="shared" si="30"/>
        <v>315000000.00000006</v>
      </c>
      <c r="M78" s="76">
        <f t="shared" si="31"/>
        <v>108</v>
      </c>
      <c r="N78" s="62">
        <f t="shared" si="48"/>
        <v>495000000</v>
      </c>
      <c r="O78" s="76">
        <f t="shared" si="32"/>
        <v>72</v>
      </c>
      <c r="P78" s="62">
        <f t="shared" si="33"/>
        <v>180000000</v>
      </c>
      <c r="Q78" s="76">
        <f t="shared" si="34"/>
        <v>162</v>
      </c>
      <c r="R78" s="62">
        <f t="shared" si="35"/>
        <v>270000000</v>
      </c>
      <c r="S78" s="76">
        <f t="shared" si="36"/>
        <v>90</v>
      </c>
      <c r="T78" s="62">
        <f t="shared" si="37"/>
        <v>540000000</v>
      </c>
      <c r="U78" s="76">
        <f t="shared" si="38"/>
        <v>162</v>
      </c>
      <c r="V78" s="62">
        <f t="shared" si="39"/>
        <v>495000000</v>
      </c>
      <c r="W78" s="76">
        <f t="shared" si="40"/>
        <v>180</v>
      </c>
      <c r="X78" s="62">
        <f t="shared" si="41"/>
        <v>630000000.00000012</v>
      </c>
      <c r="Y78" s="76">
        <f t="shared" si="42"/>
        <v>198</v>
      </c>
      <c r="Z78" s="83">
        <f t="shared" si="43"/>
        <v>360000000</v>
      </c>
      <c r="AA78" s="76">
        <f t="shared" si="44"/>
        <v>216</v>
      </c>
      <c r="AB78" s="62">
        <f t="shared" si="49"/>
        <v>405000000</v>
      </c>
    </row>
    <row r="79" spans="1:43" ht="15.75" x14ac:dyDescent="0.25">
      <c r="A79" s="63"/>
      <c r="B79" s="45">
        <f>Hipótesis!C62</f>
        <v>300000</v>
      </c>
      <c r="C79" s="88">
        <v>1800</v>
      </c>
      <c r="D79" s="49">
        <f t="shared" si="45"/>
        <v>540000000</v>
      </c>
      <c r="E79" s="77">
        <f t="shared" si="25"/>
        <v>198</v>
      </c>
      <c r="F79" s="49">
        <f t="shared" si="46"/>
        <v>32400000</v>
      </c>
      <c r="G79" s="77">
        <f t="shared" si="26"/>
        <v>180</v>
      </c>
      <c r="H79" s="49">
        <f t="shared" si="47"/>
        <v>21600000</v>
      </c>
      <c r="I79" s="77">
        <f t="shared" si="27"/>
        <v>126.00000000000001</v>
      </c>
      <c r="J79" s="49">
        <f t="shared" si="28"/>
        <v>43200000</v>
      </c>
      <c r="K79" s="77">
        <f t="shared" si="29"/>
        <v>108</v>
      </c>
      <c r="L79" s="49">
        <f t="shared" si="30"/>
        <v>37800000</v>
      </c>
      <c r="M79" s="77">
        <f t="shared" si="31"/>
        <v>108</v>
      </c>
      <c r="N79" s="49">
        <f t="shared" si="48"/>
        <v>59400000</v>
      </c>
      <c r="O79" s="77">
        <f t="shared" si="32"/>
        <v>72</v>
      </c>
      <c r="P79" s="49">
        <f t="shared" si="33"/>
        <v>21600000</v>
      </c>
      <c r="Q79" s="77">
        <f t="shared" si="34"/>
        <v>162</v>
      </c>
      <c r="R79" s="49">
        <f t="shared" si="35"/>
        <v>32400000</v>
      </c>
      <c r="S79" s="77">
        <f t="shared" si="36"/>
        <v>90</v>
      </c>
      <c r="T79" s="49">
        <f t="shared" si="37"/>
        <v>64800000</v>
      </c>
      <c r="U79" s="77">
        <f t="shared" si="38"/>
        <v>162</v>
      </c>
      <c r="V79" s="49">
        <f t="shared" si="39"/>
        <v>59400000</v>
      </c>
      <c r="W79" s="77">
        <f t="shared" si="40"/>
        <v>180</v>
      </c>
      <c r="X79" s="49">
        <f t="shared" si="41"/>
        <v>75600000</v>
      </c>
      <c r="Y79" s="77">
        <f t="shared" si="42"/>
        <v>198</v>
      </c>
      <c r="Z79" s="84">
        <f t="shared" si="43"/>
        <v>43200000</v>
      </c>
      <c r="AA79" s="77">
        <f t="shared" si="44"/>
        <v>216</v>
      </c>
      <c r="AB79" s="49">
        <f t="shared" si="49"/>
        <v>48600000</v>
      </c>
    </row>
    <row r="80" spans="1:43" ht="15.75" x14ac:dyDescent="0.25">
      <c r="A80" s="64"/>
      <c r="B80" s="45">
        <f>Hipótesis!C63</f>
        <v>500000</v>
      </c>
      <c r="C80" s="88">
        <v>750</v>
      </c>
      <c r="D80" s="49">
        <f t="shared" si="45"/>
        <v>375000000</v>
      </c>
      <c r="E80" s="77">
        <f t="shared" si="25"/>
        <v>82.5</v>
      </c>
      <c r="F80" s="49">
        <f t="shared" si="46"/>
        <v>22500000</v>
      </c>
      <c r="G80" s="77">
        <f t="shared" si="26"/>
        <v>75</v>
      </c>
      <c r="H80" s="49">
        <f t="shared" si="47"/>
        <v>15000000</v>
      </c>
      <c r="I80" s="77">
        <f t="shared" si="27"/>
        <v>52.500000000000007</v>
      </c>
      <c r="J80" s="49">
        <f t="shared" si="28"/>
        <v>30000000</v>
      </c>
      <c r="K80" s="77">
        <f t="shared" si="29"/>
        <v>45</v>
      </c>
      <c r="L80" s="49">
        <f t="shared" si="30"/>
        <v>26250000.000000004</v>
      </c>
      <c r="M80" s="77">
        <f t="shared" si="31"/>
        <v>45</v>
      </c>
      <c r="N80" s="49">
        <f t="shared" si="48"/>
        <v>41250000</v>
      </c>
      <c r="O80" s="77">
        <f t="shared" si="32"/>
        <v>30</v>
      </c>
      <c r="P80" s="49">
        <f t="shared" si="33"/>
        <v>15000000</v>
      </c>
      <c r="Q80" s="77">
        <f t="shared" si="34"/>
        <v>67.5</v>
      </c>
      <c r="R80" s="49">
        <f t="shared" si="35"/>
        <v>22500000</v>
      </c>
      <c r="S80" s="77">
        <f t="shared" si="36"/>
        <v>37.5</v>
      </c>
      <c r="T80" s="49">
        <f t="shared" si="37"/>
        <v>45000000</v>
      </c>
      <c r="U80" s="77">
        <f t="shared" si="38"/>
        <v>67.5</v>
      </c>
      <c r="V80" s="49">
        <f t="shared" si="39"/>
        <v>41250000</v>
      </c>
      <c r="W80" s="77">
        <f t="shared" si="40"/>
        <v>75</v>
      </c>
      <c r="X80" s="49">
        <f t="shared" si="41"/>
        <v>52500000.000000007</v>
      </c>
      <c r="Y80" s="77">
        <f t="shared" si="42"/>
        <v>82.5</v>
      </c>
      <c r="Z80" s="84">
        <f t="shared" si="43"/>
        <v>30000000</v>
      </c>
      <c r="AA80" s="77">
        <f t="shared" si="44"/>
        <v>90</v>
      </c>
      <c r="AB80" s="49">
        <f t="shared" si="49"/>
        <v>33750000</v>
      </c>
    </row>
    <row r="81" spans="1:28" ht="16.5" thickBot="1" x14ac:dyDescent="0.3">
      <c r="A81" s="65"/>
      <c r="B81" s="66">
        <f>Hipótesis!C64</f>
        <v>600000</v>
      </c>
      <c r="C81" s="89">
        <v>1600</v>
      </c>
      <c r="D81" s="68">
        <f t="shared" si="45"/>
        <v>960000000</v>
      </c>
      <c r="E81" s="78">
        <f t="shared" si="25"/>
        <v>176</v>
      </c>
      <c r="F81" s="68">
        <f t="shared" si="46"/>
        <v>57600000</v>
      </c>
      <c r="G81" s="78">
        <f t="shared" si="26"/>
        <v>160</v>
      </c>
      <c r="H81" s="68">
        <f t="shared" si="47"/>
        <v>38400000</v>
      </c>
      <c r="I81" s="78">
        <f t="shared" si="27"/>
        <v>112.00000000000001</v>
      </c>
      <c r="J81" s="68">
        <f t="shared" si="28"/>
        <v>76800000</v>
      </c>
      <c r="K81" s="78">
        <f t="shared" si="29"/>
        <v>96</v>
      </c>
      <c r="L81" s="68">
        <f t="shared" si="30"/>
        <v>67200000</v>
      </c>
      <c r="M81" s="78">
        <f t="shared" si="31"/>
        <v>96</v>
      </c>
      <c r="N81" s="68">
        <f t="shared" si="48"/>
        <v>105600000</v>
      </c>
      <c r="O81" s="78">
        <f t="shared" si="32"/>
        <v>64</v>
      </c>
      <c r="P81" s="68">
        <f t="shared" si="33"/>
        <v>38400000</v>
      </c>
      <c r="Q81" s="78">
        <f t="shared" si="34"/>
        <v>144</v>
      </c>
      <c r="R81" s="68">
        <f t="shared" si="35"/>
        <v>57600000</v>
      </c>
      <c r="S81" s="78">
        <f t="shared" si="36"/>
        <v>80</v>
      </c>
      <c r="T81" s="68">
        <f t="shared" si="37"/>
        <v>115200000</v>
      </c>
      <c r="U81" s="78">
        <f t="shared" si="38"/>
        <v>144</v>
      </c>
      <c r="V81" s="68">
        <f t="shared" si="39"/>
        <v>105600000</v>
      </c>
      <c r="W81" s="78">
        <f t="shared" si="40"/>
        <v>160</v>
      </c>
      <c r="X81" s="68">
        <f t="shared" si="41"/>
        <v>134400000</v>
      </c>
      <c r="Y81" s="78">
        <f t="shared" si="42"/>
        <v>176</v>
      </c>
      <c r="Z81" s="85">
        <f t="shared" si="43"/>
        <v>76800000</v>
      </c>
      <c r="AA81" s="78">
        <f t="shared" si="44"/>
        <v>192</v>
      </c>
      <c r="AB81" s="68">
        <f t="shared" si="49"/>
        <v>86400000</v>
      </c>
    </row>
    <row r="82" spans="1:28" ht="16.5" thickBot="1" x14ac:dyDescent="0.3">
      <c r="A82" s="69"/>
      <c r="B82" s="70">
        <f>Hipótesis!C65</f>
        <v>800000</v>
      </c>
      <c r="C82" s="93">
        <v>900</v>
      </c>
      <c r="D82" s="72">
        <f t="shared" si="45"/>
        <v>720000000</v>
      </c>
      <c r="E82" s="79">
        <f t="shared" si="25"/>
        <v>99</v>
      </c>
      <c r="F82" s="72">
        <f t="shared" si="46"/>
        <v>43200000</v>
      </c>
      <c r="G82" s="79">
        <f t="shared" si="26"/>
        <v>90</v>
      </c>
      <c r="H82" s="72">
        <f t="shared" si="47"/>
        <v>28800000</v>
      </c>
      <c r="I82" s="79">
        <f t="shared" si="27"/>
        <v>63.000000000000007</v>
      </c>
      <c r="J82" s="72">
        <f t="shared" si="28"/>
        <v>57600000</v>
      </c>
      <c r="K82" s="79">
        <f t="shared" si="29"/>
        <v>54</v>
      </c>
      <c r="L82" s="72">
        <f t="shared" si="30"/>
        <v>50400000.000000007</v>
      </c>
      <c r="M82" s="79">
        <f t="shared" si="31"/>
        <v>54</v>
      </c>
      <c r="N82" s="72">
        <f t="shared" si="48"/>
        <v>79200000</v>
      </c>
      <c r="O82" s="79">
        <f t="shared" si="32"/>
        <v>36</v>
      </c>
      <c r="P82" s="72">
        <f t="shared" si="33"/>
        <v>28800000</v>
      </c>
      <c r="Q82" s="79">
        <f t="shared" si="34"/>
        <v>81</v>
      </c>
      <c r="R82" s="72">
        <f t="shared" si="35"/>
        <v>43200000</v>
      </c>
      <c r="S82" s="79">
        <f t="shared" si="36"/>
        <v>45</v>
      </c>
      <c r="T82" s="72">
        <f t="shared" si="37"/>
        <v>86400000</v>
      </c>
      <c r="U82" s="79">
        <f t="shared" si="38"/>
        <v>81</v>
      </c>
      <c r="V82" s="72">
        <f t="shared" si="39"/>
        <v>79200000</v>
      </c>
      <c r="W82" s="79">
        <f t="shared" si="40"/>
        <v>90</v>
      </c>
      <c r="X82" s="72">
        <f t="shared" si="41"/>
        <v>100800000.00000001</v>
      </c>
      <c r="Y82" s="79">
        <f t="shared" si="42"/>
        <v>99</v>
      </c>
      <c r="Z82" s="86">
        <f t="shared" si="43"/>
        <v>57600000</v>
      </c>
      <c r="AA82" s="79">
        <f t="shared" si="44"/>
        <v>108</v>
      </c>
      <c r="AB82" s="72">
        <f t="shared" si="49"/>
        <v>64800000</v>
      </c>
    </row>
    <row r="83" spans="1:28" ht="16.5" thickBot="1" x14ac:dyDescent="0.3">
      <c r="A83" s="791" t="s">
        <v>101</v>
      </c>
      <c r="B83" s="792"/>
      <c r="C83" s="172"/>
      <c r="D83" s="175">
        <f>SUM(D75:D82)</f>
        <v>12002000000</v>
      </c>
      <c r="E83" s="176"/>
      <c r="F83" s="177">
        <f>SUM(F75:F82)</f>
        <v>720120000</v>
      </c>
      <c r="G83" s="176"/>
      <c r="H83" s="177">
        <f>SUM(H75:H82)</f>
        <v>480080000</v>
      </c>
      <c r="I83" s="176"/>
      <c r="J83" s="177">
        <f>SUM(J75:J82)</f>
        <v>960160000</v>
      </c>
      <c r="K83" s="176"/>
      <c r="L83" s="177">
        <f>SUM(L75:L82)</f>
        <v>840140000</v>
      </c>
      <c r="M83" s="176"/>
      <c r="N83" s="177">
        <f>SUM(N75:N82)</f>
        <v>1320220000</v>
      </c>
      <c r="O83" s="176"/>
      <c r="P83" s="177">
        <f>SUM(P75:P82)</f>
        <v>480080000</v>
      </c>
      <c r="Q83" s="176"/>
      <c r="R83" s="177">
        <f>SUM(R75:R82)</f>
        <v>720120000</v>
      </c>
      <c r="S83" s="176"/>
      <c r="T83" s="177">
        <f>SUM(T75:T82)</f>
        <v>1440240000</v>
      </c>
      <c r="U83" s="176"/>
      <c r="V83" s="177">
        <f>SUM(V75:V82)</f>
        <v>1320220000</v>
      </c>
      <c r="W83" s="176"/>
      <c r="X83" s="177">
        <f>SUM(X75:X82)</f>
        <v>1680280000</v>
      </c>
      <c r="Y83" s="176"/>
      <c r="Z83" s="177">
        <f>SUM(Z75:Z82)</f>
        <v>960160000</v>
      </c>
      <c r="AA83" s="176"/>
      <c r="AB83" s="177">
        <f>SUM(AB75:AB82)</f>
        <v>1080180000</v>
      </c>
    </row>
    <row r="84" spans="1:28" ht="15.75" x14ac:dyDescent="0.25">
      <c r="A84" s="789"/>
      <c r="B84" s="790"/>
      <c r="C84" s="201">
        <f>C75</f>
        <v>1200</v>
      </c>
      <c r="D84" s="183"/>
      <c r="E84" s="194">
        <f>E75</f>
        <v>132</v>
      </c>
      <c r="F84" s="183"/>
      <c r="G84" s="194">
        <f>G75</f>
        <v>120</v>
      </c>
      <c r="H84" s="183"/>
      <c r="I84" s="194">
        <f>I75</f>
        <v>84.000000000000014</v>
      </c>
      <c r="J84" s="183"/>
      <c r="K84" s="194">
        <f>K75</f>
        <v>72</v>
      </c>
      <c r="L84" s="183"/>
      <c r="M84" s="194">
        <f>M75</f>
        <v>72</v>
      </c>
      <c r="N84" s="183"/>
      <c r="O84" s="194">
        <f>O75</f>
        <v>48</v>
      </c>
      <c r="P84" s="183"/>
      <c r="Q84" s="194">
        <f>Q75</f>
        <v>108</v>
      </c>
      <c r="R84" s="183"/>
      <c r="S84" s="194">
        <f>S75</f>
        <v>60</v>
      </c>
      <c r="T84" s="183"/>
      <c r="U84" s="194">
        <f>U75</f>
        <v>108</v>
      </c>
      <c r="V84" s="183"/>
      <c r="W84" s="194">
        <f>W75</f>
        <v>120</v>
      </c>
      <c r="X84" s="183"/>
      <c r="Y84" s="194">
        <f>Y75</f>
        <v>132</v>
      </c>
      <c r="Z84" s="183"/>
      <c r="AA84" s="194">
        <f>AA75</f>
        <v>144</v>
      </c>
      <c r="AB84" s="184"/>
    </row>
    <row r="85" spans="1:28" ht="15.75" x14ac:dyDescent="0.25">
      <c r="A85" s="787"/>
      <c r="B85" s="788"/>
      <c r="C85" s="202">
        <f>C76</f>
        <v>845</v>
      </c>
      <c r="D85" s="179"/>
      <c r="E85" s="195">
        <f>E76</f>
        <v>92.95</v>
      </c>
      <c r="F85" s="179"/>
      <c r="G85" s="195">
        <f>G76</f>
        <v>84.5</v>
      </c>
      <c r="H85" s="179"/>
      <c r="I85" s="195">
        <f>I76</f>
        <v>59.150000000000006</v>
      </c>
      <c r="J85" s="179"/>
      <c r="K85" s="195">
        <f>K76</f>
        <v>50.699999999999996</v>
      </c>
      <c r="L85" s="179"/>
      <c r="M85" s="195">
        <f>M76</f>
        <v>50.699999999999996</v>
      </c>
      <c r="N85" s="179"/>
      <c r="O85" s="195">
        <f>O76</f>
        <v>33.799999999999997</v>
      </c>
      <c r="P85" s="179"/>
      <c r="Q85" s="195">
        <f>Q76</f>
        <v>76.05</v>
      </c>
      <c r="R85" s="179"/>
      <c r="S85" s="195">
        <f>S76</f>
        <v>42.25</v>
      </c>
      <c r="T85" s="179"/>
      <c r="U85" s="195">
        <f>U76</f>
        <v>76.05</v>
      </c>
      <c r="V85" s="179"/>
      <c r="W85" s="195">
        <f>W76</f>
        <v>84.5</v>
      </c>
      <c r="X85" s="179"/>
      <c r="Y85" s="195">
        <f>Y76</f>
        <v>92.95</v>
      </c>
      <c r="Z85" s="179"/>
      <c r="AA85" s="195">
        <f>AA76</f>
        <v>101.39999999999999</v>
      </c>
      <c r="AB85" s="185"/>
    </row>
    <row r="86" spans="1:28" ht="16.5" thickBot="1" x14ac:dyDescent="0.3">
      <c r="A86" s="785"/>
      <c r="B86" s="786"/>
      <c r="C86" s="203">
        <f>C77</f>
        <v>245</v>
      </c>
      <c r="D86" s="186"/>
      <c r="E86" s="196">
        <f>E77</f>
        <v>26.95</v>
      </c>
      <c r="F86" s="186"/>
      <c r="G86" s="196">
        <f>G77</f>
        <v>24.5</v>
      </c>
      <c r="H86" s="186"/>
      <c r="I86" s="196">
        <f>I77</f>
        <v>17.150000000000002</v>
      </c>
      <c r="J86" s="186"/>
      <c r="K86" s="196">
        <f>K77</f>
        <v>14.7</v>
      </c>
      <c r="L86" s="186"/>
      <c r="M86" s="196">
        <f>M77</f>
        <v>14.7</v>
      </c>
      <c r="N86" s="186"/>
      <c r="O86" s="196">
        <f>O77</f>
        <v>9.8000000000000007</v>
      </c>
      <c r="P86" s="186"/>
      <c r="Q86" s="196">
        <f>Q77</f>
        <v>22.05</v>
      </c>
      <c r="R86" s="186"/>
      <c r="S86" s="196">
        <f>S77</f>
        <v>12.25</v>
      </c>
      <c r="T86" s="186"/>
      <c r="U86" s="196">
        <f>U77</f>
        <v>22.05</v>
      </c>
      <c r="V86" s="186"/>
      <c r="W86" s="196">
        <f>W77</f>
        <v>24.5</v>
      </c>
      <c r="X86" s="186"/>
      <c r="Y86" s="196">
        <f>Y77</f>
        <v>26.95</v>
      </c>
      <c r="Z86" s="186"/>
      <c r="AA86" s="196">
        <f>AA77</f>
        <v>29.4</v>
      </c>
      <c r="AB86" s="187"/>
    </row>
    <row r="87" spans="1:28" ht="16.5" thickBot="1" x14ac:dyDescent="0.3">
      <c r="A87" s="809"/>
      <c r="B87" s="810"/>
      <c r="C87" s="204">
        <f>SUM(C78:C81)</f>
        <v>5950</v>
      </c>
      <c r="D87" s="182"/>
      <c r="E87" s="197">
        <f>SUM(E78:E81)</f>
        <v>654.5</v>
      </c>
      <c r="F87" s="188"/>
      <c r="G87" s="197">
        <f>SUM(G78:G81)</f>
        <v>595</v>
      </c>
      <c r="H87" s="188"/>
      <c r="I87" s="197">
        <f>SUM(I78:I81)</f>
        <v>416.50000000000006</v>
      </c>
      <c r="J87" s="188"/>
      <c r="K87" s="197">
        <f>SUM(K78:K81)</f>
        <v>357</v>
      </c>
      <c r="L87" s="188"/>
      <c r="M87" s="197">
        <f>SUM(M78:M81)</f>
        <v>357</v>
      </c>
      <c r="N87" s="188"/>
      <c r="O87" s="197">
        <f>SUM(O78:O81)</f>
        <v>238</v>
      </c>
      <c r="P87" s="188"/>
      <c r="Q87" s="197">
        <f>SUM(Q78:Q81)</f>
        <v>535.5</v>
      </c>
      <c r="R87" s="188"/>
      <c r="S87" s="197">
        <f>SUM(S78:S81)</f>
        <v>297.5</v>
      </c>
      <c r="T87" s="188"/>
      <c r="U87" s="197">
        <f>SUM(U78:U81)</f>
        <v>535.5</v>
      </c>
      <c r="V87" s="188"/>
      <c r="W87" s="197">
        <f>SUM(W78:W81)</f>
        <v>595</v>
      </c>
      <c r="X87" s="188"/>
      <c r="Y87" s="197">
        <f>SUM(Y78:Y81)</f>
        <v>654.5</v>
      </c>
      <c r="Z87" s="188"/>
      <c r="AA87" s="197">
        <f>SUM(AA78:AA81)</f>
        <v>714</v>
      </c>
      <c r="AB87" s="191"/>
    </row>
    <row r="88" spans="1:28" ht="16.5" thickBot="1" x14ac:dyDescent="0.3">
      <c r="A88" s="803"/>
      <c r="B88" s="804"/>
      <c r="C88" s="205">
        <f>SUM(C82:C82)</f>
        <v>900</v>
      </c>
      <c r="D88" s="181"/>
      <c r="E88" s="198">
        <f>SUM(E82:E82)</f>
        <v>99</v>
      </c>
      <c r="F88" s="189"/>
      <c r="G88" s="198">
        <f>SUM(G82:G82)</f>
        <v>90</v>
      </c>
      <c r="H88" s="189"/>
      <c r="I88" s="198">
        <f>SUM(I82:I82)</f>
        <v>63.000000000000007</v>
      </c>
      <c r="J88" s="189"/>
      <c r="K88" s="198">
        <f>SUM(K82:K82)</f>
        <v>54</v>
      </c>
      <c r="L88" s="189"/>
      <c r="M88" s="198">
        <f>SUM(M82:M82)</f>
        <v>54</v>
      </c>
      <c r="N88" s="189"/>
      <c r="O88" s="198">
        <f>SUM(O82:O82)</f>
        <v>36</v>
      </c>
      <c r="P88" s="189"/>
      <c r="Q88" s="198">
        <f>SUM(Q82:Q82)</f>
        <v>81</v>
      </c>
      <c r="R88" s="189"/>
      <c r="S88" s="198">
        <f>SUM(S82:S82)</f>
        <v>45</v>
      </c>
      <c r="T88" s="189"/>
      <c r="U88" s="198">
        <f>SUM(U82:U82)</f>
        <v>81</v>
      </c>
      <c r="V88" s="189"/>
      <c r="W88" s="198">
        <f>SUM(W82:W82)</f>
        <v>90</v>
      </c>
      <c r="X88" s="189"/>
      <c r="Y88" s="198">
        <f>SUM(Y82:Y82)</f>
        <v>99</v>
      </c>
      <c r="Z88" s="189"/>
      <c r="AA88" s="198">
        <f>SUM(AA82:AA82)</f>
        <v>108</v>
      </c>
      <c r="AB88" s="192"/>
    </row>
    <row r="89" spans="1:28" ht="16.5" thickBot="1" x14ac:dyDescent="0.3">
      <c r="A89" s="807"/>
      <c r="B89" s="808"/>
      <c r="C89" s="206" t="e">
        <f>#REF!</f>
        <v>#REF!</v>
      </c>
      <c r="D89" s="180"/>
      <c r="E89" s="199" t="e">
        <f>#REF!</f>
        <v>#REF!</v>
      </c>
      <c r="F89" s="190"/>
      <c r="G89" s="199" t="e">
        <f>#REF!</f>
        <v>#REF!</v>
      </c>
      <c r="H89" s="190"/>
      <c r="I89" s="199" t="e">
        <f>#REF!</f>
        <v>#REF!</v>
      </c>
      <c r="J89" s="190"/>
      <c r="K89" s="199" t="e">
        <f>#REF!</f>
        <v>#REF!</v>
      </c>
      <c r="L89" s="190"/>
      <c r="M89" s="199" t="e">
        <f>#REF!</f>
        <v>#REF!</v>
      </c>
      <c r="N89" s="190"/>
      <c r="O89" s="199" t="e">
        <f>#REF!</f>
        <v>#REF!</v>
      </c>
      <c r="P89" s="190"/>
      <c r="Q89" s="199" t="e">
        <f>#REF!</f>
        <v>#REF!</v>
      </c>
      <c r="R89" s="190"/>
      <c r="S89" s="199" t="e">
        <f>#REF!</f>
        <v>#REF!</v>
      </c>
      <c r="T89" s="190"/>
      <c r="U89" s="199" t="e">
        <f>#REF!</f>
        <v>#REF!</v>
      </c>
      <c r="V89" s="190"/>
      <c r="W89" s="199" t="e">
        <f>#REF!</f>
        <v>#REF!</v>
      </c>
      <c r="X89" s="190"/>
      <c r="Y89" s="199" t="e">
        <f>#REF!</f>
        <v>#REF!</v>
      </c>
      <c r="Z89" s="190"/>
      <c r="AA89" s="199" t="e">
        <f>#REF!</f>
        <v>#REF!</v>
      </c>
      <c r="AB89" s="193"/>
    </row>
    <row r="90" spans="1:28" ht="15.75" thickBot="1" x14ac:dyDescent="0.3">
      <c r="D90" s="35"/>
    </row>
    <row r="91" spans="1:28" ht="27" thickBot="1" x14ac:dyDescent="0.45">
      <c r="A91" s="1067" t="s">
        <v>395</v>
      </c>
      <c r="B91" s="1068"/>
      <c r="C91" s="1068"/>
      <c r="D91" s="1068"/>
      <c r="E91" s="1068"/>
      <c r="F91" s="1068"/>
      <c r="G91" s="1068"/>
      <c r="H91" s="1068"/>
      <c r="I91" s="1068"/>
      <c r="J91" s="1068"/>
      <c r="K91" s="1068"/>
      <c r="L91" s="1068"/>
      <c r="M91" s="1068"/>
      <c r="N91" s="1068"/>
      <c r="O91" s="1068"/>
      <c r="P91" s="1068"/>
      <c r="Q91" s="1068"/>
      <c r="R91" s="1068"/>
      <c r="S91" s="1068"/>
      <c r="T91" s="1068"/>
      <c r="U91" s="1068"/>
      <c r="V91" s="1068"/>
      <c r="W91" s="1068"/>
      <c r="X91" s="1068"/>
      <c r="Y91" s="1068"/>
      <c r="Z91" s="1068"/>
      <c r="AA91" s="1068"/>
      <c r="AB91" s="1069"/>
    </row>
    <row r="92" spans="1:28" ht="107.25" customHeight="1" thickBot="1" x14ac:dyDescent="0.3">
      <c r="A92" s="1070" t="s">
        <v>71</v>
      </c>
      <c r="B92" s="865" t="s">
        <v>353</v>
      </c>
      <c r="C92" s="866"/>
      <c r="D92" s="866"/>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7"/>
    </row>
    <row r="93" spans="1:28" ht="21.75" thickBot="1" x14ac:dyDescent="0.3">
      <c r="A93" s="1071"/>
      <c r="B93" s="1072"/>
      <c r="C93" s="1089" t="s">
        <v>64</v>
      </c>
      <c r="D93" s="1090"/>
      <c r="E93" s="1091" t="s">
        <v>42</v>
      </c>
      <c r="F93" s="1092"/>
      <c r="G93" s="1093" t="s">
        <v>43</v>
      </c>
      <c r="H93" s="1092"/>
      <c r="I93" s="1093" t="s">
        <v>44</v>
      </c>
      <c r="J93" s="1092"/>
      <c r="K93" s="1093" t="s">
        <v>45</v>
      </c>
      <c r="L93" s="1092"/>
      <c r="M93" s="1093" t="s">
        <v>46</v>
      </c>
      <c r="N93" s="1092"/>
      <c r="O93" s="1093" t="s">
        <v>47</v>
      </c>
      <c r="P93" s="1092"/>
      <c r="Q93" s="1093" t="s">
        <v>48</v>
      </c>
      <c r="R93" s="1092"/>
      <c r="S93" s="1093" t="s">
        <v>49</v>
      </c>
      <c r="T93" s="1092"/>
      <c r="U93" s="1093" t="s">
        <v>50</v>
      </c>
      <c r="V93" s="1092"/>
      <c r="W93" s="1093" t="s">
        <v>51</v>
      </c>
      <c r="X93" s="1092"/>
      <c r="Y93" s="1093" t="s">
        <v>52</v>
      </c>
      <c r="Z93" s="1092"/>
      <c r="AA93" s="1093" t="s">
        <v>53</v>
      </c>
      <c r="AB93" s="1092"/>
    </row>
    <row r="94" spans="1:28" x14ac:dyDescent="0.25">
      <c r="A94" s="1073" t="s">
        <v>63</v>
      </c>
      <c r="B94" s="1074"/>
      <c r="C94" s="832"/>
      <c r="D94" s="833"/>
      <c r="E94" s="834" t="s">
        <v>67</v>
      </c>
      <c r="F94" s="820"/>
      <c r="G94" s="835" t="s">
        <v>67</v>
      </c>
      <c r="H94" s="820"/>
      <c r="I94" s="835" t="s">
        <v>67</v>
      </c>
      <c r="J94" s="820"/>
      <c r="K94" s="835" t="s">
        <v>67</v>
      </c>
      <c r="L94" s="820"/>
      <c r="M94" s="835" t="s">
        <v>67</v>
      </c>
      <c r="N94" s="820"/>
      <c r="O94" s="835" t="s">
        <v>67</v>
      </c>
      <c r="P94" s="820"/>
      <c r="Q94" s="835" t="s">
        <v>67</v>
      </c>
      <c r="R94" s="820"/>
      <c r="S94" s="835" t="s">
        <v>67</v>
      </c>
      <c r="T94" s="820"/>
      <c r="U94" s="798" t="s">
        <v>67</v>
      </c>
      <c r="V94" s="798"/>
      <c r="W94" s="798" t="s">
        <v>67</v>
      </c>
      <c r="X94" s="798"/>
      <c r="Y94" s="798" t="s">
        <v>67</v>
      </c>
      <c r="Z94" s="798"/>
      <c r="AA94" s="798" t="s">
        <v>67</v>
      </c>
      <c r="AB94" s="824"/>
    </row>
    <row r="95" spans="1:28" x14ac:dyDescent="0.25">
      <c r="A95" s="1075"/>
      <c r="B95" s="1076"/>
      <c r="C95" s="827"/>
      <c r="D95" s="828"/>
      <c r="E95" s="817" t="s">
        <v>67</v>
      </c>
      <c r="F95" s="811"/>
      <c r="G95" s="811" t="s">
        <v>67</v>
      </c>
      <c r="H95" s="811"/>
      <c r="I95" s="811" t="s">
        <v>67</v>
      </c>
      <c r="J95" s="811"/>
      <c r="K95" s="811" t="s">
        <v>67</v>
      </c>
      <c r="L95" s="811"/>
      <c r="M95" s="811" t="s">
        <v>67</v>
      </c>
      <c r="N95" s="811"/>
      <c r="O95" s="811" t="s">
        <v>67</v>
      </c>
      <c r="P95" s="811"/>
      <c r="Q95" s="811" t="s">
        <v>67</v>
      </c>
      <c r="R95" s="811"/>
      <c r="S95" s="811" t="s">
        <v>67</v>
      </c>
      <c r="T95" s="811"/>
      <c r="U95" s="811" t="s">
        <v>67</v>
      </c>
      <c r="V95" s="811"/>
      <c r="W95" s="811" t="s">
        <v>67</v>
      </c>
      <c r="X95" s="811"/>
      <c r="Y95" s="811" t="s">
        <v>67</v>
      </c>
      <c r="Z95" s="811"/>
      <c r="AA95" s="811" t="s">
        <v>67</v>
      </c>
      <c r="AB95" s="815"/>
    </row>
    <row r="96" spans="1:28" x14ac:dyDescent="0.25">
      <c r="A96" s="1075"/>
      <c r="B96" s="1076"/>
      <c r="C96" s="827"/>
      <c r="D96" s="828"/>
      <c r="E96" s="817" t="s">
        <v>67</v>
      </c>
      <c r="F96" s="811"/>
      <c r="G96" s="811" t="s">
        <v>67</v>
      </c>
      <c r="H96" s="811"/>
      <c r="I96" s="811" t="s">
        <v>67</v>
      </c>
      <c r="J96" s="811"/>
      <c r="K96" s="811" t="s">
        <v>67</v>
      </c>
      <c r="L96" s="811"/>
      <c r="M96" s="811" t="s">
        <v>67</v>
      </c>
      <c r="N96" s="811"/>
      <c r="O96" s="811" t="s">
        <v>67</v>
      </c>
      <c r="P96" s="811"/>
      <c r="Q96" s="811" t="s">
        <v>67</v>
      </c>
      <c r="R96" s="811"/>
      <c r="S96" s="811" t="s">
        <v>67</v>
      </c>
      <c r="T96" s="811"/>
      <c r="U96" s="811" t="s">
        <v>67</v>
      </c>
      <c r="V96" s="811"/>
      <c r="W96" s="811" t="s">
        <v>67</v>
      </c>
      <c r="X96" s="811"/>
      <c r="Y96" s="811" t="s">
        <v>67</v>
      </c>
      <c r="Z96" s="811"/>
      <c r="AA96" s="811" t="s">
        <v>67</v>
      </c>
      <c r="AB96" s="815"/>
    </row>
    <row r="97" spans="1:28" x14ac:dyDescent="0.25">
      <c r="A97" s="1075"/>
      <c r="B97" s="1076"/>
      <c r="C97" s="827"/>
      <c r="D97" s="828"/>
      <c r="E97" s="817" t="s">
        <v>67</v>
      </c>
      <c r="F97" s="811"/>
      <c r="G97" s="811" t="s">
        <v>67</v>
      </c>
      <c r="H97" s="811"/>
      <c r="I97" s="811" t="s">
        <v>67</v>
      </c>
      <c r="J97" s="811"/>
      <c r="K97" s="811" t="s">
        <v>67</v>
      </c>
      <c r="L97" s="811"/>
      <c r="M97" s="811" t="s">
        <v>67</v>
      </c>
      <c r="N97" s="811"/>
      <c r="O97" s="811" t="s">
        <v>67</v>
      </c>
      <c r="P97" s="811"/>
      <c r="Q97" s="811" t="s">
        <v>67</v>
      </c>
      <c r="R97" s="811"/>
      <c r="S97" s="811" t="s">
        <v>67</v>
      </c>
      <c r="T97" s="811"/>
      <c r="U97" s="811" t="s">
        <v>67</v>
      </c>
      <c r="V97" s="811"/>
      <c r="W97" s="811" t="s">
        <v>67</v>
      </c>
      <c r="X97" s="811"/>
      <c r="Y97" s="811" t="s">
        <v>67</v>
      </c>
      <c r="Z97" s="811"/>
      <c r="AA97" s="811" t="s">
        <v>67</v>
      </c>
      <c r="AB97" s="815"/>
    </row>
    <row r="98" spans="1:28" x14ac:dyDescent="0.25">
      <c r="A98" s="1075"/>
      <c r="B98" s="1076"/>
      <c r="C98" s="827"/>
      <c r="D98" s="828"/>
      <c r="E98" s="817" t="s">
        <v>67</v>
      </c>
      <c r="F98" s="811"/>
      <c r="G98" s="811" t="s">
        <v>67</v>
      </c>
      <c r="H98" s="811"/>
      <c r="I98" s="811" t="s">
        <v>67</v>
      </c>
      <c r="J98" s="811"/>
      <c r="K98" s="811" t="s">
        <v>67</v>
      </c>
      <c r="L98" s="811"/>
      <c r="M98" s="811" t="s">
        <v>67</v>
      </c>
      <c r="N98" s="811"/>
      <c r="O98" s="811" t="s">
        <v>67</v>
      </c>
      <c r="P98" s="811"/>
      <c r="Q98" s="811" t="s">
        <v>67</v>
      </c>
      <c r="R98" s="811"/>
      <c r="S98" s="811" t="s">
        <v>67</v>
      </c>
      <c r="T98" s="811"/>
      <c r="U98" s="811" t="s">
        <v>67</v>
      </c>
      <c r="V98" s="811"/>
      <c r="W98" s="811" t="s">
        <v>67</v>
      </c>
      <c r="X98" s="811"/>
      <c r="Y98" s="811" t="s">
        <v>67</v>
      </c>
      <c r="Z98" s="811"/>
      <c r="AA98" s="811" t="s">
        <v>67</v>
      </c>
      <c r="AB98" s="815"/>
    </row>
    <row r="99" spans="1:28" x14ac:dyDescent="0.25">
      <c r="A99" s="1075"/>
      <c r="B99" s="1076"/>
      <c r="C99" s="827"/>
      <c r="D99" s="828"/>
      <c r="E99" s="817" t="s">
        <v>67</v>
      </c>
      <c r="F99" s="811"/>
      <c r="G99" s="811" t="s">
        <v>67</v>
      </c>
      <c r="H99" s="811"/>
      <c r="I99" s="811" t="s">
        <v>67</v>
      </c>
      <c r="J99" s="811"/>
      <c r="K99" s="811" t="s">
        <v>67</v>
      </c>
      <c r="L99" s="811"/>
      <c r="M99" s="811" t="s">
        <v>67</v>
      </c>
      <c r="N99" s="811"/>
      <c r="O99" s="811" t="s">
        <v>67</v>
      </c>
      <c r="P99" s="811"/>
      <c r="Q99" s="811" t="s">
        <v>67</v>
      </c>
      <c r="R99" s="811"/>
      <c r="S99" s="811" t="s">
        <v>67</v>
      </c>
      <c r="T99" s="811"/>
      <c r="U99" s="811" t="s">
        <v>67</v>
      </c>
      <c r="V99" s="811"/>
      <c r="W99" s="811" t="s">
        <v>67</v>
      </c>
      <c r="X99" s="811"/>
      <c r="Y99" s="811" t="s">
        <v>67</v>
      </c>
      <c r="Z99" s="811"/>
      <c r="AA99" s="811" t="s">
        <v>67</v>
      </c>
      <c r="AB99" s="815"/>
    </row>
    <row r="100" spans="1:28" x14ac:dyDescent="0.25">
      <c r="A100" s="1075"/>
      <c r="B100" s="1076"/>
      <c r="C100" s="813"/>
      <c r="D100" s="814"/>
      <c r="E100" s="817" t="s">
        <v>67</v>
      </c>
      <c r="F100" s="811"/>
      <c r="G100" s="811" t="s">
        <v>67</v>
      </c>
      <c r="H100" s="811"/>
      <c r="I100" s="811" t="s">
        <v>67</v>
      </c>
      <c r="J100" s="811"/>
      <c r="K100" s="811" t="s">
        <v>67</v>
      </c>
      <c r="L100" s="811"/>
      <c r="M100" s="812" t="s">
        <v>84</v>
      </c>
      <c r="N100" s="816"/>
      <c r="O100" s="811" t="s">
        <v>67</v>
      </c>
      <c r="P100" s="811"/>
      <c r="Q100" s="811" t="s">
        <v>67</v>
      </c>
      <c r="R100" s="811"/>
      <c r="S100" s="811" t="s">
        <v>67</v>
      </c>
      <c r="T100" s="811"/>
      <c r="U100" s="811" t="s">
        <v>67</v>
      </c>
      <c r="V100" s="811"/>
      <c r="W100" s="811" t="s">
        <v>67</v>
      </c>
      <c r="X100" s="811"/>
      <c r="Y100" s="811" t="s">
        <v>67</v>
      </c>
      <c r="Z100" s="811"/>
      <c r="AA100" s="811" t="s">
        <v>67</v>
      </c>
      <c r="AB100" s="815"/>
    </row>
    <row r="101" spans="1:28" x14ac:dyDescent="0.25">
      <c r="A101" s="1075"/>
      <c r="B101" s="1076"/>
      <c r="C101" s="813"/>
      <c r="D101" s="814"/>
      <c r="E101" s="817" t="s">
        <v>67</v>
      </c>
      <c r="F101" s="811"/>
      <c r="G101" s="811" t="s">
        <v>67</v>
      </c>
      <c r="H101" s="811"/>
      <c r="I101" s="811" t="s">
        <v>67</v>
      </c>
      <c r="J101" s="811"/>
      <c r="K101" s="811" t="s">
        <v>67</v>
      </c>
      <c r="L101" s="811"/>
      <c r="M101" s="811" t="s">
        <v>67</v>
      </c>
      <c r="N101" s="811"/>
      <c r="O101" s="811" t="s">
        <v>67</v>
      </c>
      <c r="P101" s="811"/>
      <c r="Q101" s="811" t="s">
        <v>67</v>
      </c>
      <c r="R101" s="811"/>
      <c r="S101" s="811" t="s">
        <v>67</v>
      </c>
      <c r="T101" s="811"/>
      <c r="U101" s="811" t="s">
        <v>67</v>
      </c>
      <c r="V101" s="811"/>
      <c r="W101" s="811" t="s">
        <v>67</v>
      </c>
      <c r="X101" s="811"/>
      <c r="Y101" s="811" t="s">
        <v>67</v>
      </c>
      <c r="Z101" s="811"/>
      <c r="AA101" s="812" t="s">
        <v>78</v>
      </c>
      <c r="AB101" s="816"/>
    </row>
    <row r="102" spans="1:28" x14ac:dyDescent="0.25">
      <c r="A102" s="1075"/>
      <c r="B102" s="1076"/>
      <c r="C102" s="827"/>
      <c r="D102" s="828"/>
      <c r="E102" s="817" t="s">
        <v>67</v>
      </c>
      <c r="F102" s="811"/>
      <c r="G102" s="811" t="s">
        <v>67</v>
      </c>
      <c r="H102" s="811"/>
      <c r="I102" s="811" t="s">
        <v>67</v>
      </c>
      <c r="J102" s="811"/>
      <c r="K102" s="811" t="s">
        <v>67</v>
      </c>
      <c r="L102" s="811"/>
      <c r="M102" s="811" t="s">
        <v>67</v>
      </c>
      <c r="N102" s="811"/>
      <c r="O102" s="811" t="s">
        <v>67</v>
      </c>
      <c r="P102" s="811"/>
      <c r="Q102" s="811" t="s">
        <v>67</v>
      </c>
      <c r="R102" s="811"/>
      <c r="S102" s="811" t="s">
        <v>67</v>
      </c>
      <c r="T102" s="811"/>
      <c r="U102" s="811" t="s">
        <v>67</v>
      </c>
      <c r="V102" s="811"/>
      <c r="W102" s="811" t="s">
        <v>67</v>
      </c>
      <c r="X102" s="811"/>
      <c r="Y102" s="811" t="s">
        <v>67</v>
      </c>
      <c r="Z102" s="811"/>
      <c r="AA102" s="811" t="s">
        <v>67</v>
      </c>
      <c r="AB102" s="815"/>
    </row>
    <row r="103" spans="1:28" x14ac:dyDescent="0.25">
      <c r="A103" s="1075"/>
      <c r="B103" s="1076"/>
      <c r="C103" s="827"/>
      <c r="D103" s="828"/>
      <c r="E103" s="817" t="s">
        <v>67</v>
      </c>
      <c r="F103" s="811"/>
      <c r="G103" s="811" t="s">
        <v>67</v>
      </c>
      <c r="H103" s="811"/>
      <c r="I103" s="811" t="s">
        <v>67</v>
      </c>
      <c r="J103" s="811"/>
      <c r="K103" s="811" t="s">
        <v>67</v>
      </c>
      <c r="L103" s="811"/>
      <c r="M103" s="811" t="s">
        <v>67</v>
      </c>
      <c r="N103" s="811"/>
      <c r="O103" s="811" t="s">
        <v>67</v>
      </c>
      <c r="P103" s="811"/>
      <c r="Q103" s="811" t="s">
        <v>67</v>
      </c>
      <c r="R103" s="811"/>
      <c r="S103" s="811" t="s">
        <v>67</v>
      </c>
      <c r="T103" s="811"/>
      <c r="U103" s="811" t="s">
        <v>67</v>
      </c>
      <c r="V103" s="811"/>
      <c r="W103" s="811" t="s">
        <v>67</v>
      </c>
      <c r="X103" s="811"/>
      <c r="Y103" s="811" t="s">
        <v>67</v>
      </c>
      <c r="Z103" s="811"/>
      <c r="AA103" s="811" t="s">
        <v>67</v>
      </c>
      <c r="AB103" s="815"/>
    </row>
    <row r="104" spans="1:28" x14ac:dyDescent="0.25">
      <c r="A104" s="1075"/>
      <c r="B104" s="1076"/>
      <c r="C104" s="827"/>
      <c r="D104" s="828"/>
      <c r="E104" s="817" t="s">
        <v>67</v>
      </c>
      <c r="F104" s="811"/>
      <c r="G104" s="811" t="s">
        <v>67</v>
      </c>
      <c r="H104" s="811"/>
      <c r="I104" s="811" t="s">
        <v>67</v>
      </c>
      <c r="J104" s="811"/>
      <c r="K104" s="811" t="s">
        <v>67</v>
      </c>
      <c r="L104" s="811"/>
      <c r="M104" s="811" t="s">
        <v>67</v>
      </c>
      <c r="N104" s="811"/>
      <c r="O104" s="811" t="s">
        <v>67</v>
      </c>
      <c r="P104" s="811"/>
      <c r="Q104" s="811" t="s">
        <v>67</v>
      </c>
      <c r="R104" s="811"/>
      <c r="S104" s="811" t="s">
        <v>67</v>
      </c>
      <c r="T104" s="811"/>
      <c r="U104" s="811" t="s">
        <v>67</v>
      </c>
      <c r="V104" s="811"/>
      <c r="W104" s="811" t="s">
        <v>67</v>
      </c>
      <c r="X104" s="811"/>
      <c r="Y104" s="811" t="s">
        <v>67</v>
      </c>
      <c r="Z104" s="811"/>
      <c r="AA104" s="811" t="s">
        <v>67</v>
      </c>
      <c r="AB104" s="815"/>
    </row>
    <row r="105" spans="1:28" x14ac:dyDescent="0.25">
      <c r="A105" s="1075"/>
      <c r="B105" s="1076"/>
      <c r="C105" s="827"/>
      <c r="D105" s="828"/>
      <c r="E105" s="817" t="s">
        <v>67</v>
      </c>
      <c r="F105" s="811"/>
      <c r="G105" s="811" t="s">
        <v>67</v>
      </c>
      <c r="H105" s="811"/>
      <c r="I105" s="811" t="s">
        <v>67</v>
      </c>
      <c r="J105" s="811"/>
      <c r="K105" s="811" t="s">
        <v>67</v>
      </c>
      <c r="L105" s="811"/>
      <c r="M105" s="811" t="s">
        <v>67</v>
      </c>
      <c r="N105" s="811"/>
      <c r="O105" s="811" t="s">
        <v>67</v>
      </c>
      <c r="P105" s="811"/>
      <c r="Q105" s="811" t="s">
        <v>67</v>
      </c>
      <c r="R105" s="811"/>
      <c r="S105" s="811" t="s">
        <v>67</v>
      </c>
      <c r="T105" s="811"/>
      <c r="U105" s="811" t="s">
        <v>67</v>
      </c>
      <c r="V105" s="811"/>
      <c r="W105" s="811" t="s">
        <v>67</v>
      </c>
      <c r="X105" s="811"/>
      <c r="Y105" s="811" t="s">
        <v>67</v>
      </c>
      <c r="Z105" s="811"/>
      <c r="AA105" s="811" t="s">
        <v>67</v>
      </c>
      <c r="AB105" s="815"/>
    </row>
    <row r="106" spans="1:28" x14ac:dyDescent="0.25">
      <c r="A106" s="1075"/>
      <c r="B106" s="1076"/>
      <c r="C106" s="827"/>
      <c r="D106" s="828"/>
      <c r="E106" s="817" t="s">
        <v>67</v>
      </c>
      <c r="F106" s="811"/>
      <c r="G106" s="811" t="s">
        <v>67</v>
      </c>
      <c r="H106" s="811"/>
      <c r="I106" s="811" t="s">
        <v>67</v>
      </c>
      <c r="J106" s="811"/>
      <c r="K106" s="811" t="s">
        <v>67</v>
      </c>
      <c r="L106" s="811"/>
      <c r="M106" s="811" t="s">
        <v>67</v>
      </c>
      <c r="N106" s="811"/>
      <c r="O106" s="811" t="s">
        <v>67</v>
      </c>
      <c r="P106" s="811"/>
      <c r="Q106" s="811" t="s">
        <v>67</v>
      </c>
      <c r="R106" s="811"/>
      <c r="S106" s="811" t="s">
        <v>67</v>
      </c>
      <c r="T106" s="811"/>
      <c r="U106" s="811" t="s">
        <v>67</v>
      </c>
      <c r="V106" s="811"/>
      <c r="W106" s="811" t="s">
        <v>67</v>
      </c>
      <c r="X106" s="811"/>
      <c r="Y106" s="811" t="s">
        <v>67</v>
      </c>
      <c r="Z106" s="811"/>
      <c r="AA106" s="811" t="s">
        <v>67</v>
      </c>
      <c r="AB106" s="815"/>
    </row>
    <row r="107" spans="1:28" x14ac:dyDescent="0.25">
      <c r="A107" s="1075"/>
      <c r="B107" s="1076"/>
      <c r="C107" s="827"/>
      <c r="D107" s="828"/>
      <c r="E107" s="817" t="s">
        <v>67</v>
      </c>
      <c r="F107" s="811"/>
      <c r="G107" s="811" t="s">
        <v>67</v>
      </c>
      <c r="H107" s="811"/>
      <c r="I107" s="811" t="s">
        <v>67</v>
      </c>
      <c r="J107" s="811"/>
      <c r="K107" s="811" t="s">
        <v>67</v>
      </c>
      <c r="L107" s="811"/>
      <c r="M107" s="811" t="s">
        <v>67</v>
      </c>
      <c r="N107" s="811"/>
      <c r="O107" s="811" t="s">
        <v>67</v>
      </c>
      <c r="P107" s="811"/>
      <c r="Q107" s="811" t="s">
        <v>67</v>
      </c>
      <c r="R107" s="811"/>
      <c r="S107" s="811" t="s">
        <v>67</v>
      </c>
      <c r="T107" s="811"/>
      <c r="U107" s="811" t="s">
        <v>67</v>
      </c>
      <c r="V107" s="811"/>
      <c r="W107" s="811" t="s">
        <v>67</v>
      </c>
      <c r="X107" s="811"/>
      <c r="Y107" s="811" t="s">
        <v>67</v>
      </c>
      <c r="Z107" s="811"/>
      <c r="AA107" s="811" t="s">
        <v>67</v>
      </c>
      <c r="AB107" s="815"/>
    </row>
    <row r="108" spans="1:28" x14ac:dyDescent="0.25">
      <c r="A108" s="1075"/>
      <c r="B108" s="1076"/>
      <c r="C108" s="827"/>
      <c r="D108" s="828"/>
      <c r="E108" s="817" t="s">
        <v>67</v>
      </c>
      <c r="F108" s="811"/>
      <c r="G108" s="811" t="s">
        <v>67</v>
      </c>
      <c r="H108" s="811"/>
      <c r="I108" s="811" t="s">
        <v>67</v>
      </c>
      <c r="J108" s="811"/>
      <c r="K108" s="811" t="s">
        <v>67</v>
      </c>
      <c r="L108" s="811"/>
      <c r="M108" s="811" t="s">
        <v>67</v>
      </c>
      <c r="N108" s="811"/>
      <c r="O108" s="811" t="s">
        <v>67</v>
      </c>
      <c r="P108" s="811"/>
      <c r="Q108" s="811" t="s">
        <v>67</v>
      </c>
      <c r="R108" s="811"/>
      <c r="S108" s="811" t="s">
        <v>67</v>
      </c>
      <c r="T108" s="811"/>
      <c r="U108" s="811" t="s">
        <v>67</v>
      </c>
      <c r="V108" s="811"/>
      <c r="W108" s="811" t="s">
        <v>67</v>
      </c>
      <c r="X108" s="811"/>
      <c r="Y108" s="811" t="s">
        <v>67</v>
      </c>
      <c r="Z108" s="811"/>
      <c r="AA108" s="811" t="s">
        <v>67</v>
      </c>
      <c r="AB108" s="815"/>
    </row>
    <row r="109" spans="1:28" x14ac:dyDescent="0.25">
      <c r="A109" s="1075"/>
      <c r="B109" s="1076"/>
      <c r="C109" s="813"/>
      <c r="D109" s="814"/>
      <c r="E109" s="817" t="s">
        <v>67</v>
      </c>
      <c r="F109" s="811"/>
      <c r="G109" s="811" t="s">
        <v>67</v>
      </c>
      <c r="H109" s="811"/>
      <c r="I109" s="811" t="s">
        <v>67</v>
      </c>
      <c r="J109" s="811"/>
      <c r="K109" s="811" t="s">
        <v>67</v>
      </c>
      <c r="L109" s="811"/>
      <c r="M109" s="811" t="s">
        <v>67</v>
      </c>
      <c r="N109" s="811"/>
      <c r="O109" s="811" t="s">
        <v>67</v>
      </c>
      <c r="P109" s="811"/>
      <c r="Q109" s="811" t="s">
        <v>67</v>
      </c>
      <c r="R109" s="811"/>
      <c r="S109" s="811" t="s">
        <v>67</v>
      </c>
      <c r="T109" s="811"/>
      <c r="U109" s="811" t="s">
        <v>67</v>
      </c>
      <c r="V109" s="811"/>
      <c r="W109" s="811" t="s">
        <v>67</v>
      </c>
      <c r="X109" s="811"/>
      <c r="Y109" s="811" t="s">
        <v>67</v>
      </c>
      <c r="Z109" s="811"/>
      <c r="AA109" s="812" t="s">
        <v>88</v>
      </c>
      <c r="AB109" s="812"/>
    </row>
    <row r="110" spans="1:28" x14ac:dyDescent="0.25">
      <c r="A110" s="1075"/>
      <c r="B110" s="1076"/>
      <c r="C110" s="827"/>
      <c r="D110" s="828"/>
      <c r="E110" s="817" t="s">
        <v>67</v>
      </c>
      <c r="F110" s="811"/>
      <c r="G110" s="811" t="s">
        <v>67</v>
      </c>
      <c r="H110" s="811"/>
      <c r="I110" s="811" t="s">
        <v>67</v>
      </c>
      <c r="J110" s="811"/>
      <c r="K110" s="811" t="s">
        <v>67</v>
      </c>
      <c r="L110" s="811"/>
      <c r="M110" s="811" t="s">
        <v>67</v>
      </c>
      <c r="N110" s="811"/>
      <c r="O110" s="811" t="s">
        <v>67</v>
      </c>
      <c r="P110" s="811"/>
      <c r="Q110" s="811" t="s">
        <v>67</v>
      </c>
      <c r="R110" s="811"/>
      <c r="S110" s="811" t="s">
        <v>67</v>
      </c>
      <c r="T110" s="811"/>
      <c r="U110" s="811" t="s">
        <v>67</v>
      </c>
      <c r="V110" s="811"/>
      <c r="W110" s="811" t="s">
        <v>67</v>
      </c>
      <c r="X110" s="811"/>
      <c r="Y110" s="811" t="s">
        <v>67</v>
      </c>
      <c r="Z110" s="811"/>
      <c r="AA110" s="811" t="s">
        <v>67</v>
      </c>
      <c r="AB110" s="815"/>
    </row>
    <row r="111" spans="1:28" ht="15.75" thickBot="1" x14ac:dyDescent="0.3">
      <c r="A111" s="1077"/>
      <c r="B111" s="1078"/>
      <c r="C111" s="825"/>
      <c r="D111" s="826"/>
      <c r="E111" s="823" t="s">
        <v>67</v>
      </c>
      <c r="F111" s="797"/>
      <c r="G111" s="797" t="s">
        <v>67</v>
      </c>
      <c r="H111" s="797"/>
      <c r="I111" s="797" t="s">
        <v>67</v>
      </c>
      <c r="J111" s="797"/>
      <c r="K111" s="797" t="s">
        <v>67</v>
      </c>
      <c r="L111" s="797"/>
      <c r="M111" s="797" t="s">
        <v>67</v>
      </c>
      <c r="N111" s="797"/>
      <c r="O111" s="797" t="s">
        <v>67</v>
      </c>
      <c r="P111" s="797"/>
      <c r="Q111" s="797" t="s">
        <v>67</v>
      </c>
      <c r="R111" s="797"/>
      <c r="S111" s="797" t="s">
        <v>67</v>
      </c>
      <c r="T111" s="797"/>
      <c r="U111" s="797" t="s">
        <v>67</v>
      </c>
      <c r="V111" s="797"/>
      <c r="W111" s="797" t="s">
        <v>67</v>
      </c>
      <c r="X111" s="797"/>
      <c r="Y111" s="797" t="s">
        <v>67</v>
      </c>
      <c r="Z111" s="797"/>
      <c r="AA111" s="797" t="s">
        <v>67</v>
      </c>
      <c r="AB111" s="821"/>
    </row>
    <row r="112" spans="1:28" x14ac:dyDescent="0.25">
      <c r="A112" s="1079" t="s">
        <v>68</v>
      </c>
      <c r="B112" s="1080"/>
      <c r="C112" s="830"/>
      <c r="D112" s="831"/>
      <c r="E112" s="817" t="s">
        <v>67</v>
      </c>
      <c r="F112" s="811"/>
      <c r="G112" s="798" t="s">
        <v>67</v>
      </c>
      <c r="H112" s="798"/>
      <c r="I112" s="798" t="s">
        <v>67</v>
      </c>
      <c r="J112" s="798"/>
      <c r="K112" s="798" t="s">
        <v>67</v>
      </c>
      <c r="L112" s="798"/>
      <c r="M112" s="812" t="s">
        <v>79</v>
      </c>
      <c r="N112" s="812"/>
      <c r="O112" s="798" t="s">
        <v>67</v>
      </c>
      <c r="P112" s="798"/>
      <c r="Q112" s="798" t="s">
        <v>67</v>
      </c>
      <c r="R112" s="798"/>
      <c r="S112" s="798" t="s">
        <v>67</v>
      </c>
      <c r="T112" s="798"/>
      <c r="U112" s="798" t="s">
        <v>67</v>
      </c>
      <c r="V112" s="798"/>
      <c r="W112" s="798" t="s">
        <v>67</v>
      </c>
      <c r="X112" s="798"/>
      <c r="Y112" s="798" t="s">
        <v>67</v>
      </c>
      <c r="Z112" s="798"/>
      <c r="AA112" s="798" t="s">
        <v>67</v>
      </c>
      <c r="AB112" s="824"/>
    </row>
    <row r="113" spans="1:43" x14ac:dyDescent="0.25">
      <c r="A113" s="1081"/>
      <c r="B113" s="1082"/>
      <c r="C113" s="813"/>
      <c r="D113" s="814"/>
      <c r="E113" s="817" t="s">
        <v>67</v>
      </c>
      <c r="F113" s="811"/>
      <c r="G113" s="811" t="s">
        <v>67</v>
      </c>
      <c r="H113" s="811"/>
      <c r="I113" s="811" t="s">
        <v>67</v>
      </c>
      <c r="J113" s="811"/>
      <c r="K113" s="811" t="s">
        <v>67</v>
      </c>
      <c r="L113" s="811"/>
      <c r="M113" s="811" t="s">
        <v>67</v>
      </c>
      <c r="N113" s="811"/>
      <c r="O113" s="811" t="s">
        <v>67</v>
      </c>
      <c r="P113" s="811"/>
      <c r="Q113" s="811" t="s">
        <v>67</v>
      </c>
      <c r="R113" s="811"/>
      <c r="S113" s="811" t="s">
        <v>67</v>
      </c>
      <c r="T113" s="811"/>
      <c r="U113" s="811" t="s">
        <v>67</v>
      </c>
      <c r="V113" s="811"/>
      <c r="W113" s="811" t="s">
        <v>67</v>
      </c>
      <c r="X113" s="811"/>
      <c r="Y113" s="811" t="s">
        <v>67</v>
      </c>
      <c r="Z113" s="811"/>
      <c r="AA113" s="812" t="s">
        <v>91</v>
      </c>
      <c r="AB113" s="812"/>
    </row>
    <row r="114" spans="1:43" x14ac:dyDescent="0.25">
      <c r="A114" s="1081"/>
      <c r="B114" s="1082"/>
      <c r="C114" s="813"/>
      <c r="D114" s="814"/>
      <c r="E114" s="817" t="s">
        <v>67</v>
      </c>
      <c r="F114" s="811"/>
      <c r="G114" s="811" t="s">
        <v>67</v>
      </c>
      <c r="H114" s="811"/>
      <c r="I114" s="811" t="s">
        <v>67</v>
      </c>
      <c r="J114" s="811"/>
      <c r="K114" s="811" t="s">
        <v>67</v>
      </c>
      <c r="L114" s="811"/>
      <c r="M114" s="812" t="s">
        <v>80</v>
      </c>
      <c r="N114" s="812"/>
      <c r="O114" s="811" t="s">
        <v>67</v>
      </c>
      <c r="P114" s="811"/>
      <c r="Q114" s="811" t="s">
        <v>67</v>
      </c>
      <c r="R114" s="811"/>
      <c r="S114" s="811" t="s">
        <v>67</v>
      </c>
      <c r="T114" s="811"/>
      <c r="U114" s="811" t="s">
        <v>67</v>
      </c>
      <c r="V114" s="811"/>
      <c r="W114" s="811" t="s">
        <v>67</v>
      </c>
      <c r="X114" s="811"/>
      <c r="Y114" s="811" t="s">
        <v>67</v>
      </c>
      <c r="Z114" s="811"/>
      <c r="AA114" s="811" t="s">
        <v>67</v>
      </c>
      <c r="AB114" s="815"/>
    </row>
    <row r="115" spans="1:43" x14ac:dyDescent="0.25">
      <c r="A115" s="1081"/>
      <c r="B115" s="1082"/>
      <c r="C115" s="827"/>
      <c r="D115" s="828"/>
      <c r="E115" s="817" t="s">
        <v>67</v>
      </c>
      <c r="F115" s="811"/>
      <c r="G115" s="811" t="s">
        <v>67</v>
      </c>
      <c r="H115" s="811"/>
      <c r="I115" s="811" t="s">
        <v>67</v>
      </c>
      <c r="J115" s="811"/>
      <c r="K115" s="811" t="s">
        <v>67</v>
      </c>
      <c r="L115" s="811"/>
      <c r="M115" s="811" t="s">
        <v>67</v>
      </c>
      <c r="N115" s="811"/>
      <c r="O115" s="811" t="s">
        <v>67</v>
      </c>
      <c r="P115" s="811"/>
      <c r="Q115" s="811" t="s">
        <v>67</v>
      </c>
      <c r="R115" s="811"/>
      <c r="S115" s="811" t="s">
        <v>67</v>
      </c>
      <c r="T115" s="811"/>
      <c r="U115" s="811" t="s">
        <v>67</v>
      </c>
      <c r="V115" s="811"/>
      <c r="W115" s="811" t="s">
        <v>67</v>
      </c>
      <c r="X115" s="811"/>
      <c r="Y115" s="811" t="s">
        <v>67</v>
      </c>
      <c r="Z115" s="811"/>
      <c r="AA115" s="811" t="s">
        <v>67</v>
      </c>
      <c r="AB115" s="815"/>
    </row>
    <row r="116" spans="1:43" x14ac:dyDescent="0.25">
      <c r="A116" s="1081"/>
      <c r="B116" s="1082"/>
      <c r="C116" s="813"/>
      <c r="D116" s="814"/>
      <c r="E116" s="817" t="s">
        <v>67</v>
      </c>
      <c r="F116" s="811"/>
      <c r="G116" s="811" t="s">
        <v>67</v>
      </c>
      <c r="H116" s="811"/>
      <c r="I116" s="811" t="s">
        <v>67</v>
      </c>
      <c r="J116" s="811"/>
      <c r="K116" s="811" t="s">
        <v>67</v>
      </c>
      <c r="L116" s="811"/>
      <c r="M116" s="812" t="s">
        <v>81</v>
      </c>
      <c r="N116" s="812"/>
      <c r="O116" s="811" t="s">
        <v>67</v>
      </c>
      <c r="P116" s="811"/>
      <c r="Q116" s="811" t="s">
        <v>67</v>
      </c>
      <c r="R116" s="811"/>
      <c r="S116" s="811" t="s">
        <v>67</v>
      </c>
      <c r="T116" s="811"/>
      <c r="U116" s="811" t="s">
        <v>67</v>
      </c>
      <c r="V116" s="811"/>
      <c r="W116" s="811" t="s">
        <v>67</v>
      </c>
      <c r="X116" s="811"/>
      <c r="Y116" s="811" t="s">
        <v>67</v>
      </c>
      <c r="Z116" s="811"/>
      <c r="AA116" s="811" t="s">
        <v>67</v>
      </c>
      <c r="AB116" s="815"/>
    </row>
    <row r="117" spans="1:43" x14ac:dyDescent="0.25">
      <c r="A117" s="1081"/>
      <c r="B117" s="1082"/>
      <c r="C117" s="827"/>
      <c r="D117" s="828"/>
      <c r="E117" s="817" t="s">
        <v>67</v>
      </c>
      <c r="F117" s="811"/>
      <c r="G117" s="811" t="s">
        <v>67</v>
      </c>
      <c r="H117" s="811"/>
      <c r="I117" s="811" t="s">
        <v>67</v>
      </c>
      <c r="J117" s="811"/>
      <c r="K117" s="811" t="s">
        <v>67</v>
      </c>
      <c r="L117" s="811"/>
      <c r="M117" s="811" t="s">
        <v>67</v>
      </c>
      <c r="N117" s="811"/>
      <c r="O117" s="811" t="s">
        <v>67</v>
      </c>
      <c r="P117" s="811"/>
      <c r="Q117" s="811" t="s">
        <v>67</v>
      </c>
      <c r="R117" s="811"/>
      <c r="S117" s="811" t="s">
        <v>67</v>
      </c>
      <c r="T117" s="811"/>
      <c r="U117" s="811" t="s">
        <v>67</v>
      </c>
      <c r="V117" s="811"/>
      <c r="W117" s="811" t="s">
        <v>67</v>
      </c>
      <c r="X117" s="811"/>
      <c r="Y117" s="811" t="s">
        <v>67</v>
      </c>
      <c r="Z117" s="811"/>
      <c r="AA117" s="829" t="s">
        <v>67</v>
      </c>
      <c r="AB117" s="841"/>
    </row>
    <row r="118" spans="1:43" x14ac:dyDescent="0.25">
      <c r="A118" s="1081"/>
      <c r="B118" s="1082"/>
      <c r="C118" s="813"/>
      <c r="D118" s="814"/>
      <c r="E118" s="817" t="s">
        <v>67</v>
      </c>
      <c r="F118" s="811"/>
      <c r="G118" s="811" t="s">
        <v>67</v>
      </c>
      <c r="H118" s="811"/>
      <c r="I118" s="811" t="s">
        <v>67</v>
      </c>
      <c r="J118" s="811"/>
      <c r="K118" s="811" t="s">
        <v>67</v>
      </c>
      <c r="L118" s="811"/>
      <c r="M118" s="812" t="s">
        <v>82</v>
      </c>
      <c r="N118" s="812"/>
      <c r="O118" s="811" t="s">
        <v>67</v>
      </c>
      <c r="P118" s="811"/>
      <c r="Q118" s="811" t="s">
        <v>67</v>
      </c>
      <c r="R118" s="811"/>
      <c r="S118" s="811" t="s">
        <v>67</v>
      </c>
      <c r="T118" s="811"/>
      <c r="U118" s="811" t="s">
        <v>67</v>
      </c>
      <c r="V118" s="811"/>
      <c r="W118" s="811" t="s">
        <v>67</v>
      </c>
      <c r="X118" s="811"/>
      <c r="Y118" s="811" t="s">
        <v>67</v>
      </c>
      <c r="Z118" s="811"/>
      <c r="AA118" s="812" t="s">
        <v>141</v>
      </c>
      <c r="AB118" s="816"/>
    </row>
    <row r="119" spans="1:43" x14ac:dyDescent="0.25">
      <c r="A119" s="1081"/>
      <c r="B119" s="1082"/>
      <c r="C119" s="813"/>
      <c r="D119" s="814"/>
      <c r="E119" s="817" t="s">
        <v>67</v>
      </c>
      <c r="F119" s="811"/>
      <c r="G119" s="811" t="s">
        <v>67</v>
      </c>
      <c r="H119" s="811"/>
      <c r="I119" s="811" t="s">
        <v>67</v>
      </c>
      <c r="J119" s="811"/>
      <c r="K119" s="811" t="s">
        <v>67</v>
      </c>
      <c r="L119" s="811"/>
      <c r="M119" s="812" t="s">
        <v>83</v>
      </c>
      <c r="N119" s="812"/>
      <c r="O119" s="811" t="s">
        <v>67</v>
      </c>
      <c r="P119" s="811"/>
      <c r="Q119" s="811" t="s">
        <v>67</v>
      </c>
      <c r="R119" s="811"/>
      <c r="S119" s="811" t="s">
        <v>67</v>
      </c>
      <c r="T119" s="811"/>
      <c r="U119" s="811" t="s">
        <v>67</v>
      </c>
      <c r="V119" s="811"/>
      <c r="W119" s="811" t="s">
        <v>67</v>
      </c>
      <c r="X119" s="811"/>
      <c r="Y119" s="811" t="s">
        <v>67</v>
      </c>
      <c r="Z119" s="811"/>
      <c r="AA119" s="811" t="s">
        <v>67</v>
      </c>
      <c r="AB119" s="815"/>
    </row>
    <row r="120" spans="1:43" x14ac:dyDescent="0.25">
      <c r="A120" s="1081"/>
      <c r="B120" s="1082"/>
      <c r="C120" s="813"/>
      <c r="D120" s="814"/>
      <c r="E120" s="817" t="s">
        <v>67</v>
      </c>
      <c r="F120" s="811"/>
      <c r="G120" s="811" t="s">
        <v>67</v>
      </c>
      <c r="H120" s="811"/>
      <c r="I120" s="811" t="s">
        <v>67</v>
      </c>
      <c r="J120" s="811"/>
      <c r="K120" s="811" t="s">
        <v>67</v>
      </c>
      <c r="L120" s="811"/>
      <c r="M120" s="811" t="s">
        <v>67</v>
      </c>
      <c r="N120" s="811"/>
      <c r="O120" s="811" t="s">
        <v>67</v>
      </c>
      <c r="P120" s="811"/>
      <c r="Q120" s="812" t="s">
        <v>249</v>
      </c>
      <c r="R120" s="812"/>
      <c r="S120" s="811" t="s">
        <v>67</v>
      </c>
      <c r="T120" s="811"/>
      <c r="U120" s="811" t="s">
        <v>67</v>
      </c>
      <c r="V120" s="811"/>
      <c r="W120" s="811" t="s">
        <v>67</v>
      </c>
      <c r="X120" s="811"/>
      <c r="Y120" s="811" t="s">
        <v>67</v>
      </c>
      <c r="Z120" s="811"/>
      <c r="AA120" s="811" t="s">
        <v>67</v>
      </c>
      <c r="AB120" s="815"/>
    </row>
    <row r="121" spans="1:43" x14ac:dyDescent="0.25">
      <c r="A121" s="1081"/>
      <c r="B121" s="1082"/>
      <c r="C121" s="813"/>
      <c r="D121" s="814"/>
      <c r="E121" s="817" t="s">
        <v>67</v>
      </c>
      <c r="F121" s="811"/>
      <c r="G121" s="811" t="s">
        <v>67</v>
      </c>
      <c r="H121" s="811"/>
      <c r="I121" s="811" t="s">
        <v>67</v>
      </c>
      <c r="J121" s="811"/>
      <c r="K121" s="811" t="s">
        <v>67</v>
      </c>
      <c r="L121" s="811"/>
      <c r="M121" s="811" t="s">
        <v>67</v>
      </c>
      <c r="N121" s="811"/>
      <c r="O121" s="811" t="s">
        <v>67</v>
      </c>
      <c r="P121" s="811"/>
      <c r="Q121" s="812" t="s">
        <v>248</v>
      </c>
      <c r="R121" s="812"/>
      <c r="S121" s="811" t="s">
        <v>67</v>
      </c>
      <c r="T121" s="811"/>
      <c r="U121" s="811" t="s">
        <v>67</v>
      </c>
      <c r="V121" s="811"/>
      <c r="W121" s="811" t="s">
        <v>67</v>
      </c>
      <c r="X121" s="811"/>
      <c r="Y121" s="811" t="s">
        <v>67</v>
      </c>
      <c r="Z121" s="811"/>
      <c r="AA121" s="811" t="s">
        <v>67</v>
      </c>
      <c r="AB121" s="815"/>
    </row>
    <row r="122" spans="1:43" ht="15.75" thickBot="1" x14ac:dyDescent="0.3">
      <c r="A122" s="1081"/>
      <c r="B122" s="1082"/>
      <c r="C122" s="827"/>
      <c r="D122" s="828"/>
      <c r="E122" s="817" t="s">
        <v>67</v>
      </c>
      <c r="F122" s="811"/>
      <c r="G122" s="811" t="s">
        <v>67</v>
      </c>
      <c r="H122" s="811"/>
      <c r="I122" s="811" t="s">
        <v>67</v>
      </c>
      <c r="J122" s="811"/>
      <c r="K122" s="811" t="s">
        <v>67</v>
      </c>
      <c r="L122" s="811"/>
      <c r="M122" s="811" t="s">
        <v>67</v>
      </c>
      <c r="N122" s="811"/>
      <c r="O122" s="811" t="s">
        <v>67</v>
      </c>
      <c r="P122" s="811"/>
      <c r="Q122" s="811" t="s">
        <v>67</v>
      </c>
      <c r="R122" s="811"/>
      <c r="S122" s="811" t="s">
        <v>67</v>
      </c>
      <c r="T122" s="811"/>
      <c r="U122" s="811" t="s">
        <v>67</v>
      </c>
      <c r="V122" s="811"/>
      <c r="W122" s="811" t="s">
        <v>67</v>
      </c>
      <c r="X122" s="811"/>
      <c r="Y122" s="811" t="s">
        <v>67</v>
      </c>
      <c r="Z122" s="811"/>
      <c r="AA122" s="811" t="s">
        <v>67</v>
      </c>
      <c r="AB122" s="815"/>
    </row>
    <row r="123" spans="1:43" x14ac:dyDescent="0.25">
      <c r="A123" s="1079" t="s">
        <v>69</v>
      </c>
      <c r="B123" s="1080"/>
      <c r="C123" s="818"/>
      <c r="D123" s="819"/>
      <c r="E123" s="820" t="s">
        <v>67</v>
      </c>
      <c r="F123" s="798"/>
      <c r="G123" s="798" t="s">
        <v>67</v>
      </c>
      <c r="H123" s="798"/>
      <c r="I123" s="798" t="s">
        <v>67</v>
      </c>
      <c r="J123" s="798"/>
      <c r="K123" s="798" t="s">
        <v>67</v>
      </c>
      <c r="L123" s="798"/>
      <c r="M123" s="798" t="s">
        <v>67</v>
      </c>
      <c r="N123" s="798"/>
      <c r="O123" s="798" t="s">
        <v>67</v>
      </c>
      <c r="P123" s="798"/>
      <c r="Q123" s="798" t="s">
        <v>67</v>
      </c>
      <c r="R123" s="798"/>
      <c r="S123" s="798" t="s">
        <v>67</v>
      </c>
      <c r="T123" s="798"/>
      <c r="U123" s="798" t="s">
        <v>67</v>
      </c>
      <c r="V123" s="798"/>
      <c r="W123" s="798" t="s">
        <v>67</v>
      </c>
      <c r="X123" s="798"/>
      <c r="Y123" s="798" t="s">
        <v>67</v>
      </c>
      <c r="Z123" s="798"/>
      <c r="AA123" s="798" t="s">
        <v>67</v>
      </c>
      <c r="AB123" s="824"/>
    </row>
    <row r="124" spans="1:43" ht="15.75" thickBot="1" x14ac:dyDescent="0.3">
      <c r="A124" s="1083"/>
      <c r="B124" s="1084"/>
      <c r="C124" s="825"/>
      <c r="D124" s="826"/>
      <c r="E124" s="823" t="s">
        <v>67</v>
      </c>
      <c r="F124" s="797"/>
      <c r="G124" s="797" t="s">
        <v>67</v>
      </c>
      <c r="H124" s="797"/>
      <c r="I124" s="797" t="s">
        <v>67</v>
      </c>
      <c r="J124" s="797"/>
      <c r="K124" s="797" t="s">
        <v>67</v>
      </c>
      <c r="L124" s="797"/>
      <c r="M124" s="797" t="s">
        <v>67</v>
      </c>
      <c r="N124" s="797"/>
      <c r="O124" s="797" t="s">
        <v>67</v>
      </c>
      <c r="P124" s="797"/>
      <c r="Q124" s="797" t="s">
        <v>67</v>
      </c>
      <c r="R124" s="797"/>
      <c r="S124" s="797" t="s">
        <v>67</v>
      </c>
      <c r="T124" s="797"/>
      <c r="U124" s="797" t="s">
        <v>67</v>
      </c>
      <c r="V124" s="797"/>
      <c r="W124" s="797" t="s">
        <v>67</v>
      </c>
      <c r="X124" s="797"/>
      <c r="Y124" s="797" t="s">
        <v>67</v>
      </c>
      <c r="Z124" s="797"/>
      <c r="AA124" s="797" t="s">
        <v>67</v>
      </c>
      <c r="AB124" s="821"/>
    </row>
    <row r="125" spans="1:43" ht="26.25" x14ac:dyDescent="0.25">
      <c r="A125" s="112"/>
      <c r="B125" s="112"/>
      <c r="C125" s="113"/>
      <c r="D125" s="42"/>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c r="AB125" s="114"/>
      <c r="AC125" s="102"/>
    </row>
    <row r="126" spans="1:43" ht="17.25" customHeight="1" x14ac:dyDescent="0.25">
      <c r="A126" s="112"/>
      <c r="B126" s="112"/>
      <c r="C126" s="113"/>
      <c r="D126" s="42"/>
      <c r="E126" s="627"/>
      <c r="F126" s="627"/>
      <c r="G126" s="627"/>
      <c r="H126" s="627"/>
      <c r="I126" s="627"/>
      <c r="J126" s="627"/>
      <c r="K126" s="627"/>
      <c r="L126" s="627"/>
      <c r="M126" s="627"/>
      <c r="N126" s="627"/>
      <c r="O126" s="627"/>
      <c r="P126" s="627"/>
      <c r="Q126" s="627"/>
      <c r="R126" s="627"/>
      <c r="S126" s="627"/>
      <c r="T126" s="627"/>
      <c r="U126" s="627"/>
      <c r="V126" s="627"/>
      <c r="W126" s="627"/>
      <c r="X126" s="627"/>
      <c r="Y126" s="627"/>
      <c r="Z126" s="627"/>
      <c r="AA126" s="627"/>
      <c r="AB126" s="627"/>
      <c r="AC126" s="102"/>
    </row>
    <row r="127" spans="1:43" ht="3.75" customHeight="1" x14ac:dyDescent="0.25">
      <c r="A127" s="168"/>
      <c r="B127" s="168"/>
      <c r="C127" s="173"/>
      <c r="D127" s="170"/>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c r="AA127" s="171"/>
      <c r="AB127" s="171"/>
      <c r="AC127" s="169"/>
      <c r="AD127" s="172"/>
      <c r="AE127" s="172"/>
      <c r="AF127" s="172"/>
      <c r="AG127" s="172"/>
      <c r="AH127" s="172"/>
      <c r="AI127" s="172"/>
      <c r="AJ127" s="172"/>
      <c r="AK127" s="172"/>
      <c r="AL127" s="172"/>
      <c r="AM127" s="172"/>
      <c r="AN127" s="172"/>
      <c r="AO127" s="172"/>
      <c r="AP127" s="172"/>
      <c r="AQ127" s="172"/>
    </row>
    <row r="128" spans="1:43" ht="15" customHeight="1" x14ac:dyDescent="0.25">
      <c r="A128" s="112"/>
      <c r="B128" s="112"/>
      <c r="C128" s="113"/>
      <c r="D128" s="42"/>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c r="AB128" s="114"/>
      <c r="AC128" s="102"/>
    </row>
    <row r="129" spans="1:29" ht="26.25" customHeight="1" thickBot="1" x14ac:dyDescent="0.3">
      <c r="A129" s="112"/>
      <c r="B129" s="112"/>
      <c r="C129" s="113"/>
      <c r="D129" s="42"/>
      <c r="E129" s="627"/>
      <c r="F129" s="627"/>
      <c r="G129" s="627"/>
      <c r="H129" s="627"/>
      <c r="I129" s="627"/>
      <c r="J129" s="627"/>
      <c r="K129" s="627"/>
      <c r="L129" s="627"/>
      <c r="M129" s="627"/>
      <c r="N129" s="627"/>
      <c r="O129" s="627"/>
      <c r="P129" s="627"/>
      <c r="Q129" s="627"/>
      <c r="R129" s="627"/>
      <c r="S129" s="627"/>
      <c r="T129" s="627"/>
      <c r="U129" s="627"/>
      <c r="V129" s="627"/>
      <c r="W129" s="627"/>
      <c r="X129" s="627"/>
      <c r="Y129" s="627"/>
      <c r="Z129" s="627"/>
      <c r="AA129" s="627"/>
      <c r="AB129" s="627"/>
      <c r="AC129" s="102"/>
    </row>
    <row r="130" spans="1:29" ht="27" thickBot="1" x14ac:dyDescent="0.45">
      <c r="A130" s="842" t="s">
        <v>396</v>
      </c>
      <c r="B130" s="843"/>
      <c r="C130" s="843"/>
      <c r="D130" s="843"/>
      <c r="E130" s="843"/>
      <c r="F130" s="843"/>
      <c r="G130" s="843"/>
      <c r="H130" s="843"/>
      <c r="I130" s="843"/>
      <c r="J130" s="843"/>
      <c r="K130" s="843"/>
      <c r="L130" s="843"/>
      <c r="M130" s="843"/>
      <c r="N130" s="843"/>
      <c r="O130" s="843"/>
      <c r="P130" s="843"/>
      <c r="Q130" s="843"/>
      <c r="R130" s="843"/>
      <c r="S130" s="843"/>
      <c r="T130" s="843"/>
      <c r="U130" s="843"/>
      <c r="V130" s="843"/>
      <c r="W130" s="843"/>
      <c r="X130" s="843"/>
      <c r="Y130" s="843"/>
      <c r="Z130" s="843"/>
      <c r="AA130" s="843"/>
      <c r="AB130" s="844"/>
    </row>
    <row r="131" spans="1:29" x14ac:dyDescent="0.25">
      <c r="A131" s="1085" t="s">
        <v>32</v>
      </c>
      <c r="B131" s="1086" t="s">
        <v>33</v>
      </c>
      <c r="C131" s="1085" t="s">
        <v>61</v>
      </c>
      <c r="D131" s="1087"/>
      <c r="E131" s="1088" t="s">
        <v>42</v>
      </c>
      <c r="F131" s="853"/>
      <c r="G131" s="852" t="s">
        <v>43</v>
      </c>
      <c r="H131" s="853"/>
      <c r="I131" s="852" t="s">
        <v>44</v>
      </c>
      <c r="J131" s="853"/>
      <c r="K131" s="852" t="s">
        <v>45</v>
      </c>
      <c r="L131" s="853"/>
      <c r="M131" s="852" t="s">
        <v>46</v>
      </c>
      <c r="N131" s="853"/>
      <c r="O131" s="852" t="s">
        <v>47</v>
      </c>
      <c r="P131" s="853"/>
      <c r="Q131" s="852" t="s">
        <v>48</v>
      </c>
      <c r="R131" s="853"/>
      <c r="S131" s="852" t="s">
        <v>49</v>
      </c>
      <c r="T131" s="853"/>
      <c r="U131" s="852" t="s">
        <v>50</v>
      </c>
      <c r="V131" s="853"/>
      <c r="W131" s="852" t="s">
        <v>51</v>
      </c>
      <c r="X131" s="853"/>
      <c r="Y131" s="852" t="s">
        <v>52</v>
      </c>
      <c r="Z131" s="853"/>
      <c r="AA131" s="852" t="s">
        <v>53</v>
      </c>
      <c r="AB131" s="853"/>
    </row>
    <row r="132" spans="1:29" x14ac:dyDescent="0.25">
      <c r="A132" s="1060"/>
      <c r="B132" s="850"/>
      <c r="C132" s="856" t="s">
        <v>60</v>
      </c>
      <c r="D132" s="858" t="s">
        <v>41</v>
      </c>
      <c r="E132" s="845">
        <v>0.11</v>
      </c>
      <c r="F132" s="854"/>
      <c r="G132" s="845">
        <v>0.09</v>
      </c>
      <c r="H132" s="854"/>
      <c r="I132" s="845">
        <v>0.08</v>
      </c>
      <c r="J132" s="854"/>
      <c r="K132" s="845">
        <v>0.06</v>
      </c>
      <c r="L132" s="854"/>
      <c r="M132" s="845">
        <v>0.06</v>
      </c>
      <c r="N132" s="854"/>
      <c r="O132" s="845">
        <v>0.05</v>
      </c>
      <c r="P132" s="854"/>
      <c r="Q132" s="845">
        <v>0.1</v>
      </c>
      <c r="R132" s="854"/>
      <c r="S132" s="845">
        <v>0.05</v>
      </c>
      <c r="T132" s="854"/>
      <c r="U132" s="845">
        <v>0.08</v>
      </c>
      <c r="V132" s="854"/>
      <c r="W132" s="845">
        <v>0.1</v>
      </c>
      <c r="X132" s="854"/>
      <c r="Y132" s="845">
        <v>0.1</v>
      </c>
      <c r="Z132" s="854"/>
      <c r="AA132" s="845">
        <v>0.12</v>
      </c>
      <c r="AB132" s="854"/>
    </row>
    <row r="133" spans="1:29" ht="15.75" thickBot="1" x14ac:dyDescent="0.3">
      <c r="A133" s="1061"/>
      <c r="B133" s="1062"/>
      <c r="C133" s="1063"/>
      <c r="D133" s="1064"/>
      <c r="E133" s="1065" t="s">
        <v>60</v>
      </c>
      <c r="F133" s="1066" t="s">
        <v>41</v>
      </c>
      <c r="G133" s="1065" t="s">
        <v>60</v>
      </c>
      <c r="H133" s="1066" t="s">
        <v>41</v>
      </c>
      <c r="I133" s="1065" t="s">
        <v>60</v>
      </c>
      <c r="J133" s="1066" t="s">
        <v>41</v>
      </c>
      <c r="K133" s="1065" t="s">
        <v>60</v>
      </c>
      <c r="L133" s="1066" t="s">
        <v>41</v>
      </c>
      <c r="M133" s="1065" t="s">
        <v>60</v>
      </c>
      <c r="N133" s="1066" t="s">
        <v>41</v>
      </c>
      <c r="O133" s="1065" t="s">
        <v>60</v>
      </c>
      <c r="P133" s="1066" t="s">
        <v>41</v>
      </c>
      <c r="Q133" s="1065" t="s">
        <v>60</v>
      </c>
      <c r="R133" s="1066" t="s">
        <v>41</v>
      </c>
      <c r="S133" s="683" t="s">
        <v>60</v>
      </c>
      <c r="T133" s="684" t="s">
        <v>41</v>
      </c>
      <c r="U133" s="683" t="s">
        <v>60</v>
      </c>
      <c r="V133" s="684" t="s">
        <v>41</v>
      </c>
      <c r="W133" s="683" t="s">
        <v>60</v>
      </c>
      <c r="X133" s="684" t="s">
        <v>41</v>
      </c>
      <c r="Y133" s="683" t="s">
        <v>60</v>
      </c>
      <c r="Z133" s="684" t="s">
        <v>41</v>
      </c>
      <c r="AA133" s="683" t="s">
        <v>60</v>
      </c>
      <c r="AB133" s="684" t="s">
        <v>41</v>
      </c>
    </row>
    <row r="134" spans="1:29" ht="15.75" x14ac:dyDescent="0.25">
      <c r="A134" s="50"/>
      <c r="B134" s="51">
        <f>Hipótesis!C58</f>
        <v>2000000</v>
      </c>
      <c r="C134" s="52">
        <v>1850</v>
      </c>
      <c r="D134" s="53">
        <f>B134*C134</f>
        <v>3700000000</v>
      </c>
      <c r="E134" s="73">
        <f t="shared" ref="E134:E141" si="50">C134*$E$132</f>
        <v>203.5</v>
      </c>
      <c r="F134" s="53">
        <f>D134*$E$17</f>
        <v>222000000</v>
      </c>
      <c r="G134" s="73">
        <f t="shared" ref="G134:G141" si="51">C134*$G$132</f>
        <v>166.5</v>
      </c>
      <c r="H134" s="53">
        <f>D134*$G$17</f>
        <v>148000000</v>
      </c>
      <c r="I134" s="73">
        <f t="shared" ref="I134:I141" si="52">C134*$I$132</f>
        <v>148</v>
      </c>
      <c r="J134" s="53">
        <f t="shared" ref="J134:J141" si="53">D134*$I$17</f>
        <v>296000000</v>
      </c>
      <c r="K134" s="73">
        <f t="shared" ref="K134:K141" si="54">C134*$K$132</f>
        <v>111</v>
      </c>
      <c r="L134" s="53">
        <f t="shared" ref="L134:L141" si="55">D134*$K$17</f>
        <v>259000000.00000003</v>
      </c>
      <c r="M134" s="73">
        <f t="shared" ref="M134:M141" si="56">C134*$M$132</f>
        <v>111</v>
      </c>
      <c r="N134" s="53">
        <f>D134*$M$17</f>
        <v>407000000</v>
      </c>
      <c r="O134" s="73">
        <f t="shared" ref="O134:O141" si="57">C134*$O$132</f>
        <v>92.5</v>
      </c>
      <c r="P134" s="53">
        <f t="shared" ref="P134:P141" si="58">D134*$O$17</f>
        <v>148000000</v>
      </c>
      <c r="Q134" s="73">
        <f t="shared" ref="Q134:Q141" si="59">C134*$Q$132</f>
        <v>185</v>
      </c>
      <c r="R134" s="53">
        <f t="shared" ref="R134:R141" si="60">D134*$Q$17</f>
        <v>222000000</v>
      </c>
      <c r="S134" s="73">
        <f t="shared" ref="S134:S141" si="61">C134*$S$132</f>
        <v>92.5</v>
      </c>
      <c r="T134" s="53">
        <f t="shared" ref="T134:T141" si="62">D134*$S$17</f>
        <v>444000000</v>
      </c>
      <c r="U134" s="73">
        <f t="shared" ref="U134:U141" si="63">C134*$U$132</f>
        <v>148</v>
      </c>
      <c r="V134" s="53">
        <f t="shared" ref="V134:V141" si="64">D134*$U$17</f>
        <v>407000000</v>
      </c>
      <c r="W134" s="73">
        <f t="shared" ref="W134:W141" si="65">C134*$W$132</f>
        <v>185</v>
      </c>
      <c r="X134" s="53">
        <f t="shared" ref="X134:X141" si="66">D134*$W$17</f>
        <v>518000000.00000006</v>
      </c>
      <c r="Y134" s="73">
        <f t="shared" ref="Y134:Y141" si="67">C134*$Y$132</f>
        <v>185</v>
      </c>
      <c r="Z134" s="80">
        <f t="shared" ref="Z134:Z141" si="68">D134*$Y$17</f>
        <v>296000000</v>
      </c>
      <c r="AA134" s="73">
        <f t="shared" ref="AA134:AA141" si="69">C134*$AA$132</f>
        <v>222</v>
      </c>
      <c r="AB134" s="53">
        <f>D134*$AA$17</f>
        <v>333000000</v>
      </c>
    </row>
    <row r="135" spans="1:29" ht="15.75" x14ac:dyDescent="0.25">
      <c r="A135" s="54"/>
      <c r="B135" s="44">
        <f>Hipótesis!C59</f>
        <v>2300000</v>
      </c>
      <c r="C135" s="46">
        <v>1450</v>
      </c>
      <c r="D135" s="47">
        <f t="shared" ref="D135:D141" si="70">B135*C135</f>
        <v>3335000000</v>
      </c>
      <c r="E135" s="74">
        <f t="shared" si="50"/>
        <v>159.5</v>
      </c>
      <c r="F135" s="47">
        <f t="shared" ref="F135:F141" si="71">D135*$E$17</f>
        <v>200100000</v>
      </c>
      <c r="G135" s="74">
        <f t="shared" si="51"/>
        <v>130.5</v>
      </c>
      <c r="H135" s="47">
        <f t="shared" ref="H135:H141" si="72">D135*$G$17</f>
        <v>133400000</v>
      </c>
      <c r="I135" s="74">
        <f t="shared" si="52"/>
        <v>116</v>
      </c>
      <c r="J135" s="47">
        <f t="shared" si="53"/>
        <v>266800000</v>
      </c>
      <c r="K135" s="74">
        <f t="shared" si="54"/>
        <v>87</v>
      </c>
      <c r="L135" s="47">
        <f t="shared" si="55"/>
        <v>233450000.00000003</v>
      </c>
      <c r="M135" s="74">
        <f t="shared" si="56"/>
        <v>87</v>
      </c>
      <c r="N135" s="47">
        <f t="shared" ref="N135:N141" si="73">D135*$M$17</f>
        <v>366850000</v>
      </c>
      <c r="O135" s="74">
        <f t="shared" si="57"/>
        <v>72.5</v>
      </c>
      <c r="P135" s="47">
        <f t="shared" si="58"/>
        <v>133400000</v>
      </c>
      <c r="Q135" s="74">
        <f t="shared" si="59"/>
        <v>145</v>
      </c>
      <c r="R135" s="47">
        <f t="shared" si="60"/>
        <v>200100000</v>
      </c>
      <c r="S135" s="74">
        <f t="shared" si="61"/>
        <v>72.5</v>
      </c>
      <c r="T135" s="47">
        <f t="shared" si="62"/>
        <v>400200000</v>
      </c>
      <c r="U135" s="74">
        <f t="shared" si="63"/>
        <v>116</v>
      </c>
      <c r="V135" s="47">
        <f t="shared" si="64"/>
        <v>366850000</v>
      </c>
      <c r="W135" s="74">
        <f t="shared" si="65"/>
        <v>145</v>
      </c>
      <c r="X135" s="47">
        <f t="shared" si="66"/>
        <v>466900000.00000006</v>
      </c>
      <c r="Y135" s="74">
        <f t="shared" si="67"/>
        <v>145</v>
      </c>
      <c r="Z135" s="81">
        <f t="shared" si="68"/>
        <v>266800000</v>
      </c>
      <c r="AA135" s="74">
        <f t="shared" si="69"/>
        <v>174</v>
      </c>
      <c r="AB135" s="47">
        <f>D135*$AA$17</f>
        <v>300150000</v>
      </c>
    </row>
    <row r="136" spans="1:29" ht="16.5" thickBot="1" x14ac:dyDescent="0.3">
      <c r="A136" s="55"/>
      <c r="B136" s="56">
        <f>Hipótesis!C60</f>
        <v>2300000</v>
      </c>
      <c r="C136" s="57">
        <v>630</v>
      </c>
      <c r="D136" s="58">
        <f t="shared" si="70"/>
        <v>1449000000</v>
      </c>
      <c r="E136" s="75">
        <f t="shared" si="50"/>
        <v>69.3</v>
      </c>
      <c r="F136" s="58">
        <f t="shared" si="71"/>
        <v>86940000</v>
      </c>
      <c r="G136" s="75">
        <f t="shared" si="51"/>
        <v>56.699999999999996</v>
      </c>
      <c r="H136" s="58">
        <f t="shared" si="72"/>
        <v>57960000</v>
      </c>
      <c r="I136" s="75">
        <f t="shared" si="52"/>
        <v>50.4</v>
      </c>
      <c r="J136" s="58">
        <f t="shared" si="53"/>
        <v>115920000</v>
      </c>
      <c r="K136" s="75">
        <f t="shared" si="54"/>
        <v>37.799999999999997</v>
      </c>
      <c r="L136" s="58">
        <f t="shared" si="55"/>
        <v>101430000.00000001</v>
      </c>
      <c r="M136" s="75">
        <f t="shared" si="56"/>
        <v>37.799999999999997</v>
      </c>
      <c r="N136" s="58">
        <f t="shared" si="73"/>
        <v>159390000</v>
      </c>
      <c r="O136" s="75">
        <f t="shared" si="57"/>
        <v>31.5</v>
      </c>
      <c r="P136" s="58">
        <f t="shared" si="58"/>
        <v>57960000</v>
      </c>
      <c r="Q136" s="75">
        <f t="shared" si="59"/>
        <v>63</v>
      </c>
      <c r="R136" s="58">
        <f t="shared" si="60"/>
        <v>86940000</v>
      </c>
      <c r="S136" s="75">
        <f t="shared" si="61"/>
        <v>31.5</v>
      </c>
      <c r="T136" s="58">
        <f t="shared" si="62"/>
        <v>173880000</v>
      </c>
      <c r="U136" s="75">
        <f t="shared" si="63"/>
        <v>50.4</v>
      </c>
      <c r="V136" s="58">
        <f t="shared" si="64"/>
        <v>159390000</v>
      </c>
      <c r="W136" s="75">
        <f t="shared" si="65"/>
        <v>63</v>
      </c>
      <c r="X136" s="58">
        <f t="shared" si="66"/>
        <v>202860000.00000003</v>
      </c>
      <c r="Y136" s="75">
        <f t="shared" si="67"/>
        <v>63</v>
      </c>
      <c r="Z136" s="82">
        <f t="shared" si="68"/>
        <v>115920000</v>
      </c>
      <c r="AA136" s="75">
        <f t="shared" si="69"/>
        <v>75.599999999999994</v>
      </c>
      <c r="AB136" s="58">
        <f t="shared" ref="AB136:AB141" si="74">D136*$AA$17</f>
        <v>130410000</v>
      </c>
    </row>
    <row r="137" spans="1:29" ht="15.75" x14ac:dyDescent="0.25">
      <c r="A137" s="59"/>
      <c r="B137" s="60">
        <f>Hipótesis!C61</f>
        <v>2500000</v>
      </c>
      <c r="C137" s="61">
        <v>3793</v>
      </c>
      <c r="D137" s="62">
        <f t="shared" si="70"/>
        <v>9482500000</v>
      </c>
      <c r="E137" s="76">
        <f t="shared" si="50"/>
        <v>417.23</v>
      </c>
      <c r="F137" s="62">
        <f t="shared" si="71"/>
        <v>568950000</v>
      </c>
      <c r="G137" s="76">
        <f t="shared" si="51"/>
        <v>341.37</v>
      </c>
      <c r="H137" s="62">
        <f t="shared" si="72"/>
        <v>379300000</v>
      </c>
      <c r="I137" s="76">
        <f t="shared" si="52"/>
        <v>303.44</v>
      </c>
      <c r="J137" s="62">
        <f t="shared" si="53"/>
        <v>758600000</v>
      </c>
      <c r="K137" s="76">
        <f t="shared" si="54"/>
        <v>227.57999999999998</v>
      </c>
      <c r="L137" s="62">
        <f t="shared" si="55"/>
        <v>663775000.00000012</v>
      </c>
      <c r="M137" s="76">
        <f t="shared" si="56"/>
        <v>227.57999999999998</v>
      </c>
      <c r="N137" s="62">
        <f t="shared" si="73"/>
        <v>1043075000</v>
      </c>
      <c r="O137" s="76">
        <f t="shared" si="57"/>
        <v>189.65</v>
      </c>
      <c r="P137" s="62">
        <f t="shared" si="58"/>
        <v>379300000</v>
      </c>
      <c r="Q137" s="76">
        <f t="shared" si="59"/>
        <v>379.3</v>
      </c>
      <c r="R137" s="62">
        <f t="shared" si="60"/>
        <v>568950000</v>
      </c>
      <c r="S137" s="76">
        <f t="shared" si="61"/>
        <v>189.65</v>
      </c>
      <c r="T137" s="62">
        <f t="shared" si="62"/>
        <v>1137900000</v>
      </c>
      <c r="U137" s="76">
        <f t="shared" si="63"/>
        <v>303.44</v>
      </c>
      <c r="V137" s="62">
        <f t="shared" si="64"/>
        <v>1043075000</v>
      </c>
      <c r="W137" s="76">
        <f t="shared" si="65"/>
        <v>379.3</v>
      </c>
      <c r="X137" s="62">
        <f t="shared" si="66"/>
        <v>1327550000.0000002</v>
      </c>
      <c r="Y137" s="76">
        <f t="shared" si="67"/>
        <v>379.3</v>
      </c>
      <c r="Z137" s="83">
        <f t="shared" si="68"/>
        <v>758600000</v>
      </c>
      <c r="AA137" s="76">
        <f t="shared" si="69"/>
        <v>455.15999999999997</v>
      </c>
      <c r="AB137" s="62">
        <f t="shared" si="74"/>
        <v>853425000</v>
      </c>
    </row>
    <row r="138" spans="1:29" ht="15.75" x14ac:dyDescent="0.25">
      <c r="A138" s="63"/>
      <c r="B138" s="45">
        <f>Hipótesis!C62</f>
        <v>300000</v>
      </c>
      <c r="C138" s="48">
        <v>3760</v>
      </c>
      <c r="D138" s="49">
        <f t="shared" si="70"/>
        <v>1128000000</v>
      </c>
      <c r="E138" s="77">
        <f t="shared" si="50"/>
        <v>413.6</v>
      </c>
      <c r="F138" s="49">
        <f t="shared" si="71"/>
        <v>67680000</v>
      </c>
      <c r="G138" s="77">
        <f t="shared" si="51"/>
        <v>338.4</v>
      </c>
      <c r="H138" s="49">
        <f t="shared" si="72"/>
        <v>45120000</v>
      </c>
      <c r="I138" s="77">
        <f t="shared" si="52"/>
        <v>300.8</v>
      </c>
      <c r="J138" s="49">
        <f t="shared" si="53"/>
        <v>90240000</v>
      </c>
      <c r="K138" s="77">
        <f t="shared" si="54"/>
        <v>225.6</v>
      </c>
      <c r="L138" s="49">
        <f t="shared" si="55"/>
        <v>78960000.000000015</v>
      </c>
      <c r="M138" s="77">
        <f t="shared" si="56"/>
        <v>225.6</v>
      </c>
      <c r="N138" s="49">
        <f t="shared" si="73"/>
        <v>124080000</v>
      </c>
      <c r="O138" s="77">
        <f t="shared" si="57"/>
        <v>188</v>
      </c>
      <c r="P138" s="49">
        <f t="shared" si="58"/>
        <v>45120000</v>
      </c>
      <c r="Q138" s="77">
        <f t="shared" si="59"/>
        <v>376</v>
      </c>
      <c r="R138" s="49">
        <f t="shared" si="60"/>
        <v>67680000</v>
      </c>
      <c r="S138" s="77">
        <f t="shared" si="61"/>
        <v>188</v>
      </c>
      <c r="T138" s="49">
        <f t="shared" si="62"/>
        <v>135360000</v>
      </c>
      <c r="U138" s="77">
        <f t="shared" si="63"/>
        <v>300.8</v>
      </c>
      <c r="V138" s="49">
        <f t="shared" si="64"/>
        <v>124080000</v>
      </c>
      <c r="W138" s="77">
        <f t="shared" si="65"/>
        <v>376</v>
      </c>
      <c r="X138" s="49">
        <f t="shared" si="66"/>
        <v>157920000.00000003</v>
      </c>
      <c r="Y138" s="77">
        <f t="shared" si="67"/>
        <v>376</v>
      </c>
      <c r="Z138" s="84">
        <f t="shared" si="68"/>
        <v>90240000</v>
      </c>
      <c r="AA138" s="77">
        <f t="shared" si="69"/>
        <v>451.2</v>
      </c>
      <c r="AB138" s="49">
        <f t="shared" si="74"/>
        <v>101520000</v>
      </c>
    </row>
    <row r="139" spans="1:29" ht="15.75" x14ac:dyDescent="0.25">
      <c r="A139" s="64"/>
      <c r="B139" s="45">
        <f>Hipótesis!C63</f>
        <v>500000</v>
      </c>
      <c r="C139" s="48">
        <v>1700</v>
      </c>
      <c r="D139" s="49">
        <f t="shared" si="70"/>
        <v>850000000</v>
      </c>
      <c r="E139" s="77">
        <f t="shared" si="50"/>
        <v>187</v>
      </c>
      <c r="F139" s="49">
        <f t="shared" si="71"/>
        <v>51000000</v>
      </c>
      <c r="G139" s="77">
        <f t="shared" si="51"/>
        <v>153</v>
      </c>
      <c r="H139" s="49">
        <f t="shared" si="72"/>
        <v>34000000</v>
      </c>
      <c r="I139" s="77">
        <f t="shared" si="52"/>
        <v>136</v>
      </c>
      <c r="J139" s="49">
        <f t="shared" si="53"/>
        <v>68000000</v>
      </c>
      <c r="K139" s="77">
        <f t="shared" si="54"/>
        <v>102</v>
      </c>
      <c r="L139" s="49">
        <f t="shared" si="55"/>
        <v>59500000.000000007</v>
      </c>
      <c r="M139" s="77">
        <f t="shared" si="56"/>
        <v>102</v>
      </c>
      <c r="N139" s="49">
        <f t="shared" si="73"/>
        <v>93500000</v>
      </c>
      <c r="O139" s="77">
        <f t="shared" si="57"/>
        <v>85</v>
      </c>
      <c r="P139" s="49">
        <f t="shared" si="58"/>
        <v>34000000</v>
      </c>
      <c r="Q139" s="77">
        <f t="shared" si="59"/>
        <v>170</v>
      </c>
      <c r="R139" s="49">
        <f t="shared" si="60"/>
        <v>51000000</v>
      </c>
      <c r="S139" s="77">
        <f t="shared" si="61"/>
        <v>85</v>
      </c>
      <c r="T139" s="49">
        <f t="shared" si="62"/>
        <v>102000000</v>
      </c>
      <c r="U139" s="77">
        <f t="shared" si="63"/>
        <v>136</v>
      </c>
      <c r="V139" s="49">
        <f t="shared" si="64"/>
        <v>93500000</v>
      </c>
      <c r="W139" s="77">
        <f t="shared" si="65"/>
        <v>170</v>
      </c>
      <c r="X139" s="49">
        <f t="shared" si="66"/>
        <v>119000000.00000001</v>
      </c>
      <c r="Y139" s="77">
        <f t="shared" si="67"/>
        <v>170</v>
      </c>
      <c r="Z139" s="84">
        <f t="shared" si="68"/>
        <v>68000000</v>
      </c>
      <c r="AA139" s="77">
        <f t="shared" si="69"/>
        <v>204</v>
      </c>
      <c r="AB139" s="49">
        <f t="shared" si="74"/>
        <v>76500000</v>
      </c>
    </row>
    <row r="140" spans="1:29" ht="16.5" thickBot="1" x14ac:dyDescent="0.3">
      <c r="A140" s="65"/>
      <c r="B140" s="66">
        <f>Hipótesis!C64</f>
        <v>600000</v>
      </c>
      <c r="C140" s="67">
        <v>3200</v>
      </c>
      <c r="D140" s="68">
        <f t="shared" si="70"/>
        <v>1920000000</v>
      </c>
      <c r="E140" s="78">
        <f t="shared" si="50"/>
        <v>352</v>
      </c>
      <c r="F140" s="68">
        <f t="shared" si="71"/>
        <v>115200000</v>
      </c>
      <c r="G140" s="78">
        <f t="shared" si="51"/>
        <v>288</v>
      </c>
      <c r="H140" s="68">
        <f t="shared" si="72"/>
        <v>76800000</v>
      </c>
      <c r="I140" s="78">
        <f t="shared" si="52"/>
        <v>256</v>
      </c>
      <c r="J140" s="68">
        <f t="shared" si="53"/>
        <v>153600000</v>
      </c>
      <c r="K140" s="78">
        <f t="shared" si="54"/>
        <v>192</v>
      </c>
      <c r="L140" s="68">
        <f t="shared" si="55"/>
        <v>134400000</v>
      </c>
      <c r="M140" s="78">
        <f t="shared" si="56"/>
        <v>192</v>
      </c>
      <c r="N140" s="68">
        <f t="shared" si="73"/>
        <v>211200000</v>
      </c>
      <c r="O140" s="78">
        <f t="shared" si="57"/>
        <v>160</v>
      </c>
      <c r="P140" s="68">
        <f t="shared" si="58"/>
        <v>76800000</v>
      </c>
      <c r="Q140" s="78">
        <f t="shared" si="59"/>
        <v>320</v>
      </c>
      <c r="R140" s="68">
        <f t="shared" si="60"/>
        <v>115200000</v>
      </c>
      <c r="S140" s="78">
        <f t="shared" si="61"/>
        <v>160</v>
      </c>
      <c r="T140" s="68">
        <f t="shared" si="62"/>
        <v>230400000</v>
      </c>
      <c r="U140" s="78">
        <f t="shared" si="63"/>
        <v>256</v>
      </c>
      <c r="V140" s="68">
        <f t="shared" si="64"/>
        <v>211200000</v>
      </c>
      <c r="W140" s="78">
        <f t="shared" si="65"/>
        <v>320</v>
      </c>
      <c r="X140" s="68">
        <f t="shared" si="66"/>
        <v>268800000</v>
      </c>
      <c r="Y140" s="78">
        <f t="shared" si="67"/>
        <v>320</v>
      </c>
      <c r="Z140" s="85">
        <f t="shared" si="68"/>
        <v>153600000</v>
      </c>
      <c r="AA140" s="78">
        <f t="shared" si="69"/>
        <v>384</v>
      </c>
      <c r="AB140" s="68">
        <f t="shared" si="74"/>
        <v>172800000</v>
      </c>
    </row>
    <row r="141" spans="1:29" ht="16.5" thickBot="1" x14ac:dyDescent="0.3">
      <c r="A141" s="69"/>
      <c r="B141" s="70">
        <f>Hipótesis!C65</f>
        <v>800000</v>
      </c>
      <c r="C141" s="71">
        <v>1000</v>
      </c>
      <c r="D141" s="72">
        <f t="shared" si="70"/>
        <v>800000000</v>
      </c>
      <c r="E141" s="79">
        <f t="shared" si="50"/>
        <v>110</v>
      </c>
      <c r="F141" s="72">
        <f t="shared" si="71"/>
        <v>48000000</v>
      </c>
      <c r="G141" s="79">
        <f t="shared" si="51"/>
        <v>90</v>
      </c>
      <c r="H141" s="72">
        <f t="shared" si="72"/>
        <v>32000000</v>
      </c>
      <c r="I141" s="79">
        <f t="shared" si="52"/>
        <v>80</v>
      </c>
      <c r="J141" s="72">
        <f t="shared" si="53"/>
        <v>64000000</v>
      </c>
      <c r="K141" s="79">
        <f t="shared" si="54"/>
        <v>60</v>
      </c>
      <c r="L141" s="72">
        <f t="shared" si="55"/>
        <v>56000000.000000007</v>
      </c>
      <c r="M141" s="79">
        <f t="shared" si="56"/>
        <v>60</v>
      </c>
      <c r="N141" s="72">
        <f t="shared" si="73"/>
        <v>88000000</v>
      </c>
      <c r="O141" s="79">
        <f t="shared" si="57"/>
        <v>50</v>
      </c>
      <c r="P141" s="72">
        <f t="shared" si="58"/>
        <v>32000000</v>
      </c>
      <c r="Q141" s="79">
        <f t="shared" si="59"/>
        <v>100</v>
      </c>
      <c r="R141" s="72">
        <f t="shared" si="60"/>
        <v>48000000</v>
      </c>
      <c r="S141" s="79">
        <f t="shared" si="61"/>
        <v>50</v>
      </c>
      <c r="T141" s="72">
        <f t="shared" si="62"/>
        <v>96000000</v>
      </c>
      <c r="U141" s="79">
        <f t="shared" si="63"/>
        <v>80</v>
      </c>
      <c r="V141" s="72">
        <f t="shared" si="64"/>
        <v>88000000</v>
      </c>
      <c r="W141" s="79">
        <f t="shared" si="65"/>
        <v>100</v>
      </c>
      <c r="X141" s="72">
        <f t="shared" si="66"/>
        <v>112000000.00000001</v>
      </c>
      <c r="Y141" s="79">
        <f t="shared" si="67"/>
        <v>100</v>
      </c>
      <c r="Z141" s="86">
        <f t="shared" si="68"/>
        <v>64000000</v>
      </c>
      <c r="AA141" s="79">
        <f t="shared" si="69"/>
        <v>120</v>
      </c>
      <c r="AB141" s="72">
        <f t="shared" si="74"/>
        <v>72000000</v>
      </c>
    </row>
    <row r="142" spans="1:29" ht="15.75" thickBot="1" x14ac:dyDescent="0.3">
      <c r="A142" s="799" t="s">
        <v>101</v>
      </c>
      <c r="B142" s="800"/>
      <c r="C142" s="172"/>
      <c r="D142" s="175">
        <f>SUM(D134:D141)</f>
        <v>22664500000</v>
      </c>
      <c r="E142" s="176"/>
      <c r="F142" s="177">
        <f>SUM(F134:F141)</f>
        <v>1359870000</v>
      </c>
      <c r="G142" s="176"/>
      <c r="H142" s="177">
        <f>SUM(H134:H141)</f>
        <v>906580000</v>
      </c>
      <c r="I142" s="176"/>
      <c r="J142" s="177">
        <f>SUM(J134:J141)</f>
        <v>1813160000</v>
      </c>
      <c r="K142" s="176"/>
      <c r="L142" s="177">
        <f>SUM(L134:L141)</f>
        <v>1586515000.0000002</v>
      </c>
      <c r="M142" s="176"/>
      <c r="N142" s="177">
        <f>SUM(N134:N141)</f>
        <v>2493095000</v>
      </c>
      <c r="O142" s="176"/>
      <c r="P142" s="177">
        <f>SUM(P134:P141)</f>
        <v>906580000</v>
      </c>
      <c r="Q142" s="176"/>
      <c r="R142" s="177">
        <f>SUM(R134:R141)</f>
        <v>1359870000</v>
      </c>
      <c r="S142" s="176"/>
      <c r="T142" s="177">
        <f>SUM(T134:T141)</f>
        <v>2719740000</v>
      </c>
      <c r="U142" s="176"/>
      <c r="V142" s="177">
        <f>SUM(V134:V141)</f>
        <v>2493095000</v>
      </c>
      <c r="W142" s="176"/>
      <c r="X142" s="177">
        <f>SUM(X134:X141)</f>
        <v>3173030000.0000005</v>
      </c>
      <c r="Y142" s="176"/>
      <c r="Z142" s="177">
        <f>SUM(Z134:Z141)</f>
        <v>1813160000</v>
      </c>
      <c r="AA142" s="176"/>
      <c r="AB142" s="177">
        <f>SUM(AB134:AB141)</f>
        <v>2039805000</v>
      </c>
    </row>
    <row r="143" spans="1:29" ht="15.75" x14ac:dyDescent="0.25">
      <c r="A143" s="789" t="s">
        <v>359</v>
      </c>
      <c r="B143" s="790"/>
      <c r="C143" s="201">
        <f>C134</f>
        <v>1850</v>
      </c>
      <c r="D143" s="183"/>
      <c r="E143" s="194">
        <f>E134</f>
        <v>203.5</v>
      </c>
      <c r="F143" s="183"/>
      <c r="G143" s="194">
        <f>G134</f>
        <v>166.5</v>
      </c>
      <c r="H143" s="183"/>
      <c r="I143" s="194">
        <f>I134</f>
        <v>148</v>
      </c>
      <c r="J143" s="183"/>
      <c r="K143" s="194">
        <f>K134</f>
        <v>111</v>
      </c>
      <c r="L143" s="183"/>
      <c r="M143" s="194">
        <f>M134</f>
        <v>111</v>
      </c>
      <c r="N143" s="183"/>
      <c r="O143" s="194">
        <f>O134</f>
        <v>92.5</v>
      </c>
      <c r="P143" s="183"/>
      <c r="Q143" s="194">
        <f>Q134</f>
        <v>185</v>
      </c>
      <c r="R143" s="183"/>
      <c r="S143" s="194">
        <f>S134</f>
        <v>92.5</v>
      </c>
      <c r="T143" s="183"/>
      <c r="U143" s="194">
        <f>U134</f>
        <v>148</v>
      </c>
      <c r="V143" s="183"/>
      <c r="W143" s="194">
        <f>W134</f>
        <v>185</v>
      </c>
      <c r="X143" s="183"/>
      <c r="Y143" s="194">
        <f>Y134</f>
        <v>185</v>
      </c>
      <c r="Z143" s="183"/>
      <c r="AA143" s="194">
        <f>AA134</f>
        <v>222</v>
      </c>
      <c r="AB143" s="184"/>
    </row>
    <row r="144" spans="1:29" ht="15.75" x14ac:dyDescent="0.25">
      <c r="A144" s="787" t="s">
        <v>97</v>
      </c>
      <c r="B144" s="788"/>
      <c r="C144" s="202">
        <f>C135</f>
        <v>1450</v>
      </c>
      <c r="D144" s="179"/>
      <c r="E144" s="195">
        <f>E135</f>
        <v>159.5</v>
      </c>
      <c r="F144" s="179"/>
      <c r="G144" s="195">
        <f>G135</f>
        <v>130.5</v>
      </c>
      <c r="H144" s="179"/>
      <c r="I144" s="195">
        <f>I135</f>
        <v>116</v>
      </c>
      <c r="J144" s="179"/>
      <c r="K144" s="195">
        <f>K135</f>
        <v>87</v>
      </c>
      <c r="L144" s="179"/>
      <c r="M144" s="195">
        <f>M135</f>
        <v>87</v>
      </c>
      <c r="N144" s="179"/>
      <c r="O144" s="195">
        <f>O135</f>
        <v>72.5</v>
      </c>
      <c r="P144" s="179"/>
      <c r="Q144" s="195">
        <f>Q135</f>
        <v>145</v>
      </c>
      <c r="R144" s="179"/>
      <c r="S144" s="195">
        <f>S135</f>
        <v>72.5</v>
      </c>
      <c r="T144" s="179"/>
      <c r="U144" s="195">
        <f>U135</f>
        <v>116</v>
      </c>
      <c r="V144" s="179"/>
      <c r="W144" s="195">
        <f>W135</f>
        <v>145</v>
      </c>
      <c r="X144" s="179"/>
      <c r="Y144" s="195">
        <f>Y135</f>
        <v>145</v>
      </c>
      <c r="Z144" s="179"/>
      <c r="AA144" s="195">
        <f>AA135</f>
        <v>174</v>
      </c>
      <c r="AB144" s="185"/>
    </row>
    <row r="145" spans="1:28" ht="16.5" thickBot="1" x14ac:dyDescent="0.3">
      <c r="A145" s="785" t="s">
        <v>98</v>
      </c>
      <c r="B145" s="786"/>
      <c r="C145" s="203">
        <f>C136</f>
        <v>630</v>
      </c>
      <c r="D145" s="186"/>
      <c r="E145" s="196">
        <f>E136</f>
        <v>69.3</v>
      </c>
      <c r="F145" s="186"/>
      <c r="G145" s="196">
        <f>G136</f>
        <v>56.699999999999996</v>
      </c>
      <c r="H145" s="186"/>
      <c r="I145" s="196">
        <f>I136</f>
        <v>50.4</v>
      </c>
      <c r="J145" s="186"/>
      <c r="K145" s="196">
        <f>K136</f>
        <v>37.799999999999997</v>
      </c>
      <c r="L145" s="186"/>
      <c r="M145" s="196">
        <f>M136</f>
        <v>37.799999999999997</v>
      </c>
      <c r="N145" s="186"/>
      <c r="O145" s="196">
        <f>O136</f>
        <v>31.5</v>
      </c>
      <c r="P145" s="186"/>
      <c r="Q145" s="196">
        <f>Q136</f>
        <v>63</v>
      </c>
      <c r="R145" s="186"/>
      <c r="S145" s="196">
        <f>S136</f>
        <v>31.5</v>
      </c>
      <c r="T145" s="186"/>
      <c r="U145" s="196">
        <f>U136</f>
        <v>50.4</v>
      </c>
      <c r="V145" s="186"/>
      <c r="W145" s="196">
        <f>W136</f>
        <v>63</v>
      </c>
      <c r="X145" s="186"/>
      <c r="Y145" s="196">
        <f>Y136</f>
        <v>63</v>
      </c>
      <c r="Z145" s="186"/>
      <c r="AA145" s="196">
        <f>AA136</f>
        <v>75.599999999999994</v>
      </c>
      <c r="AB145" s="187"/>
    </row>
    <row r="146" spans="1:28" ht="16.5" thickBot="1" x14ac:dyDescent="0.3">
      <c r="A146" s="801" t="s">
        <v>99</v>
      </c>
      <c r="B146" s="802"/>
      <c r="C146" s="204">
        <f>SUM(C137:C140)</f>
        <v>12453</v>
      </c>
      <c r="D146" s="182"/>
      <c r="E146" s="197">
        <f>SUM(E137:E140)</f>
        <v>1369.83</v>
      </c>
      <c r="F146" s="188"/>
      <c r="G146" s="197">
        <f>SUM(G137:G140)</f>
        <v>1120.77</v>
      </c>
      <c r="H146" s="188"/>
      <c r="I146" s="197">
        <f>SUM(I137:I140)</f>
        <v>996.24</v>
      </c>
      <c r="J146" s="188"/>
      <c r="K146" s="197">
        <f>SUM(K137:K140)</f>
        <v>747.18</v>
      </c>
      <c r="L146" s="188"/>
      <c r="M146" s="197">
        <f>SUM(M137:M140)</f>
        <v>747.18</v>
      </c>
      <c r="N146" s="188"/>
      <c r="O146" s="197">
        <f>SUM(O137:O140)</f>
        <v>622.65</v>
      </c>
      <c r="P146" s="188"/>
      <c r="Q146" s="197">
        <f>SUM(Q137:Q140)</f>
        <v>1245.3</v>
      </c>
      <c r="R146" s="188"/>
      <c r="S146" s="197">
        <f>SUM(S137:S140)</f>
        <v>622.65</v>
      </c>
      <c r="T146" s="188"/>
      <c r="U146" s="197">
        <f>SUM(U137:U140)</f>
        <v>996.24</v>
      </c>
      <c r="V146" s="188"/>
      <c r="W146" s="197">
        <f>SUM(W137:W140)</f>
        <v>1245.3</v>
      </c>
      <c r="X146" s="188"/>
      <c r="Y146" s="197">
        <f>SUM(Y137:Y140)</f>
        <v>1245.3</v>
      </c>
      <c r="Z146" s="188"/>
      <c r="AA146" s="197">
        <f>SUM(AA137:AA140)</f>
        <v>1494.36</v>
      </c>
      <c r="AB146" s="191"/>
    </row>
    <row r="147" spans="1:28" ht="16.5" thickBot="1" x14ac:dyDescent="0.3">
      <c r="A147" s="803" t="s">
        <v>100</v>
      </c>
      <c r="B147" s="804"/>
      <c r="C147" s="205">
        <f>SUM(C141:C141)</f>
        <v>1000</v>
      </c>
      <c r="D147" s="181"/>
      <c r="E147" s="198">
        <f>SUM(E141:E141)</f>
        <v>110</v>
      </c>
      <c r="F147" s="189"/>
      <c r="G147" s="198">
        <f>SUM(G141:G141)</f>
        <v>90</v>
      </c>
      <c r="H147" s="189"/>
      <c r="I147" s="198">
        <f>SUM(I141:I141)</f>
        <v>80</v>
      </c>
      <c r="J147" s="189"/>
      <c r="K147" s="198">
        <f>SUM(K141:K141)</f>
        <v>60</v>
      </c>
      <c r="L147" s="189"/>
      <c r="M147" s="198">
        <f>SUM(M141:M141)</f>
        <v>60</v>
      </c>
      <c r="N147" s="189"/>
      <c r="O147" s="198">
        <f>SUM(O141:O141)</f>
        <v>50</v>
      </c>
      <c r="P147" s="189"/>
      <c r="Q147" s="198">
        <f>SUM(Q141:Q141)</f>
        <v>100</v>
      </c>
      <c r="R147" s="189"/>
      <c r="S147" s="198">
        <f>SUM(S141:S141)</f>
        <v>50</v>
      </c>
      <c r="T147" s="189"/>
      <c r="U147" s="198">
        <f>SUM(U141:U141)</f>
        <v>80</v>
      </c>
      <c r="V147" s="189"/>
      <c r="W147" s="198">
        <f>SUM(W141:W141)</f>
        <v>100</v>
      </c>
      <c r="X147" s="189"/>
      <c r="Y147" s="198">
        <f>SUM(Y141:Y141)</f>
        <v>100</v>
      </c>
      <c r="Z147" s="189"/>
      <c r="AA147" s="198">
        <f>SUM(AA141:AA141)</f>
        <v>120</v>
      </c>
      <c r="AB147" s="192"/>
    </row>
    <row r="148" spans="1:28" ht="16.5" thickBot="1" x14ac:dyDescent="0.3">
      <c r="A148" s="805" t="s">
        <v>102</v>
      </c>
      <c r="B148" s="806"/>
      <c r="C148" s="206" t="e">
        <f>#REF!</f>
        <v>#REF!</v>
      </c>
      <c r="D148" s="180"/>
      <c r="E148" s="199" t="e">
        <f>#REF!</f>
        <v>#REF!</v>
      </c>
      <c r="F148" s="190"/>
      <c r="G148" s="199" t="e">
        <f>#REF!</f>
        <v>#REF!</v>
      </c>
      <c r="H148" s="190"/>
      <c r="I148" s="199" t="e">
        <f>#REF!</f>
        <v>#REF!</v>
      </c>
      <c r="J148" s="190"/>
      <c r="K148" s="199" t="e">
        <f>#REF!</f>
        <v>#REF!</v>
      </c>
      <c r="L148" s="190"/>
      <c r="M148" s="199" t="e">
        <f>#REF!</f>
        <v>#REF!</v>
      </c>
      <c r="N148" s="190"/>
      <c r="O148" s="199" t="e">
        <f>#REF!</f>
        <v>#REF!</v>
      </c>
      <c r="P148" s="190"/>
      <c r="Q148" s="199" t="e">
        <f>#REF!</f>
        <v>#REF!</v>
      </c>
      <c r="R148" s="190"/>
      <c r="S148" s="199" t="e">
        <f>#REF!</f>
        <v>#REF!</v>
      </c>
      <c r="T148" s="190"/>
      <c r="U148" s="199" t="e">
        <f>#REF!</f>
        <v>#REF!</v>
      </c>
      <c r="V148" s="190"/>
      <c r="W148" s="199" t="e">
        <f>#REF!</f>
        <v>#REF!</v>
      </c>
      <c r="X148" s="190"/>
      <c r="Y148" s="199" t="e">
        <f>#REF!</f>
        <v>#REF!</v>
      </c>
      <c r="Z148" s="190"/>
      <c r="AA148" s="199" t="e">
        <f>#REF!</f>
        <v>#REF!</v>
      </c>
      <c r="AB148" s="193"/>
    </row>
    <row r="149" spans="1:28" ht="15.75" thickBot="1" x14ac:dyDescent="0.3">
      <c r="D149" s="506"/>
      <c r="E149" s="43"/>
      <c r="F149" s="43"/>
    </row>
    <row r="150" spans="1:28" ht="27" thickBot="1" x14ac:dyDescent="0.45">
      <c r="A150" s="1067" t="s">
        <v>395</v>
      </c>
      <c r="B150" s="1068"/>
      <c r="C150" s="1068"/>
      <c r="D150" s="1068"/>
      <c r="E150" s="1068"/>
      <c r="F150" s="1068"/>
      <c r="G150" s="1068"/>
      <c r="H150" s="1068"/>
      <c r="I150" s="1068"/>
      <c r="J150" s="1068"/>
      <c r="K150" s="1068"/>
      <c r="L150" s="1068"/>
      <c r="M150" s="1068"/>
      <c r="N150" s="1068"/>
      <c r="O150" s="1068"/>
      <c r="P150" s="1068"/>
      <c r="Q150" s="1068"/>
      <c r="R150" s="1068"/>
      <c r="S150" s="1068"/>
      <c r="T150" s="1068"/>
      <c r="U150" s="1068"/>
      <c r="V150" s="1068"/>
      <c r="W150" s="1068"/>
      <c r="X150" s="1068"/>
      <c r="Y150" s="1068"/>
      <c r="Z150" s="1068"/>
      <c r="AA150" s="1068"/>
      <c r="AB150" s="1069"/>
    </row>
    <row r="151" spans="1:28" ht="87.75" customHeight="1" thickBot="1" x14ac:dyDescent="0.3">
      <c r="A151" s="1070" t="s">
        <v>71</v>
      </c>
      <c r="B151" s="865" t="s">
        <v>258</v>
      </c>
      <c r="C151" s="866"/>
      <c r="D151" s="866"/>
      <c r="E151" s="866"/>
      <c r="F151" s="866"/>
      <c r="G151" s="866"/>
      <c r="H151" s="866"/>
      <c r="I151" s="866"/>
      <c r="J151" s="866"/>
      <c r="K151" s="866"/>
      <c r="L151" s="866"/>
      <c r="M151" s="866"/>
      <c r="N151" s="866"/>
      <c r="O151" s="866"/>
      <c r="P151" s="866"/>
      <c r="Q151" s="866"/>
      <c r="R151" s="866"/>
      <c r="S151" s="866"/>
      <c r="T151" s="866"/>
      <c r="U151" s="866"/>
      <c r="V151" s="866"/>
      <c r="W151" s="866"/>
      <c r="X151" s="866"/>
      <c r="Y151" s="866"/>
      <c r="Z151" s="866"/>
      <c r="AA151" s="866"/>
      <c r="AB151" s="867"/>
    </row>
    <row r="152" spans="1:28" ht="21.75" thickBot="1" x14ac:dyDescent="0.3">
      <c r="A152" s="1071"/>
      <c r="B152" s="1072"/>
      <c r="C152" s="1089" t="s">
        <v>64</v>
      </c>
      <c r="D152" s="1090"/>
      <c r="E152" s="1091" t="s">
        <v>42</v>
      </c>
      <c r="F152" s="1092"/>
      <c r="G152" s="1093" t="s">
        <v>43</v>
      </c>
      <c r="H152" s="1092"/>
      <c r="I152" s="1093" t="s">
        <v>44</v>
      </c>
      <c r="J152" s="1092"/>
      <c r="K152" s="1093" t="s">
        <v>45</v>
      </c>
      <c r="L152" s="1092"/>
      <c r="M152" s="1093" t="s">
        <v>46</v>
      </c>
      <c r="N152" s="1092"/>
      <c r="O152" s="1093" t="s">
        <v>47</v>
      </c>
      <c r="P152" s="1092"/>
      <c r="Q152" s="1093" t="s">
        <v>48</v>
      </c>
      <c r="R152" s="1092"/>
      <c r="S152" s="1093" t="s">
        <v>49</v>
      </c>
      <c r="T152" s="1092"/>
      <c r="U152" s="1093" t="s">
        <v>50</v>
      </c>
      <c r="V152" s="1092"/>
      <c r="W152" s="1093" t="s">
        <v>51</v>
      </c>
      <c r="X152" s="1092"/>
      <c r="Y152" s="1093" t="s">
        <v>52</v>
      </c>
      <c r="Z152" s="1092"/>
      <c r="AA152" s="1093" t="s">
        <v>53</v>
      </c>
      <c r="AB152" s="1092"/>
    </row>
    <row r="153" spans="1:28" x14ac:dyDescent="0.25">
      <c r="A153" s="1073" t="s">
        <v>63</v>
      </c>
      <c r="B153" s="1074"/>
      <c r="C153" s="832"/>
      <c r="D153" s="833"/>
      <c r="E153" s="834" t="s">
        <v>67</v>
      </c>
      <c r="F153" s="820"/>
      <c r="G153" s="835" t="s">
        <v>67</v>
      </c>
      <c r="H153" s="820"/>
      <c r="I153" s="835" t="s">
        <v>67</v>
      </c>
      <c r="J153" s="820"/>
      <c r="K153" s="835" t="s">
        <v>67</v>
      </c>
      <c r="L153" s="820"/>
      <c r="M153" s="835" t="s">
        <v>67</v>
      </c>
      <c r="N153" s="820"/>
      <c r="O153" s="835" t="s">
        <v>67</v>
      </c>
      <c r="P153" s="820"/>
      <c r="Q153" s="835" t="s">
        <v>67</v>
      </c>
      <c r="R153" s="820"/>
      <c r="S153" s="835" t="s">
        <v>67</v>
      </c>
      <c r="T153" s="820"/>
      <c r="U153" s="798" t="s">
        <v>67</v>
      </c>
      <c r="V153" s="798"/>
      <c r="W153" s="798" t="s">
        <v>67</v>
      </c>
      <c r="X153" s="798"/>
      <c r="Y153" s="798" t="s">
        <v>67</v>
      </c>
      <c r="Z153" s="798"/>
      <c r="AA153" s="798" t="s">
        <v>67</v>
      </c>
      <c r="AB153" s="824"/>
    </row>
    <row r="154" spans="1:28" x14ac:dyDescent="0.25">
      <c r="A154" s="1075"/>
      <c r="B154" s="1076"/>
      <c r="C154" s="827"/>
      <c r="D154" s="828"/>
      <c r="E154" s="817" t="s">
        <v>67</v>
      </c>
      <c r="F154" s="811"/>
      <c r="G154" s="811" t="s">
        <v>67</v>
      </c>
      <c r="H154" s="811"/>
      <c r="I154" s="811" t="s">
        <v>67</v>
      </c>
      <c r="J154" s="811"/>
      <c r="K154" s="811" t="s">
        <v>67</v>
      </c>
      <c r="L154" s="811"/>
      <c r="M154" s="811" t="s">
        <v>67</v>
      </c>
      <c r="N154" s="811"/>
      <c r="O154" s="811" t="s">
        <v>67</v>
      </c>
      <c r="P154" s="811"/>
      <c r="Q154" s="811" t="s">
        <v>67</v>
      </c>
      <c r="R154" s="811"/>
      <c r="S154" s="811" t="s">
        <v>67</v>
      </c>
      <c r="T154" s="811"/>
      <c r="U154" s="811" t="s">
        <v>67</v>
      </c>
      <c r="V154" s="811"/>
      <c r="W154" s="811" t="s">
        <v>67</v>
      </c>
      <c r="X154" s="811"/>
      <c r="Y154" s="811" t="s">
        <v>67</v>
      </c>
      <c r="Z154" s="811"/>
      <c r="AA154" s="811" t="s">
        <v>67</v>
      </c>
      <c r="AB154" s="815"/>
    </row>
    <row r="155" spans="1:28" x14ac:dyDescent="0.25">
      <c r="A155" s="1075"/>
      <c r="B155" s="1076"/>
      <c r="C155" s="827"/>
      <c r="D155" s="828"/>
      <c r="E155" s="817" t="s">
        <v>67</v>
      </c>
      <c r="F155" s="811"/>
      <c r="G155" s="811" t="s">
        <v>67</v>
      </c>
      <c r="H155" s="811"/>
      <c r="I155" s="811" t="s">
        <v>67</v>
      </c>
      <c r="J155" s="811"/>
      <c r="K155" s="811" t="s">
        <v>67</v>
      </c>
      <c r="L155" s="811"/>
      <c r="M155" s="811" t="s">
        <v>67</v>
      </c>
      <c r="N155" s="811"/>
      <c r="O155" s="811" t="s">
        <v>67</v>
      </c>
      <c r="P155" s="811"/>
      <c r="Q155" s="811" t="s">
        <v>67</v>
      </c>
      <c r="R155" s="811"/>
      <c r="S155" s="811" t="s">
        <v>67</v>
      </c>
      <c r="T155" s="811"/>
      <c r="U155" s="811" t="s">
        <v>67</v>
      </c>
      <c r="V155" s="811"/>
      <c r="W155" s="811" t="s">
        <v>67</v>
      </c>
      <c r="X155" s="811"/>
      <c r="Y155" s="811" t="s">
        <v>67</v>
      </c>
      <c r="Z155" s="811"/>
      <c r="AA155" s="811" t="s">
        <v>67</v>
      </c>
      <c r="AB155" s="815"/>
    </row>
    <row r="156" spans="1:28" x14ac:dyDescent="0.25">
      <c r="A156" s="1075"/>
      <c r="B156" s="1076"/>
      <c r="C156" s="827"/>
      <c r="D156" s="828"/>
      <c r="E156" s="817" t="s">
        <v>67</v>
      </c>
      <c r="F156" s="811"/>
      <c r="G156" s="811" t="s">
        <v>67</v>
      </c>
      <c r="H156" s="811"/>
      <c r="I156" s="811" t="s">
        <v>67</v>
      </c>
      <c r="J156" s="811"/>
      <c r="K156" s="811" t="s">
        <v>67</v>
      </c>
      <c r="L156" s="811"/>
      <c r="M156" s="811" t="s">
        <v>67</v>
      </c>
      <c r="N156" s="811"/>
      <c r="O156" s="811" t="s">
        <v>67</v>
      </c>
      <c r="P156" s="811"/>
      <c r="Q156" s="811" t="s">
        <v>67</v>
      </c>
      <c r="R156" s="811"/>
      <c r="S156" s="811" t="s">
        <v>67</v>
      </c>
      <c r="T156" s="811"/>
      <c r="U156" s="811" t="s">
        <v>67</v>
      </c>
      <c r="V156" s="811"/>
      <c r="W156" s="811" t="s">
        <v>67</v>
      </c>
      <c r="X156" s="811"/>
      <c r="Y156" s="811" t="s">
        <v>67</v>
      </c>
      <c r="Z156" s="811"/>
      <c r="AA156" s="811" t="s">
        <v>67</v>
      </c>
      <c r="AB156" s="815"/>
    </row>
    <row r="157" spans="1:28" x14ac:dyDescent="0.25">
      <c r="A157" s="1075"/>
      <c r="B157" s="1076"/>
      <c r="C157" s="827"/>
      <c r="D157" s="828"/>
      <c r="E157" s="817" t="s">
        <v>67</v>
      </c>
      <c r="F157" s="811"/>
      <c r="G157" s="811" t="s">
        <v>67</v>
      </c>
      <c r="H157" s="811"/>
      <c r="I157" s="811" t="s">
        <v>67</v>
      </c>
      <c r="J157" s="811"/>
      <c r="K157" s="811" t="s">
        <v>67</v>
      </c>
      <c r="L157" s="811"/>
      <c r="M157" s="811" t="s">
        <v>67</v>
      </c>
      <c r="N157" s="811"/>
      <c r="O157" s="811" t="s">
        <v>67</v>
      </c>
      <c r="P157" s="811"/>
      <c r="Q157" s="811" t="s">
        <v>67</v>
      </c>
      <c r="R157" s="811"/>
      <c r="S157" s="811" t="s">
        <v>67</v>
      </c>
      <c r="T157" s="811"/>
      <c r="U157" s="811" t="s">
        <v>67</v>
      </c>
      <c r="V157" s="811"/>
      <c r="W157" s="811" t="s">
        <v>67</v>
      </c>
      <c r="X157" s="811"/>
      <c r="Y157" s="811" t="s">
        <v>67</v>
      </c>
      <c r="Z157" s="811"/>
      <c r="AA157" s="811" t="s">
        <v>67</v>
      </c>
      <c r="AB157" s="815"/>
    </row>
    <row r="158" spans="1:28" x14ac:dyDescent="0.25">
      <c r="A158" s="1075"/>
      <c r="B158" s="1076"/>
      <c r="C158" s="827"/>
      <c r="D158" s="828"/>
      <c r="E158" s="817" t="s">
        <v>67</v>
      </c>
      <c r="F158" s="811"/>
      <c r="G158" s="811" t="s">
        <v>67</v>
      </c>
      <c r="H158" s="811"/>
      <c r="I158" s="811" t="s">
        <v>67</v>
      </c>
      <c r="J158" s="811"/>
      <c r="K158" s="811" t="s">
        <v>67</v>
      </c>
      <c r="L158" s="811"/>
      <c r="M158" s="811" t="s">
        <v>67</v>
      </c>
      <c r="N158" s="811"/>
      <c r="O158" s="811" t="s">
        <v>67</v>
      </c>
      <c r="P158" s="811"/>
      <c r="Q158" s="811" t="s">
        <v>67</v>
      </c>
      <c r="R158" s="811"/>
      <c r="S158" s="811" t="s">
        <v>67</v>
      </c>
      <c r="T158" s="811"/>
      <c r="U158" s="811" t="s">
        <v>67</v>
      </c>
      <c r="V158" s="811"/>
      <c r="W158" s="811" t="s">
        <v>67</v>
      </c>
      <c r="X158" s="811"/>
      <c r="Y158" s="811" t="s">
        <v>67</v>
      </c>
      <c r="Z158" s="811"/>
      <c r="AA158" s="811" t="s">
        <v>67</v>
      </c>
      <c r="AB158" s="815"/>
    </row>
    <row r="159" spans="1:28" x14ac:dyDescent="0.25">
      <c r="A159" s="1075"/>
      <c r="B159" s="1076"/>
      <c r="C159" s="827"/>
      <c r="D159" s="828"/>
      <c r="E159" s="817" t="s">
        <v>67</v>
      </c>
      <c r="F159" s="811"/>
      <c r="G159" s="811" t="s">
        <v>67</v>
      </c>
      <c r="H159" s="811"/>
      <c r="I159" s="811" t="s">
        <v>67</v>
      </c>
      <c r="J159" s="811"/>
      <c r="K159" s="811" t="s">
        <v>67</v>
      </c>
      <c r="L159" s="811"/>
      <c r="M159" s="811" t="s">
        <v>67</v>
      </c>
      <c r="N159" s="811"/>
      <c r="O159" s="811" t="s">
        <v>67</v>
      </c>
      <c r="P159" s="811"/>
      <c r="Q159" s="811" t="s">
        <v>67</v>
      </c>
      <c r="R159" s="811"/>
      <c r="S159" s="811" t="s">
        <v>67</v>
      </c>
      <c r="T159" s="811"/>
      <c r="U159" s="811" t="s">
        <v>67</v>
      </c>
      <c r="V159" s="811"/>
      <c r="W159" s="811" t="s">
        <v>67</v>
      </c>
      <c r="X159" s="811"/>
      <c r="Y159" s="811" t="s">
        <v>67</v>
      </c>
      <c r="Z159" s="811"/>
      <c r="AA159" s="811" t="s">
        <v>67</v>
      </c>
      <c r="AB159" s="815"/>
    </row>
    <row r="160" spans="1:28" x14ac:dyDescent="0.25">
      <c r="A160" s="1075"/>
      <c r="B160" s="1076"/>
      <c r="C160" s="827"/>
      <c r="D160" s="828"/>
      <c r="E160" s="817" t="s">
        <v>67</v>
      </c>
      <c r="F160" s="811"/>
      <c r="G160" s="811" t="s">
        <v>67</v>
      </c>
      <c r="H160" s="811"/>
      <c r="I160" s="811" t="s">
        <v>67</v>
      </c>
      <c r="J160" s="811"/>
      <c r="K160" s="811" t="s">
        <v>67</v>
      </c>
      <c r="L160" s="811"/>
      <c r="M160" s="811" t="s">
        <v>67</v>
      </c>
      <c r="N160" s="811"/>
      <c r="O160" s="811" t="s">
        <v>67</v>
      </c>
      <c r="P160" s="811"/>
      <c r="Q160" s="811" t="s">
        <v>67</v>
      </c>
      <c r="R160" s="811"/>
      <c r="S160" s="811" t="s">
        <v>67</v>
      </c>
      <c r="T160" s="811"/>
      <c r="U160" s="811" t="s">
        <v>67</v>
      </c>
      <c r="V160" s="811"/>
      <c r="W160" s="811" t="s">
        <v>67</v>
      </c>
      <c r="X160" s="811"/>
      <c r="Y160" s="811" t="s">
        <v>67</v>
      </c>
      <c r="Z160" s="811"/>
      <c r="AA160" s="811" t="s">
        <v>67</v>
      </c>
      <c r="AB160" s="815"/>
    </row>
    <row r="161" spans="1:28" x14ac:dyDescent="0.25">
      <c r="A161" s="1075"/>
      <c r="B161" s="1076"/>
      <c r="C161" s="827"/>
      <c r="D161" s="828"/>
      <c r="E161" s="817" t="s">
        <v>67</v>
      </c>
      <c r="F161" s="811"/>
      <c r="G161" s="811" t="s">
        <v>67</v>
      </c>
      <c r="H161" s="811"/>
      <c r="I161" s="811" t="s">
        <v>67</v>
      </c>
      <c r="J161" s="811"/>
      <c r="K161" s="811" t="s">
        <v>67</v>
      </c>
      <c r="L161" s="811"/>
      <c r="M161" s="811" t="s">
        <v>67</v>
      </c>
      <c r="N161" s="811"/>
      <c r="O161" s="811" t="s">
        <v>67</v>
      </c>
      <c r="P161" s="811"/>
      <c r="Q161" s="811" t="s">
        <v>67</v>
      </c>
      <c r="R161" s="811"/>
      <c r="S161" s="811" t="s">
        <v>67</v>
      </c>
      <c r="T161" s="811"/>
      <c r="U161" s="811" t="s">
        <v>67</v>
      </c>
      <c r="V161" s="811"/>
      <c r="W161" s="811" t="s">
        <v>67</v>
      </c>
      <c r="X161" s="811"/>
      <c r="Y161" s="811" t="s">
        <v>67</v>
      </c>
      <c r="Z161" s="811"/>
      <c r="AA161" s="811" t="s">
        <v>67</v>
      </c>
      <c r="AB161" s="815"/>
    </row>
    <row r="162" spans="1:28" x14ac:dyDescent="0.25">
      <c r="A162" s="1075"/>
      <c r="B162" s="1076"/>
      <c r="C162" s="827"/>
      <c r="D162" s="828"/>
      <c r="E162" s="817" t="s">
        <v>67</v>
      </c>
      <c r="F162" s="811"/>
      <c r="G162" s="811" t="s">
        <v>67</v>
      </c>
      <c r="H162" s="811"/>
      <c r="I162" s="811" t="s">
        <v>67</v>
      </c>
      <c r="J162" s="811"/>
      <c r="K162" s="811" t="s">
        <v>67</v>
      </c>
      <c r="L162" s="811"/>
      <c r="M162" s="811" t="s">
        <v>67</v>
      </c>
      <c r="N162" s="811"/>
      <c r="O162" s="811" t="s">
        <v>67</v>
      </c>
      <c r="P162" s="811"/>
      <c r="Q162" s="811" t="s">
        <v>67</v>
      </c>
      <c r="R162" s="811"/>
      <c r="S162" s="811" t="s">
        <v>67</v>
      </c>
      <c r="T162" s="811"/>
      <c r="U162" s="811" t="s">
        <v>67</v>
      </c>
      <c r="V162" s="811"/>
      <c r="W162" s="811" t="s">
        <v>67</v>
      </c>
      <c r="X162" s="811"/>
      <c r="Y162" s="811" t="s">
        <v>67</v>
      </c>
      <c r="Z162" s="811"/>
      <c r="AA162" s="811" t="s">
        <v>67</v>
      </c>
      <c r="AB162" s="815"/>
    </row>
    <row r="163" spans="1:28" x14ac:dyDescent="0.25">
      <c r="A163" s="1075"/>
      <c r="B163" s="1076"/>
      <c r="C163" s="827"/>
      <c r="D163" s="828"/>
      <c r="E163" s="817" t="s">
        <v>67</v>
      </c>
      <c r="F163" s="811"/>
      <c r="G163" s="811" t="s">
        <v>67</v>
      </c>
      <c r="H163" s="811"/>
      <c r="I163" s="811" t="s">
        <v>67</v>
      </c>
      <c r="J163" s="811"/>
      <c r="K163" s="811" t="s">
        <v>67</v>
      </c>
      <c r="L163" s="811"/>
      <c r="M163" s="811" t="s">
        <v>67</v>
      </c>
      <c r="N163" s="811"/>
      <c r="O163" s="811" t="s">
        <v>67</v>
      </c>
      <c r="P163" s="811"/>
      <c r="Q163" s="811" t="s">
        <v>67</v>
      </c>
      <c r="R163" s="811"/>
      <c r="S163" s="811" t="s">
        <v>67</v>
      </c>
      <c r="T163" s="811"/>
      <c r="U163" s="811" t="s">
        <v>67</v>
      </c>
      <c r="V163" s="811"/>
      <c r="W163" s="811" t="s">
        <v>67</v>
      </c>
      <c r="X163" s="811"/>
      <c r="Y163" s="811" t="s">
        <v>67</v>
      </c>
      <c r="Z163" s="811"/>
      <c r="AA163" s="811" t="s">
        <v>67</v>
      </c>
      <c r="AB163" s="815"/>
    </row>
    <row r="164" spans="1:28" x14ac:dyDescent="0.25">
      <c r="A164" s="1075"/>
      <c r="B164" s="1076"/>
      <c r="C164" s="827"/>
      <c r="D164" s="828"/>
      <c r="E164" s="817" t="s">
        <v>67</v>
      </c>
      <c r="F164" s="811"/>
      <c r="G164" s="811" t="s">
        <v>67</v>
      </c>
      <c r="H164" s="811"/>
      <c r="I164" s="811" t="s">
        <v>67</v>
      </c>
      <c r="J164" s="811"/>
      <c r="K164" s="811" t="s">
        <v>67</v>
      </c>
      <c r="L164" s="811"/>
      <c r="M164" s="811" t="s">
        <v>67</v>
      </c>
      <c r="N164" s="811"/>
      <c r="O164" s="811" t="s">
        <v>67</v>
      </c>
      <c r="P164" s="811"/>
      <c r="Q164" s="811" t="s">
        <v>67</v>
      </c>
      <c r="R164" s="811"/>
      <c r="S164" s="811" t="s">
        <v>67</v>
      </c>
      <c r="T164" s="811"/>
      <c r="U164" s="811" t="s">
        <v>67</v>
      </c>
      <c r="V164" s="811"/>
      <c r="W164" s="811" t="s">
        <v>67</v>
      </c>
      <c r="X164" s="811"/>
      <c r="Y164" s="811" t="s">
        <v>67</v>
      </c>
      <c r="Z164" s="811"/>
      <c r="AA164" s="811" t="s">
        <v>67</v>
      </c>
      <c r="AB164" s="815"/>
    </row>
    <row r="165" spans="1:28" x14ac:dyDescent="0.25">
      <c r="A165" s="1075"/>
      <c r="B165" s="1076"/>
      <c r="C165" s="813"/>
      <c r="D165" s="814"/>
      <c r="E165" s="817" t="s">
        <v>67</v>
      </c>
      <c r="F165" s="811"/>
      <c r="G165" s="812" t="s">
        <v>85</v>
      </c>
      <c r="H165" s="812"/>
      <c r="I165" s="811" t="s">
        <v>67</v>
      </c>
      <c r="J165" s="811"/>
      <c r="K165" s="811" t="s">
        <v>67</v>
      </c>
      <c r="L165" s="811"/>
      <c r="M165" s="811" t="s">
        <v>67</v>
      </c>
      <c r="N165" s="811"/>
      <c r="O165" s="811" t="s">
        <v>67</v>
      </c>
      <c r="P165" s="811"/>
      <c r="Q165" s="811" t="s">
        <v>67</v>
      </c>
      <c r="R165" s="811"/>
      <c r="S165" s="811" t="s">
        <v>67</v>
      </c>
      <c r="T165" s="811"/>
      <c r="U165" s="811" t="s">
        <v>67</v>
      </c>
      <c r="V165" s="811"/>
      <c r="W165" s="811" t="s">
        <v>67</v>
      </c>
      <c r="X165" s="811"/>
      <c r="Y165" s="811" t="s">
        <v>67</v>
      </c>
      <c r="Z165" s="811"/>
      <c r="AA165" s="811" t="s">
        <v>67</v>
      </c>
      <c r="AB165" s="815"/>
    </row>
    <row r="166" spans="1:28" x14ac:dyDescent="0.25">
      <c r="A166" s="1075"/>
      <c r="B166" s="1076"/>
      <c r="C166" s="827"/>
      <c r="D166" s="828"/>
      <c r="E166" s="817" t="s">
        <v>67</v>
      </c>
      <c r="F166" s="811"/>
      <c r="G166" s="811" t="s">
        <v>67</v>
      </c>
      <c r="H166" s="811"/>
      <c r="I166" s="811" t="s">
        <v>67</v>
      </c>
      <c r="J166" s="811"/>
      <c r="K166" s="811" t="s">
        <v>67</v>
      </c>
      <c r="L166" s="811"/>
      <c r="M166" s="811" t="s">
        <v>67</v>
      </c>
      <c r="N166" s="811"/>
      <c r="O166" s="811" t="s">
        <v>67</v>
      </c>
      <c r="P166" s="811"/>
      <c r="Q166" s="811" t="s">
        <v>67</v>
      </c>
      <c r="R166" s="811"/>
      <c r="S166" s="811" t="s">
        <v>67</v>
      </c>
      <c r="T166" s="811"/>
      <c r="U166" s="811" t="s">
        <v>67</v>
      </c>
      <c r="V166" s="811"/>
      <c r="W166" s="811" t="s">
        <v>67</v>
      </c>
      <c r="X166" s="811"/>
      <c r="Y166" s="811" t="s">
        <v>67</v>
      </c>
      <c r="Z166" s="811"/>
      <c r="AA166" s="811" t="s">
        <v>67</v>
      </c>
      <c r="AB166" s="815"/>
    </row>
    <row r="167" spans="1:28" x14ac:dyDescent="0.25">
      <c r="A167" s="1075"/>
      <c r="B167" s="1076"/>
      <c r="C167" s="827"/>
      <c r="D167" s="828"/>
      <c r="E167" s="817" t="s">
        <v>67</v>
      </c>
      <c r="F167" s="811"/>
      <c r="G167" s="811" t="s">
        <v>67</v>
      </c>
      <c r="H167" s="811"/>
      <c r="I167" s="811" t="s">
        <v>67</v>
      </c>
      <c r="J167" s="811"/>
      <c r="K167" s="811" t="s">
        <v>67</v>
      </c>
      <c r="L167" s="811"/>
      <c r="M167" s="811" t="s">
        <v>67</v>
      </c>
      <c r="N167" s="811"/>
      <c r="O167" s="811" t="s">
        <v>67</v>
      </c>
      <c r="P167" s="811"/>
      <c r="Q167" s="811" t="s">
        <v>67</v>
      </c>
      <c r="R167" s="811"/>
      <c r="S167" s="811" t="s">
        <v>67</v>
      </c>
      <c r="T167" s="811"/>
      <c r="U167" s="811" t="s">
        <v>67</v>
      </c>
      <c r="V167" s="811"/>
      <c r="W167" s="811" t="s">
        <v>67</v>
      </c>
      <c r="X167" s="811"/>
      <c r="Y167" s="811" t="s">
        <v>67</v>
      </c>
      <c r="Z167" s="811"/>
      <c r="AA167" s="811" t="s">
        <v>67</v>
      </c>
      <c r="AB167" s="815"/>
    </row>
    <row r="168" spans="1:28" x14ac:dyDescent="0.25">
      <c r="A168" s="1075"/>
      <c r="B168" s="1076"/>
      <c r="C168" s="813"/>
      <c r="D168" s="814"/>
      <c r="E168" s="812" t="s">
        <v>88</v>
      </c>
      <c r="F168" s="812"/>
      <c r="G168" s="811" t="s">
        <v>67</v>
      </c>
      <c r="H168" s="811"/>
      <c r="I168" s="811" t="s">
        <v>67</v>
      </c>
      <c r="J168" s="811"/>
      <c r="K168" s="811" t="s">
        <v>67</v>
      </c>
      <c r="L168" s="811"/>
      <c r="M168" s="811" t="s">
        <v>67</v>
      </c>
      <c r="N168" s="811"/>
      <c r="O168" s="811" t="s">
        <v>67</v>
      </c>
      <c r="P168" s="811"/>
      <c r="Q168" s="811" t="s">
        <v>67</v>
      </c>
      <c r="R168" s="811"/>
      <c r="S168" s="811" t="s">
        <v>67</v>
      </c>
      <c r="T168" s="811"/>
      <c r="U168" s="811" t="s">
        <v>67</v>
      </c>
      <c r="V168" s="811"/>
      <c r="W168" s="811" t="s">
        <v>67</v>
      </c>
      <c r="X168" s="811"/>
      <c r="Y168" s="811" t="s">
        <v>67</v>
      </c>
      <c r="Z168" s="811"/>
      <c r="AA168" s="811" t="s">
        <v>67</v>
      </c>
      <c r="AB168" s="815"/>
    </row>
    <row r="169" spans="1:28" x14ac:dyDescent="0.25">
      <c r="A169" s="1075"/>
      <c r="B169" s="1076"/>
      <c r="C169" s="813"/>
      <c r="D169" s="814"/>
      <c r="E169" s="817" t="s">
        <v>67</v>
      </c>
      <c r="F169" s="811"/>
      <c r="G169" s="811" t="s">
        <v>67</v>
      </c>
      <c r="H169" s="811"/>
      <c r="I169" s="811" t="s">
        <v>67</v>
      </c>
      <c r="J169" s="811"/>
      <c r="K169" s="811" t="s">
        <v>67</v>
      </c>
      <c r="L169" s="811"/>
      <c r="M169" s="811" t="s">
        <v>67</v>
      </c>
      <c r="N169" s="811"/>
      <c r="O169" s="811" t="s">
        <v>67</v>
      </c>
      <c r="P169" s="811"/>
      <c r="Q169" s="811" t="s">
        <v>67</v>
      </c>
      <c r="R169" s="811"/>
      <c r="S169" s="811" t="s">
        <v>67</v>
      </c>
      <c r="T169" s="811"/>
      <c r="U169" s="812" t="s">
        <v>89</v>
      </c>
      <c r="V169" s="812"/>
      <c r="W169" s="811" t="s">
        <v>67</v>
      </c>
      <c r="X169" s="811"/>
      <c r="Y169" s="811" t="s">
        <v>67</v>
      </c>
      <c r="Z169" s="811"/>
      <c r="AA169" s="811" t="s">
        <v>67</v>
      </c>
      <c r="AB169" s="815"/>
    </row>
    <row r="170" spans="1:28" ht="15.75" thickBot="1" x14ac:dyDescent="0.3">
      <c r="A170" s="1077"/>
      <c r="B170" s="1078"/>
      <c r="C170" s="813"/>
      <c r="D170" s="814"/>
      <c r="E170" s="823" t="s">
        <v>67</v>
      </c>
      <c r="F170" s="797"/>
      <c r="G170" s="797" t="s">
        <v>67</v>
      </c>
      <c r="H170" s="797"/>
      <c r="I170" s="797" t="s">
        <v>67</v>
      </c>
      <c r="J170" s="797"/>
      <c r="K170" s="797" t="s">
        <v>67</v>
      </c>
      <c r="L170" s="797"/>
      <c r="M170" s="797" t="s">
        <v>67</v>
      </c>
      <c r="N170" s="797"/>
      <c r="O170" s="797" t="s">
        <v>67</v>
      </c>
      <c r="P170" s="797"/>
      <c r="Q170" s="797" t="s">
        <v>67</v>
      </c>
      <c r="R170" s="797"/>
      <c r="S170" s="797" t="s">
        <v>67</v>
      </c>
      <c r="T170" s="797"/>
      <c r="U170" s="812" t="s">
        <v>282</v>
      </c>
      <c r="V170" s="812"/>
      <c r="W170" s="797"/>
      <c r="X170" s="797"/>
      <c r="Y170" s="797" t="s">
        <v>67</v>
      </c>
      <c r="Z170" s="797"/>
      <c r="AA170" s="797" t="s">
        <v>67</v>
      </c>
      <c r="AB170" s="821"/>
    </row>
    <row r="171" spans="1:28" x14ac:dyDescent="0.25">
      <c r="A171" s="1079" t="s">
        <v>68</v>
      </c>
      <c r="B171" s="1080"/>
      <c r="C171" s="830"/>
      <c r="D171" s="831"/>
      <c r="E171" s="820" t="s">
        <v>67</v>
      </c>
      <c r="F171" s="798"/>
      <c r="G171" s="812" t="s">
        <v>87</v>
      </c>
      <c r="H171" s="812"/>
      <c r="I171" s="798" t="s">
        <v>67</v>
      </c>
      <c r="J171" s="798"/>
      <c r="K171" s="798" t="s">
        <v>67</v>
      </c>
      <c r="L171" s="798"/>
      <c r="M171" s="798" t="s">
        <v>67</v>
      </c>
      <c r="N171" s="798"/>
      <c r="O171" s="798" t="s">
        <v>67</v>
      </c>
      <c r="P171" s="798"/>
      <c r="Q171" s="798" t="s">
        <v>67</v>
      </c>
      <c r="R171" s="798"/>
      <c r="S171" s="798" t="s">
        <v>67</v>
      </c>
      <c r="T171" s="798"/>
      <c r="U171" s="812" t="s">
        <v>90</v>
      </c>
      <c r="V171" s="812"/>
      <c r="W171" s="798" t="s">
        <v>67</v>
      </c>
      <c r="X171" s="798"/>
      <c r="Y171" s="798" t="s">
        <v>67</v>
      </c>
      <c r="Z171" s="798"/>
      <c r="AA171" s="798" t="s">
        <v>67</v>
      </c>
      <c r="AB171" s="824"/>
    </row>
    <row r="172" spans="1:28" x14ac:dyDescent="0.25">
      <c r="A172" s="1081"/>
      <c r="B172" s="1082"/>
      <c r="C172" s="813"/>
      <c r="D172" s="814"/>
      <c r="E172" s="812" t="s">
        <v>91</v>
      </c>
      <c r="F172" s="812"/>
      <c r="G172" s="811" t="s">
        <v>67</v>
      </c>
      <c r="H172" s="811"/>
      <c r="I172" s="811" t="s">
        <v>67</v>
      </c>
      <c r="J172" s="811"/>
      <c r="K172" s="811" t="s">
        <v>67</v>
      </c>
      <c r="L172" s="811"/>
      <c r="M172" s="811" t="s">
        <v>67</v>
      </c>
      <c r="N172" s="811"/>
      <c r="O172" s="811" t="s">
        <v>67</v>
      </c>
      <c r="P172" s="811"/>
      <c r="Q172" s="811" t="s">
        <v>67</v>
      </c>
      <c r="R172" s="811"/>
      <c r="S172" s="811" t="s">
        <v>67</v>
      </c>
      <c r="T172" s="811"/>
      <c r="U172" s="811" t="s">
        <v>67</v>
      </c>
      <c r="V172" s="811"/>
      <c r="W172" s="811" t="s">
        <v>67</v>
      </c>
      <c r="X172" s="811"/>
      <c r="Y172" s="811" t="s">
        <v>67</v>
      </c>
      <c r="Z172" s="811"/>
      <c r="AA172" s="811" t="s">
        <v>67</v>
      </c>
      <c r="AB172" s="815"/>
    </row>
    <row r="173" spans="1:28" x14ac:dyDescent="0.25">
      <c r="A173" s="1081"/>
      <c r="B173" s="1082"/>
      <c r="C173" s="813"/>
      <c r="D173" s="814"/>
      <c r="E173" s="817" t="s">
        <v>67</v>
      </c>
      <c r="F173" s="811"/>
      <c r="G173" s="811" t="s">
        <v>67</v>
      </c>
      <c r="H173" s="811"/>
      <c r="I173" s="811" t="s">
        <v>67</v>
      </c>
      <c r="J173" s="811"/>
      <c r="K173" s="811" t="s">
        <v>67</v>
      </c>
      <c r="L173" s="811"/>
      <c r="M173" s="811" t="s">
        <v>67</v>
      </c>
      <c r="N173" s="811"/>
      <c r="O173" s="811" t="s">
        <v>67</v>
      </c>
      <c r="P173" s="811"/>
      <c r="Q173" s="811" t="s">
        <v>67</v>
      </c>
      <c r="R173" s="811"/>
      <c r="S173" s="811" t="s">
        <v>67</v>
      </c>
      <c r="T173" s="811"/>
      <c r="U173" s="812" t="s">
        <v>92</v>
      </c>
      <c r="V173" s="812"/>
      <c r="W173" s="811" t="s">
        <v>67</v>
      </c>
      <c r="X173" s="811"/>
      <c r="Y173" s="811" t="s">
        <v>67</v>
      </c>
      <c r="Z173" s="811"/>
      <c r="AA173" s="811" t="s">
        <v>67</v>
      </c>
      <c r="AB173" s="815"/>
    </row>
    <row r="174" spans="1:28" x14ac:dyDescent="0.25">
      <c r="A174" s="1081"/>
      <c r="B174" s="1082"/>
      <c r="C174" s="813"/>
      <c r="D174" s="814"/>
      <c r="E174" s="817" t="s">
        <v>67</v>
      </c>
      <c r="F174" s="811"/>
      <c r="G174" s="812" t="s">
        <v>86</v>
      </c>
      <c r="H174" s="812"/>
      <c r="I174" s="811" t="s">
        <v>67</v>
      </c>
      <c r="J174" s="811"/>
      <c r="K174" s="811" t="s">
        <v>67</v>
      </c>
      <c r="L174" s="811"/>
      <c r="M174" s="811" t="s">
        <v>67</v>
      </c>
      <c r="N174" s="811"/>
      <c r="O174" s="811" t="s">
        <v>67</v>
      </c>
      <c r="P174" s="811"/>
      <c r="Q174" s="811" t="s">
        <v>67</v>
      </c>
      <c r="R174" s="811"/>
      <c r="S174" s="811" t="s">
        <v>67</v>
      </c>
      <c r="T174" s="811"/>
      <c r="U174" s="811" t="s">
        <v>67</v>
      </c>
      <c r="V174" s="811"/>
      <c r="W174" s="811" t="s">
        <v>67</v>
      </c>
      <c r="X174" s="811"/>
      <c r="Y174" s="811" t="s">
        <v>67</v>
      </c>
      <c r="Z174" s="811"/>
      <c r="AA174" s="811" t="s">
        <v>67</v>
      </c>
      <c r="AB174" s="815"/>
    </row>
    <row r="175" spans="1:28" x14ac:dyDescent="0.25">
      <c r="A175" s="1081"/>
      <c r="B175" s="1082"/>
      <c r="C175" s="827"/>
      <c r="D175" s="828"/>
      <c r="E175" s="817" t="s">
        <v>67</v>
      </c>
      <c r="F175" s="811"/>
      <c r="G175" s="811" t="s">
        <v>67</v>
      </c>
      <c r="H175" s="811"/>
      <c r="I175" s="811" t="s">
        <v>67</v>
      </c>
      <c r="J175" s="811"/>
      <c r="K175" s="811" t="s">
        <v>67</v>
      </c>
      <c r="L175" s="811"/>
      <c r="M175" s="811" t="s">
        <v>67</v>
      </c>
      <c r="N175" s="811"/>
      <c r="O175" s="811" t="s">
        <v>67</v>
      </c>
      <c r="P175" s="811"/>
      <c r="Q175" s="811" t="s">
        <v>67</v>
      </c>
      <c r="R175" s="811"/>
      <c r="S175" s="811" t="s">
        <v>67</v>
      </c>
      <c r="T175" s="811"/>
      <c r="U175" s="811" t="s">
        <v>67</v>
      </c>
      <c r="V175" s="811"/>
      <c r="W175" s="811" t="s">
        <v>67</v>
      </c>
      <c r="X175" s="811"/>
      <c r="Y175" s="811" t="s">
        <v>67</v>
      </c>
      <c r="Z175" s="811"/>
      <c r="AA175" s="811" t="s">
        <v>67</v>
      </c>
      <c r="AB175" s="815"/>
    </row>
    <row r="176" spans="1:28" x14ac:dyDescent="0.25">
      <c r="A176" s="1081"/>
      <c r="B176" s="1082"/>
      <c r="C176" s="827"/>
      <c r="D176" s="828"/>
      <c r="E176" s="817" t="s">
        <v>67</v>
      </c>
      <c r="F176" s="811"/>
      <c r="G176" s="811" t="s">
        <v>67</v>
      </c>
      <c r="H176" s="811"/>
      <c r="I176" s="811" t="s">
        <v>67</v>
      </c>
      <c r="J176" s="811"/>
      <c r="K176" s="811" t="s">
        <v>67</v>
      </c>
      <c r="L176" s="811"/>
      <c r="M176" s="811" t="s">
        <v>67</v>
      </c>
      <c r="N176" s="811"/>
      <c r="O176" s="811" t="s">
        <v>67</v>
      </c>
      <c r="P176" s="811"/>
      <c r="Q176" s="811" t="s">
        <v>67</v>
      </c>
      <c r="R176" s="811"/>
      <c r="S176" s="811" t="s">
        <v>67</v>
      </c>
      <c r="T176" s="811"/>
      <c r="U176" s="811" t="s">
        <v>67</v>
      </c>
      <c r="V176" s="811"/>
      <c r="W176" s="811" t="s">
        <v>67</v>
      </c>
      <c r="X176" s="811"/>
      <c r="Y176" s="811" t="s">
        <v>67</v>
      </c>
      <c r="Z176" s="811"/>
      <c r="AA176" s="811" t="s">
        <v>67</v>
      </c>
      <c r="AB176" s="815"/>
    </row>
    <row r="177" spans="1:28" x14ac:dyDescent="0.25">
      <c r="A177" s="1081"/>
      <c r="B177" s="1082"/>
      <c r="C177" s="813"/>
      <c r="D177" s="814"/>
      <c r="E177" s="812" t="s">
        <v>281</v>
      </c>
      <c r="F177" s="812"/>
      <c r="G177" s="812" t="s">
        <v>82</v>
      </c>
      <c r="H177" s="812"/>
      <c r="I177" s="811" t="s">
        <v>67</v>
      </c>
      <c r="J177" s="811"/>
      <c r="K177" s="811" t="s">
        <v>67</v>
      </c>
      <c r="L177" s="811"/>
      <c r="M177" s="811" t="s">
        <v>67</v>
      </c>
      <c r="N177" s="811"/>
      <c r="O177" s="811" t="s">
        <v>67</v>
      </c>
      <c r="P177" s="811"/>
      <c r="Q177" s="811" t="s">
        <v>67</v>
      </c>
      <c r="R177" s="811"/>
      <c r="S177" s="811" t="s">
        <v>67</v>
      </c>
      <c r="T177" s="811"/>
      <c r="U177" s="812" t="s">
        <v>281</v>
      </c>
      <c r="V177" s="812"/>
      <c r="W177" s="811" t="s">
        <v>67</v>
      </c>
      <c r="X177" s="811"/>
      <c r="Y177" s="811" t="s">
        <v>67</v>
      </c>
      <c r="Z177" s="811"/>
      <c r="AA177" s="811" t="s">
        <v>67</v>
      </c>
      <c r="AB177" s="815"/>
    </row>
    <row r="178" spans="1:28" x14ac:dyDescent="0.25">
      <c r="A178" s="1081"/>
      <c r="B178" s="1082"/>
      <c r="C178" s="813"/>
      <c r="D178" s="814"/>
      <c r="E178" s="812" t="s">
        <v>280</v>
      </c>
      <c r="F178" s="812"/>
      <c r="G178" s="812" t="s">
        <v>83</v>
      </c>
      <c r="H178" s="812"/>
      <c r="I178" s="811" t="s">
        <v>67</v>
      </c>
      <c r="J178" s="811"/>
      <c r="K178" s="811" t="s">
        <v>67</v>
      </c>
      <c r="L178" s="811"/>
      <c r="M178" s="811" t="s">
        <v>67</v>
      </c>
      <c r="N178" s="811"/>
      <c r="O178" s="811" t="s">
        <v>67</v>
      </c>
      <c r="P178" s="811"/>
      <c r="Q178" s="811" t="s">
        <v>67</v>
      </c>
      <c r="R178" s="811"/>
      <c r="S178" s="811" t="s">
        <v>67</v>
      </c>
      <c r="T178" s="811"/>
      <c r="U178" s="812" t="s">
        <v>280</v>
      </c>
      <c r="V178" s="812"/>
      <c r="W178" s="811" t="s">
        <v>67</v>
      </c>
      <c r="X178" s="811"/>
      <c r="Y178" s="811" t="s">
        <v>67</v>
      </c>
      <c r="Z178" s="811"/>
      <c r="AA178" s="811" t="s">
        <v>67</v>
      </c>
      <c r="AB178" s="815"/>
    </row>
    <row r="179" spans="1:28" x14ac:dyDescent="0.25">
      <c r="A179" s="1081"/>
      <c r="B179" s="1082"/>
      <c r="C179" s="827"/>
      <c r="D179" s="828"/>
      <c r="E179" s="817" t="s">
        <v>67</v>
      </c>
      <c r="F179" s="811"/>
      <c r="G179" s="811" t="s">
        <v>67</v>
      </c>
      <c r="H179" s="811"/>
      <c r="I179" s="811" t="s">
        <v>67</v>
      </c>
      <c r="J179" s="811"/>
      <c r="K179" s="811" t="s">
        <v>67</v>
      </c>
      <c r="L179" s="811"/>
      <c r="M179" s="811" t="s">
        <v>67</v>
      </c>
      <c r="N179" s="811"/>
      <c r="O179" s="811" t="s">
        <v>67</v>
      </c>
      <c r="P179" s="811"/>
      <c r="Q179" s="811" t="s">
        <v>67</v>
      </c>
      <c r="R179" s="811"/>
      <c r="S179" s="811" t="s">
        <v>67</v>
      </c>
      <c r="T179" s="811"/>
      <c r="U179" s="811" t="s">
        <v>67</v>
      </c>
      <c r="V179" s="811"/>
      <c r="W179" s="811" t="s">
        <v>67</v>
      </c>
      <c r="X179" s="811"/>
      <c r="Y179" s="811" t="s">
        <v>67</v>
      </c>
      <c r="Z179" s="811"/>
      <c r="AA179" s="811" t="s">
        <v>67</v>
      </c>
      <c r="AB179" s="815"/>
    </row>
    <row r="180" spans="1:28" x14ac:dyDescent="0.25">
      <c r="A180" s="1081"/>
      <c r="B180" s="1082"/>
      <c r="C180" s="827"/>
      <c r="D180" s="828"/>
      <c r="E180" s="817" t="s">
        <v>67</v>
      </c>
      <c r="F180" s="811"/>
      <c r="G180" s="811" t="s">
        <v>67</v>
      </c>
      <c r="H180" s="811"/>
      <c r="I180" s="811" t="s">
        <v>67</v>
      </c>
      <c r="J180" s="811"/>
      <c r="K180" s="811" t="s">
        <v>67</v>
      </c>
      <c r="L180" s="811"/>
      <c r="M180" s="811" t="s">
        <v>67</v>
      </c>
      <c r="N180" s="811"/>
      <c r="O180" s="811" t="s">
        <v>67</v>
      </c>
      <c r="P180" s="811"/>
      <c r="Q180" s="811" t="s">
        <v>67</v>
      </c>
      <c r="R180" s="811"/>
      <c r="S180" s="811" t="s">
        <v>67</v>
      </c>
      <c r="T180" s="811"/>
      <c r="U180" s="829" t="s">
        <v>67</v>
      </c>
      <c r="V180" s="817"/>
      <c r="W180" s="811" t="s">
        <v>67</v>
      </c>
      <c r="X180" s="811"/>
      <c r="Y180" s="811" t="s">
        <v>67</v>
      </c>
      <c r="Z180" s="811"/>
      <c r="AA180" s="811" t="s">
        <v>67</v>
      </c>
      <c r="AB180" s="815"/>
    </row>
    <row r="181" spans="1:28" ht="15.75" thickBot="1" x14ac:dyDescent="0.3">
      <c r="A181" s="1081"/>
      <c r="B181" s="1082"/>
      <c r="C181" s="813"/>
      <c r="D181" s="814"/>
      <c r="E181" s="817" t="s">
        <v>67</v>
      </c>
      <c r="F181" s="811"/>
      <c r="G181" s="811" t="s">
        <v>67</v>
      </c>
      <c r="H181" s="811"/>
      <c r="I181" s="811" t="s">
        <v>67</v>
      </c>
      <c r="J181" s="811"/>
      <c r="K181" s="811" t="s">
        <v>67</v>
      </c>
      <c r="L181" s="811"/>
      <c r="M181" s="811" t="s">
        <v>67</v>
      </c>
      <c r="N181" s="811"/>
      <c r="O181" s="811" t="s">
        <v>67</v>
      </c>
      <c r="P181" s="811"/>
      <c r="Q181" s="811" t="s">
        <v>67</v>
      </c>
      <c r="R181" s="811"/>
      <c r="S181" s="811" t="s">
        <v>67</v>
      </c>
      <c r="T181" s="811"/>
      <c r="U181" s="812" t="s">
        <v>257</v>
      </c>
      <c r="V181" s="816"/>
      <c r="W181" s="811" t="s">
        <v>67</v>
      </c>
      <c r="X181" s="811"/>
      <c r="Y181" s="811" t="s">
        <v>67</v>
      </c>
      <c r="Z181" s="811"/>
      <c r="AA181" s="811" t="s">
        <v>67</v>
      </c>
      <c r="AB181" s="815"/>
    </row>
    <row r="182" spans="1:28" x14ac:dyDescent="0.25">
      <c r="A182" s="1079" t="s">
        <v>69</v>
      </c>
      <c r="B182" s="1080"/>
      <c r="C182" s="818"/>
      <c r="D182" s="819"/>
      <c r="E182" s="820" t="s">
        <v>67</v>
      </c>
      <c r="F182" s="798"/>
      <c r="G182" s="798" t="s">
        <v>67</v>
      </c>
      <c r="H182" s="798"/>
      <c r="I182" s="798" t="s">
        <v>67</v>
      </c>
      <c r="J182" s="798"/>
      <c r="K182" s="798" t="s">
        <v>67</v>
      </c>
      <c r="L182" s="798"/>
      <c r="M182" s="798" t="s">
        <v>67</v>
      </c>
      <c r="N182" s="798"/>
      <c r="O182" s="798" t="s">
        <v>67</v>
      </c>
      <c r="P182" s="798"/>
      <c r="Q182" s="798" t="s">
        <v>67</v>
      </c>
      <c r="R182" s="798"/>
      <c r="S182" s="798" t="s">
        <v>67</v>
      </c>
      <c r="T182" s="798"/>
      <c r="U182" s="798" t="s">
        <v>67</v>
      </c>
      <c r="V182" s="798"/>
      <c r="W182" s="798" t="s">
        <v>67</v>
      </c>
      <c r="X182" s="798"/>
      <c r="Y182" s="798" t="s">
        <v>67</v>
      </c>
      <c r="Z182" s="798"/>
      <c r="AA182" s="798" t="s">
        <v>67</v>
      </c>
      <c r="AB182" s="824"/>
    </row>
    <row r="183" spans="1:28" ht="15.75" thickBot="1" x14ac:dyDescent="0.3">
      <c r="A183" s="1083"/>
      <c r="B183" s="1084"/>
      <c r="C183" s="825"/>
      <c r="D183" s="826"/>
      <c r="E183" s="823" t="s">
        <v>67</v>
      </c>
      <c r="F183" s="797"/>
      <c r="G183" s="797" t="s">
        <v>67</v>
      </c>
      <c r="H183" s="797"/>
      <c r="I183" s="797" t="s">
        <v>67</v>
      </c>
      <c r="J183" s="797"/>
      <c r="K183" s="797" t="s">
        <v>67</v>
      </c>
      <c r="L183" s="797"/>
      <c r="M183" s="797" t="s">
        <v>67</v>
      </c>
      <c r="N183" s="797"/>
      <c r="O183" s="797" t="s">
        <v>67</v>
      </c>
      <c r="P183" s="797"/>
      <c r="Q183" s="797" t="s">
        <v>67</v>
      </c>
      <c r="R183" s="797"/>
      <c r="S183" s="797" t="s">
        <v>67</v>
      </c>
      <c r="T183" s="797"/>
      <c r="U183" s="822" t="s">
        <v>67</v>
      </c>
      <c r="V183" s="823"/>
      <c r="W183" s="797" t="s">
        <v>67</v>
      </c>
      <c r="X183" s="797"/>
      <c r="Y183" s="797" t="s">
        <v>67</v>
      </c>
      <c r="Z183" s="797"/>
      <c r="AA183" s="797" t="s">
        <v>67</v>
      </c>
      <c r="AB183" s="821"/>
    </row>
  </sheetData>
  <mergeCells count="1346">
    <mergeCell ref="AA131:AB131"/>
    <mergeCell ref="E132:F132"/>
    <mergeCell ref="G132:H132"/>
    <mergeCell ref="I132:J132"/>
    <mergeCell ref="K132:L132"/>
    <mergeCell ref="M132:N132"/>
    <mergeCell ref="O132:P132"/>
    <mergeCell ref="Q132:R132"/>
    <mergeCell ref="S132:T132"/>
    <mergeCell ref="U132:V132"/>
    <mergeCell ref="W132:X132"/>
    <mergeCell ref="Y132:Z132"/>
    <mergeCell ref="AA132:AB132"/>
    <mergeCell ref="B32:AB32"/>
    <mergeCell ref="B92:AB92"/>
    <mergeCell ref="B151:AB151"/>
    <mergeCell ref="G6:L12"/>
    <mergeCell ref="M131:N131"/>
    <mergeCell ref="O131:P131"/>
    <mergeCell ref="Q131:R131"/>
    <mergeCell ref="S131:T131"/>
    <mergeCell ref="Y72:Z72"/>
    <mergeCell ref="U72:V72"/>
    <mergeCell ref="W72:X72"/>
    <mergeCell ref="M72:N72"/>
    <mergeCell ref="A91:AB91"/>
    <mergeCell ref="A93:B93"/>
    <mergeCell ref="E93:F93"/>
    <mergeCell ref="G93:H93"/>
    <mergeCell ref="I93:J93"/>
    <mergeCell ref="K93:L93"/>
    <mergeCell ref="W131:X131"/>
    <mergeCell ref="G5:L5"/>
    <mergeCell ref="A131:A133"/>
    <mergeCell ref="B131:B133"/>
    <mergeCell ref="C131:D131"/>
    <mergeCell ref="C132:C133"/>
    <mergeCell ref="D132:D133"/>
    <mergeCell ref="E131:F131"/>
    <mergeCell ref="G131:H131"/>
    <mergeCell ref="I131:J131"/>
    <mergeCell ref="K131:L131"/>
    <mergeCell ref="E72:F72"/>
    <mergeCell ref="G72:H72"/>
    <mergeCell ref="I72:J72"/>
    <mergeCell ref="K72:L72"/>
    <mergeCell ref="C16:D16"/>
    <mergeCell ref="U131:V131"/>
    <mergeCell ref="AA72:AB72"/>
    <mergeCell ref="E73:F73"/>
    <mergeCell ref="G73:H73"/>
    <mergeCell ref="I73:J73"/>
    <mergeCell ref="K73:L73"/>
    <mergeCell ref="M73:N73"/>
    <mergeCell ref="O73:P73"/>
    <mergeCell ref="Q73:R73"/>
    <mergeCell ref="S73:T73"/>
    <mergeCell ref="U73:V73"/>
    <mergeCell ref="W73:X73"/>
    <mergeCell ref="Y73:Z73"/>
    <mergeCell ref="AA73:AB73"/>
    <mergeCell ref="O72:P72"/>
    <mergeCell ref="Q72:R72"/>
    <mergeCell ref="S72:T72"/>
    <mergeCell ref="Y131:Z131"/>
    <mergeCell ref="S16:T16"/>
    <mergeCell ref="S17:T17"/>
    <mergeCell ref="Q16:R16"/>
    <mergeCell ref="Q17:R17"/>
    <mergeCell ref="O16:P16"/>
    <mergeCell ref="O17:P17"/>
    <mergeCell ref="G16:H16"/>
    <mergeCell ref="I16:J16"/>
    <mergeCell ref="G17:H17"/>
    <mergeCell ref="I17:J17"/>
    <mergeCell ref="K16:L16"/>
    <mergeCell ref="K17:L17"/>
    <mergeCell ref="M16:N16"/>
    <mergeCell ref="M17:N17"/>
    <mergeCell ref="C17:C18"/>
    <mergeCell ref="D17:D18"/>
    <mergeCell ref="U17:V17"/>
    <mergeCell ref="W17:X17"/>
    <mergeCell ref="Y17:Z17"/>
    <mergeCell ref="G45:H45"/>
    <mergeCell ref="G46:H46"/>
    <mergeCell ref="G47:H47"/>
    <mergeCell ref="G48:H48"/>
    <mergeCell ref="G49:H49"/>
    <mergeCell ref="G40:H40"/>
    <mergeCell ref="G41:H41"/>
    <mergeCell ref="G42:H42"/>
    <mergeCell ref="G43:H43"/>
    <mergeCell ref="G44:H44"/>
    <mergeCell ref="G35:H35"/>
    <mergeCell ref="G36:H36"/>
    <mergeCell ref="A72:A74"/>
    <mergeCell ref="B72:B74"/>
    <mergeCell ref="C72:D72"/>
    <mergeCell ref="C73:C74"/>
    <mergeCell ref="D73:D74"/>
    <mergeCell ref="C33:D33"/>
    <mergeCell ref="A53:B63"/>
    <mergeCell ref="A64:B65"/>
    <mergeCell ref="E35:F35"/>
    <mergeCell ref="AA34:AB34"/>
    <mergeCell ref="Q34:R34"/>
    <mergeCell ref="S34:T34"/>
    <mergeCell ref="U34:V34"/>
    <mergeCell ref="W34:X34"/>
    <mergeCell ref="Y34:Z34"/>
    <mergeCell ref="B5:D5"/>
    <mergeCell ref="A15:AB15"/>
    <mergeCell ref="A71:AB71"/>
    <mergeCell ref="A16:A18"/>
    <mergeCell ref="B16:B18"/>
    <mergeCell ref="E34:F34"/>
    <mergeCell ref="G34:H34"/>
    <mergeCell ref="I34:J34"/>
    <mergeCell ref="K34:L34"/>
    <mergeCell ref="M34:N34"/>
    <mergeCell ref="O34:P34"/>
    <mergeCell ref="E16:F16"/>
    <mergeCell ref="E17:F17"/>
    <mergeCell ref="AA16:AB16"/>
    <mergeCell ref="Y16:Z16"/>
    <mergeCell ref="W16:X16"/>
    <mergeCell ref="U16:V16"/>
    <mergeCell ref="AA17:AB17"/>
    <mergeCell ref="E51:F51"/>
    <mergeCell ref="E52:F52"/>
    <mergeCell ref="E53:F53"/>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S35:T35"/>
    <mergeCell ref="U35:V35"/>
    <mergeCell ref="W35:X35"/>
    <mergeCell ref="Y35:Z35"/>
    <mergeCell ref="AA35:AB35"/>
    <mergeCell ref="I35:J35"/>
    <mergeCell ref="K35:L35"/>
    <mergeCell ref="M35:N35"/>
    <mergeCell ref="O35:P35"/>
    <mergeCell ref="Q35:R35"/>
    <mergeCell ref="G50:H50"/>
    <mergeCell ref="G51:H51"/>
    <mergeCell ref="G52:H52"/>
    <mergeCell ref="G37:H37"/>
    <mergeCell ref="G38:H38"/>
    <mergeCell ref="G39:H39"/>
    <mergeCell ref="S37:T37"/>
    <mergeCell ref="U37:V37"/>
    <mergeCell ref="W37:X37"/>
    <mergeCell ref="Y37:Z37"/>
    <mergeCell ref="AA37:AB37"/>
    <mergeCell ref="I37:J37"/>
    <mergeCell ref="K37:L37"/>
    <mergeCell ref="M37:N37"/>
    <mergeCell ref="O37:P37"/>
    <mergeCell ref="Q37:R37"/>
    <mergeCell ref="S36:T36"/>
    <mergeCell ref="U36:V36"/>
    <mergeCell ref="W36:X36"/>
    <mergeCell ref="Y36:Z36"/>
    <mergeCell ref="AA36:AB36"/>
    <mergeCell ref="I36:J36"/>
    <mergeCell ref="K36:L36"/>
    <mergeCell ref="M36:N36"/>
    <mergeCell ref="O36:P36"/>
    <mergeCell ref="Q36:R36"/>
    <mergeCell ref="S39:T39"/>
    <mergeCell ref="U39:V39"/>
    <mergeCell ref="W39:X39"/>
    <mergeCell ref="Y39:Z39"/>
    <mergeCell ref="AA39:AB39"/>
    <mergeCell ref="I39:J39"/>
    <mergeCell ref="K39:L39"/>
    <mergeCell ref="M39:N39"/>
    <mergeCell ref="O39:P39"/>
    <mergeCell ref="Q39:R39"/>
    <mergeCell ref="S38:T38"/>
    <mergeCell ref="U38:V38"/>
    <mergeCell ref="W38:X38"/>
    <mergeCell ref="Y38:Z38"/>
    <mergeCell ref="AA38:AB38"/>
    <mergeCell ref="I38:J38"/>
    <mergeCell ref="K38:L38"/>
    <mergeCell ref="M38:N38"/>
    <mergeCell ref="O38:P38"/>
    <mergeCell ref="Q38:R38"/>
    <mergeCell ref="S41:T41"/>
    <mergeCell ref="U41:V41"/>
    <mergeCell ref="W41:X41"/>
    <mergeCell ref="Y41:Z41"/>
    <mergeCell ref="AA41:AB41"/>
    <mergeCell ref="I41:J41"/>
    <mergeCell ref="K41:L41"/>
    <mergeCell ref="M41:N41"/>
    <mergeCell ref="O41:P41"/>
    <mergeCell ref="Q41:R41"/>
    <mergeCell ref="S40:T40"/>
    <mergeCell ref="U40:V40"/>
    <mergeCell ref="W40:X40"/>
    <mergeCell ref="Y40:Z40"/>
    <mergeCell ref="AA40:AB40"/>
    <mergeCell ref="I40:J40"/>
    <mergeCell ref="K40:L40"/>
    <mergeCell ref="M40:N40"/>
    <mergeCell ref="O40:P40"/>
    <mergeCell ref="Q40:R40"/>
    <mergeCell ref="S43:T43"/>
    <mergeCell ref="U43:V43"/>
    <mergeCell ref="W43:X43"/>
    <mergeCell ref="Y43:Z43"/>
    <mergeCell ref="AA43:AB43"/>
    <mergeCell ref="I43:J43"/>
    <mergeCell ref="K43:L43"/>
    <mergeCell ref="M43:N43"/>
    <mergeCell ref="O43:P43"/>
    <mergeCell ref="Q43:R43"/>
    <mergeCell ref="S42:T42"/>
    <mergeCell ref="U42:V42"/>
    <mergeCell ref="W42:X42"/>
    <mergeCell ref="Y42:Z42"/>
    <mergeCell ref="AA42:AB42"/>
    <mergeCell ref="I42:J42"/>
    <mergeCell ref="K42:L42"/>
    <mergeCell ref="M42:N42"/>
    <mergeCell ref="O42:P42"/>
    <mergeCell ref="Q42:R42"/>
    <mergeCell ref="S45:T45"/>
    <mergeCell ref="U45:V45"/>
    <mergeCell ref="W45:X45"/>
    <mergeCell ref="Y45:Z45"/>
    <mergeCell ref="AA45:AB45"/>
    <mergeCell ref="I45:J45"/>
    <mergeCell ref="K45:L45"/>
    <mergeCell ref="M45:N45"/>
    <mergeCell ref="O45:P45"/>
    <mergeCell ref="Q45:R45"/>
    <mergeCell ref="S44:T44"/>
    <mergeCell ref="U44:V44"/>
    <mergeCell ref="W44:X44"/>
    <mergeCell ref="Y44:Z44"/>
    <mergeCell ref="AA44:AB44"/>
    <mergeCell ref="I44:J44"/>
    <mergeCell ref="K44:L44"/>
    <mergeCell ref="M44:N44"/>
    <mergeCell ref="O44:P44"/>
    <mergeCell ref="Q44:R44"/>
    <mergeCell ref="S47:T47"/>
    <mergeCell ref="U47:V47"/>
    <mergeCell ref="W47:X47"/>
    <mergeCell ref="Y47:Z47"/>
    <mergeCell ref="AA47:AB47"/>
    <mergeCell ref="I47:J47"/>
    <mergeCell ref="K47:L47"/>
    <mergeCell ref="M47:N47"/>
    <mergeCell ref="O47:P47"/>
    <mergeCell ref="Q47:R47"/>
    <mergeCell ref="S46:T46"/>
    <mergeCell ref="U46:V46"/>
    <mergeCell ref="W46:X46"/>
    <mergeCell ref="Y46:Z46"/>
    <mergeCell ref="AA46:AB46"/>
    <mergeCell ref="I46:J46"/>
    <mergeCell ref="K46:L46"/>
    <mergeCell ref="M46:N46"/>
    <mergeCell ref="O46:P46"/>
    <mergeCell ref="Q46:R46"/>
    <mergeCell ref="S49:T49"/>
    <mergeCell ref="U49:V49"/>
    <mergeCell ref="W49:X49"/>
    <mergeCell ref="Y49:Z49"/>
    <mergeCell ref="AA49:AB49"/>
    <mergeCell ref="I49:J49"/>
    <mergeCell ref="K49:L49"/>
    <mergeCell ref="M49:N49"/>
    <mergeCell ref="O49:P49"/>
    <mergeCell ref="Q49:R49"/>
    <mergeCell ref="S48:T48"/>
    <mergeCell ref="U48:V48"/>
    <mergeCell ref="W48:X48"/>
    <mergeCell ref="Y48:Z48"/>
    <mergeCell ref="AA48:AB48"/>
    <mergeCell ref="I48:J48"/>
    <mergeCell ref="K48:L48"/>
    <mergeCell ref="M48:N48"/>
    <mergeCell ref="O48:P48"/>
    <mergeCell ref="Q48:R48"/>
    <mergeCell ref="I52:J52"/>
    <mergeCell ref="K52:L52"/>
    <mergeCell ref="M52:N52"/>
    <mergeCell ref="O52:P52"/>
    <mergeCell ref="Q52:R52"/>
    <mergeCell ref="S51:T51"/>
    <mergeCell ref="U51:V51"/>
    <mergeCell ref="W51:X51"/>
    <mergeCell ref="Y51:Z51"/>
    <mergeCell ref="AA51:AB51"/>
    <mergeCell ref="I51:J51"/>
    <mergeCell ref="K51:L51"/>
    <mergeCell ref="M51:N51"/>
    <mergeCell ref="O51:P51"/>
    <mergeCell ref="Q51:R51"/>
    <mergeCell ref="S50:T50"/>
    <mergeCell ref="U50:V50"/>
    <mergeCell ref="W50:X50"/>
    <mergeCell ref="Y50:Z50"/>
    <mergeCell ref="AA50:AB50"/>
    <mergeCell ref="I50:J50"/>
    <mergeCell ref="K50:L50"/>
    <mergeCell ref="M50:N50"/>
    <mergeCell ref="O50:P50"/>
    <mergeCell ref="Q50:R50"/>
    <mergeCell ref="E33:AB33"/>
    <mergeCell ref="A31:AB31"/>
    <mergeCell ref="A33:B34"/>
    <mergeCell ref="A35:B52"/>
    <mergeCell ref="AA53:AB53"/>
    <mergeCell ref="E54:F54"/>
    <mergeCell ref="G54:H54"/>
    <mergeCell ref="I54:J54"/>
    <mergeCell ref="K54:L54"/>
    <mergeCell ref="M54:N54"/>
    <mergeCell ref="O54:P54"/>
    <mergeCell ref="Q54:R54"/>
    <mergeCell ref="S54:T54"/>
    <mergeCell ref="U54:V54"/>
    <mergeCell ref="W54:X54"/>
    <mergeCell ref="Y54:Z54"/>
    <mergeCell ref="AA54:AB54"/>
    <mergeCell ref="Q53:R53"/>
    <mergeCell ref="S53:T53"/>
    <mergeCell ref="U53:V53"/>
    <mergeCell ref="W53:X53"/>
    <mergeCell ref="Y53:Z53"/>
    <mergeCell ref="G53:H53"/>
    <mergeCell ref="I53:J53"/>
    <mergeCell ref="K53:L53"/>
    <mergeCell ref="M53:N53"/>
    <mergeCell ref="O53:P53"/>
    <mergeCell ref="S52:T52"/>
    <mergeCell ref="U52:V52"/>
    <mergeCell ref="W52:X52"/>
    <mergeCell ref="Y52:Z52"/>
    <mergeCell ref="AA52:AB52"/>
    <mergeCell ref="Y55:Z55"/>
    <mergeCell ref="AA55:AB55"/>
    <mergeCell ref="E56:F56"/>
    <mergeCell ref="G56:H56"/>
    <mergeCell ref="I56:J56"/>
    <mergeCell ref="K56:L56"/>
    <mergeCell ref="M56:N56"/>
    <mergeCell ref="O56:P56"/>
    <mergeCell ref="Q56:R56"/>
    <mergeCell ref="S56:T56"/>
    <mergeCell ref="U56:V56"/>
    <mergeCell ref="W56:X56"/>
    <mergeCell ref="Y56:Z56"/>
    <mergeCell ref="AA56:AB56"/>
    <mergeCell ref="O55:P55"/>
    <mergeCell ref="Q55:R55"/>
    <mergeCell ref="S55:T55"/>
    <mergeCell ref="U55:V55"/>
    <mergeCell ref="W55:X55"/>
    <mergeCell ref="E55:F55"/>
    <mergeCell ref="G55:H55"/>
    <mergeCell ref="I55:J55"/>
    <mergeCell ref="K55:L55"/>
    <mergeCell ref="M55:N55"/>
    <mergeCell ref="Y57:Z57"/>
    <mergeCell ref="AA57:AB57"/>
    <mergeCell ref="E58:F58"/>
    <mergeCell ref="G58:H58"/>
    <mergeCell ref="I58:J58"/>
    <mergeCell ref="K58:L58"/>
    <mergeCell ref="M58:N58"/>
    <mergeCell ref="O58:P58"/>
    <mergeCell ref="Q58:R58"/>
    <mergeCell ref="S58:T58"/>
    <mergeCell ref="U58:V58"/>
    <mergeCell ref="W58:X58"/>
    <mergeCell ref="Y58:Z58"/>
    <mergeCell ref="AA58:AB58"/>
    <mergeCell ref="O57:P57"/>
    <mergeCell ref="Q57:R57"/>
    <mergeCell ref="S57:T57"/>
    <mergeCell ref="U57:V57"/>
    <mergeCell ref="W57:X57"/>
    <mergeCell ref="E57:F57"/>
    <mergeCell ref="G57:H57"/>
    <mergeCell ref="I57:J57"/>
    <mergeCell ref="K57:L57"/>
    <mergeCell ref="M57:N57"/>
    <mergeCell ref="Y59:Z59"/>
    <mergeCell ref="AA59:AB59"/>
    <mergeCell ref="E60:F60"/>
    <mergeCell ref="G60:H60"/>
    <mergeCell ref="I60:J60"/>
    <mergeCell ref="K60:L60"/>
    <mergeCell ref="M60:N60"/>
    <mergeCell ref="O60:P60"/>
    <mergeCell ref="Q60:R60"/>
    <mergeCell ref="S60:T60"/>
    <mergeCell ref="U60:V60"/>
    <mergeCell ref="W60:X60"/>
    <mergeCell ref="Y60:Z60"/>
    <mergeCell ref="AA60:AB60"/>
    <mergeCell ref="O59:P59"/>
    <mergeCell ref="Q59:R59"/>
    <mergeCell ref="S59:T59"/>
    <mergeCell ref="U59:V59"/>
    <mergeCell ref="W59:X59"/>
    <mergeCell ref="E59:F59"/>
    <mergeCell ref="G59:H59"/>
    <mergeCell ref="I59:J59"/>
    <mergeCell ref="K59:L59"/>
    <mergeCell ref="M59:N59"/>
    <mergeCell ref="Y61:Z61"/>
    <mergeCell ref="AA61:AB61"/>
    <mergeCell ref="E62:F62"/>
    <mergeCell ref="G62:H62"/>
    <mergeCell ref="I62:J62"/>
    <mergeCell ref="K62:L62"/>
    <mergeCell ref="M62:N62"/>
    <mergeCell ref="O62:P62"/>
    <mergeCell ref="Q62:R62"/>
    <mergeCell ref="S62:T62"/>
    <mergeCell ref="U62:V62"/>
    <mergeCell ref="W62:X62"/>
    <mergeCell ref="Y62:Z62"/>
    <mergeCell ref="AA62:AB62"/>
    <mergeCell ref="O61:P61"/>
    <mergeCell ref="Q61:R61"/>
    <mergeCell ref="S61:T61"/>
    <mergeCell ref="U61:V61"/>
    <mergeCell ref="W61:X61"/>
    <mergeCell ref="E61:F61"/>
    <mergeCell ref="G61:H61"/>
    <mergeCell ref="I61:J61"/>
    <mergeCell ref="K61:L61"/>
    <mergeCell ref="M61:N61"/>
    <mergeCell ref="Y63:Z63"/>
    <mergeCell ref="AA63:AB63"/>
    <mergeCell ref="O63:P63"/>
    <mergeCell ref="Q63:R63"/>
    <mergeCell ref="S63:T63"/>
    <mergeCell ref="U63:V63"/>
    <mergeCell ref="W63:X63"/>
    <mergeCell ref="E63:F63"/>
    <mergeCell ref="G63:H63"/>
    <mergeCell ref="I63:J63"/>
    <mergeCell ref="K63:L63"/>
    <mergeCell ref="M63:N63"/>
    <mergeCell ref="G64:H64"/>
    <mergeCell ref="I64:J64"/>
    <mergeCell ref="K64:L64"/>
    <mergeCell ref="M64:N64"/>
    <mergeCell ref="Y64:Z64"/>
    <mergeCell ref="AA64:AB64"/>
    <mergeCell ref="E65:F65"/>
    <mergeCell ref="G65:H65"/>
    <mergeCell ref="I65:J65"/>
    <mergeCell ref="K65:L65"/>
    <mergeCell ref="M65:N65"/>
    <mergeCell ref="O65:P65"/>
    <mergeCell ref="Q65:R65"/>
    <mergeCell ref="S65:T65"/>
    <mergeCell ref="U65:V65"/>
    <mergeCell ref="W65:X65"/>
    <mergeCell ref="Y65:Z65"/>
    <mergeCell ref="AA65:AB65"/>
    <mergeCell ref="O64:P64"/>
    <mergeCell ref="Q64:R64"/>
    <mergeCell ref="S64:T64"/>
    <mergeCell ref="U64:V64"/>
    <mergeCell ref="W64:X64"/>
    <mergeCell ref="E64:F64"/>
    <mergeCell ref="W93:X93"/>
    <mergeCell ref="Y93:Z93"/>
    <mergeCell ref="AA93:AB93"/>
    <mergeCell ref="A94:B111"/>
    <mergeCell ref="E94:F94"/>
    <mergeCell ref="G94:H94"/>
    <mergeCell ref="I94:J94"/>
    <mergeCell ref="K94:L94"/>
    <mergeCell ref="M94:N94"/>
    <mergeCell ref="O94:P94"/>
    <mergeCell ref="Q94:R94"/>
    <mergeCell ref="S94:T94"/>
    <mergeCell ref="U94:V94"/>
    <mergeCell ref="W94:X94"/>
    <mergeCell ref="Y94:Z94"/>
    <mergeCell ref="AA94:AB94"/>
    <mergeCell ref="M93:N93"/>
    <mergeCell ref="O93:P93"/>
    <mergeCell ref="Q93:R93"/>
    <mergeCell ref="S93:T93"/>
    <mergeCell ref="U93:V93"/>
    <mergeCell ref="Y95:Z95"/>
    <mergeCell ref="AA95:AB95"/>
    <mergeCell ref="E96:F96"/>
    <mergeCell ref="G96:H96"/>
    <mergeCell ref="I96:J96"/>
    <mergeCell ref="K96:L96"/>
    <mergeCell ref="M96:N96"/>
    <mergeCell ref="O96:P96"/>
    <mergeCell ref="Q96:R96"/>
    <mergeCell ref="S96:T96"/>
    <mergeCell ref="U96:V96"/>
    <mergeCell ref="W96:X96"/>
    <mergeCell ref="Y96:Z96"/>
    <mergeCell ref="AA96:AB96"/>
    <mergeCell ref="O95:P95"/>
    <mergeCell ref="Q95:R95"/>
    <mergeCell ref="S95:T95"/>
    <mergeCell ref="U95:V95"/>
    <mergeCell ref="W95:X95"/>
    <mergeCell ref="E95:F95"/>
    <mergeCell ref="G95:H95"/>
    <mergeCell ref="I95:J95"/>
    <mergeCell ref="K95:L95"/>
    <mergeCell ref="M95:N95"/>
    <mergeCell ref="Y97:Z97"/>
    <mergeCell ref="AA97:AB97"/>
    <mergeCell ref="E98:F98"/>
    <mergeCell ref="G98:H98"/>
    <mergeCell ref="I98:J98"/>
    <mergeCell ref="K98:L98"/>
    <mergeCell ref="M98:N98"/>
    <mergeCell ref="O98:P98"/>
    <mergeCell ref="Q98:R98"/>
    <mergeCell ref="S98:T98"/>
    <mergeCell ref="U98:V98"/>
    <mergeCell ref="W98:X98"/>
    <mergeCell ref="Y98:Z98"/>
    <mergeCell ref="AA98:AB98"/>
    <mergeCell ref="O97:P97"/>
    <mergeCell ref="Q97:R97"/>
    <mergeCell ref="S97:T97"/>
    <mergeCell ref="U97:V97"/>
    <mergeCell ref="W97:X97"/>
    <mergeCell ref="E97:F97"/>
    <mergeCell ref="G97:H97"/>
    <mergeCell ref="I97:J97"/>
    <mergeCell ref="K97:L97"/>
    <mergeCell ref="M97:N97"/>
    <mergeCell ref="Y99:Z99"/>
    <mergeCell ref="AA99:AB99"/>
    <mergeCell ref="E100:F100"/>
    <mergeCell ref="G100:H100"/>
    <mergeCell ref="I100:J100"/>
    <mergeCell ref="K100:L100"/>
    <mergeCell ref="M100:N100"/>
    <mergeCell ref="O100:P100"/>
    <mergeCell ref="Q100:R100"/>
    <mergeCell ref="S100:T100"/>
    <mergeCell ref="U100:V100"/>
    <mergeCell ref="W100:X100"/>
    <mergeCell ref="Y100:Z100"/>
    <mergeCell ref="AA100:AB100"/>
    <mergeCell ref="O99:P99"/>
    <mergeCell ref="Q99:R99"/>
    <mergeCell ref="S99:T99"/>
    <mergeCell ref="U99:V99"/>
    <mergeCell ref="W99:X99"/>
    <mergeCell ref="E99:F99"/>
    <mergeCell ref="G99:H99"/>
    <mergeCell ref="I99:J99"/>
    <mergeCell ref="K99:L99"/>
    <mergeCell ref="M99:N99"/>
    <mergeCell ref="Y101:Z101"/>
    <mergeCell ref="AA101:AB101"/>
    <mergeCell ref="E102:F102"/>
    <mergeCell ref="G102:H102"/>
    <mergeCell ref="I102:J102"/>
    <mergeCell ref="K102:L102"/>
    <mergeCell ref="M102:N102"/>
    <mergeCell ref="O102:P102"/>
    <mergeCell ref="Q102:R102"/>
    <mergeCell ref="S102:T102"/>
    <mergeCell ref="U102:V102"/>
    <mergeCell ref="W102:X102"/>
    <mergeCell ref="Y102:Z102"/>
    <mergeCell ref="AA102:AB102"/>
    <mergeCell ref="O101:P101"/>
    <mergeCell ref="Q101:R101"/>
    <mergeCell ref="S101:T101"/>
    <mergeCell ref="U101:V101"/>
    <mergeCell ref="W101:X101"/>
    <mergeCell ref="E101:F101"/>
    <mergeCell ref="G101:H101"/>
    <mergeCell ref="I101:J101"/>
    <mergeCell ref="K101:L101"/>
    <mergeCell ref="M101:N101"/>
    <mergeCell ref="Y103:Z103"/>
    <mergeCell ref="AA103:AB103"/>
    <mergeCell ref="E104:F104"/>
    <mergeCell ref="G104:H104"/>
    <mergeCell ref="I104:J104"/>
    <mergeCell ref="K104:L104"/>
    <mergeCell ref="M104:N104"/>
    <mergeCell ref="O104:P104"/>
    <mergeCell ref="Q104:R104"/>
    <mergeCell ref="S104:T104"/>
    <mergeCell ref="U104:V104"/>
    <mergeCell ref="W104:X104"/>
    <mergeCell ref="Y104:Z104"/>
    <mergeCell ref="AA104:AB104"/>
    <mergeCell ref="O103:P103"/>
    <mergeCell ref="Q103:R103"/>
    <mergeCell ref="S103:T103"/>
    <mergeCell ref="U103:V103"/>
    <mergeCell ref="W103:X103"/>
    <mergeCell ref="E103:F103"/>
    <mergeCell ref="G103:H103"/>
    <mergeCell ref="I103:J103"/>
    <mergeCell ref="K103:L103"/>
    <mergeCell ref="M103:N103"/>
    <mergeCell ref="Y105:Z105"/>
    <mergeCell ref="AA105:AB105"/>
    <mergeCell ref="E106:F106"/>
    <mergeCell ref="G106:H106"/>
    <mergeCell ref="I106:J106"/>
    <mergeCell ref="K106:L106"/>
    <mergeCell ref="M106:N106"/>
    <mergeCell ref="O106:P106"/>
    <mergeCell ref="Q106:R106"/>
    <mergeCell ref="S106:T106"/>
    <mergeCell ref="U106:V106"/>
    <mergeCell ref="W106:X106"/>
    <mergeCell ref="Y106:Z106"/>
    <mergeCell ref="AA106:AB106"/>
    <mergeCell ref="O105:P105"/>
    <mergeCell ref="Q105:R105"/>
    <mergeCell ref="S105:T105"/>
    <mergeCell ref="U105:V105"/>
    <mergeCell ref="W105:X105"/>
    <mergeCell ref="E105:F105"/>
    <mergeCell ref="G105:H105"/>
    <mergeCell ref="I105:J105"/>
    <mergeCell ref="K105:L105"/>
    <mergeCell ref="M105:N105"/>
    <mergeCell ref="Y107:Z107"/>
    <mergeCell ref="AA107:AB107"/>
    <mergeCell ref="E108:F108"/>
    <mergeCell ref="G108:H108"/>
    <mergeCell ref="I108:J108"/>
    <mergeCell ref="K108:L108"/>
    <mergeCell ref="M108:N108"/>
    <mergeCell ref="O108:P108"/>
    <mergeCell ref="Q108:R108"/>
    <mergeCell ref="S108:T108"/>
    <mergeCell ref="U108:V108"/>
    <mergeCell ref="W108:X108"/>
    <mergeCell ref="Y108:Z108"/>
    <mergeCell ref="AA108:AB108"/>
    <mergeCell ref="O107:P107"/>
    <mergeCell ref="Q107:R107"/>
    <mergeCell ref="S107:T107"/>
    <mergeCell ref="U107:V107"/>
    <mergeCell ref="W107:X107"/>
    <mergeCell ref="E107:F107"/>
    <mergeCell ref="G107:H107"/>
    <mergeCell ref="I107:J107"/>
    <mergeCell ref="K107:L107"/>
    <mergeCell ref="M107:N107"/>
    <mergeCell ref="Y109:Z109"/>
    <mergeCell ref="AA109:AB109"/>
    <mergeCell ref="E110:F110"/>
    <mergeCell ref="G110:H110"/>
    <mergeCell ref="I110:J110"/>
    <mergeCell ref="K110:L110"/>
    <mergeCell ref="M110:N110"/>
    <mergeCell ref="O110:P110"/>
    <mergeCell ref="Q110:R110"/>
    <mergeCell ref="S110:T110"/>
    <mergeCell ref="U110:V110"/>
    <mergeCell ref="W110:X110"/>
    <mergeCell ref="Y110:Z110"/>
    <mergeCell ref="AA110:AB110"/>
    <mergeCell ref="O109:P109"/>
    <mergeCell ref="Q109:R109"/>
    <mergeCell ref="S109:T109"/>
    <mergeCell ref="U109:V109"/>
    <mergeCell ref="W109:X109"/>
    <mergeCell ref="E109:F109"/>
    <mergeCell ref="G109:H109"/>
    <mergeCell ref="I109:J109"/>
    <mergeCell ref="K109:L109"/>
    <mergeCell ref="M109:N109"/>
    <mergeCell ref="A112:B122"/>
    <mergeCell ref="E112:F112"/>
    <mergeCell ref="G112:H112"/>
    <mergeCell ref="I112:J112"/>
    <mergeCell ref="K112:L112"/>
    <mergeCell ref="M112:N112"/>
    <mergeCell ref="O112:P112"/>
    <mergeCell ref="Q112:R112"/>
    <mergeCell ref="S112:T112"/>
    <mergeCell ref="U112:V112"/>
    <mergeCell ref="W112:X112"/>
    <mergeCell ref="Y112:Z112"/>
    <mergeCell ref="AA112:AB112"/>
    <mergeCell ref="E113:F113"/>
    <mergeCell ref="O111:P111"/>
    <mergeCell ref="Q111:R111"/>
    <mergeCell ref="S111:T111"/>
    <mergeCell ref="U111:V111"/>
    <mergeCell ref="W111:X111"/>
    <mergeCell ref="E111:F111"/>
    <mergeCell ref="G111:H111"/>
    <mergeCell ref="I111:J111"/>
    <mergeCell ref="K111:L111"/>
    <mergeCell ref="M111:N111"/>
    <mergeCell ref="AA113:AB113"/>
    <mergeCell ref="E114:F114"/>
    <mergeCell ref="G114:H114"/>
    <mergeCell ref="I114:J114"/>
    <mergeCell ref="K114:L114"/>
    <mergeCell ref="M114:N114"/>
    <mergeCell ref="S114:T114"/>
    <mergeCell ref="U114:V114"/>
    <mergeCell ref="W114:X114"/>
    <mergeCell ref="Y114:Z114"/>
    <mergeCell ref="AA114:AB114"/>
    <mergeCell ref="Q113:R113"/>
    <mergeCell ref="S113:T113"/>
    <mergeCell ref="U113:V113"/>
    <mergeCell ref="W113:X113"/>
    <mergeCell ref="Y113:Z113"/>
    <mergeCell ref="G113:H113"/>
    <mergeCell ref="I113:J113"/>
    <mergeCell ref="K113:L113"/>
    <mergeCell ref="M113:N113"/>
    <mergeCell ref="O113:P113"/>
    <mergeCell ref="Y111:Z111"/>
    <mergeCell ref="AA111:AB111"/>
    <mergeCell ref="AA115:AB115"/>
    <mergeCell ref="E116:F116"/>
    <mergeCell ref="G116:H116"/>
    <mergeCell ref="I116:J116"/>
    <mergeCell ref="K116:L116"/>
    <mergeCell ref="M116:N116"/>
    <mergeCell ref="O116:P116"/>
    <mergeCell ref="Q116:R116"/>
    <mergeCell ref="S116:T116"/>
    <mergeCell ref="U116:V116"/>
    <mergeCell ref="W116:X116"/>
    <mergeCell ref="Y116:Z116"/>
    <mergeCell ref="AA116:AB116"/>
    <mergeCell ref="O115:P115"/>
    <mergeCell ref="Q115:R115"/>
    <mergeCell ref="S115:T115"/>
    <mergeCell ref="U115:V115"/>
    <mergeCell ref="W115:X115"/>
    <mergeCell ref="E115:F115"/>
    <mergeCell ref="G115:H115"/>
    <mergeCell ref="I115:J115"/>
    <mergeCell ref="K115:L115"/>
    <mergeCell ref="M115:N115"/>
    <mergeCell ref="AA117:AB117"/>
    <mergeCell ref="E118:F118"/>
    <mergeCell ref="G118:H118"/>
    <mergeCell ref="I118:J118"/>
    <mergeCell ref="K118:L118"/>
    <mergeCell ref="M118:N118"/>
    <mergeCell ref="O118:P118"/>
    <mergeCell ref="Q118:R118"/>
    <mergeCell ref="S118:T118"/>
    <mergeCell ref="U118:V118"/>
    <mergeCell ref="W118:X118"/>
    <mergeCell ref="Y118:Z118"/>
    <mergeCell ref="AA118:AB118"/>
    <mergeCell ref="O117:P117"/>
    <mergeCell ref="Q117:R117"/>
    <mergeCell ref="S117:T117"/>
    <mergeCell ref="U117:V117"/>
    <mergeCell ref="W117:X117"/>
    <mergeCell ref="E117:F117"/>
    <mergeCell ref="G117:H117"/>
    <mergeCell ref="I117:J117"/>
    <mergeCell ref="K117:L117"/>
    <mergeCell ref="M117:N117"/>
    <mergeCell ref="AA119:AB119"/>
    <mergeCell ref="E120:F120"/>
    <mergeCell ref="G120:H120"/>
    <mergeCell ref="I120:J120"/>
    <mergeCell ref="K120:L120"/>
    <mergeCell ref="M120:N120"/>
    <mergeCell ref="O120:P120"/>
    <mergeCell ref="Q120:R120"/>
    <mergeCell ref="S120:T120"/>
    <mergeCell ref="U120:V120"/>
    <mergeCell ref="W120:X120"/>
    <mergeCell ref="Y120:Z120"/>
    <mergeCell ref="AA120:AB120"/>
    <mergeCell ref="O119:P119"/>
    <mergeCell ref="Q119:R119"/>
    <mergeCell ref="S119:T119"/>
    <mergeCell ref="U119:V119"/>
    <mergeCell ref="W119:X119"/>
    <mergeCell ref="E119:F119"/>
    <mergeCell ref="G119:H119"/>
    <mergeCell ref="I119:J119"/>
    <mergeCell ref="K119:L119"/>
    <mergeCell ref="M119:N119"/>
    <mergeCell ref="AA121:AB121"/>
    <mergeCell ref="E122:F122"/>
    <mergeCell ref="G122:H122"/>
    <mergeCell ref="I122:J122"/>
    <mergeCell ref="K122:L122"/>
    <mergeCell ref="M122:N122"/>
    <mergeCell ref="O122:P122"/>
    <mergeCell ref="Q122:R122"/>
    <mergeCell ref="S122:T122"/>
    <mergeCell ref="U122:V122"/>
    <mergeCell ref="W122:X122"/>
    <mergeCell ref="Y122:Z122"/>
    <mergeCell ref="AA122:AB122"/>
    <mergeCell ref="O121:P121"/>
    <mergeCell ref="Q121:R121"/>
    <mergeCell ref="S121:T121"/>
    <mergeCell ref="U121:V121"/>
    <mergeCell ref="W121:X121"/>
    <mergeCell ref="E121:F121"/>
    <mergeCell ref="G121:H121"/>
    <mergeCell ref="I121:J121"/>
    <mergeCell ref="K121:L121"/>
    <mergeCell ref="M121:N121"/>
    <mergeCell ref="C107:D107"/>
    <mergeCell ref="C98:D98"/>
    <mergeCell ref="C99:D99"/>
    <mergeCell ref="C100:D100"/>
    <mergeCell ref="C101:D101"/>
    <mergeCell ref="C102:D102"/>
    <mergeCell ref="U124:V124"/>
    <mergeCell ref="W124:X124"/>
    <mergeCell ref="Y124:Z124"/>
    <mergeCell ref="G124:H124"/>
    <mergeCell ref="I124:J124"/>
    <mergeCell ref="K124:L124"/>
    <mergeCell ref="M124:N124"/>
    <mergeCell ref="O124:P124"/>
    <mergeCell ref="A123:B124"/>
    <mergeCell ref="E123:F123"/>
    <mergeCell ref="G123:H123"/>
    <mergeCell ref="I123:J123"/>
    <mergeCell ref="K123:L123"/>
    <mergeCell ref="M123:N123"/>
    <mergeCell ref="O123:P123"/>
    <mergeCell ref="Q123:R123"/>
    <mergeCell ref="S123:T123"/>
    <mergeCell ref="U123:V123"/>
    <mergeCell ref="W123:X123"/>
    <mergeCell ref="Y123:Z123"/>
    <mergeCell ref="Y121:Z121"/>
    <mergeCell ref="Y119:Z119"/>
    <mergeCell ref="Y117:Z117"/>
    <mergeCell ref="Y115:Z115"/>
    <mergeCell ref="O114:P114"/>
    <mergeCell ref="Q114:R114"/>
    <mergeCell ref="C94:D94"/>
    <mergeCell ref="C93:D93"/>
    <mergeCell ref="C95:D95"/>
    <mergeCell ref="C96:D96"/>
    <mergeCell ref="C97:D97"/>
    <mergeCell ref="A130:AB130"/>
    <mergeCell ref="C123:D123"/>
    <mergeCell ref="C124:D124"/>
    <mergeCell ref="C118:D118"/>
    <mergeCell ref="C119:D119"/>
    <mergeCell ref="C120:D120"/>
    <mergeCell ref="C121:D121"/>
    <mergeCell ref="C122:D122"/>
    <mergeCell ref="C113:D113"/>
    <mergeCell ref="C114:D114"/>
    <mergeCell ref="C115:D115"/>
    <mergeCell ref="C116:D116"/>
    <mergeCell ref="C117:D117"/>
    <mergeCell ref="AA124:AB124"/>
    <mergeCell ref="Q124:R124"/>
    <mergeCell ref="S124:T124"/>
    <mergeCell ref="AA123:AB123"/>
    <mergeCell ref="E124:F124"/>
    <mergeCell ref="C108:D108"/>
    <mergeCell ref="C109:D109"/>
    <mergeCell ref="C110:D110"/>
    <mergeCell ref="C111:D111"/>
    <mergeCell ref="C112:D112"/>
    <mergeCell ref="C103:D103"/>
    <mergeCell ref="C104:D104"/>
    <mergeCell ref="C105:D105"/>
    <mergeCell ref="C106:D106"/>
    <mergeCell ref="AA152:AB152"/>
    <mergeCell ref="A153:B170"/>
    <mergeCell ref="C153:D153"/>
    <mergeCell ref="E153:F153"/>
    <mergeCell ref="G153:H153"/>
    <mergeCell ref="I153:J153"/>
    <mergeCell ref="K153:L153"/>
    <mergeCell ref="M153:N153"/>
    <mergeCell ref="O153:P153"/>
    <mergeCell ref="Q153:R153"/>
    <mergeCell ref="S153:T153"/>
    <mergeCell ref="U153:V153"/>
    <mergeCell ref="W153:X153"/>
    <mergeCell ref="Y153:Z153"/>
    <mergeCell ref="AA153:AB153"/>
    <mergeCell ref="C154:D154"/>
    <mergeCell ref="A150:AB150"/>
    <mergeCell ref="A152:B152"/>
    <mergeCell ref="C152:D152"/>
    <mergeCell ref="E152:F152"/>
    <mergeCell ref="G152:H152"/>
    <mergeCell ref="I152:J152"/>
    <mergeCell ref="K152:L152"/>
    <mergeCell ref="M152:N152"/>
    <mergeCell ref="O152:P152"/>
    <mergeCell ref="Q152:R152"/>
    <mergeCell ref="S152:T152"/>
    <mergeCell ref="U152:V152"/>
    <mergeCell ref="W152:X152"/>
    <mergeCell ref="Y152:Z152"/>
    <mergeCell ref="Y154:Z154"/>
    <mergeCell ref="AA154:AB154"/>
    <mergeCell ref="C155:D155"/>
    <mergeCell ref="E155:F155"/>
    <mergeCell ref="G155:H155"/>
    <mergeCell ref="I155:J155"/>
    <mergeCell ref="K155:L155"/>
    <mergeCell ref="M155:N155"/>
    <mergeCell ref="O155:P155"/>
    <mergeCell ref="Q155:R155"/>
    <mergeCell ref="S155:T155"/>
    <mergeCell ref="U155:V155"/>
    <mergeCell ref="W155:X155"/>
    <mergeCell ref="Y155:Z155"/>
    <mergeCell ref="AA155:AB155"/>
    <mergeCell ref="O154:P154"/>
    <mergeCell ref="Q154:R154"/>
    <mergeCell ref="S154:T154"/>
    <mergeCell ref="U154:V154"/>
    <mergeCell ref="W154:X154"/>
    <mergeCell ref="E154:F154"/>
    <mergeCell ref="G154:H154"/>
    <mergeCell ref="I154:J154"/>
    <mergeCell ref="K154:L154"/>
    <mergeCell ref="M154:N154"/>
    <mergeCell ref="W156:X156"/>
    <mergeCell ref="Y156:Z156"/>
    <mergeCell ref="AA156:AB156"/>
    <mergeCell ref="C157:D157"/>
    <mergeCell ref="E157:F157"/>
    <mergeCell ref="G157:H157"/>
    <mergeCell ref="I157:J157"/>
    <mergeCell ref="K157:L157"/>
    <mergeCell ref="M157:N157"/>
    <mergeCell ref="O157:P157"/>
    <mergeCell ref="Q157:R157"/>
    <mergeCell ref="S157:T157"/>
    <mergeCell ref="U157:V157"/>
    <mergeCell ref="W157:X157"/>
    <mergeCell ref="Y157:Z157"/>
    <mergeCell ref="AA157:AB157"/>
    <mergeCell ref="M156:N156"/>
    <mergeCell ref="O156:P156"/>
    <mergeCell ref="Q156:R156"/>
    <mergeCell ref="S156:T156"/>
    <mergeCell ref="U156:V156"/>
    <mergeCell ref="C156:D156"/>
    <mergeCell ref="E156:F156"/>
    <mergeCell ref="G156:H156"/>
    <mergeCell ref="I156:J156"/>
    <mergeCell ref="K156:L156"/>
    <mergeCell ref="W158:X158"/>
    <mergeCell ref="Y158:Z158"/>
    <mergeCell ref="AA158:AB158"/>
    <mergeCell ref="C159:D159"/>
    <mergeCell ref="E159:F159"/>
    <mergeCell ref="G159:H159"/>
    <mergeCell ref="I159:J159"/>
    <mergeCell ref="K159:L159"/>
    <mergeCell ref="M159:N159"/>
    <mergeCell ref="O159:P159"/>
    <mergeCell ref="Q159:R159"/>
    <mergeCell ref="S159:T159"/>
    <mergeCell ref="U159:V159"/>
    <mergeCell ref="W159:X159"/>
    <mergeCell ref="Y159:Z159"/>
    <mergeCell ref="AA159:AB159"/>
    <mergeCell ref="M158:N158"/>
    <mergeCell ref="O158:P158"/>
    <mergeCell ref="Q158:R158"/>
    <mergeCell ref="S158:T158"/>
    <mergeCell ref="U158:V158"/>
    <mergeCell ref="C158:D158"/>
    <mergeCell ref="E158:F158"/>
    <mergeCell ref="G158:H158"/>
    <mergeCell ref="I158:J158"/>
    <mergeCell ref="K158:L158"/>
    <mergeCell ref="W160:X160"/>
    <mergeCell ref="Y160:Z160"/>
    <mergeCell ref="AA160:AB160"/>
    <mergeCell ref="C161:D161"/>
    <mergeCell ref="E161:F161"/>
    <mergeCell ref="G161:H161"/>
    <mergeCell ref="I161:J161"/>
    <mergeCell ref="K161:L161"/>
    <mergeCell ref="M161:N161"/>
    <mergeCell ref="O161:P161"/>
    <mergeCell ref="Q161:R161"/>
    <mergeCell ref="S161:T161"/>
    <mergeCell ref="U161:V161"/>
    <mergeCell ref="W161:X161"/>
    <mergeCell ref="Y161:Z161"/>
    <mergeCell ref="AA161:AB161"/>
    <mergeCell ref="M160:N160"/>
    <mergeCell ref="O160:P160"/>
    <mergeCell ref="Q160:R160"/>
    <mergeCell ref="S160:T160"/>
    <mergeCell ref="U160:V160"/>
    <mergeCell ref="C160:D160"/>
    <mergeCell ref="E160:F160"/>
    <mergeCell ref="G160:H160"/>
    <mergeCell ref="I160:J160"/>
    <mergeCell ref="K160:L160"/>
    <mergeCell ref="W162:X162"/>
    <mergeCell ref="Y162:Z162"/>
    <mergeCell ref="AA162:AB162"/>
    <mergeCell ref="C163:D163"/>
    <mergeCell ref="E163:F163"/>
    <mergeCell ref="G163:H163"/>
    <mergeCell ref="I163:J163"/>
    <mergeCell ref="K163:L163"/>
    <mergeCell ref="M163:N163"/>
    <mergeCell ref="O163:P163"/>
    <mergeCell ref="Q163:R163"/>
    <mergeCell ref="S163:T163"/>
    <mergeCell ref="U163:V163"/>
    <mergeCell ref="W163:X163"/>
    <mergeCell ref="Y163:Z163"/>
    <mergeCell ref="AA163:AB163"/>
    <mergeCell ref="M162:N162"/>
    <mergeCell ref="O162:P162"/>
    <mergeCell ref="Q162:R162"/>
    <mergeCell ref="S162:T162"/>
    <mergeCell ref="U162:V162"/>
    <mergeCell ref="C162:D162"/>
    <mergeCell ref="E162:F162"/>
    <mergeCell ref="G162:H162"/>
    <mergeCell ref="I162:J162"/>
    <mergeCell ref="K162:L162"/>
    <mergeCell ref="W164:X164"/>
    <mergeCell ref="Y164:Z164"/>
    <mergeCell ref="AA164:AB164"/>
    <mergeCell ref="C165:D165"/>
    <mergeCell ref="E165:F165"/>
    <mergeCell ref="G165:H165"/>
    <mergeCell ref="I165:J165"/>
    <mergeCell ref="K165:L165"/>
    <mergeCell ref="M165:N165"/>
    <mergeCell ref="O165:P165"/>
    <mergeCell ref="Q165:R165"/>
    <mergeCell ref="S165:T165"/>
    <mergeCell ref="U165:V165"/>
    <mergeCell ref="W165:X165"/>
    <mergeCell ref="Y165:Z165"/>
    <mergeCell ref="AA165:AB165"/>
    <mergeCell ref="M164:N164"/>
    <mergeCell ref="O164:P164"/>
    <mergeCell ref="Q164:R164"/>
    <mergeCell ref="S164:T164"/>
    <mergeCell ref="U164:V164"/>
    <mergeCell ref="C164:D164"/>
    <mergeCell ref="E164:F164"/>
    <mergeCell ref="G164:H164"/>
    <mergeCell ref="I164:J164"/>
    <mergeCell ref="K164:L164"/>
    <mergeCell ref="W166:X166"/>
    <mergeCell ref="Y166:Z166"/>
    <mergeCell ref="AA166:AB166"/>
    <mergeCell ref="C167:D167"/>
    <mergeCell ref="E167:F167"/>
    <mergeCell ref="G167:H167"/>
    <mergeCell ref="I167:J167"/>
    <mergeCell ref="K167:L167"/>
    <mergeCell ref="M167:N167"/>
    <mergeCell ref="O167:P167"/>
    <mergeCell ref="Q167:R167"/>
    <mergeCell ref="S167:T167"/>
    <mergeCell ref="U167:V167"/>
    <mergeCell ref="W167:X167"/>
    <mergeCell ref="Y167:Z167"/>
    <mergeCell ref="AA167:AB167"/>
    <mergeCell ref="M166:N166"/>
    <mergeCell ref="O166:P166"/>
    <mergeCell ref="Q166:R166"/>
    <mergeCell ref="S166:T166"/>
    <mergeCell ref="U166:V166"/>
    <mergeCell ref="C166:D166"/>
    <mergeCell ref="E166:F166"/>
    <mergeCell ref="G166:H166"/>
    <mergeCell ref="I166:J166"/>
    <mergeCell ref="K166:L166"/>
    <mergeCell ref="W181:X181"/>
    <mergeCell ref="W168:X168"/>
    <mergeCell ref="Y168:Z168"/>
    <mergeCell ref="AA168:AB168"/>
    <mergeCell ref="C169:D169"/>
    <mergeCell ref="E169:F169"/>
    <mergeCell ref="G169:H169"/>
    <mergeCell ref="I169:J169"/>
    <mergeCell ref="K169:L169"/>
    <mergeCell ref="M169:N169"/>
    <mergeCell ref="O169:P169"/>
    <mergeCell ref="Q169:R169"/>
    <mergeCell ref="S169:T169"/>
    <mergeCell ref="U169:V169"/>
    <mergeCell ref="W169:X169"/>
    <mergeCell ref="Y169:Z169"/>
    <mergeCell ref="AA169:AB169"/>
    <mergeCell ref="M168:N168"/>
    <mergeCell ref="O168:P168"/>
    <mergeCell ref="Q168:R168"/>
    <mergeCell ref="S168:T168"/>
    <mergeCell ref="U168:V168"/>
    <mergeCell ref="C168:D168"/>
    <mergeCell ref="E168:F168"/>
    <mergeCell ref="G168:H168"/>
    <mergeCell ref="I168:J168"/>
    <mergeCell ref="K168:L168"/>
    <mergeCell ref="AA171:AB171"/>
    <mergeCell ref="C172:D172"/>
    <mergeCell ref="E172:F172"/>
    <mergeCell ref="G172:H172"/>
    <mergeCell ref="I172:J172"/>
    <mergeCell ref="K172:L172"/>
    <mergeCell ref="M172:N172"/>
    <mergeCell ref="O172:P172"/>
    <mergeCell ref="Q172:R172"/>
    <mergeCell ref="S172:T172"/>
    <mergeCell ref="U172:V172"/>
    <mergeCell ref="W172:X172"/>
    <mergeCell ref="Y172:Z172"/>
    <mergeCell ref="AA172:AB172"/>
    <mergeCell ref="W170:X170"/>
    <mergeCell ref="Y170:Z170"/>
    <mergeCell ref="AA170:AB170"/>
    <mergeCell ref="C171:D171"/>
    <mergeCell ref="E171:F171"/>
    <mergeCell ref="G171:H171"/>
    <mergeCell ref="I171:J171"/>
    <mergeCell ref="K171:L171"/>
    <mergeCell ref="M171:N171"/>
    <mergeCell ref="O171:P171"/>
    <mergeCell ref="Q171:R171"/>
    <mergeCell ref="S171:T171"/>
    <mergeCell ref="U171:V171"/>
    <mergeCell ref="W171:X171"/>
    <mergeCell ref="Y171:Z171"/>
    <mergeCell ref="M170:N170"/>
    <mergeCell ref="O170:P170"/>
    <mergeCell ref="Q170:R170"/>
    <mergeCell ref="AA173:AB173"/>
    <mergeCell ref="C174:D174"/>
    <mergeCell ref="E174:F174"/>
    <mergeCell ref="G174:H174"/>
    <mergeCell ref="I174:J174"/>
    <mergeCell ref="K174:L174"/>
    <mergeCell ref="M174:N174"/>
    <mergeCell ref="O174:P174"/>
    <mergeCell ref="Q174:R174"/>
    <mergeCell ref="S174:T174"/>
    <mergeCell ref="U174:V174"/>
    <mergeCell ref="W174:X174"/>
    <mergeCell ref="Y174:Z174"/>
    <mergeCell ref="AA174:AB174"/>
    <mergeCell ref="M173:N173"/>
    <mergeCell ref="O173:P173"/>
    <mergeCell ref="Q173:R173"/>
    <mergeCell ref="S173:T173"/>
    <mergeCell ref="U173:V173"/>
    <mergeCell ref="C173:D173"/>
    <mergeCell ref="E173:F173"/>
    <mergeCell ref="G173:H173"/>
    <mergeCell ref="I173:J173"/>
    <mergeCell ref="K173:L173"/>
    <mergeCell ref="W173:X173"/>
    <mergeCell ref="Y173:Z173"/>
    <mergeCell ref="AA175:AB175"/>
    <mergeCell ref="C176:D176"/>
    <mergeCell ref="E176:F176"/>
    <mergeCell ref="G176:H176"/>
    <mergeCell ref="I176:J176"/>
    <mergeCell ref="K176:L176"/>
    <mergeCell ref="M176:N176"/>
    <mergeCell ref="O176:P176"/>
    <mergeCell ref="Q176:R176"/>
    <mergeCell ref="S176:T176"/>
    <mergeCell ref="U176:V176"/>
    <mergeCell ref="W176:X176"/>
    <mergeCell ref="Y176:Z176"/>
    <mergeCell ref="AA176:AB176"/>
    <mergeCell ref="M175:N175"/>
    <mergeCell ref="O175:P175"/>
    <mergeCell ref="Q175:R175"/>
    <mergeCell ref="S175:T175"/>
    <mergeCell ref="U175:V175"/>
    <mergeCell ref="C175:D175"/>
    <mergeCell ref="E175:F175"/>
    <mergeCell ref="G175:H175"/>
    <mergeCell ref="I175:J175"/>
    <mergeCell ref="K175:L175"/>
    <mergeCell ref="W175:X175"/>
    <mergeCell ref="Y175:Z175"/>
    <mergeCell ref="AA177:AB177"/>
    <mergeCell ref="C178:D178"/>
    <mergeCell ref="E178:F178"/>
    <mergeCell ref="G178:H178"/>
    <mergeCell ref="I178:J178"/>
    <mergeCell ref="K178:L178"/>
    <mergeCell ref="M178:N178"/>
    <mergeCell ref="O178:P178"/>
    <mergeCell ref="Q178:R178"/>
    <mergeCell ref="S178:T178"/>
    <mergeCell ref="U178:V178"/>
    <mergeCell ref="W178:X178"/>
    <mergeCell ref="Y178:Z178"/>
    <mergeCell ref="AA178:AB178"/>
    <mergeCell ref="M177:N177"/>
    <mergeCell ref="O177:P177"/>
    <mergeCell ref="Q177:R177"/>
    <mergeCell ref="S177:T177"/>
    <mergeCell ref="U177:V177"/>
    <mergeCell ref="C177:D177"/>
    <mergeCell ref="E177:F177"/>
    <mergeCell ref="G177:H177"/>
    <mergeCell ref="I177:J177"/>
    <mergeCell ref="K177:L177"/>
    <mergeCell ref="W177:X177"/>
    <mergeCell ref="Y177:Z177"/>
    <mergeCell ref="AA179:AB179"/>
    <mergeCell ref="C180:D180"/>
    <mergeCell ref="E180:F180"/>
    <mergeCell ref="G180:H180"/>
    <mergeCell ref="I180:J180"/>
    <mergeCell ref="K180:L180"/>
    <mergeCell ref="M180:N180"/>
    <mergeCell ref="O180:P180"/>
    <mergeCell ref="Q180:R180"/>
    <mergeCell ref="S180:T180"/>
    <mergeCell ref="U180:V180"/>
    <mergeCell ref="W180:X180"/>
    <mergeCell ref="Y180:Z180"/>
    <mergeCell ref="AA180:AB180"/>
    <mergeCell ref="M179:N179"/>
    <mergeCell ref="O179:P179"/>
    <mergeCell ref="Q179:R179"/>
    <mergeCell ref="S179:T179"/>
    <mergeCell ref="U179:V179"/>
    <mergeCell ref="C179:D179"/>
    <mergeCell ref="E179:F179"/>
    <mergeCell ref="G179:H179"/>
    <mergeCell ref="I179:J179"/>
    <mergeCell ref="K179:L179"/>
    <mergeCell ref="W179:X179"/>
    <mergeCell ref="Y179:Z179"/>
    <mergeCell ref="AA181:AB181"/>
    <mergeCell ref="C181:D181"/>
    <mergeCell ref="U181:V181"/>
    <mergeCell ref="M181:N181"/>
    <mergeCell ref="O181:P181"/>
    <mergeCell ref="Q181:R181"/>
    <mergeCell ref="S181:T181"/>
    <mergeCell ref="E181:F181"/>
    <mergeCell ref="G181:H181"/>
    <mergeCell ref="I181:J181"/>
    <mergeCell ref="K181:L181"/>
    <mergeCell ref="O182:P182"/>
    <mergeCell ref="Q182:R182"/>
    <mergeCell ref="S182:T182"/>
    <mergeCell ref="A182:B183"/>
    <mergeCell ref="C182:D182"/>
    <mergeCell ref="E182:F182"/>
    <mergeCell ref="G182:H182"/>
    <mergeCell ref="I182:J182"/>
    <mergeCell ref="AA183:AB183"/>
    <mergeCell ref="U183:V183"/>
    <mergeCell ref="U182:V182"/>
    <mergeCell ref="W182:X182"/>
    <mergeCell ref="Y182:Z182"/>
    <mergeCell ref="AA182:AB182"/>
    <mergeCell ref="C183:D183"/>
    <mergeCell ref="E183:F183"/>
    <mergeCell ref="G183:H183"/>
    <mergeCell ref="I183:J183"/>
    <mergeCell ref="K183:L183"/>
    <mergeCell ref="M183:N183"/>
    <mergeCell ref="A171:B181"/>
    <mergeCell ref="A86:B86"/>
    <mergeCell ref="A85:B85"/>
    <mergeCell ref="A84:B84"/>
    <mergeCell ref="A83:B83"/>
    <mergeCell ref="A27:B27"/>
    <mergeCell ref="A28:B28"/>
    <mergeCell ref="A29:B29"/>
    <mergeCell ref="O183:P183"/>
    <mergeCell ref="Q183:R183"/>
    <mergeCell ref="S183:T183"/>
    <mergeCell ref="W183:X183"/>
    <mergeCell ref="Y183:Z183"/>
    <mergeCell ref="K182:L182"/>
    <mergeCell ref="M182:N182"/>
    <mergeCell ref="A143:B143"/>
    <mergeCell ref="A144:B144"/>
    <mergeCell ref="A142:B142"/>
    <mergeCell ref="A145:B145"/>
    <mergeCell ref="A146:B146"/>
    <mergeCell ref="A147:B147"/>
    <mergeCell ref="A148:B148"/>
    <mergeCell ref="A89:B89"/>
    <mergeCell ref="A88:B88"/>
    <mergeCell ref="A87:B87"/>
    <mergeCell ref="Y181:Z181"/>
    <mergeCell ref="S170:T170"/>
    <mergeCell ref="U170:V170"/>
    <mergeCell ref="C170:D170"/>
    <mergeCell ref="E170:F170"/>
    <mergeCell ref="G170:H170"/>
    <mergeCell ref="I170:J170"/>
    <mergeCell ref="K170:L170"/>
  </mergeCells>
  <pageMargins left="0.25" right="0.25" top="0.75" bottom="0.75" header="0.3" footer="0.3"/>
  <pageSetup paperSize="9" orientation="portrait" r:id="rId1"/>
  <ignoredErrors>
    <ignoredError sqref="C28:C29"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
  <sheetViews>
    <sheetView tabSelected="1" zoomScale="60" zoomScaleNormal="60" workbookViewId="0">
      <pane ySplit="1" topLeftCell="A47" activePane="bottomLeft" state="frozen"/>
      <selection pane="bottomLeft" activeCell="F8" sqref="F8"/>
    </sheetView>
  </sheetViews>
  <sheetFormatPr defaultColWidth="11.42578125" defaultRowHeight="15" x14ac:dyDescent="0.25"/>
  <cols>
    <col min="1" max="1" width="28.28515625" style="1" bestFit="1" customWidth="1"/>
    <col min="2" max="2" width="36.140625" style="207" customWidth="1"/>
    <col min="3" max="3" width="25.14062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3.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4" s="685" customFormat="1" ht="58.5" customHeight="1" x14ac:dyDescent="0.25">
      <c r="B1" s="693"/>
      <c r="C1" s="694" t="s">
        <v>103</v>
      </c>
      <c r="E1" s="694"/>
    </row>
    <row r="2" spans="1:14" ht="15.75" thickBot="1" x14ac:dyDescent="0.3"/>
    <row r="3" spans="1:14" ht="27" thickBot="1" x14ac:dyDescent="0.45">
      <c r="A3" s="860" t="s">
        <v>360</v>
      </c>
      <c r="B3" s="861"/>
      <c r="C3" s="861"/>
      <c r="D3" s="861"/>
      <c r="E3" s="862"/>
    </row>
    <row r="4" spans="1:14" ht="39.75" customHeight="1" thickBot="1" x14ac:dyDescent="0.3">
      <c r="A4" s="891"/>
      <c r="B4" s="892"/>
      <c r="C4" s="892"/>
      <c r="D4" s="892"/>
      <c r="E4" s="893"/>
    </row>
    <row r="5" spans="1:14" ht="15.75" thickBot="1" x14ac:dyDescent="0.3"/>
    <row r="6" spans="1:14" ht="27" thickBot="1" x14ac:dyDescent="0.45">
      <c r="A6" s="860" t="s">
        <v>133</v>
      </c>
      <c r="B6" s="861"/>
      <c r="C6" s="862"/>
      <c r="D6" s="223"/>
      <c r="E6" s="223"/>
    </row>
    <row r="7" spans="1:14" x14ac:dyDescent="0.25">
      <c r="A7" s="210" t="s">
        <v>112</v>
      </c>
      <c r="B7" s="211">
        <v>52</v>
      </c>
      <c r="C7" s="178" t="s">
        <v>114</v>
      </c>
    </row>
    <row r="8" spans="1:14" ht="30" x14ac:dyDescent="0.25">
      <c r="A8" s="210" t="s">
        <v>116</v>
      </c>
      <c r="B8" s="211">
        <v>2</v>
      </c>
      <c r="C8" s="178" t="s">
        <v>114</v>
      </c>
      <c r="D8" s="1" t="s">
        <v>125</v>
      </c>
    </row>
    <row r="9" spans="1:14" x14ac:dyDescent="0.25">
      <c r="A9" s="210" t="s">
        <v>113</v>
      </c>
      <c r="B9" s="211">
        <v>14</v>
      </c>
      <c r="C9" s="178" t="s">
        <v>115</v>
      </c>
    </row>
    <row r="10" spans="1:14" x14ac:dyDescent="0.25">
      <c r="A10" s="210" t="s">
        <v>126</v>
      </c>
      <c r="B10" s="211">
        <f>(B7-B8)*5 -B9</f>
        <v>236</v>
      </c>
      <c r="C10" s="178" t="s">
        <v>115</v>
      </c>
    </row>
    <row r="11" spans="1:14" x14ac:dyDescent="0.25">
      <c r="A11" s="210" t="s">
        <v>110</v>
      </c>
      <c r="B11" s="211">
        <v>8</v>
      </c>
      <c r="C11" s="178" t="s">
        <v>111</v>
      </c>
    </row>
    <row r="12" spans="1:14" ht="30.75" thickBot="1" x14ac:dyDescent="0.3">
      <c r="A12" s="224" t="s">
        <v>120</v>
      </c>
      <c r="B12" s="225">
        <f>B10*B11</f>
        <v>1888</v>
      </c>
      <c r="C12" s="226" t="s">
        <v>111</v>
      </c>
    </row>
    <row r="13" spans="1:14" ht="49.5" customHeight="1" thickBot="1" x14ac:dyDescent="0.3">
      <c r="A13" s="877" t="s">
        <v>117</v>
      </c>
      <c r="B13" s="227">
        <v>1800</v>
      </c>
      <c r="C13" s="252" t="s">
        <v>121</v>
      </c>
    </row>
    <row r="14" spans="1:14" ht="69" customHeight="1" thickBot="1" x14ac:dyDescent="0.3">
      <c r="A14" s="878"/>
      <c r="B14" s="228">
        <f>B13/12</f>
        <v>150</v>
      </c>
      <c r="C14" s="253" t="s">
        <v>122</v>
      </c>
    </row>
    <row r="15" spans="1:14" x14ac:dyDescent="0.25">
      <c r="A15" s="216"/>
      <c r="B15" s="220"/>
      <c r="C15" s="217"/>
    </row>
    <row r="16" spans="1:14" ht="3.75" customHeight="1" x14ac:dyDescent="0.25">
      <c r="A16" s="218"/>
      <c r="B16" s="221"/>
      <c r="C16" s="219"/>
      <c r="D16" s="172"/>
      <c r="E16" s="172"/>
      <c r="F16" s="172"/>
      <c r="G16" s="172"/>
      <c r="H16" s="172"/>
      <c r="I16" s="172"/>
      <c r="J16" s="172"/>
      <c r="K16" s="172"/>
      <c r="L16" s="172"/>
      <c r="M16" s="172"/>
      <c r="N16" s="172"/>
    </row>
    <row r="17" spans="1:14" ht="15.75" thickBot="1" x14ac:dyDescent="0.3">
      <c r="C17" s="200"/>
      <c r="D17" s="200"/>
      <c r="E17" s="200"/>
      <c r="F17" s="200"/>
    </row>
    <row r="18" spans="1:14" ht="27.75" customHeight="1" thickBot="1" x14ac:dyDescent="0.45">
      <c r="A18" s="860" t="s">
        <v>361</v>
      </c>
      <c r="B18" s="861"/>
      <c r="C18" s="861"/>
      <c r="D18" s="861"/>
      <c r="E18" s="862"/>
      <c r="F18" s="208"/>
    </row>
    <row r="19" spans="1:14" ht="67.5" customHeight="1" thickBot="1" x14ac:dyDescent="0.3">
      <c r="A19" s="695" t="s">
        <v>108</v>
      </c>
      <c r="B19" s="696" t="s">
        <v>119</v>
      </c>
      <c r="C19" s="696" t="s">
        <v>118</v>
      </c>
      <c r="D19" s="696" t="s">
        <v>128</v>
      </c>
      <c r="E19" s="697" t="s">
        <v>129</v>
      </c>
      <c r="F19" s="208"/>
    </row>
    <row r="20" spans="1:14" ht="35.25" customHeight="1" x14ac:dyDescent="0.25">
      <c r="A20" s="243">
        <v>1</v>
      </c>
      <c r="B20" s="229" t="s">
        <v>105</v>
      </c>
      <c r="C20" s="235">
        <v>12</v>
      </c>
      <c r="D20" s="230">
        <v>2</v>
      </c>
      <c r="E20" s="240">
        <f>D20/C20</f>
        <v>0.16666666666666666</v>
      </c>
    </row>
    <row r="21" spans="1:14" x14ac:dyDescent="0.25">
      <c r="A21" s="244">
        <v>2</v>
      </c>
      <c r="B21" s="231" t="s">
        <v>107</v>
      </c>
      <c r="C21" s="236">
        <v>25</v>
      </c>
      <c r="D21" s="232">
        <v>2</v>
      </c>
      <c r="E21" s="241">
        <f>D21/C21</f>
        <v>0.08</v>
      </c>
    </row>
    <row r="22" spans="1:14" ht="15.75" thickBot="1" x14ac:dyDescent="0.3">
      <c r="A22" s="245">
        <v>3</v>
      </c>
      <c r="B22" s="233" t="s">
        <v>123</v>
      </c>
      <c r="C22" s="237">
        <v>10</v>
      </c>
      <c r="D22" s="234">
        <v>1</v>
      </c>
      <c r="E22" s="242">
        <f>D22/C22</f>
        <v>0.1</v>
      </c>
    </row>
    <row r="23" spans="1:14" ht="52.5" customHeight="1" thickBot="1" x14ac:dyDescent="0.3">
      <c r="A23" s="879" t="s">
        <v>127</v>
      </c>
      <c r="B23" s="880"/>
      <c r="C23" s="881"/>
      <c r="D23" s="238" t="s">
        <v>130</v>
      </c>
      <c r="E23" s="254">
        <f>SUM(E20:E22)</f>
        <v>0.34666666666666668</v>
      </c>
    </row>
    <row r="24" spans="1:14" ht="69.75" customHeight="1" thickBot="1" x14ac:dyDescent="0.3">
      <c r="A24" s="882"/>
      <c r="B24" s="883"/>
      <c r="C24" s="884"/>
      <c r="D24" s="228" t="s">
        <v>131</v>
      </c>
      <c r="E24" s="239">
        <f>$B$14/E23</f>
        <v>432.69230769230768</v>
      </c>
      <c r="F24" s="247" t="s">
        <v>132</v>
      </c>
    </row>
    <row r="25" spans="1:14" x14ac:dyDescent="0.25">
      <c r="C25" s="212"/>
      <c r="D25" s="212"/>
      <c r="E25" s="213"/>
    </row>
    <row r="26" spans="1:14" ht="4.5" customHeight="1" x14ac:dyDescent="0.25">
      <c r="A26" s="172"/>
      <c r="B26" s="222"/>
      <c r="C26" s="214"/>
      <c r="D26" s="214"/>
      <c r="E26" s="215"/>
      <c r="F26" s="172"/>
      <c r="G26" s="172"/>
      <c r="H26" s="172"/>
      <c r="I26" s="172"/>
      <c r="J26" s="172"/>
      <c r="K26" s="172"/>
      <c r="L26" s="172"/>
      <c r="M26" s="172"/>
      <c r="N26" s="172"/>
    </row>
    <row r="27" spans="1:14" ht="15.75" thickBot="1" x14ac:dyDescent="0.3"/>
    <row r="28" spans="1:14" ht="27" thickBot="1" x14ac:dyDescent="0.45">
      <c r="A28" s="860" t="s">
        <v>361</v>
      </c>
      <c r="B28" s="861"/>
      <c r="C28" s="861"/>
      <c r="D28" s="861"/>
      <c r="E28" s="862"/>
    </row>
    <row r="29" spans="1:14" ht="62.25" customHeight="1" thickBot="1" x14ac:dyDescent="0.3">
      <c r="A29" s="695" t="s">
        <v>108</v>
      </c>
      <c r="B29" s="696" t="s">
        <v>119</v>
      </c>
      <c r="C29" s="696" t="s">
        <v>118</v>
      </c>
      <c r="D29" s="696" t="s">
        <v>128</v>
      </c>
      <c r="E29" s="697" t="s">
        <v>129</v>
      </c>
    </row>
    <row r="30" spans="1:14" ht="38.25" customHeight="1" x14ac:dyDescent="0.25">
      <c r="A30" s="243">
        <v>1</v>
      </c>
      <c r="B30" s="229" t="s">
        <v>105</v>
      </c>
      <c r="C30" s="230">
        <v>12</v>
      </c>
      <c r="D30" s="230">
        <v>4</v>
      </c>
      <c r="E30" s="240">
        <f>D30/C30</f>
        <v>0.33333333333333331</v>
      </c>
    </row>
    <row r="31" spans="1:14" ht="30" x14ac:dyDescent="0.25">
      <c r="A31" s="244">
        <v>2</v>
      </c>
      <c r="B31" s="231" t="s">
        <v>106</v>
      </c>
      <c r="C31" s="232">
        <v>12</v>
      </c>
      <c r="D31" s="232">
        <v>8</v>
      </c>
      <c r="E31" s="241">
        <f>D31/C31</f>
        <v>0.66666666666666663</v>
      </c>
    </row>
    <row r="32" spans="1:14" ht="30" x14ac:dyDescent="0.25">
      <c r="A32" s="244">
        <v>3</v>
      </c>
      <c r="B32" s="231" t="s">
        <v>124</v>
      </c>
      <c r="C32" s="232">
        <v>18</v>
      </c>
      <c r="D32" s="232">
        <v>8</v>
      </c>
      <c r="E32" s="241">
        <f>D32/C32</f>
        <v>0.44444444444444442</v>
      </c>
    </row>
    <row r="33" spans="1:14" x14ac:dyDescent="0.25">
      <c r="A33" s="244">
        <v>4</v>
      </c>
      <c r="B33" s="231" t="s">
        <v>107</v>
      </c>
      <c r="C33" s="232">
        <v>30</v>
      </c>
      <c r="D33" s="232">
        <v>4</v>
      </c>
      <c r="E33" s="241">
        <f>D33/C33</f>
        <v>0.13333333333333333</v>
      </c>
    </row>
    <row r="34" spans="1:14" ht="15.75" thickBot="1" x14ac:dyDescent="0.3">
      <c r="A34" s="245">
        <v>5</v>
      </c>
      <c r="B34" s="233" t="s">
        <v>109</v>
      </c>
      <c r="C34" s="234">
        <v>8</v>
      </c>
      <c r="D34" s="234">
        <v>1</v>
      </c>
      <c r="E34" s="242">
        <f>D34/C34</f>
        <v>0.125</v>
      </c>
    </row>
    <row r="35" spans="1:14" ht="57" customHeight="1" thickBot="1" x14ac:dyDescent="0.3">
      <c r="A35" s="885"/>
      <c r="B35" s="886"/>
      <c r="C35" s="887"/>
      <c r="D35" s="238" t="s">
        <v>130</v>
      </c>
      <c r="E35" s="255">
        <f>SUM(E30:E34)</f>
        <v>1.7027777777777777</v>
      </c>
    </row>
    <row r="36" spans="1:14" ht="45" customHeight="1" thickBot="1" x14ac:dyDescent="0.3">
      <c r="A36" s="888"/>
      <c r="B36" s="889"/>
      <c r="C36" s="890"/>
      <c r="D36" s="228" t="s">
        <v>131</v>
      </c>
      <c r="E36" s="239">
        <f>$B$14/E35</f>
        <v>88.091353996737354</v>
      </c>
      <c r="F36" s="247" t="s">
        <v>132</v>
      </c>
    </row>
    <row r="38" spans="1:14" ht="5.25" customHeight="1" x14ac:dyDescent="0.25">
      <c r="A38" s="172"/>
      <c r="B38" s="222"/>
      <c r="C38" s="172"/>
      <c r="D38" s="172"/>
      <c r="E38" s="172"/>
      <c r="F38" s="172"/>
      <c r="G38" s="172"/>
      <c r="H38" s="172"/>
      <c r="I38" s="172"/>
      <c r="J38" s="172"/>
      <c r="K38" s="172"/>
      <c r="L38" s="172"/>
      <c r="M38" s="172"/>
      <c r="N38" s="172"/>
    </row>
    <row r="39" spans="1:14" ht="15.75" thickBot="1" x14ac:dyDescent="0.3"/>
    <row r="40" spans="1:14" ht="27" thickBot="1" x14ac:dyDescent="0.45">
      <c r="A40" s="860" t="s">
        <v>362</v>
      </c>
      <c r="B40" s="861"/>
      <c r="C40" s="861"/>
      <c r="D40" s="861"/>
      <c r="E40" s="862"/>
    </row>
    <row r="41" spans="1:14" ht="46.5" customHeight="1" thickBot="1" x14ac:dyDescent="0.3">
      <c r="A41" s="695" t="s">
        <v>108</v>
      </c>
      <c r="B41" s="696" t="s">
        <v>119</v>
      </c>
      <c r="C41" s="696" t="s">
        <v>118</v>
      </c>
      <c r="D41" s="696" t="s">
        <v>128</v>
      </c>
      <c r="E41" s="697" t="s">
        <v>129</v>
      </c>
    </row>
    <row r="42" spans="1:14" ht="31.5" customHeight="1" x14ac:dyDescent="0.25">
      <c r="A42" s="243">
        <v>1</v>
      </c>
      <c r="B42" s="229" t="s">
        <v>105</v>
      </c>
      <c r="C42" s="230">
        <v>12</v>
      </c>
      <c r="D42" s="230">
        <v>8</v>
      </c>
      <c r="E42" s="240">
        <f>D42/C42</f>
        <v>0.66666666666666663</v>
      </c>
    </row>
    <row r="43" spans="1:14" ht="30" x14ac:dyDescent="0.25">
      <c r="A43" s="244">
        <v>2</v>
      </c>
      <c r="B43" s="231" t="s">
        <v>106</v>
      </c>
      <c r="C43" s="232">
        <v>16</v>
      </c>
      <c r="D43" s="232">
        <v>16</v>
      </c>
      <c r="E43" s="241">
        <f>D43/C43</f>
        <v>1</v>
      </c>
    </row>
    <row r="44" spans="1:14" ht="30" x14ac:dyDescent="0.25">
      <c r="A44" s="244">
        <v>3</v>
      </c>
      <c r="B44" s="231" t="s">
        <v>124</v>
      </c>
      <c r="C44" s="232">
        <v>20</v>
      </c>
      <c r="D44" s="232">
        <v>16</v>
      </c>
      <c r="E44" s="241">
        <f>D44/C44</f>
        <v>0.8</v>
      </c>
    </row>
    <row r="45" spans="1:14" x14ac:dyDescent="0.25">
      <c r="A45" s="244">
        <v>4</v>
      </c>
      <c r="B45" s="231" t="s">
        <v>107</v>
      </c>
      <c r="C45" s="232">
        <v>30</v>
      </c>
      <c r="D45" s="232">
        <v>8</v>
      </c>
      <c r="E45" s="241">
        <f>D45/C45</f>
        <v>0.26666666666666666</v>
      </c>
    </row>
    <row r="46" spans="1:14" ht="15.75" thickBot="1" x14ac:dyDescent="0.3">
      <c r="A46" s="245">
        <v>5</v>
      </c>
      <c r="B46" s="233" t="s">
        <v>109</v>
      </c>
      <c r="C46" s="234">
        <v>5</v>
      </c>
      <c r="D46" s="234">
        <v>1</v>
      </c>
      <c r="E46" s="242">
        <f>D46/C46</f>
        <v>0.2</v>
      </c>
    </row>
    <row r="47" spans="1:14" ht="45.75" thickBot="1" x14ac:dyDescent="0.3">
      <c r="A47" s="885"/>
      <c r="B47" s="886"/>
      <c r="C47" s="887"/>
      <c r="D47" s="238" t="s">
        <v>130</v>
      </c>
      <c r="E47" s="255">
        <f>SUM(E42:E46)</f>
        <v>2.9333333333333336</v>
      </c>
    </row>
    <row r="48" spans="1:14" ht="66.75" customHeight="1" thickBot="1" x14ac:dyDescent="0.3">
      <c r="A48" s="888"/>
      <c r="B48" s="889"/>
      <c r="C48" s="890"/>
      <c r="D48" s="228" t="s">
        <v>131</v>
      </c>
      <c r="E48" s="239">
        <f>$B$14/E47</f>
        <v>51.136363636363633</v>
      </c>
      <c r="F48" s="247" t="s">
        <v>132</v>
      </c>
    </row>
    <row r="49" spans="1:26" ht="39.75" customHeight="1" x14ac:dyDescent="0.25">
      <c r="A49" s="216"/>
      <c r="B49" s="216"/>
      <c r="C49" s="216"/>
      <c r="D49" s="220"/>
      <c r="E49" s="246"/>
    </row>
    <row r="50" spans="1:26" ht="3.75" customHeight="1" x14ac:dyDescent="0.25">
      <c r="A50" s="172"/>
      <c r="B50" s="222"/>
      <c r="C50" s="172"/>
      <c r="D50" s="172"/>
      <c r="E50" s="172"/>
      <c r="F50" s="172"/>
      <c r="G50" s="172"/>
      <c r="H50" s="172"/>
      <c r="I50" s="172"/>
      <c r="J50" s="172"/>
      <c r="K50" s="172"/>
      <c r="L50" s="172"/>
      <c r="M50" s="172"/>
      <c r="N50" s="172"/>
    </row>
    <row r="51" spans="1:26" ht="9" customHeight="1" x14ac:dyDescent="0.25"/>
    <row r="52" spans="1:26" ht="9" customHeight="1" thickBot="1" x14ac:dyDescent="0.3"/>
    <row r="53" spans="1:26" ht="32.25" customHeight="1" thickBot="1" x14ac:dyDescent="0.45">
      <c r="A53" s="860" t="s">
        <v>140</v>
      </c>
      <c r="B53" s="861"/>
      <c r="C53" s="861"/>
      <c r="D53" s="861"/>
      <c r="E53" s="862"/>
    </row>
    <row r="54" spans="1:26" x14ac:dyDescent="0.25">
      <c r="A54" s="895" t="s">
        <v>137</v>
      </c>
      <c r="B54" s="895"/>
      <c r="C54" s="894" t="s">
        <v>42</v>
      </c>
      <c r="D54" s="894"/>
      <c r="E54" s="894" t="s">
        <v>43</v>
      </c>
      <c r="F54" s="894"/>
      <c r="G54" s="894" t="s">
        <v>44</v>
      </c>
      <c r="H54" s="894"/>
      <c r="I54" s="894" t="s">
        <v>45</v>
      </c>
      <c r="J54" s="894"/>
      <c r="K54" s="894" t="s">
        <v>46</v>
      </c>
      <c r="L54" s="894"/>
      <c r="M54" s="894" t="s">
        <v>47</v>
      </c>
      <c r="N54" s="894"/>
      <c r="O54" s="894" t="s">
        <v>48</v>
      </c>
      <c r="P54" s="894"/>
      <c r="Q54" s="894" t="s">
        <v>49</v>
      </c>
      <c r="R54" s="894"/>
      <c r="S54" s="894" t="s">
        <v>50</v>
      </c>
      <c r="T54" s="894"/>
      <c r="U54" s="894" t="s">
        <v>51</v>
      </c>
      <c r="V54" s="894"/>
      <c r="W54" s="894" t="s">
        <v>52</v>
      </c>
      <c r="X54" s="894"/>
      <c r="Y54" s="894" t="s">
        <v>53</v>
      </c>
      <c r="Z54" s="894"/>
    </row>
    <row r="55" spans="1:26" ht="45" x14ac:dyDescent="0.25">
      <c r="A55" s="895"/>
      <c r="B55" s="895"/>
      <c r="C55" s="698" t="s">
        <v>134</v>
      </c>
      <c r="D55" s="698" t="s">
        <v>136</v>
      </c>
      <c r="E55" s="698" t="s">
        <v>134</v>
      </c>
      <c r="F55" s="698" t="s">
        <v>135</v>
      </c>
      <c r="G55" s="698" t="s">
        <v>134</v>
      </c>
      <c r="H55" s="698" t="s">
        <v>136</v>
      </c>
      <c r="I55" s="698" t="s">
        <v>134</v>
      </c>
      <c r="J55" s="698" t="s">
        <v>135</v>
      </c>
      <c r="K55" s="698" t="s">
        <v>134</v>
      </c>
      <c r="L55" s="698" t="s">
        <v>136</v>
      </c>
      <c r="M55" s="698" t="s">
        <v>134</v>
      </c>
      <c r="N55" s="698" t="s">
        <v>136</v>
      </c>
      <c r="O55" s="698" t="s">
        <v>134</v>
      </c>
      <c r="P55" s="698" t="s">
        <v>136</v>
      </c>
      <c r="Q55" s="698" t="s">
        <v>134</v>
      </c>
      <c r="R55" s="698" t="s">
        <v>136</v>
      </c>
      <c r="S55" s="698" t="s">
        <v>134</v>
      </c>
      <c r="T55" s="698" t="s">
        <v>136</v>
      </c>
      <c r="U55" s="698" t="s">
        <v>134</v>
      </c>
      <c r="V55" s="698" t="s">
        <v>136</v>
      </c>
      <c r="W55" s="698" t="s">
        <v>134</v>
      </c>
      <c r="X55" s="698" t="s">
        <v>136</v>
      </c>
      <c r="Y55" s="698" t="s">
        <v>134</v>
      </c>
      <c r="Z55" s="698" t="s">
        <v>136</v>
      </c>
    </row>
    <row r="56" spans="1:26" ht="15.75" x14ac:dyDescent="0.25">
      <c r="A56" s="250"/>
      <c r="B56" s="250"/>
      <c r="C56" s="178">
        <f>'Proy. ventas'!E28</f>
        <v>0.12</v>
      </c>
      <c r="D56" s="178">
        <f>C56*$E$23</f>
        <v>4.1599999999999998E-2</v>
      </c>
      <c r="E56" s="249">
        <f>'Proy. ventas'!G28</f>
        <v>0.08</v>
      </c>
      <c r="F56" s="178">
        <f>E56*$E$23</f>
        <v>2.7733333333333336E-2</v>
      </c>
      <c r="G56" s="249">
        <f>'Proy. ventas'!I28</f>
        <v>0.16</v>
      </c>
      <c r="H56" s="178">
        <f>G56*$E$23</f>
        <v>5.5466666666666671E-2</v>
      </c>
      <c r="I56" s="249">
        <f>'Proy. ventas'!K28</f>
        <v>0.14000000000000001</v>
      </c>
      <c r="J56" s="178">
        <f>I56*$E$23</f>
        <v>4.8533333333333338E-2</v>
      </c>
      <c r="K56" s="249">
        <f>'Proy. ventas'!M28</f>
        <v>0.22</v>
      </c>
      <c r="L56" s="178">
        <f>K56*$E$23</f>
        <v>7.6266666666666663E-2</v>
      </c>
      <c r="M56" s="249">
        <f>'Proy. ventas'!O28</f>
        <v>0.08</v>
      </c>
      <c r="N56" s="178">
        <f>M56*$E$23</f>
        <v>2.7733333333333336E-2</v>
      </c>
      <c r="O56" s="249">
        <f>'Proy. ventas'!Q28</f>
        <v>0.12</v>
      </c>
      <c r="P56" s="178">
        <f>O56*$E$23</f>
        <v>4.1599999999999998E-2</v>
      </c>
      <c r="Q56" s="249">
        <f>'Proy. ventas'!S28</f>
        <v>0.24</v>
      </c>
      <c r="R56" s="178">
        <f>Q56*$E$23</f>
        <v>8.3199999999999996E-2</v>
      </c>
      <c r="S56" s="249">
        <f>'Proy. ventas'!U28</f>
        <v>0.22</v>
      </c>
      <c r="T56" s="178">
        <f>S56*$E$23</f>
        <v>7.6266666666666663E-2</v>
      </c>
      <c r="U56" s="249">
        <f>'Proy. ventas'!W28</f>
        <v>0.28000000000000003</v>
      </c>
      <c r="V56" s="178">
        <f>U56*$E$23</f>
        <v>9.7066666666666676E-2</v>
      </c>
      <c r="W56" s="249">
        <f>'Proy. ventas'!Y28</f>
        <v>0.16</v>
      </c>
      <c r="X56" s="178">
        <f>W56*$E$23</f>
        <v>5.5466666666666671E-2</v>
      </c>
      <c r="Y56" s="249">
        <f>'Proy. ventas'!AA28</f>
        <v>0.18</v>
      </c>
      <c r="Z56" s="178">
        <f>Y56*$E$23</f>
        <v>6.2399999999999997E-2</v>
      </c>
    </row>
    <row r="57" spans="1:26" ht="15.75" x14ac:dyDescent="0.25">
      <c r="A57" s="250"/>
      <c r="B57" s="250"/>
      <c r="C57" s="178">
        <f>'Proy. ventas'!E29</f>
        <v>0.12</v>
      </c>
      <c r="D57" s="178">
        <f>C57*$E$35</f>
        <v>0.20433333333333331</v>
      </c>
      <c r="E57" s="249">
        <f>'Proy. ventas'!G29</f>
        <v>0.08</v>
      </c>
      <c r="F57" s="178">
        <f>E57*$E$35</f>
        <v>0.13622222222222222</v>
      </c>
      <c r="G57" s="249">
        <f>'Proy. ventas'!I29</f>
        <v>0.16</v>
      </c>
      <c r="H57" s="178">
        <f>G57*$E$35</f>
        <v>0.27244444444444443</v>
      </c>
      <c r="I57" s="249">
        <f>'Proy. ventas'!K29</f>
        <v>0.14000000000000001</v>
      </c>
      <c r="J57" s="178">
        <f>I57*$E$35</f>
        <v>0.2383888888888889</v>
      </c>
      <c r="K57" s="249">
        <f>'Proy. ventas'!M29</f>
        <v>0.22</v>
      </c>
      <c r="L57" s="178">
        <f>K57*$E$35</f>
        <v>0.37461111111111112</v>
      </c>
      <c r="M57" s="249">
        <f>'Proy. ventas'!O29</f>
        <v>0.08</v>
      </c>
      <c r="N57" s="178">
        <f>M57*$E$35</f>
        <v>0.13622222222222222</v>
      </c>
      <c r="O57" s="249">
        <f>'Proy. ventas'!Q29</f>
        <v>0.12</v>
      </c>
      <c r="P57" s="178">
        <f>O57*$E$35</f>
        <v>0.20433333333333331</v>
      </c>
      <c r="Q57" s="249">
        <f>'Proy. ventas'!S29</f>
        <v>0.24</v>
      </c>
      <c r="R57" s="178">
        <f>Q57*$E$35</f>
        <v>0.40866666666666662</v>
      </c>
      <c r="S57" s="249">
        <f>'Proy. ventas'!U29</f>
        <v>0.22</v>
      </c>
      <c r="T57" s="178">
        <f>S57*$E$35</f>
        <v>0.37461111111111112</v>
      </c>
      <c r="U57" s="249">
        <f>'Proy. ventas'!W29</f>
        <v>0.28000000000000003</v>
      </c>
      <c r="V57" s="178">
        <f>U57*$E$35</f>
        <v>0.4767777777777778</v>
      </c>
      <c r="W57" s="249">
        <f>'Proy. ventas'!Y29</f>
        <v>0.16</v>
      </c>
      <c r="X57" s="178">
        <f>W57*$E$35</f>
        <v>0.27244444444444443</v>
      </c>
      <c r="Y57" s="249">
        <f>'Proy. ventas'!AA29</f>
        <v>0.18</v>
      </c>
      <c r="Z57" s="178">
        <f>Y57*$E$35</f>
        <v>0.30649999999999999</v>
      </c>
    </row>
    <row r="58" spans="1:26" ht="15.75" x14ac:dyDescent="0.25">
      <c r="A58" s="250"/>
      <c r="B58" s="250"/>
      <c r="C58" s="249" t="e">
        <f>'Proy. ventas'!#REF!</f>
        <v>#REF!</v>
      </c>
      <c r="D58" s="178" t="e">
        <f>C58*$E$47</f>
        <v>#REF!</v>
      </c>
      <c r="E58" s="249" t="e">
        <f>'Proy. ventas'!#REF!</f>
        <v>#REF!</v>
      </c>
      <c r="F58" s="178" t="e">
        <f>E58*$E$47</f>
        <v>#REF!</v>
      </c>
      <c r="G58" s="249" t="e">
        <f>'Proy. ventas'!#REF!</f>
        <v>#REF!</v>
      </c>
      <c r="H58" s="178" t="e">
        <f>G58*$E$47</f>
        <v>#REF!</v>
      </c>
      <c r="I58" s="249" t="e">
        <f>'Proy. ventas'!#REF!</f>
        <v>#REF!</v>
      </c>
      <c r="J58" s="178" t="e">
        <f>I58*$E$47</f>
        <v>#REF!</v>
      </c>
      <c r="K58" s="249" t="e">
        <f>'Proy. ventas'!#REF!</f>
        <v>#REF!</v>
      </c>
      <c r="L58" s="178" t="e">
        <f>K58*$E$47</f>
        <v>#REF!</v>
      </c>
      <c r="M58" s="249" t="e">
        <f>'Proy. ventas'!#REF!</f>
        <v>#REF!</v>
      </c>
      <c r="N58" s="178" t="e">
        <f>M58*$E$47</f>
        <v>#REF!</v>
      </c>
      <c r="O58" s="249" t="e">
        <f>'Proy. ventas'!#REF!</f>
        <v>#REF!</v>
      </c>
      <c r="P58" s="178" t="e">
        <f>O58*$E$47</f>
        <v>#REF!</v>
      </c>
      <c r="Q58" s="249" t="e">
        <f>'Proy. ventas'!#REF!</f>
        <v>#REF!</v>
      </c>
      <c r="R58" s="178" t="e">
        <f>Q58*$E$47</f>
        <v>#REF!</v>
      </c>
      <c r="S58" s="249" t="e">
        <f>'Proy. ventas'!#REF!</f>
        <v>#REF!</v>
      </c>
      <c r="T58" s="178" t="e">
        <f>S58*$E$47</f>
        <v>#REF!</v>
      </c>
      <c r="U58" s="249" t="e">
        <f>'Proy. ventas'!#REF!</f>
        <v>#REF!</v>
      </c>
      <c r="V58" s="178" t="e">
        <f>U58*$E$47</f>
        <v>#REF!</v>
      </c>
      <c r="W58" s="249" t="e">
        <f>'Proy. ventas'!#REF!</f>
        <v>#REF!</v>
      </c>
      <c r="X58" s="178" t="e">
        <f>W58*$E$47</f>
        <v>#REF!</v>
      </c>
      <c r="Y58" s="249" t="e">
        <f>'Proy. ventas'!#REF!</f>
        <v>#REF!</v>
      </c>
      <c r="Z58" s="178" t="e">
        <f>Y58*$E$47</f>
        <v>#REF!</v>
      </c>
    </row>
    <row r="59" spans="1:26" x14ac:dyDescent="0.25">
      <c r="A59" s="896" t="s">
        <v>58</v>
      </c>
      <c r="B59" s="896"/>
      <c r="C59" s="249" t="e">
        <f t="shared" ref="C59:Z59" si="0">SUM(C56:C58)</f>
        <v>#REF!</v>
      </c>
      <c r="D59" s="251" t="e">
        <f t="shared" si="0"/>
        <v>#REF!</v>
      </c>
      <c r="E59" s="249" t="e">
        <f t="shared" si="0"/>
        <v>#REF!</v>
      </c>
      <c r="F59" s="251" t="e">
        <f t="shared" si="0"/>
        <v>#REF!</v>
      </c>
      <c r="G59" s="249" t="e">
        <f t="shared" si="0"/>
        <v>#REF!</v>
      </c>
      <c r="H59" s="251" t="e">
        <f t="shared" si="0"/>
        <v>#REF!</v>
      </c>
      <c r="I59" s="249" t="e">
        <f t="shared" si="0"/>
        <v>#REF!</v>
      </c>
      <c r="J59" s="251" t="e">
        <f t="shared" si="0"/>
        <v>#REF!</v>
      </c>
      <c r="K59" s="249" t="e">
        <f t="shared" si="0"/>
        <v>#REF!</v>
      </c>
      <c r="L59" s="251" t="e">
        <f t="shared" si="0"/>
        <v>#REF!</v>
      </c>
      <c r="M59" s="249" t="e">
        <f t="shared" si="0"/>
        <v>#REF!</v>
      </c>
      <c r="N59" s="251" t="e">
        <f t="shared" si="0"/>
        <v>#REF!</v>
      </c>
      <c r="O59" s="249" t="e">
        <f t="shared" si="0"/>
        <v>#REF!</v>
      </c>
      <c r="P59" s="251" t="e">
        <f t="shared" si="0"/>
        <v>#REF!</v>
      </c>
      <c r="Q59" s="249" t="e">
        <f t="shared" si="0"/>
        <v>#REF!</v>
      </c>
      <c r="R59" s="251" t="e">
        <f t="shared" si="0"/>
        <v>#REF!</v>
      </c>
      <c r="S59" s="249" t="e">
        <f t="shared" si="0"/>
        <v>#REF!</v>
      </c>
      <c r="T59" s="251" t="e">
        <f t="shared" si="0"/>
        <v>#REF!</v>
      </c>
      <c r="U59" s="249" t="e">
        <f t="shared" si="0"/>
        <v>#REF!</v>
      </c>
      <c r="V59" s="251" t="e">
        <f t="shared" si="0"/>
        <v>#REF!</v>
      </c>
      <c r="W59" s="249" t="e">
        <f t="shared" si="0"/>
        <v>#REF!</v>
      </c>
      <c r="X59" s="251" t="e">
        <f t="shared" si="0"/>
        <v>#REF!</v>
      </c>
      <c r="Y59" s="249" t="e">
        <f t="shared" si="0"/>
        <v>#REF!</v>
      </c>
      <c r="Z59" s="251" t="e">
        <f t="shared" si="0"/>
        <v>#REF!</v>
      </c>
    </row>
    <row r="60" spans="1:26" ht="9.75" customHeight="1" x14ac:dyDescent="0.25"/>
    <row r="61" spans="1:26" ht="9.75" customHeight="1" x14ac:dyDescent="0.25"/>
    <row r="62" spans="1:26" x14ac:dyDescent="0.25">
      <c r="A62" s="895" t="s">
        <v>138</v>
      </c>
      <c r="B62" s="895"/>
      <c r="C62" s="894" t="s">
        <v>42</v>
      </c>
      <c r="D62" s="894"/>
      <c r="E62" s="894" t="s">
        <v>43</v>
      </c>
      <c r="F62" s="894"/>
      <c r="G62" s="894" t="s">
        <v>44</v>
      </c>
      <c r="H62" s="894"/>
      <c r="I62" s="894" t="s">
        <v>45</v>
      </c>
      <c r="J62" s="894"/>
      <c r="K62" s="894" t="s">
        <v>46</v>
      </c>
      <c r="L62" s="894"/>
      <c r="M62" s="894" t="s">
        <v>47</v>
      </c>
      <c r="N62" s="894"/>
      <c r="O62" s="894" t="s">
        <v>48</v>
      </c>
      <c r="P62" s="894"/>
      <c r="Q62" s="894" t="s">
        <v>49</v>
      </c>
      <c r="R62" s="894"/>
      <c r="S62" s="894" t="s">
        <v>50</v>
      </c>
      <c r="T62" s="894"/>
      <c r="U62" s="894" t="s">
        <v>51</v>
      </c>
      <c r="V62" s="894"/>
      <c r="W62" s="894" t="s">
        <v>52</v>
      </c>
      <c r="X62" s="894"/>
      <c r="Y62" s="894" t="s">
        <v>53</v>
      </c>
      <c r="Z62" s="894"/>
    </row>
    <row r="63" spans="1:26" ht="45" x14ac:dyDescent="0.25">
      <c r="A63" s="895"/>
      <c r="B63" s="895"/>
      <c r="C63" s="698" t="s">
        <v>134</v>
      </c>
      <c r="D63" s="698" t="s">
        <v>136</v>
      </c>
      <c r="E63" s="698" t="s">
        <v>134</v>
      </c>
      <c r="F63" s="698" t="s">
        <v>135</v>
      </c>
      <c r="G63" s="698" t="s">
        <v>134</v>
      </c>
      <c r="H63" s="698" t="s">
        <v>136</v>
      </c>
      <c r="I63" s="698" t="s">
        <v>134</v>
      </c>
      <c r="J63" s="698" t="s">
        <v>135</v>
      </c>
      <c r="K63" s="698" t="s">
        <v>134</v>
      </c>
      <c r="L63" s="698" t="s">
        <v>136</v>
      </c>
      <c r="M63" s="698" t="s">
        <v>134</v>
      </c>
      <c r="N63" s="698" t="s">
        <v>136</v>
      </c>
      <c r="O63" s="698" t="s">
        <v>134</v>
      </c>
      <c r="P63" s="698" t="s">
        <v>136</v>
      </c>
      <c r="Q63" s="698" t="s">
        <v>134</v>
      </c>
      <c r="R63" s="698" t="s">
        <v>136</v>
      </c>
      <c r="S63" s="698" t="s">
        <v>134</v>
      </c>
      <c r="T63" s="698" t="s">
        <v>136</v>
      </c>
      <c r="U63" s="698" t="s">
        <v>134</v>
      </c>
      <c r="V63" s="698" t="s">
        <v>136</v>
      </c>
      <c r="W63" s="698" t="s">
        <v>134</v>
      </c>
      <c r="X63" s="698" t="s">
        <v>136</v>
      </c>
      <c r="Y63" s="698" t="s">
        <v>134</v>
      </c>
      <c r="Z63" s="698" t="s">
        <v>136</v>
      </c>
    </row>
    <row r="64" spans="1:26" ht="15.75" x14ac:dyDescent="0.25">
      <c r="A64" s="250"/>
      <c r="B64" s="250"/>
      <c r="C64" s="178">
        <f>'Proy. ventas'!E84</f>
        <v>132</v>
      </c>
      <c r="D64" s="178">
        <f>C64*$E$23</f>
        <v>45.760000000000005</v>
      </c>
      <c r="E64" s="249">
        <f>'Proy. ventas'!G75</f>
        <v>120</v>
      </c>
      <c r="F64" s="178">
        <f>E64*$E$23</f>
        <v>41.6</v>
      </c>
      <c r="G64" s="249">
        <f>'Proy. ventas'!I75</f>
        <v>84.000000000000014</v>
      </c>
      <c r="H64" s="178">
        <f>G64*$E$23</f>
        <v>29.120000000000005</v>
      </c>
      <c r="I64" s="249">
        <f>'Proy. ventas'!K75</f>
        <v>72</v>
      </c>
      <c r="J64" s="178">
        <f>I64*$E$23</f>
        <v>24.96</v>
      </c>
      <c r="K64" s="249">
        <f>'Proy. ventas'!M75</f>
        <v>72</v>
      </c>
      <c r="L64" s="178">
        <f>K64*$E$23</f>
        <v>24.96</v>
      </c>
      <c r="M64" s="249">
        <f>'Proy. ventas'!O75</f>
        <v>48</v>
      </c>
      <c r="N64" s="178">
        <f>M64*$E$23</f>
        <v>16.64</v>
      </c>
      <c r="O64" s="249">
        <f>'Proy. ventas'!Q75</f>
        <v>108</v>
      </c>
      <c r="P64" s="178">
        <f>O64*$E$23</f>
        <v>37.44</v>
      </c>
      <c r="Q64" s="249">
        <f>'Proy. ventas'!S75</f>
        <v>60</v>
      </c>
      <c r="R64" s="178">
        <f>Q64*$E$23</f>
        <v>20.8</v>
      </c>
      <c r="S64" s="249">
        <f>'Proy. ventas'!U75</f>
        <v>108</v>
      </c>
      <c r="T64" s="178">
        <f>S64*$E$23</f>
        <v>37.44</v>
      </c>
      <c r="U64" s="249">
        <f>'Proy. ventas'!W75</f>
        <v>120</v>
      </c>
      <c r="V64" s="178">
        <f>U64*$E$23</f>
        <v>41.6</v>
      </c>
      <c r="W64" s="249">
        <f>'Proy. ventas'!Y75</f>
        <v>132</v>
      </c>
      <c r="X64" s="178">
        <f>W64*$E$23</f>
        <v>45.760000000000005</v>
      </c>
      <c r="Y64" s="249">
        <f>'Proy. ventas'!AA75</f>
        <v>144</v>
      </c>
      <c r="Z64" s="178">
        <f>Y64*$E$23</f>
        <v>49.92</v>
      </c>
    </row>
    <row r="65" spans="1:26" ht="15.75" x14ac:dyDescent="0.25">
      <c r="A65" s="250"/>
      <c r="B65" s="250"/>
      <c r="C65" s="249">
        <f>'Proy. ventas'!E76</f>
        <v>92.95</v>
      </c>
      <c r="D65" s="178">
        <f>C65*$E$35</f>
        <v>158.27319444444444</v>
      </c>
      <c r="E65" s="249">
        <f>'Proy. ventas'!G76</f>
        <v>84.5</v>
      </c>
      <c r="F65" s="178">
        <f>E65*$E$35</f>
        <v>143.88472222222222</v>
      </c>
      <c r="G65" s="249">
        <f>'Proy. ventas'!I76</f>
        <v>59.150000000000006</v>
      </c>
      <c r="H65" s="178">
        <f>G65*$E$35</f>
        <v>100.71930555555556</v>
      </c>
      <c r="I65" s="249">
        <f>'Proy. ventas'!K76</f>
        <v>50.699999999999996</v>
      </c>
      <c r="J65" s="178">
        <f>I65*$E$35</f>
        <v>86.330833333333317</v>
      </c>
      <c r="K65" s="249">
        <f>'Proy. ventas'!M76</f>
        <v>50.699999999999996</v>
      </c>
      <c r="L65" s="178">
        <f>K65*$E$35</f>
        <v>86.330833333333317</v>
      </c>
      <c r="M65" s="249">
        <f>'Proy. ventas'!O76</f>
        <v>33.799999999999997</v>
      </c>
      <c r="N65" s="178">
        <f>M65*$E$35</f>
        <v>57.553888888888885</v>
      </c>
      <c r="O65" s="249">
        <f>'Proy. ventas'!Q76</f>
        <v>76.05</v>
      </c>
      <c r="P65" s="178">
        <f>O65*$E$35</f>
        <v>129.49625</v>
      </c>
      <c r="Q65" s="249">
        <f>'Proy. ventas'!S76</f>
        <v>42.25</v>
      </c>
      <c r="R65" s="178">
        <f>Q65*$E$35</f>
        <v>71.942361111111111</v>
      </c>
      <c r="S65" s="249">
        <f>'Proy. ventas'!U76</f>
        <v>76.05</v>
      </c>
      <c r="T65" s="178">
        <f>S65*$E$35</f>
        <v>129.49625</v>
      </c>
      <c r="U65" s="249">
        <f>'Proy. ventas'!W76</f>
        <v>84.5</v>
      </c>
      <c r="V65" s="178">
        <f>U65*$E$35</f>
        <v>143.88472222222222</v>
      </c>
      <c r="W65" s="249">
        <f>'Proy. ventas'!Y76</f>
        <v>92.95</v>
      </c>
      <c r="X65" s="178">
        <f>W65*$E$35</f>
        <v>158.27319444444444</v>
      </c>
      <c r="Y65" s="249">
        <f>'Proy. ventas'!AA76</f>
        <v>101.39999999999999</v>
      </c>
      <c r="Z65" s="178">
        <f>Y65*$E$35</f>
        <v>172.66166666666663</v>
      </c>
    </row>
    <row r="66" spans="1:26" ht="15.75" x14ac:dyDescent="0.25">
      <c r="A66" s="250"/>
      <c r="B66" s="250"/>
      <c r="C66" s="249">
        <f>'Proy. ventas'!E77</f>
        <v>26.95</v>
      </c>
      <c r="D66" s="178">
        <f>C66*$E$47</f>
        <v>79.053333333333342</v>
      </c>
      <c r="E66" s="249">
        <f>'Proy. ventas'!G77</f>
        <v>24.5</v>
      </c>
      <c r="F66" s="178">
        <f>E66*$E$47</f>
        <v>71.866666666666674</v>
      </c>
      <c r="G66" s="249">
        <f>'Proy. ventas'!I77</f>
        <v>17.150000000000002</v>
      </c>
      <c r="H66" s="178">
        <f>G66*$E$47</f>
        <v>50.306666666666679</v>
      </c>
      <c r="I66" s="249">
        <f>'Proy. ventas'!K77</f>
        <v>14.7</v>
      </c>
      <c r="J66" s="178">
        <f>I66*$E$47</f>
        <v>43.120000000000005</v>
      </c>
      <c r="K66" s="249">
        <f>'Proy. ventas'!M77</f>
        <v>14.7</v>
      </c>
      <c r="L66" s="178">
        <f>K66*$E$47</f>
        <v>43.120000000000005</v>
      </c>
      <c r="M66" s="249">
        <f>'Proy. ventas'!O77</f>
        <v>9.8000000000000007</v>
      </c>
      <c r="N66" s="178">
        <f>M66*$E$47</f>
        <v>28.74666666666667</v>
      </c>
      <c r="O66" s="249">
        <f>'Proy. ventas'!Q77</f>
        <v>22.05</v>
      </c>
      <c r="P66" s="178">
        <f>O66*$E$47</f>
        <v>64.680000000000007</v>
      </c>
      <c r="Q66" s="249">
        <f>'Proy. ventas'!S77</f>
        <v>12.25</v>
      </c>
      <c r="R66" s="178">
        <f>Q66*$E$47</f>
        <v>35.933333333333337</v>
      </c>
      <c r="S66" s="249">
        <f>'Proy. ventas'!U77</f>
        <v>22.05</v>
      </c>
      <c r="T66" s="178">
        <f>S66*$E$47</f>
        <v>64.680000000000007</v>
      </c>
      <c r="U66" s="249">
        <f>'Proy. ventas'!W77</f>
        <v>24.5</v>
      </c>
      <c r="V66" s="178">
        <f>U66*$E$47</f>
        <v>71.866666666666674</v>
      </c>
      <c r="W66" s="249">
        <f>'Proy. ventas'!Y77</f>
        <v>26.95</v>
      </c>
      <c r="X66" s="178">
        <f>W66*$E$47</f>
        <v>79.053333333333342</v>
      </c>
      <c r="Y66" s="249">
        <f>'Proy. ventas'!AA77</f>
        <v>29.4</v>
      </c>
      <c r="Z66" s="178">
        <f>Y66*$E$47</f>
        <v>86.240000000000009</v>
      </c>
    </row>
    <row r="67" spans="1:26" x14ac:dyDescent="0.25">
      <c r="A67" s="896" t="s">
        <v>58</v>
      </c>
      <c r="B67" s="896"/>
      <c r="C67" s="249">
        <f t="shared" ref="C67:Z67" si="1">SUM(C64:C66)</f>
        <v>251.89999999999998</v>
      </c>
      <c r="D67" s="251">
        <f t="shared" si="1"/>
        <v>283.0865277777778</v>
      </c>
      <c r="E67" s="249">
        <f t="shared" si="1"/>
        <v>229</v>
      </c>
      <c r="F67" s="251">
        <f t="shared" si="1"/>
        <v>257.35138888888889</v>
      </c>
      <c r="G67" s="249">
        <f t="shared" si="1"/>
        <v>160.30000000000004</v>
      </c>
      <c r="H67" s="251">
        <f t="shared" si="1"/>
        <v>180.14597222222224</v>
      </c>
      <c r="I67" s="249">
        <f t="shared" si="1"/>
        <v>137.39999999999998</v>
      </c>
      <c r="J67" s="251">
        <f t="shared" si="1"/>
        <v>154.41083333333333</v>
      </c>
      <c r="K67" s="249">
        <f t="shared" si="1"/>
        <v>137.39999999999998</v>
      </c>
      <c r="L67" s="251">
        <f t="shared" si="1"/>
        <v>154.41083333333333</v>
      </c>
      <c r="M67" s="249">
        <f t="shared" si="1"/>
        <v>91.6</v>
      </c>
      <c r="N67" s="251">
        <f t="shared" si="1"/>
        <v>102.94055555555556</v>
      </c>
      <c r="O67" s="249">
        <f t="shared" si="1"/>
        <v>206.10000000000002</v>
      </c>
      <c r="P67" s="251">
        <f t="shared" si="1"/>
        <v>231.61625000000001</v>
      </c>
      <c r="Q67" s="249">
        <f t="shared" si="1"/>
        <v>114.5</v>
      </c>
      <c r="R67" s="251">
        <f t="shared" si="1"/>
        <v>128.67569444444445</v>
      </c>
      <c r="S67" s="249">
        <f t="shared" si="1"/>
        <v>206.10000000000002</v>
      </c>
      <c r="T67" s="251">
        <f t="shared" si="1"/>
        <v>231.61625000000001</v>
      </c>
      <c r="U67" s="249">
        <f t="shared" si="1"/>
        <v>229</v>
      </c>
      <c r="V67" s="251">
        <f t="shared" si="1"/>
        <v>257.35138888888889</v>
      </c>
      <c r="W67" s="249">
        <f t="shared" si="1"/>
        <v>251.89999999999998</v>
      </c>
      <c r="X67" s="251">
        <f t="shared" si="1"/>
        <v>283.0865277777778</v>
      </c>
      <c r="Y67" s="249">
        <f t="shared" si="1"/>
        <v>274.79999999999995</v>
      </c>
      <c r="Z67" s="251">
        <f t="shared" si="1"/>
        <v>308.82166666666666</v>
      </c>
    </row>
    <row r="68" spans="1:26" ht="9.75" customHeight="1" x14ac:dyDescent="0.25"/>
    <row r="69" spans="1:26" ht="9.75" customHeight="1" x14ac:dyDescent="0.25"/>
    <row r="70" spans="1:26" x14ac:dyDescent="0.25">
      <c r="A70" s="895" t="s">
        <v>139</v>
      </c>
      <c r="B70" s="895"/>
      <c r="C70" s="894" t="s">
        <v>42</v>
      </c>
      <c r="D70" s="894"/>
      <c r="E70" s="894" t="s">
        <v>43</v>
      </c>
      <c r="F70" s="894"/>
      <c r="G70" s="894" t="s">
        <v>44</v>
      </c>
      <c r="H70" s="894"/>
      <c r="I70" s="894" t="s">
        <v>45</v>
      </c>
      <c r="J70" s="894"/>
      <c r="K70" s="894" t="s">
        <v>46</v>
      </c>
      <c r="L70" s="894"/>
      <c r="M70" s="894" t="s">
        <v>47</v>
      </c>
      <c r="N70" s="894"/>
      <c r="O70" s="894" t="s">
        <v>48</v>
      </c>
      <c r="P70" s="894"/>
      <c r="Q70" s="894" t="s">
        <v>49</v>
      </c>
      <c r="R70" s="894"/>
      <c r="S70" s="894" t="s">
        <v>50</v>
      </c>
      <c r="T70" s="894"/>
      <c r="U70" s="894" t="s">
        <v>51</v>
      </c>
      <c r="V70" s="894"/>
      <c r="W70" s="894" t="s">
        <v>52</v>
      </c>
      <c r="X70" s="894"/>
      <c r="Y70" s="894" t="s">
        <v>53</v>
      </c>
      <c r="Z70" s="894"/>
    </row>
    <row r="71" spans="1:26" ht="45" x14ac:dyDescent="0.25">
      <c r="A71" s="895"/>
      <c r="B71" s="895"/>
      <c r="C71" s="698" t="s">
        <v>134</v>
      </c>
      <c r="D71" s="698" t="s">
        <v>136</v>
      </c>
      <c r="E71" s="698" t="s">
        <v>134</v>
      </c>
      <c r="F71" s="698" t="s">
        <v>135</v>
      </c>
      <c r="G71" s="698" t="s">
        <v>134</v>
      </c>
      <c r="H71" s="698" t="s">
        <v>136</v>
      </c>
      <c r="I71" s="698" t="s">
        <v>134</v>
      </c>
      <c r="J71" s="698" t="s">
        <v>135</v>
      </c>
      <c r="K71" s="698" t="s">
        <v>134</v>
      </c>
      <c r="L71" s="698" t="s">
        <v>136</v>
      </c>
      <c r="M71" s="698" t="s">
        <v>134</v>
      </c>
      <c r="N71" s="698" t="s">
        <v>136</v>
      </c>
      <c r="O71" s="698" t="s">
        <v>134</v>
      </c>
      <c r="P71" s="698" t="s">
        <v>136</v>
      </c>
      <c r="Q71" s="698" t="s">
        <v>134</v>
      </c>
      <c r="R71" s="698" t="s">
        <v>136</v>
      </c>
      <c r="S71" s="698" t="s">
        <v>134</v>
      </c>
      <c r="T71" s="698" t="s">
        <v>136</v>
      </c>
      <c r="U71" s="698" t="s">
        <v>134</v>
      </c>
      <c r="V71" s="698" t="s">
        <v>136</v>
      </c>
      <c r="W71" s="698" t="s">
        <v>134</v>
      </c>
      <c r="X71" s="698" t="s">
        <v>136</v>
      </c>
      <c r="Y71" s="698" t="s">
        <v>134</v>
      </c>
      <c r="Z71" s="698" t="s">
        <v>136</v>
      </c>
    </row>
    <row r="72" spans="1:26" ht="15.75" x14ac:dyDescent="0.25">
      <c r="A72" s="250"/>
      <c r="B72" s="250"/>
      <c r="C72" s="249">
        <f>'Proy. ventas'!E134</f>
        <v>203.5</v>
      </c>
      <c r="D72" s="178">
        <f>C72*$E$23</f>
        <v>70.546666666666667</v>
      </c>
      <c r="E72" s="249">
        <f>'Proy. ventas'!G134</f>
        <v>166.5</v>
      </c>
      <c r="F72" s="178">
        <f>E72*$E$23</f>
        <v>57.72</v>
      </c>
      <c r="G72" s="249">
        <f>'Proy. ventas'!I134</f>
        <v>148</v>
      </c>
      <c r="H72" s="178">
        <f>G72*$E$23</f>
        <v>51.306666666666672</v>
      </c>
      <c r="I72" s="249">
        <f>'Proy. ventas'!K134</f>
        <v>111</v>
      </c>
      <c r="J72" s="178">
        <f>I72*$E$23</f>
        <v>38.480000000000004</v>
      </c>
      <c r="K72" s="249">
        <f>'Proy. ventas'!M134</f>
        <v>111</v>
      </c>
      <c r="L72" s="178">
        <f>K72*$E$23</f>
        <v>38.480000000000004</v>
      </c>
      <c r="M72" s="249">
        <f>'Proy. ventas'!O134</f>
        <v>92.5</v>
      </c>
      <c r="N72" s="178">
        <f>M72*$E$23</f>
        <v>32.06666666666667</v>
      </c>
      <c r="O72" s="249">
        <f>'Proy. ventas'!Q134</f>
        <v>185</v>
      </c>
      <c r="P72" s="178">
        <f>O72*$E$23</f>
        <v>64.13333333333334</v>
      </c>
      <c r="Q72" s="249">
        <f>'Proy. ventas'!S134</f>
        <v>92.5</v>
      </c>
      <c r="R72" s="178">
        <f>Q72*$E$23</f>
        <v>32.06666666666667</v>
      </c>
      <c r="S72" s="249">
        <f>'Proy. ventas'!U134</f>
        <v>148</v>
      </c>
      <c r="T72" s="178">
        <f>S72*$E$23</f>
        <v>51.306666666666672</v>
      </c>
      <c r="U72" s="249">
        <f>'Proy. ventas'!W134</f>
        <v>185</v>
      </c>
      <c r="V72" s="178">
        <f>U72*$E$23</f>
        <v>64.13333333333334</v>
      </c>
      <c r="W72" s="249">
        <f>'Proy. ventas'!Y134</f>
        <v>185</v>
      </c>
      <c r="X72" s="178">
        <f>W72*$E$23</f>
        <v>64.13333333333334</v>
      </c>
      <c r="Y72" s="249">
        <f>'Proy. ventas'!AA134</f>
        <v>222</v>
      </c>
      <c r="Z72" s="178">
        <f>Y72*$E$23</f>
        <v>76.960000000000008</v>
      </c>
    </row>
    <row r="73" spans="1:26" ht="15.75" x14ac:dyDescent="0.25">
      <c r="A73" s="250"/>
      <c r="B73" s="250"/>
      <c r="C73" s="249">
        <f>'Proy. ventas'!E135</f>
        <v>159.5</v>
      </c>
      <c r="D73" s="178">
        <f>C73*$E$35</f>
        <v>271.59305555555557</v>
      </c>
      <c r="E73" s="249">
        <f>'Proy. ventas'!G135</f>
        <v>130.5</v>
      </c>
      <c r="F73" s="178">
        <f>E73*$E$35</f>
        <v>222.21250000000001</v>
      </c>
      <c r="G73" s="249">
        <f>'Proy. ventas'!I135</f>
        <v>116</v>
      </c>
      <c r="H73" s="178">
        <f>G73*$E$35</f>
        <v>197.52222222222221</v>
      </c>
      <c r="I73" s="249">
        <f>'Proy. ventas'!K135</f>
        <v>87</v>
      </c>
      <c r="J73" s="178">
        <f>I73*$E$35</f>
        <v>148.14166666666665</v>
      </c>
      <c r="K73" s="249">
        <f>'Proy. ventas'!M135</f>
        <v>87</v>
      </c>
      <c r="L73" s="178">
        <f>K73*$E$35</f>
        <v>148.14166666666665</v>
      </c>
      <c r="M73" s="249">
        <f>'Proy. ventas'!O135</f>
        <v>72.5</v>
      </c>
      <c r="N73" s="178">
        <f>M73*$E$35</f>
        <v>123.45138888888889</v>
      </c>
      <c r="O73" s="249">
        <f>'Proy. ventas'!Q135</f>
        <v>145</v>
      </c>
      <c r="P73" s="178">
        <f>O73*$E$35</f>
        <v>246.90277777777777</v>
      </c>
      <c r="Q73" s="249">
        <f>'Proy. ventas'!S135</f>
        <v>72.5</v>
      </c>
      <c r="R73" s="178">
        <f>Q73*$E$35</f>
        <v>123.45138888888889</v>
      </c>
      <c r="S73" s="249">
        <f>'Proy. ventas'!U135</f>
        <v>116</v>
      </c>
      <c r="T73" s="178">
        <f>S73*$E$35</f>
        <v>197.52222222222221</v>
      </c>
      <c r="U73" s="249">
        <f>'Proy. ventas'!W135</f>
        <v>145</v>
      </c>
      <c r="V73" s="178">
        <f>U73*$E$35</f>
        <v>246.90277777777777</v>
      </c>
      <c r="W73" s="249">
        <f>'Proy. ventas'!Y135</f>
        <v>145</v>
      </c>
      <c r="X73" s="178">
        <f>W73*$E$35</f>
        <v>246.90277777777777</v>
      </c>
      <c r="Y73" s="249">
        <f>'Proy. ventas'!AA135</f>
        <v>174</v>
      </c>
      <c r="Z73" s="178">
        <f>Y73*$E$35</f>
        <v>296.2833333333333</v>
      </c>
    </row>
    <row r="74" spans="1:26" ht="15.75" x14ac:dyDescent="0.25">
      <c r="A74" s="250"/>
      <c r="B74" s="250"/>
      <c r="C74" s="249">
        <f>'Proy. ventas'!E136</f>
        <v>69.3</v>
      </c>
      <c r="D74" s="178">
        <f>C74*$E$47</f>
        <v>203.28</v>
      </c>
      <c r="E74" s="249">
        <f>'Proy. ventas'!G136</f>
        <v>56.699999999999996</v>
      </c>
      <c r="F74" s="178">
        <f>E74*$E$47</f>
        <v>166.32</v>
      </c>
      <c r="G74" s="249">
        <f>'Proy. ventas'!I136</f>
        <v>50.4</v>
      </c>
      <c r="H74" s="178">
        <f>G74*$E$47</f>
        <v>147.84</v>
      </c>
      <c r="I74" s="249">
        <f>'Proy. ventas'!K136</f>
        <v>37.799999999999997</v>
      </c>
      <c r="J74" s="178">
        <f>I74*$E$47</f>
        <v>110.88</v>
      </c>
      <c r="K74" s="249">
        <f>'Proy. ventas'!M136</f>
        <v>37.799999999999997</v>
      </c>
      <c r="L74" s="178">
        <f>K74*$E$47</f>
        <v>110.88</v>
      </c>
      <c r="M74" s="249">
        <f>'Proy. ventas'!O136</f>
        <v>31.5</v>
      </c>
      <c r="N74" s="178">
        <f>M74*$E$47</f>
        <v>92.4</v>
      </c>
      <c r="O74" s="249">
        <f>'Proy. ventas'!Q136</f>
        <v>63</v>
      </c>
      <c r="P74" s="178">
        <f>O74*$E$47</f>
        <v>184.8</v>
      </c>
      <c r="Q74" s="249">
        <f>'Proy. ventas'!S136</f>
        <v>31.5</v>
      </c>
      <c r="R74" s="178">
        <f>Q74*$E$47</f>
        <v>92.4</v>
      </c>
      <c r="S74" s="249">
        <f>'Proy. ventas'!U136</f>
        <v>50.4</v>
      </c>
      <c r="T74" s="178">
        <f>S74*$E$47</f>
        <v>147.84</v>
      </c>
      <c r="U74" s="249">
        <f>'Proy. ventas'!W136</f>
        <v>63</v>
      </c>
      <c r="V74" s="178">
        <f>U74*$E$47</f>
        <v>184.8</v>
      </c>
      <c r="W74" s="249">
        <f>'Proy. ventas'!Y136</f>
        <v>63</v>
      </c>
      <c r="X74" s="178">
        <f>W74*$E$47</f>
        <v>184.8</v>
      </c>
      <c r="Y74" s="249">
        <f>'Proy. ventas'!AA136</f>
        <v>75.599999999999994</v>
      </c>
      <c r="Z74" s="178">
        <f>Y74*$E$47</f>
        <v>221.76</v>
      </c>
    </row>
    <row r="75" spans="1:26" x14ac:dyDescent="0.25">
      <c r="A75" s="896" t="s">
        <v>58</v>
      </c>
      <c r="B75" s="896"/>
      <c r="C75" s="249">
        <f t="shared" ref="C75:Z75" si="2">SUM(C72:C74)</f>
        <v>432.3</v>
      </c>
      <c r="D75" s="251">
        <f t="shared" si="2"/>
        <v>545.41972222222228</v>
      </c>
      <c r="E75" s="249">
        <f t="shared" si="2"/>
        <v>353.7</v>
      </c>
      <c r="F75" s="251">
        <f t="shared" si="2"/>
        <v>446.2525</v>
      </c>
      <c r="G75" s="249">
        <f t="shared" si="2"/>
        <v>314.39999999999998</v>
      </c>
      <c r="H75" s="251">
        <f t="shared" si="2"/>
        <v>396.66888888888889</v>
      </c>
      <c r="I75" s="249">
        <f t="shared" si="2"/>
        <v>235.8</v>
      </c>
      <c r="J75" s="251">
        <f t="shared" si="2"/>
        <v>297.50166666666667</v>
      </c>
      <c r="K75" s="249">
        <f t="shared" si="2"/>
        <v>235.8</v>
      </c>
      <c r="L75" s="251">
        <f t="shared" si="2"/>
        <v>297.50166666666667</v>
      </c>
      <c r="M75" s="249">
        <f t="shared" si="2"/>
        <v>196.5</v>
      </c>
      <c r="N75" s="251">
        <f t="shared" si="2"/>
        <v>247.91805555555555</v>
      </c>
      <c r="O75" s="249">
        <f t="shared" si="2"/>
        <v>393</v>
      </c>
      <c r="P75" s="251">
        <f t="shared" si="2"/>
        <v>495.83611111111111</v>
      </c>
      <c r="Q75" s="249">
        <f t="shared" si="2"/>
        <v>196.5</v>
      </c>
      <c r="R75" s="251">
        <f t="shared" si="2"/>
        <v>247.91805555555555</v>
      </c>
      <c r="S75" s="249">
        <f t="shared" si="2"/>
        <v>314.39999999999998</v>
      </c>
      <c r="T75" s="251">
        <f t="shared" si="2"/>
        <v>396.66888888888889</v>
      </c>
      <c r="U75" s="249">
        <f t="shared" si="2"/>
        <v>393</v>
      </c>
      <c r="V75" s="251">
        <f t="shared" si="2"/>
        <v>495.83611111111111</v>
      </c>
      <c r="W75" s="249">
        <f t="shared" si="2"/>
        <v>393</v>
      </c>
      <c r="X75" s="251">
        <f t="shared" si="2"/>
        <v>495.83611111111111</v>
      </c>
      <c r="Y75" s="249">
        <f t="shared" si="2"/>
        <v>471.6</v>
      </c>
      <c r="Z75" s="251">
        <f t="shared" si="2"/>
        <v>595.00333333333333</v>
      </c>
    </row>
    <row r="76" spans="1:26" ht="9.75" customHeight="1" thickBot="1" x14ac:dyDescent="0.3"/>
    <row r="77" spans="1:26" ht="22.5" customHeight="1" thickBot="1" x14ac:dyDescent="0.45">
      <c r="A77" s="860" t="s">
        <v>142</v>
      </c>
      <c r="B77" s="861"/>
      <c r="C77" s="861"/>
      <c r="D77" s="861"/>
      <c r="E77" s="862"/>
    </row>
    <row r="78" spans="1:26" ht="52.5" customHeight="1" x14ac:dyDescent="0.25">
      <c r="A78" s="897" t="s">
        <v>143</v>
      </c>
      <c r="B78" s="897"/>
      <c r="C78" s="897"/>
      <c r="D78" s="897"/>
      <c r="E78" s="897"/>
      <c r="F78" s="248"/>
      <c r="G78" s="248"/>
      <c r="H78" s="248"/>
      <c r="I78" s="248"/>
      <c r="J78" s="248"/>
    </row>
    <row r="79" spans="1:26" ht="9.75" customHeight="1" x14ac:dyDescent="0.25"/>
    <row r="80" spans="1:26" ht="9.75" customHeight="1" x14ac:dyDescent="0.25"/>
    <row r="81" spans="1:10" ht="9.75" customHeight="1" x14ac:dyDescent="0.25"/>
    <row r="82" spans="1:10" ht="9.75" customHeight="1" x14ac:dyDescent="0.25"/>
    <row r="83" spans="1:10" ht="9.75" customHeight="1" x14ac:dyDescent="0.25"/>
    <row r="84" spans="1:10" ht="9.75" customHeight="1" x14ac:dyDescent="0.25"/>
    <row r="85" spans="1:10" ht="9.75" customHeight="1" x14ac:dyDescent="0.25"/>
    <row r="86" spans="1:10" ht="9.75" customHeight="1" x14ac:dyDescent="0.25"/>
    <row r="87" spans="1:10" ht="9.75" customHeight="1" x14ac:dyDescent="0.25"/>
    <row r="88" spans="1:10" ht="9.75" customHeight="1" x14ac:dyDescent="0.25"/>
    <row r="89" spans="1:10" ht="9.75" customHeight="1" x14ac:dyDescent="0.25"/>
    <row r="90" spans="1:10" ht="9" customHeight="1" x14ac:dyDescent="0.25"/>
    <row r="91" spans="1:10" ht="15" customHeight="1" x14ac:dyDescent="0.25"/>
    <row r="92" spans="1:10" ht="9" customHeight="1" x14ac:dyDescent="0.25"/>
    <row r="93" spans="1:10" ht="9" customHeight="1" x14ac:dyDescent="0.25"/>
    <row r="94" spans="1:10" ht="17.25" customHeight="1" x14ac:dyDescent="0.25"/>
    <row r="95" spans="1:10" ht="12.75" customHeight="1" x14ac:dyDescent="0.25">
      <c r="A95"/>
      <c r="B95" s="1"/>
      <c r="C95" s="207"/>
    </row>
    <row r="96" spans="1:10" x14ac:dyDescent="0.25">
      <c r="B96" s="1"/>
      <c r="C96" s="207"/>
      <c r="D96" s="209"/>
      <c r="E96" s="209"/>
      <c r="F96" s="209"/>
      <c r="G96" s="209"/>
      <c r="H96" s="209"/>
      <c r="I96" s="209"/>
      <c r="J96" s="209"/>
    </row>
    <row r="99" ht="14.25" customHeight="1" x14ac:dyDescent="0.25"/>
  </sheetData>
  <mergeCells count="55">
    <mergeCell ref="A75:B75"/>
    <mergeCell ref="A53:E53"/>
    <mergeCell ref="A77:E77"/>
    <mergeCell ref="A78:E78"/>
    <mergeCell ref="W62:X62"/>
    <mergeCell ref="O62:P62"/>
    <mergeCell ref="Q62:R62"/>
    <mergeCell ref="S62:T62"/>
    <mergeCell ref="U62:V62"/>
    <mergeCell ref="C62:D62"/>
    <mergeCell ref="E62:F62"/>
    <mergeCell ref="G62:H62"/>
    <mergeCell ref="I62:J62"/>
    <mergeCell ref="K62:L62"/>
    <mergeCell ref="A54:B55"/>
    <mergeCell ref="A59:B59"/>
    <mergeCell ref="Y62:Z62"/>
    <mergeCell ref="A67:B67"/>
    <mergeCell ref="A70:B71"/>
    <mergeCell ref="C70:D70"/>
    <mergeCell ref="E70:F70"/>
    <mergeCell ref="G70:H70"/>
    <mergeCell ref="I70:J70"/>
    <mergeCell ref="K70:L70"/>
    <mergeCell ref="M70:N70"/>
    <mergeCell ref="O70:P70"/>
    <mergeCell ref="Q70:R70"/>
    <mergeCell ref="S70:T70"/>
    <mergeCell ref="U70:V70"/>
    <mergeCell ref="W70:X70"/>
    <mergeCell ref="Y70:Z70"/>
    <mergeCell ref="M62:N62"/>
    <mergeCell ref="A62:B63"/>
    <mergeCell ref="C54:D54"/>
    <mergeCell ref="E54:F54"/>
    <mergeCell ref="G54:H54"/>
    <mergeCell ref="I54:J54"/>
    <mergeCell ref="U54:V54"/>
    <mergeCell ref="W54:X54"/>
    <mergeCell ref="Y54:Z54"/>
    <mergeCell ref="A28:E28"/>
    <mergeCell ref="A40:E40"/>
    <mergeCell ref="K54:L54"/>
    <mergeCell ref="M54:N54"/>
    <mergeCell ref="O54:P54"/>
    <mergeCell ref="Q54:R54"/>
    <mergeCell ref="S54:T54"/>
    <mergeCell ref="A13:A14"/>
    <mergeCell ref="A23:C24"/>
    <mergeCell ref="A35:C36"/>
    <mergeCell ref="A47:C48"/>
    <mergeCell ref="A3:E3"/>
    <mergeCell ref="A4:E4"/>
    <mergeCell ref="A6:C6"/>
    <mergeCell ref="A18:E18"/>
  </mergeCells>
  <phoneticPr fontId="25"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0"/>
  <sheetViews>
    <sheetView zoomScale="70" zoomScaleNormal="70" workbookViewId="0">
      <pane ySplit="1" topLeftCell="A2" activePane="bottomLeft" state="frozen"/>
      <selection pane="bottomLeft" activeCell="F34" sqref="F34"/>
    </sheetView>
  </sheetViews>
  <sheetFormatPr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617" customFormat="1" ht="58.5" customHeight="1" x14ac:dyDescent="0.25">
      <c r="A1" s="619"/>
      <c r="B1" s="619"/>
      <c r="C1" s="619"/>
      <c r="D1" s="619"/>
      <c r="E1" s="622" t="s">
        <v>3</v>
      </c>
      <c r="F1" s="619"/>
      <c r="G1" s="623"/>
      <c r="H1" s="623"/>
      <c r="I1" s="619"/>
      <c r="J1" s="619"/>
      <c r="K1" s="619"/>
      <c r="L1" s="619"/>
      <c r="M1" s="619"/>
      <c r="N1" s="619"/>
      <c r="O1" s="619"/>
      <c r="P1" s="619"/>
      <c r="Q1" s="619"/>
      <c r="R1" s="619"/>
      <c r="S1" s="619"/>
      <c r="T1" s="619"/>
      <c r="U1" s="619"/>
      <c r="V1" s="619"/>
      <c r="W1" s="619"/>
      <c r="X1" s="619"/>
    </row>
    <row r="6" spans="1:24" ht="15.75" thickBot="1" x14ac:dyDescent="0.3"/>
    <row r="7" spans="1:24" ht="27" thickBot="1" x14ac:dyDescent="0.45">
      <c r="B7" s="838" t="s">
        <v>36</v>
      </c>
      <c r="C7" s="839"/>
      <c r="D7" s="840"/>
    </row>
    <row r="8" spans="1:24" x14ac:dyDescent="0.25">
      <c r="B8" s="34">
        <v>2019</v>
      </c>
      <c r="C8" s="34">
        <v>2020</v>
      </c>
      <c r="D8" s="34">
        <v>2021</v>
      </c>
    </row>
    <row r="9" spans="1:24" x14ac:dyDescent="0.25">
      <c r="B9" s="40">
        <f>Hipótesis!C24</f>
        <v>0.03</v>
      </c>
      <c r="C9" s="40">
        <f>Hipótesis!C25</f>
        <v>7.0000000000000007E-2</v>
      </c>
      <c r="D9" s="40">
        <f>Hipótesis!C26</f>
        <v>0.12</v>
      </c>
    </row>
    <row r="10" spans="1:24" x14ac:dyDescent="0.25">
      <c r="B10" s="33">
        <f>Hipótesis!D24</f>
        <v>18750000</v>
      </c>
      <c r="C10" s="33">
        <f>Hipótesis!D25</f>
        <v>43750000.000000007</v>
      </c>
      <c r="D10" s="33">
        <f>Hipótesis!D26</f>
        <v>75000000</v>
      </c>
    </row>
    <row r="14" spans="1:24" ht="15.75" thickBot="1" x14ac:dyDescent="0.3"/>
    <row r="15" spans="1:24" ht="27" thickBot="1" x14ac:dyDescent="0.45">
      <c r="B15" s="898" t="s">
        <v>59</v>
      </c>
      <c r="C15" s="899"/>
      <c r="D15" s="899"/>
      <c r="E15" s="900"/>
    </row>
    <row r="16" spans="1:24" ht="16.5" thickBot="1" x14ac:dyDescent="0.3">
      <c r="B16" s="133" t="s">
        <v>32</v>
      </c>
      <c r="C16" s="132" t="s">
        <v>55</v>
      </c>
      <c r="D16" s="132" t="s">
        <v>56</v>
      </c>
      <c r="E16" s="134" t="s">
        <v>57</v>
      </c>
    </row>
    <row r="17" spans="2:5" ht="15.75" x14ac:dyDescent="0.25">
      <c r="B17" s="138"/>
      <c r="C17" s="139">
        <f>'Proy. ventas'!D19</f>
        <v>4000000</v>
      </c>
      <c r="D17" s="139">
        <f>'Proy. ventas'!D75</f>
        <v>2400000000</v>
      </c>
      <c r="E17" s="140">
        <f>'Proy. ventas'!D134</f>
        <v>3700000000</v>
      </c>
    </row>
    <row r="18" spans="2:5" ht="15.75" x14ac:dyDescent="0.25">
      <c r="B18" s="141"/>
      <c r="C18" s="142">
        <f>'Proy. ventas'!D20</f>
        <v>4600000</v>
      </c>
      <c r="D18" s="142">
        <f>'Proy. ventas'!D76</f>
        <v>1943500000</v>
      </c>
      <c r="E18" s="143">
        <f>'Proy. ventas'!D135</f>
        <v>3335000000</v>
      </c>
    </row>
    <row r="19" spans="2:5" ht="16.5" thickBot="1" x14ac:dyDescent="0.3">
      <c r="B19" s="144"/>
      <c r="C19" s="145">
        <f>'Proy. ventas'!D21</f>
        <v>2300000</v>
      </c>
      <c r="D19" s="145">
        <f>'Proy. ventas'!D77</f>
        <v>563500000</v>
      </c>
      <c r="E19" s="146">
        <f>'Proy. ventas'!D136</f>
        <v>1449000000</v>
      </c>
    </row>
    <row r="20" spans="2:5" ht="15.75" x14ac:dyDescent="0.25">
      <c r="B20" s="147"/>
      <c r="C20" s="148">
        <f>'Proy. ventas'!D22</f>
        <v>5000000</v>
      </c>
      <c r="D20" s="148">
        <f>'Proy. ventas'!D78</f>
        <v>4500000000</v>
      </c>
      <c r="E20" s="149">
        <f>'Proy. ventas'!D137</f>
        <v>9482500000</v>
      </c>
    </row>
    <row r="21" spans="2:5" ht="15.75" x14ac:dyDescent="0.25">
      <c r="B21" s="150"/>
      <c r="C21" s="151">
        <f>'Proy. ventas'!D23</f>
        <v>300000</v>
      </c>
      <c r="D21" s="151">
        <f>'Proy. ventas'!D79</f>
        <v>540000000</v>
      </c>
      <c r="E21" s="152">
        <f>'Proy. ventas'!D138</f>
        <v>1128000000</v>
      </c>
    </row>
    <row r="22" spans="2:5" ht="15.75" x14ac:dyDescent="0.25">
      <c r="B22" s="150"/>
      <c r="C22" s="151">
        <f>'Proy. ventas'!D24</f>
        <v>500000</v>
      </c>
      <c r="D22" s="151">
        <f>'Proy. ventas'!D80</f>
        <v>375000000</v>
      </c>
      <c r="E22" s="152">
        <f>'Proy. ventas'!D139</f>
        <v>850000000</v>
      </c>
    </row>
    <row r="23" spans="2:5" ht="16.5" thickBot="1" x14ac:dyDescent="0.3">
      <c r="B23" s="153"/>
      <c r="C23" s="154">
        <f>'Proy. ventas'!D25</f>
        <v>600000</v>
      </c>
      <c r="D23" s="154">
        <f>'Proy. ventas'!D81</f>
        <v>960000000</v>
      </c>
      <c r="E23" s="155">
        <f>'Proy. ventas'!D140</f>
        <v>1920000000</v>
      </c>
    </row>
    <row r="24" spans="2:5" ht="15.75" x14ac:dyDescent="0.25">
      <c r="B24" s="156"/>
      <c r="C24" s="157">
        <f>'Proy. ventas'!D26</f>
        <v>800000</v>
      </c>
      <c r="D24" s="157">
        <f>'Proy. ventas'!D82</f>
        <v>720000000</v>
      </c>
      <c r="E24" s="158">
        <f>'Proy. ventas'!D141</f>
        <v>800000000</v>
      </c>
    </row>
    <row r="25" spans="2:5" ht="15.75" x14ac:dyDescent="0.25">
      <c r="B25" s="159"/>
      <c r="C25" s="160" t="e">
        <f>'Proy. ventas'!#REF!</f>
        <v>#REF!</v>
      </c>
      <c r="D25" s="160" t="e">
        <f>'Proy. ventas'!#REF!</f>
        <v>#REF!</v>
      </c>
      <c r="E25" s="161" t="e">
        <f>'Proy. ventas'!#REF!</f>
        <v>#REF!</v>
      </c>
    </row>
    <row r="26" spans="2:5" ht="15.75" x14ac:dyDescent="0.25">
      <c r="B26" s="159"/>
      <c r="C26" s="160" t="e">
        <f>'Proy. ventas'!#REF!</f>
        <v>#REF!</v>
      </c>
      <c r="D26" s="160" t="e">
        <f>'Proy. ventas'!#REF!</f>
        <v>#REF!</v>
      </c>
      <c r="E26" s="161" t="e">
        <f>'Proy. ventas'!#REF!</f>
        <v>#REF!</v>
      </c>
    </row>
    <row r="27" spans="2:5" ht="15.75" x14ac:dyDescent="0.25">
      <c r="B27" s="159"/>
      <c r="C27" s="160" t="e">
        <f>'Proy. ventas'!#REF!</f>
        <v>#REF!</v>
      </c>
      <c r="D27" s="160" t="e">
        <f>'Proy. ventas'!#REF!</f>
        <v>#REF!</v>
      </c>
      <c r="E27" s="161" t="e">
        <f>'Proy. ventas'!#REF!</f>
        <v>#REF!</v>
      </c>
    </row>
    <row r="28" spans="2:5" ht="16.5" thickBot="1" x14ac:dyDescent="0.3">
      <c r="B28" s="162"/>
      <c r="C28" s="163" t="e">
        <f>'Proy. ventas'!#REF!</f>
        <v>#REF!</v>
      </c>
      <c r="D28" s="163" t="e">
        <f>'Proy. ventas'!#REF!</f>
        <v>#REF!</v>
      </c>
      <c r="E28" s="164" t="e">
        <f>'Proy. ventas'!#REF!</f>
        <v>#REF!</v>
      </c>
    </row>
    <row r="29" spans="2:5" ht="15.75" x14ac:dyDescent="0.25">
      <c r="B29" s="165"/>
      <c r="C29" s="166" t="e">
        <f>'Proy. ventas'!#REF!</f>
        <v>#REF!</v>
      </c>
      <c r="D29" s="166" t="e">
        <f>'Proy. ventas'!#REF!</f>
        <v>#REF!</v>
      </c>
      <c r="E29" s="167" t="e">
        <f>'Proy. ventas'!#REF!</f>
        <v>#REF!</v>
      </c>
    </row>
    <row r="30" spans="2:5" ht="15.75" thickBot="1" x14ac:dyDescent="0.3">
      <c r="B30" s="135" t="s">
        <v>58</v>
      </c>
      <c r="C30" s="136" t="e">
        <f>SUM(C17:C29)</f>
        <v>#REF!</v>
      </c>
      <c r="D30" s="136" t="e">
        <f>SUM(D17:D29)</f>
        <v>#REF!</v>
      </c>
      <c r="E30" s="137" t="e">
        <f>SUM(E17:E29)</f>
        <v>#REF!</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1"/>
  <sheetViews>
    <sheetView zoomScale="85" zoomScaleNormal="70" workbookViewId="0">
      <pane ySplit="1" topLeftCell="A18" activePane="bottomLeft" state="frozen"/>
      <selection pane="bottomLeft"/>
    </sheetView>
  </sheetViews>
  <sheetFormatPr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617" customFormat="1" ht="58.5" customHeight="1" x14ac:dyDescent="0.25">
      <c r="A1" s="619"/>
      <c r="B1" s="619"/>
      <c r="C1" s="619"/>
      <c r="D1" s="619"/>
      <c r="E1" s="619"/>
      <c r="F1" s="622" t="s">
        <v>4</v>
      </c>
      <c r="G1" s="623"/>
      <c r="H1" s="623"/>
      <c r="I1" s="619"/>
      <c r="J1" s="619"/>
      <c r="K1" s="619"/>
      <c r="L1" s="619"/>
      <c r="M1" s="619"/>
      <c r="N1" s="619"/>
      <c r="O1" s="619"/>
      <c r="P1" s="619"/>
      <c r="Q1" s="619"/>
    </row>
    <row r="2" spans="1:17" ht="15.75" thickBot="1" x14ac:dyDescent="0.3"/>
    <row r="3" spans="1:17" ht="27" thickBot="1" x14ac:dyDescent="0.45">
      <c r="C3" s="838" t="s">
        <v>36</v>
      </c>
      <c r="D3" s="839"/>
      <c r="E3" s="840"/>
      <c r="G3" s="838" t="s">
        <v>164</v>
      </c>
      <c r="H3" s="839"/>
      <c r="I3" s="840"/>
    </row>
    <row r="4" spans="1:17" x14ac:dyDescent="0.25">
      <c r="C4" s="94">
        <v>2019</v>
      </c>
      <c r="D4" s="34">
        <v>2020</v>
      </c>
      <c r="E4" s="95">
        <v>2021</v>
      </c>
      <c r="G4" s="94">
        <v>2019</v>
      </c>
      <c r="H4" s="34">
        <v>2020</v>
      </c>
      <c r="I4" s="95">
        <v>2021</v>
      </c>
    </row>
    <row r="5" spans="1:17" ht="15.75" thickBot="1" x14ac:dyDescent="0.3">
      <c r="C5" s="96">
        <f>Hipótesis!C24</f>
        <v>0.03</v>
      </c>
      <c r="D5" s="40">
        <f>Hipótesis!C25</f>
        <v>7.0000000000000007E-2</v>
      </c>
      <c r="E5" s="97">
        <f>Hipótesis!C26</f>
        <v>0.12</v>
      </c>
      <c r="G5" s="98">
        <f>P24</f>
        <v>2343935.7000000002</v>
      </c>
      <c r="H5" s="99">
        <f>P42</f>
        <v>2614351.9749999996</v>
      </c>
      <c r="I5" s="100">
        <f>P61</f>
        <v>2971977.4835000001</v>
      </c>
    </row>
    <row r="6" spans="1:17" ht="15.75" thickBot="1" x14ac:dyDescent="0.3">
      <c r="C6" s="98">
        <f>Hipótesis!D24</f>
        <v>18750000</v>
      </c>
      <c r="D6" s="99">
        <f>Hipótesis!D25</f>
        <v>43750000.000000007</v>
      </c>
      <c r="E6" s="100">
        <f>Hipótesis!D26</f>
        <v>75000000</v>
      </c>
      <c r="G6" s="304"/>
      <c r="H6" s="304"/>
      <c r="I6" s="304"/>
    </row>
    <row r="8" spans="1:17" ht="15.75" thickBot="1" x14ac:dyDescent="0.3"/>
    <row r="9" spans="1:17" ht="27" thickBot="1" x14ac:dyDescent="0.45">
      <c r="B9" s="838" t="s">
        <v>151</v>
      </c>
      <c r="C9" s="839"/>
      <c r="D9" s="839"/>
      <c r="E9" s="839"/>
      <c r="F9" s="839"/>
      <c r="G9" s="839"/>
      <c r="H9" s="839"/>
      <c r="I9" s="839"/>
      <c r="J9" s="839"/>
      <c r="K9" s="839"/>
      <c r="L9" s="839"/>
      <c r="M9" s="839"/>
      <c r="N9" s="839"/>
      <c r="O9" s="839"/>
      <c r="P9" s="839"/>
      <c r="Q9" s="840"/>
    </row>
    <row r="10" spans="1:17" ht="19.5" thickBot="1" x14ac:dyDescent="0.3">
      <c r="B10" s="903" t="s">
        <v>152</v>
      </c>
      <c r="C10" s="904"/>
      <c r="D10" s="291" t="s">
        <v>42</v>
      </c>
      <c r="E10" s="271" t="s">
        <v>43</v>
      </c>
      <c r="F10" s="271" t="s">
        <v>44</v>
      </c>
      <c r="G10" s="271" t="s">
        <v>45</v>
      </c>
      <c r="H10" s="271" t="s">
        <v>46</v>
      </c>
      <c r="I10" s="271" t="s">
        <v>47</v>
      </c>
      <c r="J10" s="271" t="s">
        <v>48</v>
      </c>
      <c r="K10" s="271" t="s">
        <v>49</v>
      </c>
      <c r="L10" s="271" t="s">
        <v>50</v>
      </c>
      <c r="M10" s="271" t="s">
        <v>51</v>
      </c>
      <c r="N10" s="271" t="s">
        <v>52</v>
      </c>
      <c r="O10" s="272" t="s">
        <v>53</v>
      </c>
      <c r="P10" s="273" t="s">
        <v>154</v>
      </c>
      <c r="Q10" s="274" t="s">
        <v>153</v>
      </c>
    </row>
    <row r="11" spans="1:17" x14ac:dyDescent="0.25">
      <c r="B11" s="905" t="s">
        <v>144</v>
      </c>
      <c r="C11" s="298" t="s">
        <v>145</v>
      </c>
      <c r="D11" s="292">
        <v>804.62</v>
      </c>
      <c r="E11" s="275">
        <v>0</v>
      </c>
      <c r="F11" s="275">
        <v>804.62</v>
      </c>
      <c r="G11" s="275">
        <v>0</v>
      </c>
      <c r="H11" s="275">
        <v>804.62</v>
      </c>
      <c r="I11" s="275">
        <v>0</v>
      </c>
      <c r="J11" s="275">
        <v>1774.61</v>
      </c>
      <c r="K11" s="275">
        <v>0</v>
      </c>
      <c r="L11" s="275">
        <v>1774.61</v>
      </c>
      <c r="M11" s="275">
        <v>0</v>
      </c>
      <c r="N11" s="275">
        <v>804.62</v>
      </c>
      <c r="O11" s="276">
        <v>0</v>
      </c>
      <c r="P11" s="277">
        <f t="shared" ref="P11:P18" si="0">SUM(D11:O11)</f>
        <v>6767.7</v>
      </c>
      <c r="Q11" s="278"/>
    </row>
    <row r="12" spans="1:17" x14ac:dyDescent="0.25">
      <c r="B12" s="906"/>
      <c r="C12" s="299" t="s">
        <v>147</v>
      </c>
      <c r="D12" s="293">
        <v>9365</v>
      </c>
      <c r="E12" s="256">
        <v>9365</v>
      </c>
      <c r="F12" s="256">
        <v>9365</v>
      </c>
      <c r="G12" s="256">
        <v>9365</v>
      </c>
      <c r="H12" s="256">
        <v>9365</v>
      </c>
      <c r="I12" s="256">
        <v>9365</v>
      </c>
      <c r="J12" s="256">
        <v>9365</v>
      </c>
      <c r="K12" s="256">
        <v>9365</v>
      </c>
      <c r="L12" s="256">
        <v>9365</v>
      </c>
      <c r="M12" s="256">
        <v>9365</v>
      </c>
      <c r="N12" s="256">
        <v>9365</v>
      </c>
      <c r="O12" s="258">
        <v>9365</v>
      </c>
      <c r="P12" s="262">
        <f t="shared" si="0"/>
        <v>112380</v>
      </c>
      <c r="Q12" s="259"/>
    </row>
    <row r="13" spans="1:17" x14ac:dyDescent="0.25">
      <c r="B13" s="906"/>
      <c r="C13" s="299" t="s">
        <v>146</v>
      </c>
      <c r="D13" s="293">
        <v>615</v>
      </c>
      <c r="E13" s="256">
        <v>615</v>
      </c>
      <c r="F13" s="256">
        <v>615</v>
      </c>
      <c r="G13" s="256">
        <v>615</v>
      </c>
      <c r="H13" s="256">
        <v>615</v>
      </c>
      <c r="I13" s="256">
        <v>615</v>
      </c>
      <c r="J13" s="256">
        <v>615</v>
      </c>
      <c r="K13" s="256">
        <v>615</v>
      </c>
      <c r="L13" s="256">
        <v>615</v>
      </c>
      <c r="M13" s="256">
        <v>615</v>
      </c>
      <c r="N13" s="256">
        <v>615</v>
      </c>
      <c r="O13" s="258">
        <v>615</v>
      </c>
      <c r="P13" s="262">
        <f t="shared" si="0"/>
        <v>7380</v>
      </c>
      <c r="Q13" s="259"/>
    </row>
    <row r="14" spans="1:17" x14ac:dyDescent="0.25">
      <c r="B14" s="906"/>
      <c r="C14" s="299" t="s">
        <v>155</v>
      </c>
      <c r="D14" s="293">
        <v>390</v>
      </c>
      <c r="E14" s="256">
        <v>390</v>
      </c>
      <c r="F14" s="256">
        <v>390</v>
      </c>
      <c r="G14" s="256">
        <v>390</v>
      </c>
      <c r="H14" s="256">
        <v>390</v>
      </c>
      <c r="I14" s="256">
        <v>390</v>
      </c>
      <c r="J14" s="256">
        <v>390</v>
      </c>
      <c r="K14" s="256">
        <v>390</v>
      </c>
      <c r="L14" s="256">
        <v>390</v>
      </c>
      <c r="M14" s="256">
        <v>390</v>
      </c>
      <c r="N14" s="256">
        <v>390</v>
      </c>
      <c r="O14" s="258">
        <v>390</v>
      </c>
      <c r="P14" s="262">
        <f t="shared" si="0"/>
        <v>4680</v>
      </c>
      <c r="Q14" s="260"/>
    </row>
    <row r="15" spans="1:17" x14ac:dyDescent="0.25">
      <c r="B15" s="906"/>
      <c r="C15" s="300" t="s">
        <v>156</v>
      </c>
      <c r="D15" s="293">
        <f>725*6</f>
        <v>4350</v>
      </c>
      <c r="E15" s="256">
        <f t="shared" ref="E15:O15" si="1">725*6</f>
        <v>4350</v>
      </c>
      <c r="F15" s="256">
        <f t="shared" si="1"/>
        <v>4350</v>
      </c>
      <c r="G15" s="256">
        <f t="shared" si="1"/>
        <v>4350</v>
      </c>
      <c r="H15" s="256">
        <f t="shared" si="1"/>
        <v>4350</v>
      </c>
      <c r="I15" s="256">
        <f t="shared" si="1"/>
        <v>4350</v>
      </c>
      <c r="J15" s="256">
        <f t="shared" si="1"/>
        <v>4350</v>
      </c>
      <c r="K15" s="256">
        <f t="shared" si="1"/>
        <v>4350</v>
      </c>
      <c r="L15" s="256">
        <f t="shared" si="1"/>
        <v>4350</v>
      </c>
      <c r="M15" s="256">
        <f t="shared" si="1"/>
        <v>4350</v>
      </c>
      <c r="N15" s="256">
        <f t="shared" si="1"/>
        <v>4350</v>
      </c>
      <c r="O15" s="258">
        <f t="shared" si="1"/>
        <v>4350</v>
      </c>
      <c r="P15" s="262">
        <f t="shared" si="0"/>
        <v>52200</v>
      </c>
      <c r="Q15" s="261"/>
    </row>
    <row r="16" spans="1:17" x14ac:dyDescent="0.25">
      <c r="B16" s="906"/>
      <c r="C16" s="300" t="s">
        <v>157</v>
      </c>
      <c r="D16" s="293">
        <v>2290</v>
      </c>
      <c r="E16" s="256">
        <v>2290</v>
      </c>
      <c r="F16" s="256">
        <v>2290</v>
      </c>
      <c r="G16" s="256">
        <v>2290</v>
      </c>
      <c r="H16" s="256">
        <v>2290</v>
      </c>
      <c r="I16" s="256">
        <v>2290</v>
      </c>
      <c r="J16" s="256">
        <v>2290</v>
      </c>
      <c r="K16" s="256">
        <v>2290</v>
      </c>
      <c r="L16" s="256">
        <v>2290</v>
      </c>
      <c r="M16" s="256">
        <v>2290</v>
      </c>
      <c r="N16" s="256">
        <v>2290</v>
      </c>
      <c r="O16" s="258">
        <v>2290</v>
      </c>
      <c r="P16" s="262">
        <f t="shared" si="0"/>
        <v>27480</v>
      </c>
      <c r="Q16" s="261"/>
    </row>
    <row r="17" spans="2:17" x14ac:dyDescent="0.25">
      <c r="B17" s="906"/>
      <c r="C17" s="261" t="s">
        <v>158</v>
      </c>
      <c r="D17" s="293">
        <f>18228/12</f>
        <v>1519</v>
      </c>
      <c r="E17" s="256">
        <f t="shared" ref="E17:O17" si="2">18228/12</f>
        <v>1519</v>
      </c>
      <c r="F17" s="256">
        <f t="shared" si="2"/>
        <v>1519</v>
      </c>
      <c r="G17" s="256">
        <f t="shared" si="2"/>
        <v>1519</v>
      </c>
      <c r="H17" s="256">
        <f t="shared" si="2"/>
        <v>1519</v>
      </c>
      <c r="I17" s="256">
        <f t="shared" si="2"/>
        <v>1519</v>
      </c>
      <c r="J17" s="256">
        <f t="shared" si="2"/>
        <v>1519</v>
      </c>
      <c r="K17" s="256">
        <f t="shared" si="2"/>
        <v>1519</v>
      </c>
      <c r="L17" s="256">
        <f t="shared" si="2"/>
        <v>1519</v>
      </c>
      <c r="M17" s="256">
        <f t="shared" si="2"/>
        <v>1519</v>
      </c>
      <c r="N17" s="256">
        <f t="shared" si="2"/>
        <v>1519</v>
      </c>
      <c r="O17" s="258">
        <f t="shared" si="2"/>
        <v>1519</v>
      </c>
      <c r="P17" s="262">
        <f t="shared" si="0"/>
        <v>18228</v>
      </c>
      <c r="Q17" s="261"/>
    </row>
    <row r="18" spans="2:17" ht="16.5" customHeight="1" thickBot="1" x14ac:dyDescent="0.3">
      <c r="B18" s="907"/>
      <c r="C18" s="301" t="s">
        <v>159</v>
      </c>
      <c r="D18" s="294">
        <v>1860</v>
      </c>
      <c r="E18" s="279">
        <v>1860</v>
      </c>
      <c r="F18" s="279">
        <v>1860</v>
      </c>
      <c r="G18" s="279">
        <v>1860</v>
      </c>
      <c r="H18" s="279">
        <v>1860</v>
      </c>
      <c r="I18" s="279">
        <v>1860</v>
      </c>
      <c r="J18" s="279">
        <v>1860</v>
      </c>
      <c r="K18" s="279">
        <v>1860</v>
      </c>
      <c r="L18" s="279">
        <v>1860</v>
      </c>
      <c r="M18" s="279">
        <v>1860</v>
      </c>
      <c r="N18" s="279">
        <v>1860</v>
      </c>
      <c r="O18" s="280">
        <v>1860</v>
      </c>
      <c r="P18" s="263">
        <f t="shared" si="0"/>
        <v>22320</v>
      </c>
      <c r="Q18" s="281"/>
    </row>
    <row r="19" spans="2:17" ht="63.75" customHeight="1" x14ac:dyDescent="0.25">
      <c r="B19" s="901" t="s">
        <v>148</v>
      </c>
      <c r="C19" s="302" t="s">
        <v>364</v>
      </c>
      <c r="D19" s="295">
        <v>65000</v>
      </c>
      <c r="E19" s="282">
        <v>65000</v>
      </c>
      <c r="F19" s="282">
        <v>65000</v>
      </c>
      <c r="G19" s="282">
        <v>65000</v>
      </c>
      <c r="H19" s="282">
        <v>65000</v>
      </c>
      <c r="I19" s="282">
        <v>65000</v>
      </c>
      <c r="J19" s="282">
        <v>74750</v>
      </c>
      <c r="K19" s="282">
        <v>74750</v>
      </c>
      <c r="L19" s="282">
        <v>74750</v>
      </c>
      <c r="M19" s="282">
        <v>74750</v>
      </c>
      <c r="N19" s="282">
        <v>74750</v>
      </c>
      <c r="O19" s="283">
        <v>74750</v>
      </c>
      <c r="P19" s="284">
        <f>SUM(D19:O19)</f>
        <v>838500</v>
      </c>
      <c r="Q19" s="285"/>
    </row>
    <row r="20" spans="2:17" ht="22.5" customHeight="1" thickBot="1" x14ac:dyDescent="0.3">
      <c r="B20" s="902"/>
      <c r="C20" s="301" t="s">
        <v>160</v>
      </c>
      <c r="D20" s="294">
        <v>0</v>
      </c>
      <c r="E20" s="279">
        <v>0</v>
      </c>
      <c r="F20" s="279">
        <v>0</v>
      </c>
      <c r="G20" s="279">
        <v>0</v>
      </c>
      <c r="H20" s="279">
        <v>0</v>
      </c>
      <c r="I20" s="279">
        <v>0</v>
      </c>
      <c r="J20" s="279">
        <v>0</v>
      </c>
      <c r="K20" s="279">
        <v>0</v>
      </c>
      <c r="L20" s="279">
        <v>0</v>
      </c>
      <c r="M20" s="279">
        <v>0</v>
      </c>
      <c r="N20" s="279">
        <v>0</v>
      </c>
      <c r="O20" s="280">
        <v>0</v>
      </c>
      <c r="P20" s="263">
        <f>SUM(D20:O20)</f>
        <v>0</v>
      </c>
      <c r="Q20" s="281"/>
    </row>
    <row r="21" spans="2:17" ht="19.5" thickBot="1" x14ac:dyDescent="0.35">
      <c r="B21" s="286" t="s">
        <v>149</v>
      </c>
      <c r="C21" s="303" t="s">
        <v>150</v>
      </c>
      <c r="D21" s="296">
        <v>8500</v>
      </c>
      <c r="E21" s="287">
        <v>8500</v>
      </c>
      <c r="F21" s="287">
        <v>8500</v>
      </c>
      <c r="G21" s="287">
        <v>8500</v>
      </c>
      <c r="H21" s="287">
        <v>8500</v>
      </c>
      <c r="I21" s="287">
        <v>8500</v>
      </c>
      <c r="J21" s="287">
        <v>8500</v>
      </c>
      <c r="K21" s="287">
        <v>8500</v>
      </c>
      <c r="L21" s="287">
        <v>8500</v>
      </c>
      <c r="M21" s="287">
        <v>8500</v>
      </c>
      <c r="N21" s="287">
        <v>8500</v>
      </c>
      <c r="O21" s="288">
        <v>8500</v>
      </c>
      <c r="P21" s="268">
        <f>SUM(D21:O21)</f>
        <v>102000</v>
      </c>
      <c r="Q21" s="289"/>
    </row>
    <row r="22" spans="2:17" x14ac:dyDescent="0.25">
      <c r="B22" s="908" t="s">
        <v>161</v>
      </c>
      <c r="C22" s="299" t="s">
        <v>365</v>
      </c>
      <c r="D22" s="293">
        <f>200*60*4</f>
        <v>48000</v>
      </c>
      <c r="E22" s="256">
        <f t="shared" ref="E22:O23" si="3">200*60*4</f>
        <v>48000</v>
      </c>
      <c r="F22" s="256">
        <f t="shared" si="3"/>
        <v>48000</v>
      </c>
      <c r="G22" s="256">
        <f t="shared" si="3"/>
        <v>48000</v>
      </c>
      <c r="H22" s="256">
        <f t="shared" si="3"/>
        <v>48000</v>
      </c>
      <c r="I22" s="256">
        <f t="shared" si="3"/>
        <v>48000</v>
      </c>
      <c r="J22" s="256">
        <f t="shared" si="3"/>
        <v>48000</v>
      </c>
      <c r="K22" s="256">
        <f t="shared" si="3"/>
        <v>48000</v>
      </c>
      <c r="L22" s="256">
        <f t="shared" si="3"/>
        <v>48000</v>
      </c>
      <c r="M22" s="256">
        <f t="shared" si="3"/>
        <v>48000</v>
      </c>
      <c r="N22" s="256">
        <f t="shared" si="3"/>
        <v>48000</v>
      </c>
      <c r="O22" s="258">
        <f t="shared" si="3"/>
        <v>48000</v>
      </c>
      <c r="P22" s="262">
        <f>SUM(D22:O22)</f>
        <v>576000</v>
      </c>
      <c r="Q22" s="260"/>
    </row>
    <row r="23" spans="2:17" ht="20.25" customHeight="1" thickBot="1" x14ac:dyDescent="0.3">
      <c r="B23" s="909"/>
      <c r="C23" s="301" t="s">
        <v>365</v>
      </c>
      <c r="D23" s="297">
        <f>200*60*4</f>
        <v>48000</v>
      </c>
      <c r="E23" s="297">
        <f t="shared" si="3"/>
        <v>48000</v>
      </c>
      <c r="F23" s="297">
        <f t="shared" si="3"/>
        <v>48000</v>
      </c>
      <c r="G23" s="297">
        <f t="shared" si="3"/>
        <v>48000</v>
      </c>
      <c r="H23" s="297">
        <f t="shared" si="3"/>
        <v>48000</v>
      </c>
      <c r="I23" s="297">
        <f t="shared" si="3"/>
        <v>48000</v>
      </c>
      <c r="J23" s="297">
        <f t="shared" si="3"/>
        <v>48000</v>
      </c>
      <c r="K23" s="297">
        <f t="shared" si="3"/>
        <v>48000</v>
      </c>
      <c r="L23" s="297">
        <f t="shared" si="3"/>
        <v>48000</v>
      </c>
      <c r="M23" s="297">
        <f t="shared" si="3"/>
        <v>48000</v>
      </c>
      <c r="N23" s="297">
        <f t="shared" si="3"/>
        <v>48000</v>
      </c>
      <c r="O23" s="297">
        <f t="shared" si="3"/>
        <v>48000</v>
      </c>
      <c r="P23" s="264">
        <f>SUM(D23:O23)</f>
        <v>576000</v>
      </c>
      <c r="Q23" s="260"/>
    </row>
    <row r="24" spans="2:17" ht="15.75" thickBot="1" x14ac:dyDescent="0.3">
      <c r="B24" s="21"/>
      <c r="C24" s="265" t="s">
        <v>19</v>
      </c>
      <c r="D24" s="266">
        <f t="shared" ref="D24:P24" si="4">SUM(D11:D23)</f>
        <v>190693.62</v>
      </c>
      <c r="E24" s="266">
        <f t="shared" si="4"/>
        <v>189889</v>
      </c>
      <c r="F24" s="266">
        <f t="shared" si="4"/>
        <v>190693.62</v>
      </c>
      <c r="G24" s="266">
        <f t="shared" si="4"/>
        <v>189889</v>
      </c>
      <c r="H24" s="266">
        <f t="shared" si="4"/>
        <v>190693.62</v>
      </c>
      <c r="I24" s="266">
        <f t="shared" si="4"/>
        <v>189889</v>
      </c>
      <c r="J24" s="266">
        <f t="shared" si="4"/>
        <v>201413.61</v>
      </c>
      <c r="K24" s="266">
        <f t="shared" si="4"/>
        <v>199639</v>
      </c>
      <c r="L24" s="266">
        <f t="shared" si="4"/>
        <v>201413.61</v>
      </c>
      <c r="M24" s="266">
        <f t="shared" si="4"/>
        <v>199639</v>
      </c>
      <c r="N24" s="266">
        <f t="shared" si="4"/>
        <v>200443.62</v>
      </c>
      <c r="O24" s="267">
        <f t="shared" si="4"/>
        <v>199639</v>
      </c>
      <c r="P24" s="290">
        <f t="shared" si="4"/>
        <v>2343935.7000000002</v>
      </c>
      <c r="Q24" s="257"/>
    </row>
    <row r="26" spans="2:17" ht="15.75" thickBot="1" x14ac:dyDescent="0.3"/>
    <row r="27" spans="2:17" ht="27" thickBot="1" x14ac:dyDescent="0.45">
      <c r="B27" s="838" t="s">
        <v>162</v>
      </c>
      <c r="C27" s="839"/>
      <c r="D27" s="839"/>
      <c r="E27" s="839"/>
      <c r="F27" s="839"/>
      <c r="G27" s="839"/>
      <c r="H27" s="839"/>
      <c r="I27" s="839"/>
      <c r="J27" s="839"/>
      <c r="K27" s="839"/>
      <c r="L27" s="839"/>
      <c r="M27" s="839"/>
      <c r="N27" s="839"/>
      <c r="O27" s="839"/>
      <c r="P27" s="839"/>
      <c r="Q27" s="840"/>
    </row>
    <row r="28" spans="2:17" ht="19.5" thickBot="1" x14ac:dyDescent="0.3">
      <c r="B28" s="903" t="s">
        <v>152</v>
      </c>
      <c r="C28" s="904"/>
      <c r="D28" s="291" t="s">
        <v>42</v>
      </c>
      <c r="E28" s="271" t="s">
        <v>43</v>
      </c>
      <c r="F28" s="271" t="s">
        <v>44</v>
      </c>
      <c r="G28" s="271" t="s">
        <v>45</v>
      </c>
      <c r="H28" s="271" t="s">
        <v>46</v>
      </c>
      <c r="I28" s="271" t="s">
        <v>47</v>
      </c>
      <c r="J28" s="271" t="s">
        <v>48</v>
      </c>
      <c r="K28" s="271" t="s">
        <v>49</v>
      </c>
      <c r="L28" s="271" t="s">
        <v>50</v>
      </c>
      <c r="M28" s="271" t="s">
        <v>51</v>
      </c>
      <c r="N28" s="271" t="s">
        <v>52</v>
      </c>
      <c r="O28" s="272" t="s">
        <v>53</v>
      </c>
      <c r="P28" s="273" t="s">
        <v>154</v>
      </c>
      <c r="Q28" s="274" t="s">
        <v>153</v>
      </c>
    </row>
    <row r="29" spans="2:17" x14ac:dyDescent="0.25">
      <c r="B29" s="905" t="s">
        <v>144</v>
      </c>
      <c r="C29" s="298" t="s">
        <v>145</v>
      </c>
      <c r="D29" s="292">
        <v>804.62</v>
      </c>
      <c r="E29" s="275">
        <v>0</v>
      </c>
      <c r="F29" s="275">
        <v>804.62</v>
      </c>
      <c r="G29" s="275">
        <v>0</v>
      </c>
      <c r="H29" s="275">
        <v>804.62</v>
      </c>
      <c r="I29" s="275">
        <v>0</v>
      </c>
      <c r="J29" s="275">
        <v>1774.61</v>
      </c>
      <c r="K29" s="275">
        <v>0</v>
      </c>
      <c r="L29" s="275">
        <v>1774.61</v>
      </c>
      <c r="M29" s="275">
        <v>0</v>
      </c>
      <c r="N29" s="275">
        <v>804.62</v>
      </c>
      <c r="O29" s="276">
        <v>0</v>
      </c>
      <c r="P29" s="277">
        <f t="shared" ref="P29:P36" si="5">SUM(D29:O29)</f>
        <v>6767.7</v>
      </c>
      <c r="Q29" s="278"/>
    </row>
    <row r="30" spans="2:17" x14ac:dyDescent="0.25">
      <c r="B30" s="906"/>
      <c r="C30" s="299" t="s">
        <v>147</v>
      </c>
      <c r="D30" s="293">
        <v>9365</v>
      </c>
      <c r="E30" s="256">
        <v>9365</v>
      </c>
      <c r="F30" s="256">
        <v>9365</v>
      </c>
      <c r="G30" s="256">
        <v>9365</v>
      </c>
      <c r="H30" s="256">
        <v>9365</v>
      </c>
      <c r="I30" s="256">
        <v>9365</v>
      </c>
      <c r="J30" s="256">
        <v>9365</v>
      </c>
      <c r="K30" s="256">
        <v>9365</v>
      </c>
      <c r="L30" s="256">
        <v>9365</v>
      </c>
      <c r="M30" s="256">
        <v>9365</v>
      </c>
      <c r="N30" s="256">
        <v>9365</v>
      </c>
      <c r="O30" s="258">
        <v>9365</v>
      </c>
      <c r="P30" s="262">
        <f t="shared" si="5"/>
        <v>112380</v>
      </c>
      <c r="Q30" s="259"/>
    </row>
    <row r="31" spans="2:17" x14ac:dyDescent="0.25">
      <c r="B31" s="906"/>
      <c r="C31" s="299" t="s">
        <v>146</v>
      </c>
      <c r="D31" s="293">
        <v>615</v>
      </c>
      <c r="E31" s="256">
        <v>615</v>
      </c>
      <c r="F31" s="256">
        <v>615</v>
      </c>
      <c r="G31" s="256">
        <v>615</v>
      </c>
      <c r="H31" s="256">
        <v>615</v>
      </c>
      <c r="I31" s="256">
        <v>615</v>
      </c>
      <c r="J31" s="256">
        <v>615</v>
      </c>
      <c r="K31" s="256">
        <v>615</v>
      </c>
      <c r="L31" s="256">
        <v>615</v>
      </c>
      <c r="M31" s="256">
        <v>615</v>
      </c>
      <c r="N31" s="256">
        <v>615</v>
      </c>
      <c r="O31" s="258">
        <v>615</v>
      </c>
      <c r="P31" s="262">
        <f t="shared" si="5"/>
        <v>7380</v>
      </c>
      <c r="Q31" s="259"/>
    </row>
    <row r="32" spans="2:17" x14ac:dyDescent="0.25">
      <c r="B32" s="906"/>
      <c r="C32" s="299" t="s">
        <v>155</v>
      </c>
      <c r="D32" s="293">
        <v>390</v>
      </c>
      <c r="E32" s="256">
        <v>390</v>
      </c>
      <c r="F32" s="256">
        <v>390</v>
      </c>
      <c r="G32" s="256">
        <v>390</v>
      </c>
      <c r="H32" s="256">
        <v>390</v>
      </c>
      <c r="I32" s="256">
        <v>390</v>
      </c>
      <c r="J32" s="256">
        <v>390</v>
      </c>
      <c r="K32" s="256">
        <v>390</v>
      </c>
      <c r="L32" s="256">
        <v>390</v>
      </c>
      <c r="M32" s="256">
        <v>390</v>
      </c>
      <c r="N32" s="256">
        <v>390</v>
      </c>
      <c r="O32" s="258">
        <v>390</v>
      </c>
      <c r="P32" s="262">
        <f t="shared" si="5"/>
        <v>4680</v>
      </c>
      <c r="Q32" s="260"/>
    </row>
    <row r="33" spans="2:17" x14ac:dyDescent="0.25">
      <c r="B33" s="906"/>
      <c r="C33" s="300" t="s">
        <v>156</v>
      </c>
      <c r="D33" s="293">
        <f>725*6</f>
        <v>4350</v>
      </c>
      <c r="E33" s="256">
        <f t="shared" ref="E33:O33" si="6">725*6</f>
        <v>4350</v>
      </c>
      <c r="F33" s="256">
        <f t="shared" si="6"/>
        <v>4350</v>
      </c>
      <c r="G33" s="256">
        <f t="shared" si="6"/>
        <v>4350</v>
      </c>
      <c r="H33" s="256">
        <f t="shared" si="6"/>
        <v>4350</v>
      </c>
      <c r="I33" s="256">
        <f t="shared" si="6"/>
        <v>4350</v>
      </c>
      <c r="J33" s="256">
        <f t="shared" si="6"/>
        <v>4350</v>
      </c>
      <c r="K33" s="256">
        <f t="shared" si="6"/>
        <v>4350</v>
      </c>
      <c r="L33" s="256">
        <f t="shared" si="6"/>
        <v>4350</v>
      </c>
      <c r="M33" s="256">
        <f t="shared" si="6"/>
        <v>4350</v>
      </c>
      <c r="N33" s="256">
        <f t="shared" si="6"/>
        <v>4350</v>
      </c>
      <c r="O33" s="258">
        <f t="shared" si="6"/>
        <v>4350</v>
      </c>
      <c r="P33" s="262">
        <f t="shared" si="5"/>
        <v>52200</v>
      </c>
      <c r="Q33" s="261"/>
    </row>
    <row r="34" spans="2:17" x14ac:dyDescent="0.25">
      <c r="B34" s="906"/>
      <c r="C34" s="300" t="s">
        <v>157</v>
      </c>
      <c r="D34" s="293">
        <v>2290</v>
      </c>
      <c r="E34" s="256">
        <v>2290</v>
      </c>
      <c r="F34" s="256">
        <v>2290</v>
      </c>
      <c r="G34" s="256">
        <v>2290</v>
      </c>
      <c r="H34" s="256">
        <v>2290</v>
      </c>
      <c r="I34" s="256">
        <v>2290</v>
      </c>
      <c r="J34" s="256">
        <v>2290</v>
      </c>
      <c r="K34" s="256">
        <v>2290</v>
      </c>
      <c r="L34" s="256">
        <v>2290</v>
      </c>
      <c r="M34" s="256">
        <v>2290</v>
      </c>
      <c r="N34" s="256">
        <v>2290</v>
      </c>
      <c r="O34" s="258">
        <v>2290</v>
      </c>
      <c r="P34" s="262">
        <f t="shared" si="5"/>
        <v>27480</v>
      </c>
      <c r="Q34" s="261"/>
    </row>
    <row r="35" spans="2:17" x14ac:dyDescent="0.25">
      <c r="B35" s="906"/>
      <c r="C35" s="261" t="s">
        <v>158</v>
      </c>
      <c r="D35" s="293">
        <f>18228/12</f>
        <v>1519</v>
      </c>
      <c r="E35" s="256">
        <f t="shared" ref="E35:O35" si="7">18228/12</f>
        <v>1519</v>
      </c>
      <c r="F35" s="256">
        <f t="shared" si="7"/>
        <v>1519</v>
      </c>
      <c r="G35" s="256">
        <f t="shared" si="7"/>
        <v>1519</v>
      </c>
      <c r="H35" s="256">
        <f t="shared" si="7"/>
        <v>1519</v>
      </c>
      <c r="I35" s="256">
        <f t="shared" si="7"/>
        <v>1519</v>
      </c>
      <c r="J35" s="256">
        <f t="shared" si="7"/>
        <v>1519</v>
      </c>
      <c r="K35" s="256">
        <f t="shared" si="7"/>
        <v>1519</v>
      </c>
      <c r="L35" s="256">
        <f t="shared" si="7"/>
        <v>1519</v>
      </c>
      <c r="M35" s="256">
        <f t="shared" si="7"/>
        <v>1519</v>
      </c>
      <c r="N35" s="256">
        <f t="shared" si="7"/>
        <v>1519</v>
      </c>
      <c r="O35" s="258">
        <f t="shared" si="7"/>
        <v>1519</v>
      </c>
      <c r="P35" s="262">
        <f t="shared" si="5"/>
        <v>18228</v>
      </c>
      <c r="Q35" s="261"/>
    </row>
    <row r="36" spans="2:17" ht="15.75" thickBot="1" x14ac:dyDescent="0.3">
      <c r="B36" s="907"/>
      <c r="C36" s="301" t="s">
        <v>159</v>
      </c>
      <c r="D36" s="294">
        <v>1860</v>
      </c>
      <c r="E36" s="279">
        <v>1860</v>
      </c>
      <c r="F36" s="279">
        <v>1860</v>
      </c>
      <c r="G36" s="279">
        <v>1860</v>
      </c>
      <c r="H36" s="279">
        <v>1860</v>
      </c>
      <c r="I36" s="279">
        <v>1860</v>
      </c>
      <c r="J36" s="279">
        <v>1860</v>
      </c>
      <c r="K36" s="279">
        <v>1860</v>
      </c>
      <c r="L36" s="279">
        <v>1860</v>
      </c>
      <c r="M36" s="279">
        <v>1860</v>
      </c>
      <c r="N36" s="279">
        <v>1860</v>
      </c>
      <c r="O36" s="280">
        <v>1860</v>
      </c>
      <c r="P36" s="263">
        <f t="shared" si="5"/>
        <v>22320</v>
      </c>
      <c r="Q36" s="281"/>
    </row>
    <row r="37" spans="2:17" x14ac:dyDescent="0.25">
      <c r="B37" s="901" t="s">
        <v>148</v>
      </c>
      <c r="C37" s="302" t="s">
        <v>364</v>
      </c>
      <c r="D37" s="295">
        <f t="shared" ref="D37:I37" si="8">74750*1.15</f>
        <v>85962.5</v>
      </c>
      <c r="E37" s="282">
        <f t="shared" si="8"/>
        <v>85962.5</v>
      </c>
      <c r="F37" s="282">
        <f t="shared" si="8"/>
        <v>85962.5</v>
      </c>
      <c r="G37" s="282">
        <f t="shared" si="8"/>
        <v>85962.5</v>
      </c>
      <c r="H37" s="282">
        <f t="shared" si="8"/>
        <v>85962.5</v>
      </c>
      <c r="I37" s="282">
        <f t="shared" si="8"/>
        <v>85962.5</v>
      </c>
      <c r="J37" s="282">
        <f>I37*1.15</f>
        <v>98856.874999999985</v>
      </c>
      <c r="K37" s="282">
        <v>98856.88</v>
      </c>
      <c r="L37" s="282">
        <v>98856.88</v>
      </c>
      <c r="M37" s="282">
        <v>98856.88</v>
      </c>
      <c r="N37" s="282">
        <v>98856.88</v>
      </c>
      <c r="O37" s="282">
        <v>98856.88</v>
      </c>
      <c r="P37" s="284">
        <f>SUM(D37:O37)</f>
        <v>1108916.2749999999</v>
      </c>
      <c r="Q37" s="285"/>
    </row>
    <row r="38" spans="2:17" ht="15.75" thickBot="1" x14ac:dyDescent="0.3">
      <c r="B38" s="902"/>
      <c r="C38" s="301" t="s">
        <v>160</v>
      </c>
      <c r="D38" s="294">
        <v>0</v>
      </c>
      <c r="E38" s="279">
        <v>0</v>
      </c>
      <c r="F38" s="279">
        <v>0</v>
      </c>
      <c r="G38" s="279">
        <v>0</v>
      </c>
      <c r="H38" s="279">
        <v>0</v>
      </c>
      <c r="I38" s="279">
        <v>0</v>
      </c>
      <c r="J38" s="279">
        <v>0</v>
      </c>
      <c r="K38" s="279">
        <v>0</v>
      </c>
      <c r="L38" s="279">
        <v>0</v>
      </c>
      <c r="M38" s="279">
        <v>0</v>
      </c>
      <c r="N38" s="279">
        <v>0</v>
      </c>
      <c r="O38" s="280">
        <v>0</v>
      </c>
      <c r="P38" s="263">
        <f>SUM(D38:O38)</f>
        <v>0</v>
      </c>
      <c r="Q38" s="281"/>
    </row>
    <row r="39" spans="2:17" ht="19.5" thickBot="1" x14ac:dyDescent="0.35">
      <c r="B39" s="286" t="s">
        <v>149</v>
      </c>
      <c r="C39" s="303" t="s">
        <v>150</v>
      </c>
      <c r="D39" s="296">
        <v>8500</v>
      </c>
      <c r="E39" s="287">
        <v>8500</v>
      </c>
      <c r="F39" s="287">
        <v>8500</v>
      </c>
      <c r="G39" s="287">
        <v>8500</v>
      </c>
      <c r="H39" s="287">
        <v>8500</v>
      </c>
      <c r="I39" s="287">
        <v>8500</v>
      </c>
      <c r="J39" s="287">
        <v>8500</v>
      </c>
      <c r="K39" s="287">
        <v>8500</v>
      </c>
      <c r="L39" s="287">
        <v>8500</v>
      </c>
      <c r="M39" s="287">
        <v>8500</v>
      </c>
      <c r="N39" s="287">
        <v>8500</v>
      </c>
      <c r="O39" s="288">
        <v>8500</v>
      </c>
      <c r="P39" s="268">
        <f>SUM(D39:O39)</f>
        <v>102000</v>
      </c>
      <c r="Q39" s="289"/>
    </row>
    <row r="40" spans="2:17" x14ac:dyDescent="0.25">
      <c r="B40" s="908" t="s">
        <v>161</v>
      </c>
      <c r="C40" s="299" t="s">
        <v>365</v>
      </c>
      <c r="D40" s="293">
        <f>200*60*4</f>
        <v>48000</v>
      </c>
      <c r="E40" s="256">
        <f t="shared" ref="E40:O41" si="9">200*60*4</f>
        <v>48000</v>
      </c>
      <c r="F40" s="256">
        <f t="shared" si="9"/>
        <v>48000</v>
      </c>
      <c r="G40" s="256">
        <f t="shared" si="9"/>
        <v>48000</v>
      </c>
      <c r="H40" s="256">
        <f t="shared" si="9"/>
        <v>48000</v>
      </c>
      <c r="I40" s="256">
        <f t="shared" si="9"/>
        <v>48000</v>
      </c>
      <c r="J40" s="256">
        <f t="shared" si="9"/>
        <v>48000</v>
      </c>
      <c r="K40" s="256">
        <f t="shared" si="9"/>
        <v>48000</v>
      </c>
      <c r="L40" s="256">
        <f t="shared" si="9"/>
        <v>48000</v>
      </c>
      <c r="M40" s="256">
        <f t="shared" si="9"/>
        <v>48000</v>
      </c>
      <c r="N40" s="256">
        <f t="shared" si="9"/>
        <v>48000</v>
      </c>
      <c r="O40" s="258">
        <f t="shared" si="9"/>
        <v>48000</v>
      </c>
      <c r="P40" s="262">
        <f>SUM(D40:O40)</f>
        <v>576000</v>
      </c>
      <c r="Q40" s="260"/>
    </row>
    <row r="41" spans="2:17" ht="15.75" thickBot="1" x14ac:dyDescent="0.3">
      <c r="B41" s="909"/>
      <c r="C41" s="301" t="s">
        <v>365</v>
      </c>
      <c r="D41" s="297">
        <f>200*60*4</f>
        <v>48000</v>
      </c>
      <c r="E41" s="297">
        <f t="shared" si="9"/>
        <v>48000</v>
      </c>
      <c r="F41" s="297">
        <f t="shared" si="9"/>
        <v>48000</v>
      </c>
      <c r="G41" s="297">
        <f t="shared" si="9"/>
        <v>48000</v>
      </c>
      <c r="H41" s="297">
        <f t="shared" si="9"/>
        <v>48000</v>
      </c>
      <c r="I41" s="297">
        <f t="shared" si="9"/>
        <v>48000</v>
      </c>
      <c r="J41" s="297">
        <f t="shared" si="9"/>
        <v>48000</v>
      </c>
      <c r="K41" s="297">
        <f t="shared" si="9"/>
        <v>48000</v>
      </c>
      <c r="L41" s="297">
        <f t="shared" si="9"/>
        <v>48000</v>
      </c>
      <c r="M41" s="297">
        <f t="shared" si="9"/>
        <v>48000</v>
      </c>
      <c r="N41" s="297">
        <f t="shared" si="9"/>
        <v>48000</v>
      </c>
      <c r="O41" s="297">
        <f t="shared" si="9"/>
        <v>48000</v>
      </c>
      <c r="P41" s="264">
        <f>SUM(D41:O41)</f>
        <v>576000</v>
      </c>
      <c r="Q41" s="260"/>
    </row>
    <row r="42" spans="2:17" ht="15.75" thickBot="1" x14ac:dyDescent="0.3">
      <c r="B42" s="21"/>
      <c r="C42" s="265" t="s">
        <v>19</v>
      </c>
      <c r="D42" s="266">
        <f t="shared" ref="D42:P42" si="10">SUM(D29:D41)</f>
        <v>211656.12</v>
      </c>
      <c r="E42" s="266">
        <f t="shared" si="10"/>
        <v>210851.5</v>
      </c>
      <c r="F42" s="266">
        <f t="shared" si="10"/>
        <v>211656.12</v>
      </c>
      <c r="G42" s="266">
        <f t="shared" si="10"/>
        <v>210851.5</v>
      </c>
      <c r="H42" s="266">
        <f t="shared" si="10"/>
        <v>211656.12</v>
      </c>
      <c r="I42" s="266">
        <f t="shared" si="10"/>
        <v>210851.5</v>
      </c>
      <c r="J42" s="266">
        <f t="shared" si="10"/>
        <v>225520.48499999999</v>
      </c>
      <c r="K42" s="266">
        <f t="shared" si="10"/>
        <v>223745.88</v>
      </c>
      <c r="L42" s="266">
        <f t="shared" si="10"/>
        <v>225520.49</v>
      </c>
      <c r="M42" s="266">
        <f t="shared" si="10"/>
        <v>223745.88</v>
      </c>
      <c r="N42" s="266">
        <f t="shared" si="10"/>
        <v>224550.5</v>
      </c>
      <c r="O42" s="267">
        <f t="shared" si="10"/>
        <v>223745.88</v>
      </c>
      <c r="P42" s="290">
        <f t="shared" si="10"/>
        <v>2614351.9749999996</v>
      </c>
      <c r="Q42" s="257"/>
    </row>
    <row r="45" spans="2:17" ht="15.75" thickBot="1" x14ac:dyDescent="0.3"/>
    <row r="46" spans="2:17" ht="27" thickBot="1" x14ac:dyDescent="0.45">
      <c r="B46" s="838" t="s">
        <v>163</v>
      </c>
      <c r="C46" s="839"/>
      <c r="D46" s="839"/>
      <c r="E46" s="839"/>
      <c r="F46" s="839"/>
      <c r="G46" s="839"/>
      <c r="H46" s="839"/>
      <c r="I46" s="839"/>
      <c r="J46" s="839"/>
      <c r="K46" s="839"/>
      <c r="L46" s="839"/>
      <c r="M46" s="839"/>
      <c r="N46" s="839"/>
      <c r="O46" s="839"/>
      <c r="P46" s="839"/>
      <c r="Q46" s="840"/>
    </row>
    <row r="47" spans="2:17" ht="19.5" thickBot="1" x14ac:dyDescent="0.3">
      <c r="B47" s="903" t="s">
        <v>152</v>
      </c>
      <c r="C47" s="904"/>
      <c r="D47" s="291" t="s">
        <v>42</v>
      </c>
      <c r="E47" s="271" t="s">
        <v>43</v>
      </c>
      <c r="F47" s="271" t="s">
        <v>44</v>
      </c>
      <c r="G47" s="271" t="s">
        <v>45</v>
      </c>
      <c r="H47" s="271" t="s">
        <v>46</v>
      </c>
      <c r="I47" s="271" t="s">
        <v>47</v>
      </c>
      <c r="J47" s="271" t="s">
        <v>48</v>
      </c>
      <c r="K47" s="271" t="s">
        <v>49</v>
      </c>
      <c r="L47" s="271" t="s">
        <v>50</v>
      </c>
      <c r="M47" s="271" t="s">
        <v>51</v>
      </c>
      <c r="N47" s="271" t="s">
        <v>52</v>
      </c>
      <c r="O47" s="272" t="s">
        <v>53</v>
      </c>
      <c r="P47" s="273" t="s">
        <v>154</v>
      </c>
      <c r="Q47" s="274" t="s">
        <v>153</v>
      </c>
    </row>
    <row r="48" spans="2:17" x14ac:dyDescent="0.25">
      <c r="B48" s="905" t="s">
        <v>144</v>
      </c>
      <c r="C48" s="298" t="s">
        <v>145</v>
      </c>
      <c r="D48" s="292">
        <v>804.62</v>
      </c>
      <c r="E48" s="275">
        <v>0</v>
      </c>
      <c r="F48" s="275">
        <v>804.62</v>
      </c>
      <c r="G48" s="275">
        <v>0</v>
      </c>
      <c r="H48" s="275">
        <v>804.62</v>
      </c>
      <c r="I48" s="275">
        <v>0</v>
      </c>
      <c r="J48" s="275">
        <v>1774.61</v>
      </c>
      <c r="K48" s="275">
        <v>0</v>
      </c>
      <c r="L48" s="275">
        <v>1774.61</v>
      </c>
      <c r="M48" s="275">
        <v>0</v>
      </c>
      <c r="N48" s="275">
        <v>804.62</v>
      </c>
      <c r="O48" s="276">
        <v>0</v>
      </c>
      <c r="P48" s="277">
        <f t="shared" ref="P48:P55" si="11">SUM(D48:O48)</f>
        <v>6767.7</v>
      </c>
      <c r="Q48" s="278"/>
    </row>
    <row r="49" spans="2:17" x14ac:dyDescent="0.25">
      <c r="B49" s="906"/>
      <c r="C49" s="299" t="s">
        <v>147</v>
      </c>
      <c r="D49" s="293">
        <v>9365</v>
      </c>
      <c r="E49" s="256">
        <v>9365</v>
      </c>
      <c r="F49" s="256">
        <v>9365</v>
      </c>
      <c r="G49" s="256">
        <v>9365</v>
      </c>
      <c r="H49" s="256">
        <v>9365</v>
      </c>
      <c r="I49" s="256">
        <v>9365</v>
      </c>
      <c r="J49" s="256">
        <v>9365</v>
      </c>
      <c r="K49" s="256">
        <v>9365</v>
      </c>
      <c r="L49" s="256">
        <v>9365</v>
      </c>
      <c r="M49" s="256">
        <v>9365</v>
      </c>
      <c r="N49" s="256">
        <v>9365</v>
      </c>
      <c r="O49" s="258">
        <v>9365</v>
      </c>
      <c r="P49" s="262">
        <f t="shared" si="11"/>
        <v>112380</v>
      </c>
      <c r="Q49" s="259"/>
    </row>
    <row r="50" spans="2:17" x14ac:dyDescent="0.25">
      <c r="B50" s="906"/>
      <c r="C50" s="299" t="s">
        <v>146</v>
      </c>
      <c r="D50" s="293">
        <v>615</v>
      </c>
      <c r="E50" s="256">
        <v>615</v>
      </c>
      <c r="F50" s="256">
        <v>615</v>
      </c>
      <c r="G50" s="256">
        <v>615</v>
      </c>
      <c r="H50" s="256">
        <v>615</v>
      </c>
      <c r="I50" s="256">
        <v>615</v>
      </c>
      <c r="J50" s="256">
        <v>615</v>
      </c>
      <c r="K50" s="256">
        <v>615</v>
      </c>
      <c r="L50" s="256">
        <v>615</v>
      </c>
      <c r="M50" s="256">
        <v>615</v>
      </c>
      <c r="N50" s="256">
        <v>615</v>
      </c>
      <c r="O50" s="258">
        <v>615</v>
      </c>
      <c r="P50" s="262">
        <f t="shared" si="11"/>
        <v>7380</v>
      </c>
      <c r="Q50" s="259"/>
    </row>
    <row r="51" spans="2:17" x14ac:dyDescent="0.25">
      <c r="B51" s="906"/>
      <c r="C51" s="299" t="s">
        <v>155</v>
      </c>
      <c r="D51" s="293">
        <v>390</v>
      </c>
      <c r="E51" s="256">
        <v>390</v>
      </c>
      <c r="F51" s="256">
        <v>390</v>
      </c>
      <c r="G51" s="256">
        <v>390</v>
      </c>
      <c r="H51" s="256">
        <v>390</v>
      </c>
      <c r="I51" s="256">
        <v>390</v>
      </c>
      <c r="J51" s="256">
        <v>390</v>
      </c>
      <c r="K51" s="256">
        <v>390</v>
      </c>
      <c r="L51" s="256">
        <v>390</v>
      </c>
      <c r="M51" s="256">
        <v>390</v>
      </c>
      <c r="N51" s="256">
        <v>390</v>
      </c>
      <c r="O51" s="258">
        <v>390</v>
      </c>
      <c r="P51" s="262">
        <f t="shared" si="11"/>
        <v>4680</v>
      </c>
      <c r="Q51" s="260"/>
    </row>
    <row r="52" spans="2:17" x14ac:dyDescent="0.25">
      <c r="B52" s="906"/>
      <c r="C52" s="300" t="s">
        <v>156</v>
      </c>
      <c r="D52" s="293">
        <f>725*6</f>
        <v>4350</v>
      </c>
      <c r="E52" s="256">
        <f t="shared" ref="E52:O52" si="12">725*6</f>
        <v>4350</v>
      </c>
      <c r="F52" s="256">
        <f t="shared" si="12"/>
        <v>4350</v>
      </c>
      <c r="G52" s="256">
        <f t="shared" si="12"/>
        <v>4350</v>
      </c>
      <c r="H52" s="256">
        <f t="shared" si="12"/>
        <v>4350</v>
      </c>
      <c r="I52" s="256">
        <f t="shared" si="12"/>
        <v>4350</v>
      </c>
      <c r="J52" s="256">
        <f t="shared" si="12"/>
        <v>4350</v>
      </c>
      <c r="K52" s="256">
        <f t="shared" si="12"/>
        <v>4350</v>
      </c>
      <c r="L52" s="256">
        <f t="shared" si="12"/>
        <v>4350</v>
      </c>
      <c r="M52" s="256">
        <f t="shared" si="12"/>
        <v>4350</v>
      </c>
      <c r="N52" s="256">
        <f t="shared" si="12"/>
        <v>4350</v>
      </c>
      <c r="O52" s="258">
        <f t="shared" si="12"/>
        <v>4350</v>
      </c>
      <c r="P52" s="262">
        <f t="shared" si="11"/>
        <v>52200</v>
      </c>
      <c r="Q52" s="261"/>
    </row>
    <row r="53" spans="2:17" x14ac:dyDescent="0.25">
      <c r="B53" s="906"/>
      <c r="C53" s="300" t="s">
        <v>157</v>
      </c>
      <c r="D53" s="293">
        <v>2290</v>
      </c>
      <c r="E53" s="256">
        <v>2290</v>
      </c>
      <c r="F53" s="256">
        <v>2290</v>
      </c>
      <c r="G53" s="256">
        <v>2290</v>
      </c>
      <c r="H53" s="256">
        <v>2290</v>
      </c>
      <c r="I53" s="256">
        <v>2290</v>
      </c>
      <c r="J53" s="256">
        <v>2290</v>
      </c>
      <c r="K53" s="256">
        <v>2290</v>
      </c>
      <c r="L53" s="256">
        <v>2290</v>
      </c>
      <c r="M53" s="256">
        <v>2290</v>
      </c>
      <c r="N53" s="256">
        <v>2290</v>
      </c>
      <c r="O53" s="258">
        <v>2290</v>
      </c>
      <c r="P53" s="262">
        <f t="shared" si="11"/>
        <v>27480</v>
      </c>
      <c r="Q53" s="261"/>
    </row>
    <row r="54" spans="2:17" x14ac:dyDescent="0.25">
      <c r="B54" s="906"/>
      <c r="C54" s="261" t="s">
        <v>158</v>
      </c>
      <c r="D54" s="293">
        <f>18228/12</f>
        <v>1519</v>
      </c>
      <c r="E54" s="256">
        <f t="shared" ref="E54:O54" si="13">18228/12</f>
        <v>1519</v>
      </c>
      <c r="F54" s="256">
        <f t="shared" si="13"/>
        <v>1519</v>
      </c>
      <c r="G54" s="256">
        <f t="shared" si="13"/>
        <v>1519</v>
      </c>
      <c r="H54" s="256">
        <f t="shared" si="13"/>
        <v>1519</v>
      </c>
      <c r="I54" s="256">
        <f t="shared" si="13"/>
        <v>1519</v>
      </c>
      <c r="J54" s="256">
        <f t="shared" si="13"/>
        <v>1519</v>
      </c>
      <c r="K54" s="256">
        <f t="shared" si="13"/>
        <v>1519</v>
      </c>
      <c r="L54" s="256">
        <f t="shared" si="13"/>
        <v>1519</v>
      </c>
      <c r="M54" s="256">
        <f t="shared" si="13"/>
        <v>1519</v>
      </c>
      <c r="N54" s="256">
        <f t="shared" si="13"/>
        <v>1519</v>
      </c>
      <c r="O54" s="258">
        <f t="shared" si="13"/>
        <v>1519</v>
      </c>
      <c r="P54" s="262">
        <f t="shared" si="11"/>
        <v>18228</v>
      </c>
      <c r="Q54" s="261"/>
    </row>
    <row r="55" spans="2:17" ht="15.75" thickBot="1" x14ac:dyDescent="0.3">
      <c r="B55" s="907"/>
      <c r="C55" s="301" t="s">
        <v>159</v>
      </c>
      <c r="D55" s="294">
        <v>1860</v>
      </c>
      <c r="E55" s="279">
        <v>1860</v>
      </c>
      <c r="F55" s="279">
        <v>1860</v>
      </c>
      <c r="G55" s="279">
        <v>1860</v>
      </c>
      <c r="H55" s="279">
        <v>1860</v>
      </c>
      <c r="I55" s="279">
        <v>1860</v>
      </c>
      <c r="J55" s="279">
        <v>1860</v>
      </c>
      <c r="K55" s="279">
        <v>1860</v>
      </c>
      <c r="L55" s="279">
        <v>1860</v>
      </c>
      <c r="M55" s="279">
        <v>1860</v>
      </c>
      <c r="N55" s="279">
        <v>1860</v>
      </c>
      <c r="O55" s="280">
        <v>1860</v>
      </c>
      <c r="P55" s="263">
        <f t="shared" si="11"/>
        <v>22320</v>
      </c>
      <c r="Q55" s="281"/>
    </row>
    <row r="56" spans="2:17" x14ac:dyDescent="0.25">
      <c r="B56" s="901" t="s">
        <v>148</v>
      </c>
      <c r="C56" s="302" t="s">
        <v>364</v>
      </c>
      <c r="D56" s="295">
        <f>98856.88*1.15</f>
        <v>113685.412</v>
      </c>
      <c r="E56" s="282">
        <v>113685.41</v>
      </c>
      <c r="F56" s="282">
        <v>113685.41</v>
      </c>
      <c r="G56" s="282">
        <v>113685.41</v>
      </c>
      <c r="H56" s="282">
        <v>113685.41</v>
      </c>
      <c r="I56" s="282">
        <v>113685.41</v>
      </c>
      <c r="J56" s="282">
        <f>I56*1.15</f>
        <v>130738.2215</v>
      </c>
      <c r="K56" s="282">
        <v>130738.22</v>
      </c>
      <c r="L56" s="282">
        <v>130738.22</v>
      </c>
      <c r="M56" s="282">
        <v>130738.22</v>
      </c>
      <c r="N56" s="282">
        <v>130738.22</v>
      </c>
      <c r="O56" s="282">
        <v>130738.22</v>
      </c>
      <c r="P56" s="284">
        <f>SUM(D56:O56)</f>
        <v>1466541.7834999999</v>
      </c>
      <c r="Q56" s="285"/>
    </row>
    <row r="57" spans="2:17" ht="15.75" thickBot="1" x14ac:dyDescent="0.3">
      <c r="B57" s="902"/>
      <c r="C57" s="301" t="s">
        <v>160</v>
      </c>
      <c r="D57" s="294">
        <v>0</v>
      </c>
      <c r="E57" s="279">
        <v>0</v>
      </c>
      <c r="F57" s="279">
        <v>0</v>
      </c>
      <c r="G57" s="279">
        <v>0</v>
      </c>
      <c r="H57" s="279">
        <v>0</v>
      </c>
      <c r="I57" s="279">
        <v>0</v>
      </c>
      <c r="J57" s="279">
        <v>0</v>
      </c>
      <c r="K57" s="279">
        <v>0</v>
      </c>
      <c r="L57" s="279">
        <v>0</v>
      </c>
      <c r="M57" s="279">
        <v>0</v>
      </c>
      <c r="N57" s="279">
        <v>0</v>
      </c>
      <c r="O57" s="280">
        <v>0</v>
      </c>
      <c r="P57" s="263">
        <f>SUM(D57:O57)</f>
        <v>0</v>
      </c>
      <c r="Q57" s="281"/>
    </row>
    <row r="58" spans="2:17" ht="19.5" thickBot="1" x14ac:dyDescent="0.35">
      <c r="B58" s="286" t="s">
        <v>149</v>
      </c>
      <c r="C58" s="303" t="s">
        <v>150</v>
      </c>
      <c r="D58" s="296">
        <v>8500</v>
      </c>
      <c r="E58" s="287">
        <v>8500</v>
      </c>
      <c r="F58" s="287">
        <v>8500</v>
      </c>
      <c r="G58" s="287">
        <v>8500</v>
      </c>
      <c r="H58" s="287">
        <v>8500</v>
      </c>
      <c r="I58" s="287">
        <v>8500</v>
      </c>
      <c r="J58" s="287">
        <v>8500</v>
      </c>
      <c r="K58" s="287">
        <v>8500</v>
      </c>
      <c r="L58" s="287">
        <v>8500</v>
      </c>
      <c r="M58" s="287">
        <v>8500</v>
      </c>
      <c r="N58" s="287">
        <v>8500</v>
      </c>
      <c r="O58" s="288">
        <v>8500</v>
      </c>
      <c r="P58" s="268">
        <f>SUM(D58:O58)</f>
        <v>102000</v>
      </c>
      <c r="Q58" s="289"/>
    </row>
    <row r="59" spans="2:17" x14ac:dyDescent="0.25">
      <c r="B59" s="908" t="s">
        <v>161</v>
      </c>
      <c r="C59" s="299" t="s">
        <v>365</v>
      </c>
      <c r="D59" s="293">
        <f>200*60*4</f>
        <v>48000</v>
      </c>
      <c r="E59" s="256">
        <f t="shared" ref="E59:O60" si="14">200*60*4</f>
        <v>48000</v>
      </c>
      <c r="F59" s="256">
        <f t="shared" si="14"/>
        <v>48000</v>
      </c>
      <c r="G59" s="256">
        <f t="shared" si="14"/>
        <v>48000</v>
      </c>
      <c r="H59" s="256">
        <f t="shared" si="14"/>
        <v>48000</v>
      </c>
      <c r="I59" s="256">
        <f t="shared" si="14"/>
        <v>48000</v>
      </c>
      <c r="J59" s="256">
        <f t="shared" si="14"/>
        <v>48000</v>
      </c>
      <c r="K59" s="256">
        <f t="shared" si="14"/>
        <v>48000</v>
      </c>
      <c r="L59" s="256">
        <f t="shared" si="14"/>
        <v>48000</v>
      </c>
      <c r="M59" s="256">
        <f t="shared" si="14"/>
        <v>48000</v>
      </c>
      <c r="N59" s="256">
        <f t="shared" si="14"/>
        <v>48000</v>
      </c>
      <c r="O59" s="258">
        <f t="shared" si="14"/>
        <v>48000</v>
      </c>
      <c r="P59" s="262">
        <f>SUM(D59:O59)</f>
        <v>576000</v>
      </c>
      <c r="Q59" s="260"/>
    </row>
    <row r="60" spans="2:17" ht="25.5" customHeight="1" thickBot="1" x14ac:dyDescent="0.3">
      <c r="B60" s="909"/>
      <c r="C60" s="301" t="s">
        <v>365</v>
      </c>
      <c r="D60" s="297">
        <f>200*60*4</f>
        <v>48000</v>
      </c>
      <c r="E60" s="297">
        <f t="shared" si="14"/>
        <v>48000</v>
      </c>
      <c r="F60" s="297">
        <f t="shared" si="14"/>
        <v>48000</v>
      </c>
      <c r="G60" s="297">
        <f t="shared" si="14"/>
        <v>48000</v>
      </c>
      <c r="H60" s="297">
        <f t="shared" si="14"/>
        <v>48000</v>
      </c>
      <c r="I60" s="297">
        <f t="shared" si="14"/>
        <v>48000</v>
      </c>
      <c r="J60" s="297">
        <f t="shared" si="14"/>
        <v>48000</v>
      </c>
      <c r="K60" s="297">
        <f t="shared" si="14"/>
        <v>48000</v>
      </c>
      <c r="L60" s="297">
        <f t="shared" si="14"/>
        <v>48000</v>
      </c>
      <c r="M60" s="297">
        <f t="shared" si="14"/>
        <v>48000</v>
      </c>
      <c r="N60" s="297">
        <f t="shared" si="14"/>
        <v>48000</v>
      </c>
      <c r="O60" s="297">
        <f t="shared" si="14"/>
        <v>48000</v>
      </c>
      <c r="P60" s="264">
        <f>SUM(D60:O60)</f>
        <v>576000</v>
      </c>
      <c r="Q60" s="260"/>
    </row>
    <row r="61" spans="2:17" ht="15.75" thickBot="1" x14ac:dyDescent="0.3">
      <c r="B61" s="21"/>
      <c r="C61" s="265" t="s">
        <v>19</v>
      </c>
      <c r="D61" s="266">
        <f t="shared" ref="D61:P61" si="15">SUM(D48:D60)</f>
        <v>239379.03200000001</v>
      </c>
      <c r="E61" s="266">
        <f t="shared" si="15"/>
        <v>238574.41</v>
      </c>
      <c r="F61" s="266">
        <f t="shared" si="15"/>
        <v>239379.03</v>
      </c>
      <c r="G61" s="266">
        <f t="shared" si="15"/>
        <v>238574.41</v>
      </c>
      <c r="H61" s="266">
        <f t="shared" si="15"/>
        <v>239379.03</v>
      </c>
      <c r="I61" s="266">
        <f t="shared" si="15"/>
        <v>238574.41</v>
      </c>
      <c r="J61" s="266">
        <f t="shared" si="15"/>
        <v>257401.8315</v>
      </c>
      <c r="K61" s="266">
        <f t="shared" si="15"/>
        <v>255627.22</v>
      </c>
      <c r="L61" s="266">
        <f t="shared" si="15"/>
        <v>257401.83000000002</v>
      </c>
      <c r="M61" s="266">
        <f t="shared" si="15"/>
        <v>255627.22</v>
      </c>
      <c r="N61" s="266">
        <f t="shared" si="15"/>
        <v>256431.84</v>
      </c>
      <c r="O61" s="267">
        <f t="shared" si="15"/>
        <v>255627.22</v>
      </c>
      <c r="P61" s="290">
        <f t="shared" si="15"/>
        <v>2971977.4835000001</v>
      </c>
      <c r="Q61" s="257"/>
    </row>
  </sheetData>
  <mergeCells count="17">
    <mergeCell ref="B59:B60"/>
    <mergeCell ref="G3:I3"/>
    <mergeCell ref="B40:B41"/>
    <mergeCell ref="B46:Q46"/>
    <mergeCell ref="B47:C47"/>
    <mergeCell ref="B48:B55"/>
    <mergeCell ref="B56:B57"/>
    <mergeCell ref="B22:B23"/>
    <mergeCell ref="B27:Q27"/>
    <mergeCell ref="B28:C28"/>
    <mergeCell ref="B29:B36"/>
    <mergeCell ref="B37:B38"/>
    <mergeCell ref="B19:B20"/>
    <mergeCell ref="B9:Q9"/>
    <mergeCell ref="B10:C10"/>
    <mergeCell ref="C3:E3"/>
    <mergeCell ref="B11:B18"/>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19"/>
  <sheetViews>
    <sheetView zoomScale="60" zoomScaleNormal="60" workbookViewId="0">
      <pane xSplit="3" ySplit="1" topLeftCell="D71" activePane="bottomRight" state="frozen"/>
      <selection pane="topRight" activeCell="D1" sqref="D1"/>
      <selection pane="bottomLeft" activeCell="A2" sqref="A2"/>
      <selection pane="bottomRight" activeCell="E94" sqref="E94"/>
    </sheetView>
  </sheetViews>
  <sheetFormatPr defaultColWidth="11.42578125" defaultRowHeight="15" x14ac:dyDescent="0.25"/>
  <cols>
    <col min="1" max="1" width="13.7109375"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12" s="617" customFormat="1" ht="58.5" customHeight="1" x14ac:dyDescent="0.25">
      <c r="A1" s="619"/>
      <c r="B1" s="619"/>
      <c r="C1" s="619"/>
      <c r="D1" s="619"/>
      <c r="E1" s="619"/>
      <c r="F1" s="622" t="s">
        <v>5</v>
      </c>
      <c r="G1" s="623"/>
      <c r="H1" s="623"/>
      <c r="I1" s="619"/>
      <c r="J1" s="619"/>
      <c r="K1" s="619"/>
      <c r="L1" s="619"/>
    </row>
    <row r="3" spans="1:12" ht="15.75" thickBot="1" x14ac:dyDescent="0.3"/>
    <row r="4" spans="1:12" ht="27" thickBot="1" x14ac:dyDescent="0.45">
      <c r="B4" s="838" t="s">
        <v>36</v>
      </c>
      <c r="C4" s="839"/>
      <c r="D4" s="840"/>
      <c r="E4" s="39"/>
      <c r="H4" s="838" t="s">
        <v>165</v>
      </c>
      <c r="I4" s="839"/>
      <c r="J4" s="840"/>
    </row>
    <row r="5" spans="1:12" x14ac:dyDescent="0.25">
      <c r="B5" s="34">
        <v>2019</v>
      </c>
      <c r="C5" s="34">
        <v>2020</v>
      </c>
      <c r="D5" s="34">
        <v>2021</v>
      </c>
      <c r="E5" s="212"/>
      <c r="H5" s="94">
        <v>2019</v>
      </c>
      <c r="I5" s="34">
        <v>2020</v>
      </c>
      <c r="J5" s="95">
        <v>2021</v>
      </c>
    </row>
    <row r="6" spans="1:12" ht="15.75" thickBot="1" x14ac:dyDescent="0.3">
      <c r="B6" s="40">
        <f>Hipótesis!C24</f>
        <v>0.03</v>
      </c>
      <c r="C6" s="40">
        <f>Hipótesis!C25</f>
        <v>7.0000000000000007E-2</v>
      </c>
      <c r="D6" s="40">
        <f>Hipótesis!C26</f>
        <v>0.12</v>
      </c>
      <c r="E6" s="307"/>
      <c r="H6" s="98" t="e">
        <f>AB71</f>
        <v>#REF!</v>
      </c>
      <c r="I6" s="99" t="e">
        <f>AB95</f>
        <v>#REF!</v>
      </c>
      <c r="J6" s="100" t="e">
        <f>AB119</f>
        <v>#REF!</v>
      </c>
    </row>
    <row r="7" spans="1:12" x14ac:dyDescent="0.25">
      <c r="B7" s="33">
        <f>Hipótesis!D24</f>
        <v>18750000</v>
      </c>
      <c r="C7" s="33">
        <f>Hipótesis!D25</f>
        <v>43750000.000000007</v>
      </c>
      <c r="D7" s="33">
        <f>Hipótesis!D26</f>
        <v>75000000</v>
      </c>
      <c r="E7" s="304"/>
    </row>
    <row r="9" spans="1:12" ht="15.75" thickBot="1" x14ac:dyDescent="0.3"/>
    <row r="10" spans="1:12" ht="27" thickBot="1" x14ac:dyDescent="0.45">
      <c r="B10" s="838" t="s">
        <v>192</v>
      </c>
      <c r="C10" s="839"/>
      <c r="D10" s="839"/>
      <c r="E10" s="840"/>
    </row>
    <row r="11" spans="1:12" ht="27" thickBot="1" x14ac:dyDescent="0.45">
      <c r="B11" s="912" t="s">
        <v>363</v>
      </c>
      <c r="C11" s="913"/>
      <c r="D11" s="913"/>
      <c r="E11" s="914"/>
      <c r="F11" s="223"/>
    </row>
    <row r="12" spans="1:12" ht="16.5" thickBot="1" x14ac:dyDescent="0.3">
      <c r="B12" s="325" t="s">
        <v>64</v>
      </c>
      <c r="C12" s="326" t="s">
        <v>60</v>
      </c>
      <c r="D12" s="326" t="s">
        <v>172</v>
      </c>
      <c r="E12" s="327" t="s">
        <v>167</v>
      </c>
    </row>
    <row r="13" spans="1:12" ht="30" x14ac:dyDescent="0.25">
      <c r="B13" s="311" t="s">
        <v>179</v>
      </c>
      <c r="C13" s="308">
        <v>1</v>
      </c>
      <c r="D13" s="309">
        <v>800</v>
      </c>
      <c r="E13" s="312">
        <f>C13*D13</f>
        <v>800</v>
      </c>
      <c r="I13" s="104"/>
      <c r="J13" s="105">
        <v>2800</v>
      </c>
    </row>
    <row r="14" spans="1:12" ht="30" x14ac:dyDescent="0.25">
      <c r="B14" s="311" t="s">
        <v>178</v>
      </c>
      <c r="C14" s="308">
        <v>2</v>
      </c>
      <c r="D14" s="309">
        <v>65</v>
      </c>
      <c r="E14" s="312">
        <f t="shared" ref="E14:E19" si="0">C14*D14</f>
        <v>130</v>
      </c>
      <c r="I14" s="106"/>
      <c r="J14" s="103">
        <v>15500</v>
      </c>
    </row>
    <row r="15" spans="1:12" ht="16.5" thickBot="1" x14ac:dyDescent="0.3">
      <c r="B15" s="311" t="s">
        <v>173</v>
      </c>
      <c r="C15" s="308">
        <v>2</v>
      </c>
      <c r="D15" s="309">
        <v>50</v>
      </c>
      <c r="E15" s="312">
        <f t="shared" si="0"/>
        <v>100</v>
      </c>
      <c r="I15" s="107"/>
      <c r="J15" s="108">
        <v>23000</v>
      </c>
    </row>
    <row r="16" spans="1:12" x14ac:dyDescent="0.25">
      <c r="B16" s="311" t="s">
        <v>168</v>
      </c>
      <c r="C16" s="308">
        <v>2</v>
      </c>
      <c r="D16" s="309">
        <v>70</v>
      </c>
      <c r="E16" s="312">
        <f t="shared" si="0"/>
        <v>140</v>
      </c>
    </row>
    <row r="17" spans="2:6" x14ac:dyDescent="0.25">
      <c r="B17" s="311" t="s">
        <v>169</v>
      </c>
      <c r="C17" s="308">
        <v>1</v>
      </c>
      <c r="D17" s="309">
        <v>80</v>
      </c>
      <c r="E17" s="312">
        <f t="shared" si="0"/>
        <v>80</v>
      </c>
    </row>
    <row r="18" spans="2:6" x14ac:dyDescent="0.25">
      <c r="B18" s="311" t="s">
        <v>170</v>
      </c>
      <c r="C18" s="308">
        <v>1</v>
      </c>
      <c r="D18" s="309">
        <v>50</v>
      </c>
      <c r="E18" s="312">
        <f t="shared" si="0"/>
        <v>50</v>
      </c>
    </row>
    <row r="19" spans="2:6" ht="15.75" thickBot="1" x14ac:dyDescent="0.3">
      <c r="B19" s="313" t="s">
        <v>171</v>
      </c>
      <c r="C19" s="314">
        <v>1</v>
      </c>
      <c r="D19" s="315">
        <v>60</v>
      </c>
      <c r="E19" s="316">
        <f t="shared" si="0"/>
        <v>60</v>
      </c>
    </row>
    <row r="20" spans="2:6" ht="16.5" thickBot="1" x14ac:dyDescent="0.3">
      <c r="D20" s="317" t="s">
        <v>19</v>
      </c>
      <c r="E20" s="324">
        <f>SUM(E13:E19)</f>
        <v>1360</v>
      </c>
    </row>
    <row r="21" spans="2:6" ht="15.75" thickBot="1" x14ac:dyDescent="0.3"/>
    <row r="22" spans="2:6" ht="27" thickBot="1" x14ac:dyDescent="0.45">
      <c r="B22" s="912" t="s">
        <v>363</v>
      </c>
      <c r="C22" s="913"/>
      <c r="D22" s="913"/>
      <c r="E22" s="914"/>
      <c r="F22" s="320"/>
    </row>
    <row r="23" spans="2:6" ht="15.75" x14ac:dyDescent="0.25">
      <c r="B23" s="325" t="s">
        <v>64</v>
      </c>
      <c r="C23" s="326" t="s">
        <v>60</v>
      </c>
      <c r="D23" s="326" t="s">
        <v>172</v>
      </c>
      <c r="E23" s="327" t="s">
        <v>167</v>
      </c>
      <c r="F23" s="321"/>
    </row>
    <row r="24" spans="2:6" ht="16.5" customHeight="1" x14ac:dyDescent="0.25">
      <c r="B24" s="311" t="s">
        <v>174</v>
      </c>
      <c r="C24" s="308">
        <v>10</v>
      </c>
      <c r="D24" s="309">
        <v>85</v>
      </c>
      <c r="E24" s="312">
        <f>C24*D24</f>
        <v>850</v>
      </c>
      <c r="F24" s="321"/>
    </row>
    <row r="25" spans="2:6" x14ac:dyDescent="0.25">
      <c r="B25" s="311" t="s">
        <v>175</v>
      </c>
      <c r="C25" s="308">
        <v>8</v>
      </c>
      <c r="D25" s="309">
        <v>60</v>
      </c>
      <c r="E25" s="312">
        <f t="shared" ref="E25:E32" si="1">C25*D25</f>
        <v>480</v>
      </c>
      <c r="F25" s="321"/>
    </row>
    <row r="26" spans="2:6" x14ac:dyDescent="0.25">
      <c r="B26" s="311" t="s">
        <v>176</v>
      </c>
      <c r="C26" s="308">
        <v>1</v>
      </c>
      <c r="D26" s="309">
        <v>250</v>
      </c>
      <c r="E26" s="312">
        <f t="shared" si="1"/>
        <v>250</v>
      </c>
      <c r="F26" s="321"/>
    </row>
    <row r="27" spans="2:6" x14ac:dyDescent="0.25">
      <c r="B27" s="311" t="s">
        <v>34</v>
      </c>
      <c r="C27" s="308">
        <v>1</v>
      </c>
      <c r="D27" s="309">
        <v>1800</v>
      </c>
      <c r="E27" s="312">
        <f t="shared" si="1"/>
        <v>1800</v>
      </c>
      <c r="F27" s="321"/>
    </row>
    <row r="28" spans="2:6" x14ac:dyDescent="0.25">
      <c r="B28" s="311" t="s">
        <v>177</v>
      </c>
      <c r="C28" s="308">
        <v>1</v>
      </c>
      <c r="D28" s="309">
        <v>600</v>
      </c>
      <c r="E28" s="312">
        <f t="shared" si="1"/>
        <v>600</v>
      </c>
      <c r="F28" s="321"/>
    </row>
    <row r="29" spans="2:6" x14ac:dyDescent="0.25">
      <c r="B29" s="311" t="s">
        <v>180</v>
      </c>
      <c r="C29" s="308">
        <v>4</v>
      </c>
      <c r="D29" s="309">
        <v>200</v>
      </c>
      <c r="E29" s="312">
        <f t="shared" si="1"/>
        <v>800</v>
      </c>
      <c r="F29" s="321"/>
    </row>
    <row r="30" spans="2:6" x14ac:dyDescent="0.25">
      <c r="B30" s="311" t="s">
        <v>181</v>
      </c>
      <c r="C30" s="308">
        <v>1</v>
      </c>
      <c r="D30" s="309">
        <v>400</v>
      </c>
      <c r="E30" s="312">
        <f t="shared" si="1"/>
        <v>400</v>
      </c>
      <c r="F30" s="321"/>
    </row>
    <row r="31" spans="2:6" x14ac:dyDescent="0.25">
      <c r="B31" s="311" t="s">
        <v>182</v>
      </c>
      <c r="C31" s="308">
        <v>1</v>
      </c>
      <c r="D31" s="309">
        <v>250</v>
      </c>
      <c r="E31" s="312">
        <f t="shared" si="1"/>
        <v>250</v>
      </c>
      <c r="F31" s="321"/>
    </row>
    <row r="32" spans="2:6" ht="15.75" thickBot="1" x14ac:dyDescent="0.3">
      <c r="B32" s="313" t="s">
        <v>183</v>
      </c>
      <c r="C32" s="314">
        <v>1</v>
      </c>
      <c r="D32" s="315">
        <v>275</v>
      </c>
      <c r="E32" s="316">
        <f t="shared" si="1"/>
        <v>275</v>
      </c>
      <c r="F32" s="322"/>
    </row>
    <row r="33" spans="2:6" ht="16.5" thickBot="1" x14ac:dyDescent="0.3">
      <c r="D33" s="317" t="s">
        <v>19</v>
      </c>
      <c r="E33" s="324">
        <f>SUM(E24:E32)</f>
        <v>5705</v>
      </c>
      <c r="F33" s="102"/>
    </row>
    <row r="34" spans="2:6" ht="15.75" thickBot="1" x14ac:dyDescent="0.3">
      <c r="B34" s="102"/>
      <c r="C34" s="102"/>
      <c r="D34" s="102"/>
      <c r="E34" s="102"/>
      <c r="F34" s="102"/>
    </row>
    <row r="35" spans="2:6" ht="27" thickBot="1" x14ac:dyDescent="0.45">
      <c r="B35" s="838" t="s">
        <v>363</v>
      </c>
      <c r="C35" s="839"/>
      <c r="D35" s="839"/>
      <c r="E35" s="840"/>
      <c r="F35" s="102"/>
    </row>
    <row r="36" spans="2:6" ht="15.75" x14ac:dyDescent="0.25">
      <c r="B36" s="318" t="s">
        <v>64</v>
      </c>
      <c r="C36" s="310" t="s">
        <v>60</v>
      </c>
      <c r="D36" s="310" t="s">
        <v>172</v>
      </c>
      <c r="E36" s="319" t="s">
        <v>167</v>
      </c>
      <c r="F36" s="323"/>
    </row>
    <row r="37" spans="2:6" x14ac:dyDescent="0.25">
      <c r="B37" s="311" t="s">
        <v>174</v>
      </c>
      <c r="C37" s="308">
        <v>22</v>
      </c>
      <c r="D37" s="309">
        <v>85</v>
      </c>
      <c r="E37" s="312">
        <f>C37*D37</f>
        <v>1870</v>
      </c>
      <c r="F37" s="102"/>
    </row>
    <row r="38" spans="2:6" x14ac:dyDescent="0.25">
      <c r="B38" s="311" t="s">
        <v>175</v>
      </c>
      <c r="C38" s="308">
        <v>16</v>
      </c>
      <c r="D38" s="309">
        <v>60</v>
      </c>
      <c r="E38" s="312">
        <f t="shared" ref="E38:E45" si="2">C38*D38</f>
        <v>960</v>
      </c>
      <c r="F38" s="102"/>
    </row>
    <row r="39" spans="2:6" x14ac:dyDescent="0.25">
      <c r="B39" s="311" t="s">
        <v>176</v>
      </c>
      <c r="C39" s="308">
        <v>1</v>
      </c>
      <c r="D39" s="309">
        <v>250</v>
      </c>
      <c r="E39" s="312">
        <f t="shared" si="2"/>
        <v>250</v>
      </c>
      <c r="F39" s="102"/>
    </row>
    <row r="40" spans="2:6" x14ac:dyDescent="0.25">
      <c r="B40" s="311" t="s">
        <v>34</v>
      </c>
      <c r="C40" s="308">
        <v>1</v>
      </c>
      <c r="D40" s="309">
        <v>1800</v>
      </c>
      <c r="E40" s="312">
        <f t="shared" si="2"/>
        <v>1800</v>
      </c>
      <c r="F40" s="102"/>
    </row>
    <row r="41" spans="2:6" x14ac:dyDescent="0.25">
      <c r="B41" s="311" t="s">
        <v>177</v>
      </c>
      <c r="C41" s="308">
        <v>1</v>
      </c>
      <c r="D41" s="309">
        <v>600</v>
      </c>
      <c r="E41" s="312">
        <f t="shared" si="2"/>
        <v>600</v>
      </c>
      <c r="F41" s="102"/>
    </row>
    <row r="42" spans="2:6" x14ac:dyDescent="0.25">
      <c r="B42" s="311" t="s">
        <v>180</v>
      </c>
      <c r="C42" s="308">
        <v>8</v>
      </c>
      <c r="D42" s="309">
        <v>200</v>
      </c>
      <c r="E42" s="312">
        <f t="shared" si="2"/>
        <v>1600</v>
      </c>
      <c r="F42" s="102"/>
    </row>
    <row r="43" spans="2:6" x14ac:dyDescent="0.25">
      <c r="B43" s="311" t="s">
        <v>181</v>
      </c>
      <c r="C43" s="308">
        <v>1</v>
      </c>
      <c r="D43" s="309">
        <v>400</v>
      </c>
      <c r="E43" s="312">
        <f t="shared" si="2"/>
        <v>400</v>
      </c>
      <c r="F43" s="102"/>
    </row>
    <row r="44" spans="2:6" x14ac:dyDescent="0.25">
      <c r="B44" s="311" t="s">
        <v>182</v>
      </c>
      <c r="C44" s="308">
        <v>1</v>
      </c>
      <c r="D44" s="309">
        <v>250</v>
      </c>
      <c r="E44" s="312">
        <f t="shared" si="2"/>
        <v>250</v>
      </c>
      <c r="F44" s="102"/>
    </row>
    <row r="45" spans="2:6" ht="15.75" thickBot="1" x14ac:dyDescent="0.3">
      <c r="B45" s="313" t="s">
        <v>183</v>
      </c>
      <c r="C45" s="314">
        <v>1</v>
      </c>
      <c r="D45" s="315">
        <v>375</v>
      </c>
      <c r="E45" s="316">
        <f t="shared" si="2"/>
        <v>375</v>
      </c>
      <c r="F45" s="102"/>
    </row>
    <row r="46" spans="2:6" ht="16.5" thickBot="1" x14ac:dyDescent="0.3">
      <c r="D46" s="317" t="s">
        <v>19</v>
      </c>
      <c r="E46" s="324">
        <f>SUM(E37:E45)</f>
        <v>8105</v>
      </c>
      <c r="F46" s="102"/>
    </row>
    <row r="47" spans="2:6" x14ac:dyDescent="0.25">
      <c r="B47" s="1">
        <v>1E-3</v>
      </c>
    </row>
    <row r="48" spans="2:6" x14ac:dyDescent="0.25">
      <c r="B48" s="1">
        <v>0.5</v>
      </c>
      <c r="C48" s="1">
        <v>100</v>
      </c>
    </row>
    <row r="49" spans="1:28" ht="15.75" thickBot="1" x14ac:dyDescent="0.3"/>
    <row r="50" spans="1:28" ht="27" thickBot="1" x14ac:dyDescent="0.45">
      <c r="B50" s="918" t="s">
        <v>166</v>
      </c>
      <c r="C50" s="919"/>
      <c r="D50" s="919"/>
      <c r="E50" s="919"/>
      <c r="F50" s="919"/>
      <c r="G50" s="919"/>
      <c r="H50" s="919"/>
      <c r="I50" s="919"/>
      <c r="J50" s="919"/>
      <c r="K50" s="919"/>
      <c r="L50" s="919"/>
      <c r="M50" s="919"/>
      <c r="N50" s="919"/>
      <c r="O50" s="919"/>
      <c r="P50" s="919"/>
      <c r="Q50" s="919"/>
      <c r="R50" s="919"/>
      <c r="S50" s="919"/>
      <c r="T50" s="919"/>
      <c r="U50" s="919"/>
      <c r="V50" s="919"/>
      <c r="W50" s="919"/>
      <c r="X50" s="919"/>
      <c r="Y50" s="919"/>
      <c r="Z50" s="919"/>
      <c r="AA50" s="919"/>
      <c r="AB50" s="920"/>
    </row>
    <row r="51" spans="1:28" x14ac:dyDescent="0.25">
      <c r="B51" s="916" t="s">
        <v>64</v>
      </c>
      <c r="C51" s="917"/>
      <c r="D51" s="915" t="s">
        <v>42</v>
      </c>
      <c r="E51" s="911"/>
      <c r="F51" s="910" t="s">
        <v>43</v>
      </c>
      <c r="G51" s="911"/>
      <c r="H51" s="910" t="s">
        <v>44</v>
      </c>
      <c r="I51" s="911"/>
      <c r="J51" s="910" t="s">
        <v>45</v>
      </c>
      <c r="K51" s="911"/>
      <c r="L51" s="910" t="s">
        <v>46</v>
      </c>
      <c r="M51" s="911"/>
      <c r="N51" s="910" t="s">
        <v>47</v>
      </c>
      <c r="O51" s="911"/>
      <c r="P51" s="910" t="s">
        <v>48</v>
      </c>
      <c r="Q51" s="911"/>
      <c r="R51" s="910" t="s">
        <v>49</v>
      </c>
      <c r="S51" s="911"/>
      <c r="T51" s="910" t="s">
        <v>50</v>
      </c>
      <c r="U51" s="911"/>
      <c r="V51" s="910" t="s">
        <v>51</v>
      </c>
      <c r="W51" s="911"/>
      <c r="X51" s="910" t="s">
        <v>52</v>
      </c>
      <c r="Y51" s="911"/>
      <c r="Z51" s="910" t="s">
        <v>53</v>
      </c>
      <c r="AA51" s="915"/>
      <c r="AB51" s="921" t="s">
        <v>19</v>
      </c>
    </row>
    <row r="52" spans="1:28" ht="15.75" thickBot="1" x14ac:dyDescent="0.3">
      <c r="B52" s="336" t="s">
        <v>119</v>
      </c>
      <c r="C52" s="337" t="s">
        <v>172</v>
      </c>
      <c r="D52" s="338" t="s">
        <v>60</v>
      </c>
      <c r="E52" s="339" t="s">
        <v>104</v>
      </c>
      <c r="F52" s="339" t="s">
        <v>60</v>
      </c>
      <c r="G52" s="339" t="s">
        <v>104</v>
      </c>
      <c r="H52" s="339" t="s">
        <v>60</v>
      </c>
      <c r="I52" s="339" t="s">
        <v>104</v>
      </c>
      <c r="J52" s="339" t="s">
        <v>60</v>
      </c>
      <c r="K52" s="339" t="s">
        <v>104</v>
      </c>
      <c r="L52" s="339" t="s">
        <v>60</v>
      </c>
      <c r="M52" s="339" t="s">
        <v>104</v>
      </c>
      <c r="N52" s="339" t="s">
        <v>60</v>
      </c>
      <c r="O52" s="339" t="s">
        <v>104</v>
      </c>
      <c r="P52" s="339" t="s">
        <v>60</v>
      </c>
      <c r="Q52" s="339" t="s">
        <v>104</v>
      </c>
      <c r="R52" s="339" t="s">
        <v>60</v>
      </c>
      <c r="S52" s="339" t="s">
        <v>104</v>
      </c>
      <c r="T52" s="339" t="s">
        <v>60</v>
      </c>
      <c r="U52" s="339" t="s">
        <v>104</v>
      </c>
      <c r="V52" s="339" t="s">
        <v>60</v>
      </c>
      <c r="W52" s="339" t="s">
        <v>104</v>
      </c>
      <c r="X52" s="339" t="s">
        <v>60</v>
      </c>
      <c r="Y52" s="339" t="s">
        <v>104</v>
      </c>
      <c r="Z52" s="339" t="s">
        <v>60</v>
      </c>
      <c r="AA52" s="340" t="s">
        <v>104</v>
      </c>
      <c r="AB52" s="921"/>
    </row>
    <row r="53" spans="1:28" x14ac:dyDescent="0.25">
      <c r="A53" s="922" t="s">
        <v>184</v>
      </c>
      <c r="B53" s="341"/>
      <c r="C53" s="342">
        <f>$E$20</f>
        <v>1360</v>
      </c>
      <c r="D53" s="343">
        <f>'Proy. ventas'!E19</f>
        <v>0.12</v>
      </c>
      <c r="E53" s="275">
        <f t="shared" ref="E53:E64" si="3">D53*C53</f>
        <v>163.19999999999999</v>
      </c>
      <c r="F53" s="370">
        <f>'Proy. ventas'!G19</f>
        <v>0.08</v>
      </c>
      <c r="G53" s="275">
        <f t="shared" ref="G53:G68" si="4">F53*C53</f>
        <v>108.8</v>
      </c>
      <c r="H53" s="370">
        <f>'Proy. ventas'!I19</f>
        <v>0.16</v>
      </c>
      <c r="I53" s="275">
        <f t="shared" ref="I53:I68" si="5">H53*C53</f>
        <v>217.6</v>
      </c>
      <c r="J53" s="370">
        <f>'Proy. ventas'!K19</f>
        <v>0.14000000000000001</v>
      </c>
      <c r="K53" s="275">
        <f t="shared" ref="K53:K68" si="6">J53*C53</f>
        <v>190.4</v>
      </c>
      <c r="L53" s="370">
        <f>'Proy. ventas'!M19</f>
        <v>0.22</v>
      </c>
      <c r="M53" s="275">
        <f t="shared" ref="M53:M68" si="7">L53*C53</f>
        <v>299.2</v>
      </c>
      <c r="N53" s="370">
        <f>'Proy. ventas'!O19</f>
        <v>0.08</v>
      </c>
      <c r="O53" s="275">
        <f t="shared" ref="O53:O68" si="8">N53*C53</f>
        <v>108.8</v>
      </c>
      <c r="P53" s="370">
        <f>'Proy. ventas'!Q19</f>
        <v>0.12</v>
      </c>
      <c r="Q53" s="275">
        <f t="shared" ref="Q53:Q68" si="9">P53*C53</f>
        <v>163.19999999999999</v>
      </c>
      <c r="R53" s="370">
        <f>'Proy. ventas'!S19</f>
        <v>0.24</v>
      </c>
      <c r="S53" s="275">
        <f t="shared" ref="S53:S68" si="10">R53*C53</f>
        <v>326.39999999999998</v>
      </c>
      <c r="T53" s="370">
        <f>'Proy. ventas'!U19</f>
        <v>0.22</v>
      </c>
      <c r="U53" s="275">
        <f t="shared" ref="U53:U68" si="11">T53*C53</f>
        <v>299.2</v>
      </c>
      <c r="V53" s="370">
        <f>'Proy. ventas'!W19</f>
        <v>0.28000000000000003</v>
      </c>
      <c r="W53" s="275">
        <f t="shared" ref="W53:W68" si="12">V53*C53</f>
        <v>380.8</v>
      </c>
      <c r="X53" s="370">
        <f>'Proy. ventas'!Y19</f>
        <v>0.16</v>
      </c>
      <c r="Y53" s="275">
        <f t="shared" ref="Y53:Y68" si="13">X53*C53</f>
        <v>217.6</v>
      </c>
      <c r="Z53" s="370">
        <f>'Proy. ventas'!AA19</f>
        <v>0.18</v>
      </c>
      <c r="AA53" s="276">
        <f t="shared" ref="AA53:AA68" si="14">Z53*C53</f>
        <v>244.79999999999998</v>
      </c>
      <c r="AB53" s="363">
        <f>E53+G53+I53+K53+M53+O53+Q53+S53++U53+W53+Y53+AA53</f>
        <v>2720</v>
      </c>
    </row>
    <row r="54" spans="1:28" x14ac:dyDescent="0.25">
      <c r="A54" s="923"/>
      <c r="B54" s="333"/>
      <c r="C54" s="334">
        <f>$E$33</f>
        <v>5705</v>
      </c>
      <c r="D54" s="331">
        <f>'Proy. ventas'!E20</f>
        <v>0.12</v>
      </c>
      <c r="E54" s="256">
        <f t="shared" si="3"/>
        <v>684.6</v>
      </c>
      <c r="F54" s="328">
        <f>'Proy. ventas'!G20</f>
        <v>0.08</v>
      </c>
      <c r="G54" s="256">
        <f t="shared" si="4"/>
        <v>456.40000000000003</v>
      </c>
      <c r="H54" s="328">
        <f>'Proy. ventas'!I20</f>
        <v>0.16</v>
      </c>
      <c r="I54" s="256">
        <f t="shared" si="5"/>
        <v>912.80000000000007</v>
      </c>
      <c r="J54" s="328">
        <f>'Proy. ventas'!K20</f>
        <v>0.14000000000000001</v>
      </c>
      <c r="K54" s="256">
        <f t="shared" si="6"/>
        <v>798.7</v>
      </c>
      <c r="L54" s="328">
        <f>'Proy. ventas'!M20</f>
        <v>0.22</v>
      </c>
      <c r="M54" s="256">
        <f t="shared" si="7"/>
        <v>1255.0999999999999</v>
      </c>
      <c r="N54" s="328">
        <f>'Proy. ventas'!O20</f>
        <v>0.08</v>
      </c>
      <c r="O54" s="256">
        <f t="shared" si="8"/>
        <v>456.40000000000003</v>
      </c>
      <c r="P54" s="328">
        <f>'Proy. ventas'!Q20</f>
        <v>0.12</v>
      </c>
      <c r="Q54" s="256">
        <f t="shared" si="9"/>
        <v>684.6</v>
      </c>
      <c r="R54" s="328">
        <f>'Proy. ventas'!S20</f>
        <v>0.24</v>
      </c>
      <c r="S54" s="256">
        <f t="shared" si="10"/>
        <v>1369.2</v>
      </c>
      <c r="T54" s="328">
        <f>'Proy. ventas'!U20</f>
        <v>0.22</v>
      </c>
      <c r="U54" s="256">
        <f t="shared" si="11"/>
        <v>1255.0999999999999</v>
      </c>
      <c r="V54" s="328">
        <f>'Proy. ventas'!W20</f>
        <v>0.28000000000000003</v>
      </c>
      <c r="W54" s="256">
        <f t="shared" si="12"/>
        <v>1597.4</v>
      </c>
      <c r="X54" s="328">
        <f>'Proy. ventas'!Y20</f>
        <v>0.16</v>
      </c>
      <c r="Y54" s="256">
        <f t="shared" si="13"/>
        <v>912.80000000000007</v>
      </c>
      <c r="Z54" s="328">
        <f>'Proy. ventas'!AA20</f>
        <v>0.18</v>
      </c>
      <c r="AA54" s="258">
        <f t="shared" si="14"/>
        <v>1026.8999999999999</v>
      </c>
      <c r="AB54" s="364">
        <f t="shared" ref="AB54:AB68" si="15">E54+G54+I54+K54+M54+O54+Q54+S54++U54+W54+Y54+AA54</f>
        <v>11409.999999999998</v>
      </c>
    </row>
    <row r="55" spans="1:28" ht="15.75" thickBot="1" x14ac:dyDescent="0.3">
      <c r="A55" s="924"/>
      <c r="B55" s="344"/>
      <c r="C55" s="345">
        <f>$E$46</f>
        <v>8105</v>
      </c>
      <c r="D55" s="346">
        <f>'Proy. ventas'!E21</f>
        <v>0.06</v>
      </c>
      <c r="E55" s="279">
        <f t="shared" si="3"/>
        <v>486.29999999999995</v>
      </c>
      <c r="F55" s="371">
        <f>'Proy. ventas'!G21</f>
        <v>0.04</v>
      </c>
      <c r="G55" s="279">
        <f t="shared" si="4"/>
        <v>324.2</v>
      </c>
      <c r="H55" s="371">
        <f>'Proy. ventas'!I21</f>
        <v>0.08</v>
      </c>
      <c r="I55" s="279">
        <f t="shared" si="5"/>
        <v>648.4</v>
      </c>
      <c r="J55" s="371">
        <f>'Proy. ventas'!K21</f>
        <v>7.0000000000000007E-2</v>
      </c>
      <c r="K55" s="279">
        <f t="shared" si="6"/>
        <v>567.35</v>
      </c>
      <c r="L55" s="371">
        <f>'Proy. ventas'!M21</f>
        <v>0.11</v>
      </c>
      <c r="M55" s="279">
        <f t="shared" si="7"/>
        <v>891.55</v>
      </c>
      <c r="N55" s="371">
        <f>'Proy. ventas'!O21</f>
        <v>0.04</v>
      </c>
      <c r="O55" s="279">
        <f t="shared" si="8"/>
        <v>324.2</v>
      </c>
      <c r="P55" s="371">
        <f>'Proy. ventas'!Q21</f>
        <v>0.06</v>
      </c>
      <c r="Q55" s="279">
        <f t="shared" si="9"/>
        <v>486.29999999999995</v>
      </c>
      <c r="R55" s="371">
        <f>'Proy. ventas'!S21</f>
        <v>0.12</v>
      </c>
      <c r="S55" s="279">
        <f t="shared" si="10"/>
        <v>972.59999999999991</v>
      </c>
      <c r="T55" s="371">
        <f>'Proy. ventas'!U21</f>
        <v>0.11</v>
      </c>
      <c r="U55" s="279">
        <f t="shared" si="11"/>
        <v>891.55</v>
      </c>
      <c r="V55" s="371">
        <f>'Proy. ventas'!W21</f>
        <v>0.14000000000000001</v>
      </c>
      <c r="W55" s="279">
        <f t="shared" si="12"/>
        <v>1134.7</v>
      </c>
      <c r="X55" s="371">
        <f>'Proy. ventas'!Y21</f>
        <v>0.08</v>
      </c>
      <c r="Y55" s="279">
        <f t="shared" si="13"/>
        <v>648.4</v>
      </c>
      <c r="Z55" s="371">
        <f>'Proy. ventas'!AA21</f>
        <v>0.09</v>
      </c>
      <c r="AA55" s="280">
        <f t="shared" si="14"/>
        <v>729.44999999999993</v>
      </c>
      <c r="AB55" s="365">
        <f t="shared" si="15"/>
        <v>8104.9999999999991</v>
      </c>
    </row>
    <row r="56" spans="1:28" x14ac:dyDescent="0.25">
      <c r="A56" s="922" t="s">
        <v>185</v>
      </c>
      <c r="B56" s="341"/>
      <c r="C56" s="342">
        <v>420</v>
      </c>
      <c r="D56" s="343">
        <f>'Proy. ventas'!E22</f>
        <v>0.12</v>
      </c>
      <c r="E56" s="275">
        <f t="shared" si="3"/>
        <v>50.4</v>
      </c>
      <c r="F56" s="370">
        <f>'Proy. ventas'!G22</f>
        <v>0.08</v>
      </c>
      <c r="G56" s="275">
        <f t="shared" si="4"/>
        <v>33.6</v>
      </c>
      <c r="H56" s="370">
        <f>'Proy. ventas'!I22</f>
        <v>0.16</v>
      </c>
      <c r="I56" s="275">
        <f t="shared" si="5"/>
        <v>67.2</v>
      </c>
      <c r="J56" s="370">
        <f>'Proy. ventas'!K22</f>
        <v>0.14000000000000001</v>
      </c>
      <c r="K56" s="275">
        <f t="shared" si="6"/>
        <v>58.800000000000004</v>
      </c>
      <c r="L56" s="370">
        <f>'Proy. ventas'!M22</f>
        <v>0.22</v>
      </c>
      <c r="M56" s="275">
        <f t="shared" si="7"/>
        <v>92.4</v>
      </c>
      <c r="N56" s="370">
        <f>'Proy. ventas'!O22</f>
        <v>0.08</v>
      </c>
      <c r="O56" s="275">
        <f t="shared" si="8"/>
        <v>33.6</v>
      </c>
      <c r="P56" s="370">
        <f>'Proy. ventas'!Q22</f>
        <v>0.12</v>
      </c>
      <c r="Q56" s="275">
        <f t="shared" si="9"/>
        <v>50.4</v>
      </c>
      <c r="R56" s="370">
        <f>'Proy. ventas'!S22</f>
        <v>0.24</v>
      </c>
      <c r="S56" s="275">
        <f t="shared" si="10"/>
        <v>100.8</v>
      </c>
      <c r="T56" s="370">
        <f>'Proy. ventas'!U22</f>
        <v>0.22</v>
      </c>
      <c r="U56" s="275">
        <f t="shared" si="11"/>
        <v>92.4</v>
      </c>
      <c r="V56" s="370">
        <f>'Proy. ventas'!W22</f>
        <v>0.28000000000000003</v>
      </c>
      <c r="W56" s="275">
        <f t="shared" si="12"/>
        <v>117.60000000000001</v>
      </c>
      <c r="X56" s="370">
        <f>'Proy. ventas'!Y22</f>
        <v>0.16</v>
      </c>
      <c r="Y56" s="275">
        <f t="shared" si="13"/>
        <v>67.2</v>
      </c>
      <c r="Z56" s="370">
        <f>'Proy. ventas'!AA22</f>
        <v>0.18</v>
      </c>
      <c r="AA56" s="276">
        <f t="shared" si="14"/>
        <v>75.599999999999994</v>
      </c>
      <c r="AB56" s="363">
        <f t="shared" si="15"/>
        <v>840.00000000000011</v>
      </c>
    </row>
    <row r="57" spans="1:28" x14ac:dyDescent="0.25">
      <c r="A57" s="923"/>
      <c r="B57" s="333"/>
      <c r="C57" s="334">
        <v>300</v>
      </c>
      <c r="D57" s="331">
        <f>'Proy. ventas'!E23</f>
        <v>0.06</v>
      </c>
      <c r="E57" s="256">
        <f t="shared" si="3"/>
        <v>18</v>
      </c>
      <c r="F57" s="328">
        <f>'Proy. ventas'!G23</f>
        <v>0.04</v>
      </c>
      <c r="G57" s="256">
        <f t="shared" si="4"/>
        <v>12</v>
      </c>
      <c r="H57" s="328">
        <f>'Proy. ventas'!I23</f>
        <v>0.08</v>
      </c>
      <c r="I57" s="256">
        <f t="shared" si="5"/>
        <v>24</v>
      </c>
      <c r="J57" s="328">
        <f>'Proy. ventas'!K23</f>
        <v>7.0000000000000007E-2</v>
      </c>
      <c r="K57" s="256">
        <f t="shared" si="6"/>
        <v>21.000000000000004</v>
      </c>
      <c r="L57" s="328">
        <f>'Proy. ventas'!M23</f>
        <v>0.11</v>
      </c>
      <c r="M57" s="256">
        <f t="shared" si="7"/>
        <v>33</v>
      </c>
      <c r="N57" s="328">
        <f>'Proy. ventas'!O23</f>
        <v>0.04</v>
      </c>
      <c r="O57" s="256">
        <f t="shared" si="8"/>
        <v>12</v>
      </c>
      <c r="P57" s="328">
        <f>'Proy. ventas'!Q23</f>
        <v>0.06</v>
      </c>
      <c r="Q57" s="256">
        <f t="shared" si="9"/>
        <v>18</v>
      </c>
      <c r="R57" s="328">
        <f>'Proy. ventas'!S23</f>
        <v>0.12</v>
      </c>
      <c r="S57" s="256">
        <f t="shared" si="10"/>
        <v>36</v>
      </c>
      <c r="T57" s="328">
        <f>'Proy. ventas'!U23</f>
        <v>0.11</v>
      </c>
      <c r="U57" s="256">
        <f t="shared" si="11"/>
        <v>33</v>
      </c>
      <c r="V57" s="328">
        <f>'Proy. ventas'!W23</f>
        <v>0.14000000000000001</v>
      </c>
      <c r="W57" s="256">
        <f t="shared" si="12"/>
        <v>42.000000000000007</v>
      </c>
      <c r="X57" s="328">
        <f>'Proy. ventas'!Y23</f>
        <v>0.08</v>
      </c>
      <c r="Y57" s="256">
        <f t="shared" si="13"/>
        <v>24</v>
      </c>
      <c r="Z57" s="328">
        <f>'Proy. ventas'!AA23</f>
        <v>0.09</v>
      </c>
      <c r="AA57" s="258">
        <f t="shared" si="14"/>
        <v>27</v>
      </c>
      <c r="AB57" s="364">
        <f t="shared" si="15"/>
        <v>300</v>
      </c>
    </row>
    <row r="58" spans="1:28" x14ac:dyDescent="0.25">
      <c r="A58" s="923"/>
      <c r="B58" s="333"/>
      <c r="C58" s="334">
        <v>1800</v>
      </c>
      <c r="D58" s="331">
        <f>'Proy. ventas'!E24</f>
        <v>0.06</v>
      </c>
      <c r="E58" s="256">
        <f t="shared" si="3"/>
        <v>108</v>
      </c>
      <c r="F58" s="328">
        <f>'Proy. ventas'!G24</f>
        <v>0.04</v>
      </c>
      <c r="G58" s="256">
        <f t="shared" si="4"/>
        <v>72</v>
      </c>
      <c r="H58" s="328">
        <f>'Proy. ventas'!I24</f>
        <v>0.08</v>
      </c>
      <c r="I58" s="256">
        <f t="shared" si="5"/>
        <v>144</v>
      </c>
      <c r="J58" s="328">
        <f>'Proy. ventas'!K24</f>
        <v>7.0000000000000007E-2</v>
      </c>
      <c r="K58" s="256">
        <f t="shared" si="6"/>
        <v>126.00000000000001</v>
      </c>
      <c r="L58" s="328">
        <f>'Proy. ventas'!M24</f>
        <v>0.11</v>
      </c>
      <c r="M58" s="256">
        <f t="shared" si="7"/>
        <v>198</v>
      </c>
      <c r="N58" s="328">
        <f>'Proy. ventas'!O24</f>
        <v>0.04</v>
      </c>
      <c r="O58" s="256">
        <f t="shared" si="8"/>
        <v>72</v>
      </c>
      <c r="P58" s="328">
        <f>'Proy. ventas'!Q24</f>
        <v>0.06</v>
      </c>
      <c r="Q58" s="256">
        <f t="shared" si="9"/>
        <v>108</v>
      </c>
      <c r="R58" s="328">
        <f>'Proy. ventas'!S24</f>
        <v>0.12</v>
      </c>
      <c r="S58" s="256">
        <f t="shared" si="10"/>
        <v>216</v>
      </c>
      <c r="T58" s="328">
        <f>'Proy. ventas'!U24</f>
        <v>0.11</v>
      </c>
      <c r="U58" s="256">
        <f t="shared" si="11"/>
        <v>198</v>
      </c>
      <c r="V58" s="328">
        <f>'Proy. ventas'!W24</f>
        <v>0.14000000000000001</v>
      </c>
      <c r="W58" s="256">
        <f t="shared" si="12"/>
        <v>252.00000000000003</v>
      </c>
      <c r="X58" s="328">
        <f>'Proy. ventas'!Y24</f>
        <v>0.08</v>
      </c>
      <c r="Y58" s="256">
        <f t="shared" si="13"/>
        <v>144</v>
      </c>
      <c r="Z58" s="328">
        <f>'Proy. ventas'!AA24</f>
        <v>0.09</v>
      </c>
      <c r="AA58" s="258">
        <f t="shared" si="14"/>
        <v>162</v>
      </c>
      <c r="AB58" s="364">
        <f t="shared" si="15"/>
        <v>1800</v>
      </c>
    </row>
    <row r="59" spans="1:28" x14ac:dyDescent="0.25">
      <c r="A59" s="923"/>
      <c r="B59" s="333"/>
      <c r="C59" s="334">
        <v>180</v>
      </c>
      <c r="D59" s="331">
        <f>'Proy. ventas'!E25</f>
        <v>0.06</v>
      </c>
      <c r="E59" s="256">
        <f t="shared" si="3"/>
        <v>10.799999999999999</v>
      </c>
      <c r="F59" s="328">
        <f>'Proy. ventas'!G25</f>
        <v>0.04</v>
      </c>
      <c r="G59" s="256">
        <f t="shared" si="4"/>
        <v>7.2</v>
      </c>
      <c r="H59" s="328">
        <f>'Proy. ventas'!I25</f>
        <v>0.08</v>
      </c>
      <c r="I59" s="256">
        <f t="shared" si="5"/>
        <v>14.4</v>
      </c>
      <c r="J59" s="328">
        <f>'Proy. ventas'!K25</f>
        <v>7.0000000000000007E-2</v>
      </c>
      <c r="K59" s="256">
        <f t="shared" si="6"/>
        <v>12.600000000000001</v>
      </c>
      <c r="L59" s="328">
        <f>'Proy. ventas'!M25</f>
        <v>0.11</v>
      </c>
      <c r="M59" s="256">
        <f t="shared" si="7"/>
        <v>19.8</v>
      </c>
      <c r="N59" s="328">
        <f>'Proy. ventas'!O25</f>
        <v>0.04</v>
      </c>
      <c r="O59" s="256">
        <f t="shared" si="8"/>
        <v>7.2</v>
      </c>
      <c r="P59" s="328">
        <f>'Proy. ventas'!Q25</f>
        <v>0.06</v>
      </c>
      <c r="Q59" s="256">
        <f t="shared" si="9"/>
        <v>10.799999999999999</v>
      </c>
      <c r="R59" s="328">
        <f>'Proy. ventas'!S25</f>
        <v>0.12</v>
      </c>
      <c r="S59" s="256">
        <f t="shared" si="10"/>
        <v>21.599999999999998</v>
      </c>
      <c r="T59" s="328">
        <f>'Proy. ventas'!U25</f>
        <v>0.11</v>
      </c>
      <c r="U59" s="256">
        <f t="shared" si="11"/>
        <v>19.8</v>
      </c>
      <c r="V59" s="328">
        <f>'Proy. ventas'!W25</f>
        <v>0.14000000000000001</v>
      </c>
      <c r="W59" s="256">
        <f t="shared" si="12"/>
        <v>25.200000000000003</v>
      </c>
      <c r="X59" s="328">
        <f>'Proy. ventas'!Y25</f>
        <v>0.08</v>
      </c>
      <c r="Y59" s="256">
        <f t="shared" si="13"/>
        <v>14.4</v>
      </c>
      <c r="Z59" s="328">
        <f>'Proy. ventas'!AA25</f>
        <v>0.09</v>
      </c>
      <c r="AA59" s="258">
        <f t="shared" si="14"/>
        <v>16.2</v>
      </c>
      <c r="AB59" s="364">
        <f t="shared" si="15"/>
        <v>179.99999999999997</v>
      </c>
    </row>
    <row r="60" spans="1:28" x14ac:dyDescent="0.25">
      <c r="A60" s="923"/>
      <c r="B60" s="333"/>
      <c r="C60" s="334">
        <v>1250</v>
      </c>
      <c r="D60" s="331">
        <f>'Proy. ventas'!E26</f>
        <v>0.06</v>
      </c>
      <c r="E60" s="256">
        <f t="shared" si="3"/>
        <v>75</v>
      </c>
      <c r="F60" s="328">
        <f>'Proy. ventas'!G26</f>
        <v>0.04</v>
      </c>
      <c r="G60" s="256">
        <f t="shared" si="4"/>
        <v>50</v>
      </c>
      <c r="H60" s="328">
        <f>'Proy. ventas'!I26</f>
        <v>0.08</v>
      </c>
      <c r="I60" s="256">
        <f t="shared" si="5"/>
        <v>100</v>
      </c>
      <c r="J60" s="328">
        <f>'Proy. ventas'!K26</f>
        <v>7.0000000000000007E-2</v>
      </c>
      <c r="K60" s="256">
        <f t="shared" si="6"/>
        <v>87.500000000000014</v>
      </c>
      <c r="L60" s="328">
        <f>'Proy. ventas'!M26</f>
        <v>0.11</v>
      </c>
      <c r="M60" s="256">
        <f t="shared" si="7"/>
        <v>137.5</v>
      </c>
      <c r="N60" s="328">
        <f>'Proy. ventas'!O26</f>
        <v>0.04</v>
      </c>
      <c r="O60" s="256">
        <f t="shared" si="8"/>
        <v>50</v>
      </c>
      <c r="P60" s="328">
        <f>'Proy. ventas'!Q26</f>
        <v>0.06</v>
      </c>
      <c r="Q60" s="256">
        <f t="shared" si="9"/>
        <v>75</v>
      </c>
      <c r="R60" s="328">
        <f>'Proy. ventas'!S26</f>
        <v>0.12</v>
      </c>
      <c r="S60" s="256">
        <f t="shared" si="10"/>
        <v>150</v>
      </c>
      <c r="T60" s="328">
        <f>'Proy. ventas'!U26</f>
        <v>0.11</v>
      </c>
      <c r="U60" s="256">
        <f t="shared" si="11"/>
        <v>137.5</v>
      </c>
      <c r="V60" s="328">
        <f>'Proy. ventas'!W26</f>
        <v>0.14000000000000001</v>
      </c>
      <c r="W60" s="256">
        <f t="shared" si="12"/>
        <v>175.00000000000003</v>
      </c>
      <c r="X60" s="328">
        <f>'Proy. ventas'!Y26</f>
        <v>0.08</v>
      </c>
      <c r="Y60" s="256">
        <f t="shared" si="13"/>
        <v>100</v>
      </c>
      <c r="Z60" s="328">
        <f>'Proy. ventas'!AA26</f>
        <v>0.09</v>
      </c>
      <c r="AA60" s="258">
        <f t="shared" si="14"/>
        <v>112.5</v>
      </c>
      <c r="AB60" s="364">
        <f t="shared" si="15"/>
        <v>1250</v>
      </c>
    </row>
    <row r="61" spans="1:28" x14ac:dyDescent="0.25">
      <c r="A61" s="923"/>
      <c r="B61" s="333"/>
      <c r="C61" s="334">
        <v>350</v>
      </c>
      <c r="D61" s="331" t="e">
        <f>'Proy. ventas'!#REF!</f>
        <v>#REF!</v>
      </c>
      <c r="E61" s="256" t="e">
        <f t="shared" si="3"/>
        <v>#REF!</v>
      </c>
      <c r="F61" s="328" t="e">
        <f>'Proy. ventas'!#REF!</f>
        <v>#REF!</v>
      </c>
      <c r="G61" s="256" t="e">
        <f t="shared" si="4"/>
        <v>#REF!</v>
      </c>
      <c r="H61" s="328" t="e">
        <f>'Proy. ventas'!#REF!</f>
        <v>#REF!</v>
      </c>
      <c r="I61" s="256" t="e">
        <f t="shared" si="5"/>
        <v>#REF!</v>
      </c>
      <c r="J61" s="328" t="e">
        <f>'Proy. ventas'!#REF!</f>
        <v>#REF!</v>
      </c>
      <c r="K61" s="256" t="e">
        <f t="shared" si="6"/>
        <v>#REF!</v>
      </c>
      <c r="L61" s="328" t="e">
        <f>'Proy. ventas'!#REF!</f>
        <v>#REF!</v>
      </c>
      <c r="M61" s="256" t="e">
        <f t="shared" si="7"/>
        <v>#REF!</v>
      </c>
      <c r="N61" s="328" t="e">
        <f>'Proy. ventas'!#REF!</f>
        <v>#REF!</v>
      </c>
      <c r="O61" s="256" t="e">
        <f t="shared" si="8"/>
        <v>#REF!</v>
      </c>
      <c r="P61" s="328" t="e">
        <f>'Proy. ventas'!#REF!</f>
        <v>#REF!</v>
      </c>
      <c r="Q61" s="256" t="e">
        <f t="shared" si="9"/>
        <v>#REF!</v>
      </c>
      <c r="R61" s="328" t="e">
        <f>'Proy. ventas'!#REF!</f>
        <v>#REF!</v>
      </c>
      <c r="S61" s="256" t="e">
        <f t="shared" si="10"/>
        <v>#REF!</v>
      </c>
      <c r="T61" s="328" t="e">
        <f>'Proy. ventas'!#REF!</f>
        <v>#REF!</v>
      </c>
      <c r="U61" s="256" t="e">
        <f t="shared" si="11"/>
        <v>#REF!</v>
      </c>
      <c r="V61" s="328" t="e">
        <f>'Proy. ventas'!#REF!</f>
        <v>#REF!</v>
      </c>
      <c r="W61" s="256" t="e">
        <f t="shared" si="12"/>
        <v>#REF!</v>
      </c>
      <c r="X61" s="328" t="e">
        <f>'Proy. ventas'!#REF!</f>
        <v>#REF!</v>
      </c>
      <c r="Y61" s="256" t="e">
        <f t="shared" si="13"/>
        <v>#REF!</v>
      </c>
      <c r="Z61" s="328" t="e">
        <f>'Proy. ventas'!#REF!</f>
        <v>#REF!</v>
      </c>
      <c r="AA61" s="258" t="e">
        <f t="shared" si="14"/>
        <v>#REF!</v>
      </c>
      <c r="AB61" s="364" t="e">
        <f t="shared" si="15"/>
        <v>#REF!</v>
      </c>
    </row>
    <row r="62" spans="1:28" x14ac:dyDescent="0.25">
      <c r="A62" s="923"/>
      <c r="B62" s="333"/>
      <c r="C62" s="334">
        <v>950</v>
      </c>
      <c r="D62" s="331" t="e">
        <f>'Proy. ventas'!#REF!</f>
        <v>#REF!</v>
      </c>
      <c r="E62" s="256" t="e">
        <f t="shared" si="3"/>
        <v>#REF!</v>
      </c>
      <c r="F62" s="328" t="e">
        <f>'Proy. ventas'!#REF!</f>
        <v>#REF!</v>
      </c>
      <c r="G62" s="256" t="e">
        <f t="shared" si="4"/>
        <v>#REF!</v>
      </c>
      <c r="H62" s="328" t="e">
        <f>'Proy. ventas'!#REF!</f>
        <v>#REF!</v>
      </c>
      <c r="I62" s="256" t="e">
        <f t="shared" si="5"/>
        <v>#REF!</v>
      </c>
      <c r="J62" s="328" t="e">
        <f>'Proy. ventas'!#REF!</f>
        <v>#REF!</v>
      </c>
      <c r="K62" s="256" t="e">
        <f t="shared" si="6"/>
        <v>#REF!</v>
      </c>
      <c r="L62" s="328" t="e">
        <f>'Proy. ventas'!#REF!</f>
        <v>#REF!</v>
      </c>
      <c r="M62" s="256" t="e">
        <f t="shared" si="7"/>
        <v>#REF!</v>
      </c>
      <c r="N62" s="328" t="e">
        <f>'Proy. ventas'!#REF!</f>
        <v>#REF!</v>
      </c>
      <c r="O62" s="256" t="e">
        <f t="shared" si="8"/>
        <v>#REF!</v>
      </c>
      <c r="P62" s="328" t="e">
        <f>'Proy. ventas'!#REF!</f>
        <v>#REF!</v>
      </c>
      <c r="Q62" s="256" t="e">
        <f t="shared" si="9"/>
        <v>#REF!</v>
      </c>
      <c r="R62" s="328" t="e">
        <f>'Proy. ventas'!#REF!</f>
        <v>#REF!</v>
      </c>
      <c r="S62" s="256" t="e">
        <f t="shared" si="10"/>
        <v>#REF!</v>
      </c>
      <c r="T62" s="328" t="e">
        <f>'Proy. ventas'!#REF!</f>
        <v>#REF!</v>
      </c>
      <c r="U62" s="256" t="e">
        <f t="shared" si="11"/>
        <v>#REF!</v>
      </c>
      <c r="V62" s="328" t="e">
        <f>'Proy. ventas'!#REF!</f>
        <v>#REF!</v>
      </c>
      <c r="W62" s="256" t="e">
        <f t="shared" si="12"/>
        <v>#REF!</v>
      </c>
      <c r="X62" s="328" t="e">
        <f>'Proy. ventas'!#REF!</f>
        <v>#REF!</v>
      </c>
      <c r="Y62" s="256" t="e">
        <f t="shared" si="13"/>
        <v>#REF!</v>
      </c>
      <c r="Z62" s="328" t="e">
        <f>'Proy. ventas'!#REF!</f>
        <v>#REF!</v>
      </c>
      <c r="AA62" s="258" t="e">
        <f t="shared" si="14"/>
        <v>#REF!</v>
      </c>
      <c r="AB62" s="364" t="e">
        <f t="shared" si="15"/>
        <v>#REF!</v>
      </c>
    </row>
    <row r="63" spans="1:28" x14ac:dyDescent="0.25">
      <c r="A63" s="923"/>
      <c r="B63" s="333"/>
      <c r="C63" s="334">
        <v>200</v>
      </c>
      <c r="D63" s="331" t="e">
        <f>'Proy. ventas'!#REF!</f>
        <v>#REF!</v>
      </c>
      <c r="E63" s="256" t="e">
        <f t="shared" si="3"/>
        <v>#REF!</v>
      </c>
      <c r="F63" s="328" t="e">
        <f>'Proy. ventas'!#REF!</f>
        <v>#REF!</v>
      </c>
      <c r="G63" s="256" t="e">
        <f t="shared" si="4"/>
        <v>#REF!</v>
      </c>
      <c r="H63" s="328" t="e">
        <f>'Proy. ventas'!#REF!</f>
        <v>#REF!</v>
      </c>
      <c r="I63" s="256" t="e">
        <f t="shared" si="5"/>
        <v>#REF!</v>
      </c>
      <c r="J63" s="328" t="e">
        <f>'Proy. ventas'!#REF!</f>
        <v>#REF!</v>
      </c>
      <c r="K63" s="256" t="e">
        <f t="shared" si="6"/>
        <v>#REF!</v>
      </c>
      <c r="L63" s="328" t="e">
        <f>'Proy. ventas'!#REF!</f>
        <v>#REF!</v>
      </c>
      <c r="M63" s="256" t="e">
        <f t="shared" si="7"/>
        <v>#REF!</v>
      </c>
      <c r="N63" s="328" t="e">
        <f>'Proy. ventas'!#REF!</f>
        <v>#REF!</v>
      </c>
      <c r="O63" s="256" t="e">
        <f t="shared" si="8"/>
        <v>#REF!</v>
      </c>
      <c r="P63" s="328" t="e">
        <f>'Proy. ventas'!#REF!</f>
        <v>#REF!</v>
      </c>
      <c r="Q63" s="256" t="e">
        <f t="shared" si="9"/>
        <v>#REF!</v>
      </c>
      <c r="R63" s="328" t="e">
        <f>'Proy. ventas'!#REF!</f>
        <v>#REF!</v>
      </c>
      <c r="S63" s="256" t="e">
        <f t="shared" si="10"/>
        <v>#REF!</v>
      </c>
      <c r="T63" s="328" t="e">
        <f>'Proy. ventas'!#REF!</f>
        <v>#REF!</v>
      </c>
      <c r="U63" s="256" t="e">
        <f t="shared" si="11"/>
        <v>#REF!</v>
      </c>
      <c r="V63" s="328" t="e">
        <f>'Proy. ventas'!#REF!</f>
        <v>#REF!</v>
      </c>
      <c r="W63" s="256" t="e">
        <f t="shared" si="12"/>
        <v>#REF!</v>
      </c>
      <c r="X63" s="328" t="e">
        <f>'Proy. ventas'!#REF!</f>
        <v>#REF!</v>
      </c>
      <c r="Y63" s="256" t="e">
        <f t="shared" si="13"/>
        <v>#REF!</v>
      </c>
      <c r="Z63" s="328" t="e">
        <f>'Proy. ventas'!#REF!</f>
        <v>#REF!</v>
      </c>
      <c r="AA63" s="258" t="e">
        <f t="shared" si="14"/>
        <v>#REF!</v>
      </c>
      <c r="AB63" s="364" t="e">
        <f t="shared" si="15"/>
        <v>#REF!</v>
      </c>
    </row>
    <row r="64" spans="1:28" ht="15.75" thickBot="1" x14ac:dyDescent="0.3">
      <c r="A64" s="924"/>
      <c r="B64" s="344"/>
      <c r="C64" s="345">
        <v>1150</v>
      </c>
      <c r="D64" s="346" t="e">
        <f>'Proy. ventas'!#REF!</f>
        <v>#REF!</v>
      </c>
      <c r="E64" s="279" t="e">
        <f t="shared" si="3"/>
        <v>#REF!</v>
      </c>
      <c r="F64" s="371" t="e">
        <f>'Proy. ventas'!#REF!</f>
        <v>#REF!</v>
      </c>
      <c r="G64" s="279" t="e">
        <f t="shared" si="4"/>
        <v>#REF!</v>
      </c>
      <c r="H64" s="371" t="e">
        <f>'Proy. ventas'!#REF!</f>
        <v>#REF!</v>
      </c>
      <c r="I64" s="279" t="e">
        <f t="shared" si="5"/>
        <v>#REF!</v>
      </c>
      <c r="J64" s="371" t="e">
        <f>'Proy. ventas'!#REF!</f>
        <v>#REF!</v>
      </c>
      <c r="K64" s="279" t="e">
        <f t="shared" si="6"/>
        <v>#REF!</v>
      </c>
      <c r="L64" s="371" t="e">
        <f>'Proy. ventas'!#REF!</f>
        <v>#REF!</v>
      </c>
      <c r="M64" s="279" t="e">
        <f t="shared" si="7"/>
        <v>#REF!</v>
      </c>
      <c r="N64" s="371" t="e">
        <f>'Proy. ventas'!#REF!</f>
        <v>#REF!</v>
      </c>
      <c r="O64" s="279" t="e">
        <f t="shared" si="8"/>
        <v>#REF!</v>
      </c>
      <c r="P64" s="371" t="e">
        <f>'Proy. ventas'!#REF!</f>
        <v>#REF!</v>
      </c>
      <c r="Q64" s="279" t="e">
        <f t="shared" si="9"/>
        <v>#REF!</v>
      </c>
      <c r="R64" s="371" t="e">
        <f>'Proy. ventas'!#REF!</f>
        <v>#REF!</v>
      </c>
      <c r="S64" s="279" t="e">
        <f t="shared" si="10"/>
        <v>#REF!</v>
      </c>
      <c r="T64" s="371" t="e">
        <f>'Proy. ventas'!#REF!</f>
        <v>#REF!</v>
      </c>
      <c r="U64" s="279" t="e">
        <f t="shared" si="11"/>
        <v>#REF!</v>
      </c>
      <c r="V64" s="371" t="e">
        <f>'Proy. ventas'!#REF!</f>
        <v>#REF!</v>
      </c>
      <c r="W64" s="279" t="e">
        <f t="shared" si="12"/>
        <v>#REF!</v>
      </c>
      <c r="X64" s="371" t="e">
        <f>'Proy. ventas'!#REF!</f>
        <v>#REF!</v>
      </c>
      <c r="Y64" s="279" t="e">
        <f t="shared" si="13"/>
        <v>#REF!</v>
      </c>
      <c r="Z64" s="371" t="e">
        <f>'Proy. ventas'!#REF!</f>
        <v>#REF!</v>
      </c>
      <c r="AA64" s="280" t="e">
        <f t="shared" si="14"/>
        <v>#REF!</v>
      </c>
      <c r="AB64" s="365" t="e">
        <f t="shared" si="15"/>
        <v>#REF!</v>
      </c>
    </row>
    <row r="65" spans="1:28" ht="30.75" thickBot="1" x14ac:dyDescent="0.3">
      <c r="A65" s="347" t="s">
        <v>186</v>
      </c>
      <c r="B65" s="348"/>
      <c r="C65" s="349">
        <v>300</v>
      </c>
      <c r="D65" s="350">
        <v>50</v>
      </c>
      <c r="E65" s="287">
        <f>D65*C65</f>
        <v>15000</v>
      </c>
      <c r="F65" s="372">
        <v>20</v>
      </c>
      <c r="G65" s="287">
        <f t="shared" si="4"/>
        <v>6000</v>
      </c>
      <c r="H65" s="372">
        <v>10</v>
      </c>
      <c r="I65" s="287">
        <f t="shared" si="5"/>
        <v>3000</v>
      </c>
      <c r="J65" s="372">
        <v>5</v>
      </c>
      <c r="K65" s="287">
        <f t="shared" si="6"/>
        <v>1500</v>
      </c>
      <c r="L65" s="372">
        <v>0</v>
      </c>
      <c r="M65" s="287">
        <f t="shared" si="7"/>
        <v>0</v>
      </c>
      <c r="N65" s="372">
        <v>5</v>
      </c>
      <c r="O65" s="287">
        <f t="shared" si="8"/>
        <v>1500</v>
      </c>
      <c r="P65" s="372">
        <v>5</v>
      </c>
      <c r="Q65" s="287">
        <f t="shared" si="9"/>
        <v>1500</v>
      </c>
      <c r="R65" s="372">
        <v>0</v>
      </c>
      <c r="S65" s="287">
        <f t="shared" si="10"/>
        <v>0</v>
      </c>
      <c r="T65" s="372">
        <v>10</v>
      </c>
      <c r="U65" s="287">
        <f t="shared" si="11"/>
        <v>3000</v>
      </c>
      <c r="V65" s="372">
        <v>10</v>
      </c>
      <c r="W65" s="287">
        <f t="shared" si="12"/>
        <v>3000</v>
      </c>
      <c r="X65" s="372">
        <v>15</v>
      </c>
      <c r="Y65" s="287">
        <f t="shared" si="13"/>
        <v>4500</v>
      </c>
      <c r="Z65" s="372">
        <v>10</v>
      </c>
      <c r="AA65" s="288">
        <f t="shared" si="14"/>
        <v>3000</v>
      </c>
      <c r="AB65" s="366">
        <f t="shared" si="15"/>
        <v>42000</v>
      </c>
    </row>
    <row r="66" spans="1:28" x14ac:dyDescent="0.25">
      <c r="A66" s="925" t="s">
        <v>189</v>
      </c>
      <c r="B66" s="359"/>
      <c r="C66" s="332">
        <v>182000</v>
      </c>
      <c r="D66" s="330">
        <v>1</v>
      </c>
      <c r="E66" s="269">
        <f>D66*C66</f>
        <v>182000</v>
      </c>
      <c r="F66" s="329">
        <v>1</v>
      </c>
      <c r="G66" s="269">
        <f t="shared" si="4"/>
        <v>182000</v>
      </c>
      <c r="H66" s="329">
        <v>0</v>
      </c>
      <c r="I66" s="269">
        <f t="shared" si="5"/>
        <v>0</v>
      </c>
      <c r="J66" s="329">
        <v>1</v>
      </c>
      <c r="K66" s="269">
        <f t="shared" si="6"/>
        <v>182000</v>
      </c>
      <c r="L66" s="329">
        <v>1</v>
      </c>
      <c r="M66" s="269">
        <f t="shared" si="7"/>
        <v>182000</v>
      </c>
      <c r="N66" s="329">
        <v>0</v>
      </c>
      <c r="O66" s="269">
        <f t="shared" si="8"/>
        <v>0</v>
      </c>
      <c r="P66" s="329">
        <v>0</v>
      </c>
      <c r="Q66" s="269">
        <f t="shared" si="9"/>
        <v>0</v>
      </c>
      <c r="R66" s="329">
        <v>0</v>
      </c>
      <c r="S66" s="269">
        <f t="shared" si="10"/>
        <v>0</v>
      </c>
      <c r="T66" s="329">
        <v>1</v>
      </c>
      <c r="U66" s="269">
        <f t="shared" si="11"/>
        <v>182000</v>
      </c>
      <c r="V66" s="329">
        <v>0</v>
      </c>
      <c r="W66" s="269">
        <f t="shared" si="12"/>
        <v>0</v>
      </c>
      <c r="X66" s="329">
        <v>0</v>
      </c>
      <c r="Y66" s="269">
        <f t="shared" si="13"/>
        <v>0</v>
      </c>
      <c r="Z66" s="329">
        <v>1</v>
      </c>
      <c r="AA66" s="270">
        <f t="shared" si="14"/>
        <v>182000</v>
      </c>
      <c r="AB66" s="367">
        <f t="shared" si="15"/>
        <v>1092000</v>
      </c>
    </row>
    <row r="67" spans="1:28" x14ac:dyDescent="0.25">
      <c r="A67" s="926"/>
      <c r="B67" s="360"/>
      <c r="C67" s="334">
        <v>130000</v>
      </c>
      <c r="D67" s="331">
        <v>1</v>
      </c>
      <c r="E67" s="256">
        <f>D67*C67</f>
        <v>130000</v>
      </c>
      <c r="F67" s="328">
        <v>0</v>
      </c>
      <c r="G67" s="256">
        <f t="shared" si="4"/>
        <v>0</v>
      </c>
      <c r="H67" s="328">
        <v>0</v>
      </c>
      <c r="I67" s="256">
        <f t="shared" si="5"/>
        <v>0</v>
      </c>
      <c r="J67" s="328">
        <v>0</v>
      </c>
      <c r="K67" s="256">
        <f t="shared" si="6"/>
        <v>0</v>
      </c>
      <c r="L67" s="328">
        <v>1</v>
      </c>
      <c r="M67" s="256">
        <f t="shared" si="7"/>
        <v>130000</v>
      </c>
      <c r="N67" s="328">
        <v>0</v>
      </c>
      <c r="O67" s="256">
        <f t="shared" si="8"/>
        <v>0</v>
      </c>
      <c r="P67" s="328">
        <v>0</v>
      </c>
      <c r="Q67" s="256">
        <f t="shared" si="9"/>
        <v>0</v>
      </c>
      <c r="R67" s="328">
        <v>0</v>
      </c>
      <c r="S67" s="256">
        <f t="shared" si="10"/>
        <v>0</v>
      </c>
      <c r="T67" s="328">
        <v>1</v>
      </c>
      <c r="U67" s="256">
        <f t="shared" si="11"/>
        <v>130000</v>
      </c>
      <c r="V67" s="328">
        <v>0</v>
      </c>
      <c r="W67" s="256">
        <f t="shared" si="12"/>
        <v>0</v>
      </c>
      <c r="X67" s="328">
        <v>0</v>
      </c>
      <c r="Y67" s="256">
        <f t="shared" si="13"/>
        <v>0</v>
      </c>
      <c r="Z67" s="328">
        <v>1</v>
      </c>
      <c r="AA67" s="258">
        <f t="shared" si="14"/>
        <v>130000</v>
      </c>
      <c r="AB67" s="364">
        <f t="shared" si="15"/>
        <v>520000</v>
      </c>
    </row>
    <row r="68" spans="1:28" x14ac:dyDescent="0.25">
      <c r="A68" s="926"/>
      <c r="B68" s="335"/>
      <c r="C68" s="334">
        <v>250000</v>
      </c>
      <c r="D68" s="331">
        <v>0</v>
      </c>
      <c r="E68" s="256">
        <f>D68*C68</f>
        <v>0</v>
      </c>
      <c r="F68" s="328">
        <v>0</v>
      </c>
      <c r="G68" s="256">
        <f t="shared" si="4"/>
        <v>0</v>
      </c>
      <c r="H68" s="328">
        <v>0</v>
      </c>
      <c r="I68" s="256">
        <f t="shared" si="5"/>
        <v>0</v>
      </c>
      <c r="J68" s="328">
        <v>0</v>
      </c>
      <c r="K68" s="256">
        <f t="shared" si="6"/>
        <v>0</v>
      </c>
      <c r="L68" s="328">
        <v>0</v>
      </c>
      <c r="M68" s="256">
        <f t="shared" si="7"/>
        <v>0</v>
      </c>
      <c r="N68" s="328">
        <v>0</v>
      </c>
      <c r="O68" s="256">
        <f t="shared" si="8"/>
        <v>0</v>
      </c>
      <c r="P68" s="328">
        <v>0</v>
      </c>
      <c r="Q68" s="256">
        <f t="shared" si="9"/>
        <v>0</v>
      </c>
      <c r="R68" s="328">
        <v>0</v>
      </c>
      <c r="S68" s="256">
        <f t="shared" si="10"/>
        <v>0</v>
      </c>
      <c r="T68" s="328">
        <v>1</v>
      </c>
      <c r="U68" s="256">
        <f t="shared" si="11"/>
        <v>250000</v>
      </c>
      <c r="V68" s="328">
        <v>0</v>
      </c>
      <c r="W68" s="256">
        <f t="shared" si="12"/>
        <v>0</v>
      </c>
      <c r="X68" s="328">
        <v>0</v>
      </c>
      <c r="Y68" s="256">
        <f t="shared" si="13"/>
        <v>0</v>
      </c>
      <c r="Z68" s="328">
        <v>0</v>
      </c>
      <c r="AA68" s="258">
        <f t="shared" si="14"/>
        <v>0</v>
      </c>
      <c r="AB68" s="364">
        <f t="shared" si="15"/>
        <v>250000</v>
      </c>
    </row>
    <row r="69" spans="1:28" ht="15.75" thickBot="1" x14ac:dyDescent="0.3">
      <c r="A69" s="927"/>
      <c r="B69" s="351"/>
      <c r="C69" s="352">
        <v>0</v>
      </c>
      <c r="D69" s="353">
        <v>0</v>
      </c>
      <c r="E69" s="279">
        <v>0</v>
      </c>
      <c r="F69" s="373">
        <v>0</v>
      </c>
      <c r="G69" s="279">
        <v>0</v>
      </c>
      <c r="H69" s="373">
        <v>0</v>
      </c>
      <c r="I69" s="279">
        <v>0</v>
      </c>
      <c r="J69" s="373">
        <v>0</v>
      </c>
      <c r="K69" s="279">
        <v>0</v>
      </c>
      <c r="L69" s="373">
        <v>0</v>
      </c>
      <c r="M69" s="279">
        <f>($C$53*L53 + $C$54*L54+$C$55*L55)*0.15</f>
        <v>366.8775</v>
      </c>
      <c r="N69" s="373">
        <v>0</v>
      </c>
      <c r="O69" s="279">
        <f>($C$53*N53 + $C$54*N54+$C$55*N55)*0.15</f>
        <v>133.41</v>
      </c>
      <c r="P69" s="373">
        <v>0</v>
      </c>
      <c r="Q69" s="279">
        <f>($C$53*P53 + $C$54*P54+$C$55*P55)*0.15</f>
        <v>200.11499999999998</v>
      </c>
      <c r="R69" s="373">
        <v>0</v>
      </c>
      <c r="S69" s="279">
        <v>0</v>
      </c>
      <c r="T69" s="373">
        <v>0</v>
      </c>
      <c r="U69" s="279">
        <v>0</v>
      </c>
      <c r="V69" s="373">
        <v>0</v>
      </c>
      <c r="W69" s="279">
        <v>0</v>
      </c>
      <c r="X69" s="373">
        <v>0</v>
      </c>
      <c r="Y69" s="279">
        <v>0</v>
      </c>
      <c r="Z69" s="373">
        <v>0</v>
      </c>
      <c r="AA69" s="280">
        <v>0</v>
      </c>
      <c r="AB69" s="365">
        <f>E69+G69+I69+K69+M69+O69+Q69+S69+U69+W69+Y69+AA69</f>
        <v>700.40250000000003</v>
      </c>
    </row>
    <row r="70" spans="1:28" ht="28.9" customHeight="1" thickBot="1" x14ac:dyDescent="0.3">
      <c r="A70" s="347" t="s">
        <v>187</v>
      </c>
      <c r="B70" s="348"/>
      <c r="C70" s="357">
        <v>0</v>
      </c>
      <c r="D70" s="358">
        <v>0</v>
      </c>
      <c r="E70" s="287">
        <f>(D55+D54+D53)*75</f>
        <v>22.5</v>
      </c>
      <c r="F70" s="374">
        <v>0</v>
      </c>
      <c r="G70" s="287">
        <f>(F55+F54+F53)*75</f>
        <v>15</v>
      </c>
      <c r="H70" s="374">
        <v>0</v>
      </c>
      <c r="I70" s="287">
        <f>(H55+H54+H53)*75</f>
        <v>30</v>
      </c>
      <c r="J70" s="374">
        <v>0</v>
      </c>
      <c r="K70" s="287">
        <f>(J55+J54+J53)*75</f>
        <v>26.250000000000004</v>
      </c>
      <c r="L70" s="374">
        <v>0</v>
      </c>
      <c r="M70" s="287">
        <f>(L55+L54+L53)*75</f>
        <v>41.25</v>
      </c>
      <c r="N70" s="374">
        <v>0</v>
      </c>
      <c r="O70" s="287">
        <f>(N55+N54+N53)*75</f>
        <v>15</v>
      </c>
      <c r="P70" s="374">
        <v>0</v>
      </c>
      <c r="Q70" s="287">
        <f>(P55+P54+P53)*75</f>
        <v>22.5</v>
      </c>
      <c r="R70" s="374">
        <v>0</v>
      </c>
      <c r="S70" s="287">
        <f>(R55+R54+R53)*75</f>
        <v>45</v>
      </c>
      <c r="T70" s="374">
        <v>0</v>
      </c>
      <c r="U70" s="287">
        <f>(T55+T54+T53)*75</f>
        <v>41.25</v>
      </c>
      <c r="V70" s="374">
        <v>0</v>
      </c>
      <c r="W70" s="287">
        <f>(V55+V54+V53)*75</f>
        <v>52.500000000000007</v>
      </c>
      <c r="X70" s="374">
        <v>0</v>
      </c>
      <c r="Y70" s="287">
        <f>(X55+X54+X53)*75</f>
        <v>30</v>
      </c>
      <c r="Z70" s="374">
        <v>0</v>
      </c>
      <c r="AA70" s="287">
        <f>(Z55+Z54+Z53)*75</f>
        <v>33.75</v>
      </c>
      <c r="AB70" s="365">
        <f>E70+G70+I70+K70+M70+O70+Q70+S70+U70+W70+Y70+AA70</f>
        <v>375</v>
      </c>
    </row>
    <row r="71" spans="1:28" ht="15.75" thickBot="1" x14ac:dyDescent="0.3">
      <c r="B71" s="362" t="s">
        <v>188</v>
      </c>
      <c r="C71" s="354"/>
      <c r="D71" s="355"/>
      <c r="E71" s="369" t="e">
        <f>SUM(E53:E70)</f>
        <v>#REF!</v>
      </c>
      <c r="F71" s="375"/>
      <c r="G71" s="369" t="e">
        <f>SUM(G53:G70)</f>
        <v>#REF!</v>
      </c>
      <c r="H71" s="375"/>
      <c r="I71" s="369" t="e">
        <f>SUM(I53:I70)</f>
        <v>#REF!</v>
      </c>
      <c r="J71" s="375"/>
      <c r="K71" s="369" t="e">
        <f>SUM(K53:K70)</f>
        <v>#REF!</v>
      </c>
      <c r="L71" s="375"/>
      <c r="M71" s="369" t="e">
        <f>SUM(M53:M70)</f>
        <v>#REF!</v>
      </c>
      <c r="N71" s="355"/>
      <c r="O71" s="369" t="e">
        <f>SUM(O53:O70)</f>
        <v>#REF!</v>
      </c>
      <c r="P71" s="375"/>
      <c r="Q71" s="369" t="e">
        <f>SUM(Q53:Q70)</f>
        <v>#REF!</v>
      </c>
      <c r="R71" s="375"/>
      <c r="S71" s="369" t="e">
        <f>SUM(S53:S70)</f>
        <v>#REF!</v>
      </c>
      <c r="T71" s="375"/>
      <c r="U71" s="369" t="e">
        <f>SUM(U53:U70)</f>
        <v>#REF!</v>
      </c>
      <c r="V71" s="375"/>
      <c r="W71" s="369" t="e">
        <f>SUM(W53:W70)</f>
        <v>#REF!</v>
      </c>
      <c r="X71" s="375"/>
      <c r="Y71" s="369" t="e">
        <f>SUM(Y53:Y70)</f>
        <v>#REF!</v>
      </c>
      <c r="Z71" s="375"/>
      <c r="AA71" s="368" t="e">
        <f>SUM(AA53:AA70)</f>
        <v>#REF!</v>
      </c>
      <c r="AB71" s="361" t="e">
        <f>SUM(E71:AA71)</f>
        <v>#REF!</v>
      </c>
    </row>
    <row r="73" spans="1:28" ht="15.75" thickBot="1" x14ac:dyDescent="0.3"/>
    <row r="74" spans="1:28" ht="27" thickBot="1" x14ac:dyDescent="0.45">
      <c r="B74" s="918" t="s">
        <v>190</v>
      </c>
      <c r="C74" s="919"/>
      <c r="D74" s="919"/>
      <c r="E74" s="919"/>
      <c r="F74" s="919"/>
      <c r="G74" s="919"/>
      <c r="H74" s="919"/>
      <c r="I74" s="919"/>
      <c r="J74" s="919"/>
      <c r="K74" s="919"/>
      <c r="L74" s="919"/>
      <c r="M74" s="919"/>
      <c r="N74" s="919"/>
      <c r="O74" s="919"/>
      <c r="P74" s="919"/>
      <c r="Q74" s="919"/>
      <c r="R74" s="919"/>
      <c r="S74" s="919"/>
      <c r="T74" s="919"/>
      <c r="U74" s="919"/>
      <c r="V74" s="919"/>
      <c r="W74" s="919"/>
      <c r="X74" s="919"/>
      <c r="Y74" s="919"/>
      <c r="Z74" s="919"/>
      <c r="AA74" s="919"/>
      <c r="AB74" s="920"/>
    </row>
    <row r="75" spans="1:28" x14ac:dyDescent="0.25">
      <c r="B75" s="916" t="s">
        <v>64</v>
      </c>
      <c r="C75" s="917"/>
      <c r="D75" s="915" t="s">
        <v>42</v>
      </c>
      <c r="E75" s="911"/>
      <c r="F75" s="910" t="s">
        <v>43</v>
      </c>
      <c r="G75" s="911"/>
      <c r="H75" s="910" t="s">
        <v>44</v>
      </c>
      <c r="I75" s="911"/>
      <c r="J75" s="910" t="s">
        <v>45</v>
      </c>
      <c r="K75" s="911"/>
      <c r="L75" s="910" t="s">
        <v>46</v>
      </c>
      <c r="M75" s="911"/>
      <c r="N75" s="910" t="s">
        <v>47</v>
      </c>
      <c r="O75" s="911"/>
      <c r="P75" s="910" t="s">
        <v>48</v>
      </c>
      <c r="Q75" s="911"/>
      <c r="R75" s="910" t="s">
        <v>49</v>
      </c>
      <c r="S75" s="911"/>
      <c r="T75" s="910" t="s">
        <v>50</v>
      </c>
      <c r="U75" s="911"/>
      <c r="V75" s="910" t="s">
        <v>51</v>
      </c>
      <c r="W75" s="911"/>
      <c r="X75" s="910" t="s">
        <v>52</v>
      </c>
      <c r="Y75" s="911"/>
      <c r="Z75" s="910" t="s">
        <v>53</v>
      </c>
      <c r="AA75" s="915"/>
      <c r="AB75" s="928" t="s">
        <v>19</v>
      </c>
    </row>
    <row r="76" spans="1:28" ht="15.75" thickBot="1" x14ac:dyDescent="0.3">
      <c r="B76" s="336" t="s">
        <v>119</v>
      </c>
      <c r="C76" s="337" t="s">
        <v>172</v>
      </c>
      <c r="D76" s="338" t="s">
        <v>60</v>
      </c>
      <c r="E76" s="339" t="s">
        <v>104</v>
      </c>
      <c r="F76" s="339" t="s">
        <v>60</v>
      </c>
      <c r="G76" s="339" t="s">
        <v>104</v>
      </c>
      <c r="H76" s="339" t="s">
        <v>60</v>
      </c>
      <c r="I76" s="339" t="s">
        <v>104</v>
      </c>
      <c r="J76" s="339" t="s">
        <v>60</v>
      </c>
      <c r="K76" s="339" t="s">
        <v>104</v>
      </c>
      <c r="L76" s="339" t="s">
        <v>60</v>
      </c>
      <c r="M76" s="339" t="s">
        <v>104</v>
      </c>
      <c r="N76" s="339" t="s">
        <v>60</v>
      </c>
      <c r="O76" s="339" t="s">
        <v>104</v>
      </c>
      <c r="P76" s="339" t="s">
        <v>60</v>
      </c>
      <c r="Q76" s="339" t="s">
        <v>104</v>
      </c>
      <c r="R76" s="339" t="s">
        <v>60</v>
      </c>
      <c r="S76" s="339" t="s">
        <v>104</v>
      </c>
      <c r="T76" s="339" t="s">
        <v>60</v>
      </c>
      <c r="U76" s="339" t="s">
        <v>104</v>
      </c>
      <c r="V76" s="339" t="s">
        <v>60</v>
      </c>
      <c r="W76" s="339" t="s">
        <v>104</v>
      </c>
      <c r="X76" s="339" t="s">
        <v>60</v>
      </c>
      <c r="Y76" s="339" t="s">
        <v>104</v>
      </c>
      <c r="Z76" s="339" t="s">
        <v>60</v>
      </c>
      <c r="AA76" s="340" t="s">
        <v>104</v>
      </c>
      <c r="AB76" s="921"/>
    </row>
    <row r="77" spans="1:28" x14ac:dyDescent="0.25">
      <c r="A77" s="922" t="s">
        <v>184</v>
      </c>
      <c r="B77" s="341"/>
      <c r="C77" s="342">
        <f>$E$20</f>
        <v>1360</v>
      </c>
      <c r="D77" s="343">
        <f>'Proy. ventas'!E75</f>
        <v>132</v>
      </c>
      <c r="E77" s="275">
        <f t="shared" ref="E77:E92" si="16">D77*C77</f>
        <v>179520</v>
      </c>
      <c r="F77" s="370">
        <f>'Proy. ventas'!G75</f>
        <v>120</v>
      </c>
      <c r="G77" s="275">
        <f t="shared" ref="G77:G92" si="17">F77*C77</f>
        <v>163200</v>
      </c>
      <c r="H77" s="370">
        <f>'Proy. ventas'!I75</f>
        <v>84.000000000000014</v>
      </c>
      <c r="I77" s="275">
        <f t="shared" ref="I77:I92" si="18">H77*C77</f>
        <v>114240.00000000001</v>
      </c>
      <c r="J77" s="370">
        <f>'Proy. ventas'!K75</f>
        <v>72</v>
      </c>
      <c r="K77" s="275">
        <f t="shared" ref="K77:K92" si="19">J77*C77</f>
        <v>97920</v>
      </c>
      <c r="L77" s="370">
        <f>'Proy. ventas'!M75</f>
        <v>72</v>
      </c>
      <c r="M77" s="275">
        <f t="shared" ref="M77:M92" si="20">L77*C77</f>
        <v>97920</v>
      </c>
      <c r="N77" s="370">
        <f>'Proy. ventas'!O75</f>
        <v>48</v>
      </c>
      <c r="O77" s="275">
        <f t="shared" ref="O77:O92" si="21">N77*C77</f>
        <v>65280</v>
      </c>
      <c r="P77" s="370">
        <f>'Proy. ventas'!Q75</f>
        <v>108</v>
      </c>
      <c r="Q77" s="275">
        <f t="shared" ref="Q77:Q92" si="22">P77*C77</f>
        <v>146880</v>
      </c>
      <c r="R77" s="370">
        <f>'Proy. ventas'!S75</f>
        <v>60</v>
      </c>
      <c r="S77" s="275">
        <f t="shared" ref="S77:S92" si="23">R77*C77</f>
        <v>81600</v>
      </c>
      <c r="T77" s="370">
        <f>'Proy. ventas'!U75</f>
        <v>108</v>
      </c>
      <c r="U77" s="275">
        <f t="shared" ref="U77:U92" si="24">T77*C77</f>
        <v>146880</v>
      </c>
      <c r="V77" s="370">
        <f>'Proy. ventas'!W75</f>
        <v>120</v>
      </c>
      <c r="W77" s="275">
        <f t="shared" ref="W77:W92" si="25">V77*C77</f>
        <v>163200</v>
      </c>
      <c r="X77" s="370">
        <f>'Proy. ventas'!Y75</f>
        <v>132</v>
      </c>
      <c r="Y77" s="275">
        <f t="shared" ref="Y77:Y92" si="26">X77*C77</f>
        <v>179520</v>
      </c>
      <c r="Z77" s="370">
        <f>'Proy. ventas'!AA75</f>
        <v>144</v>
      </c>
      <c r="AA77" s="276">
        <f t="shared" ref="AA77:AA92" si="27">Z77*C77</f>
        <v>195840</v>
      </c>
      <c r="AB77" s="363">
        <f>E77+G77+I77+K77+M77+O77+Q77+S77++U77+W77+Y77+AA77</f>
        <v>1632000</v>
      </c>
    </row>
    <row r="78" spans="1:28" x14ac:dyDescent="0.25">
      <c r="A78" s="923"/>
      <c r="B78" s="333"/>
      <c r="C78" s="334">
        <f>$E$33</f>
        <v>5705</v>
      </c>
      <c r="D78" s="331">
        <f>'Proy. ventas'!E76</f>
        <v>92.95</v>
      </c>
      <c r="E78" s="256">
        <f t="shared" si="16"/>
        <v>530279.75</v>
      </c>
      <c r="F78" s="328">
        <f>'Proy. ventas'!G76</f>
        <v>84.5</v>
      </c>
      <c r="G78" s="256">
        <f t="shared" si="17"/>
        <v>482072.5</v>
      </c>
      <c r="H78" s="328">
        <f>'Proy. ventas'!I76</f>
        <v>59.150000000000006</v>
      </c>
      <c r="I78" s="256">
        <f t="shared" si="18"/>
        <v>337450.75000000006</v>
      </c>
      <c r="J78" s="328">
        <f>'Proy. ventas'!K76</f>
        <v>50.699999999999996</v>
      </c>
      <c r="K78" s="256">
        <f t="shared" si="19"/>
        <v>289243.5</v>
      </c>
      <c r="L78" s="328">
        <f>'Proy. ventas'!M76</f>
        <v>50.699999999999996</v>
      </c>
      <c r="M78" s="256">
        <f t="shared" si="20"/>
        <v>289243.5</v>
      </c>
      <c r="N78" s="328">
        <f>'Proy. ventas'!O76</f>
        <v>33.799999999999997</v>
      </c>
      <c r="O78" s="256">
        <f t="shared" si="21"/>
        <v>192828.99999999997</v>
      </c>
      <c r="P78" s="328">
        <f>'Proy. ventas'!Q76</f>
        <v>76.05</v>
      </c>
      <c r="Q78" s="256">
        <f t="shared" si="22"/>
        <v>433865.25</v>
      </c>
      <c r="R78" s="328">
        <f>'Proy. ventas'!S76</f>
        <v>42.25</v>
      </c>
      <c r="S78" s="256">
        <f t="shared" si="23"/>
        <v>241036.25</v>
      </c>
      <c r="T78" s="328">
        <f>'Proy. ventas'!U76</f>
        <v>76.05</v>
      </c>
      <c r="U78" s="256">
        <f t="shared" si="24"/>
        <v>433865.25</v>
      </c>
      <c r="V78" s="328">
        <f>'Proy. ventas'!W76</f>
        <v>84.5</v>
      </c>
      <c r="W78" s="256">
        <f t="shared" si="25"/>
        <v>482072.5</v>
      </c>
      <c r="X78" s="328">
        <f>'Proy. ventas'!Y76</f>
        <v>92.95</v>
      </c>
      <c r="Y78" s="256">
        <f t="shared" si="26"/>
        <v>530279.75</v>
      </c>
      <c r="Z78" s="328">
        <f>'Proy. ventas'!AA76</f>
        <v>101.39999999999999</v>
      </c>
      <c r="AA78" s="258">
        <f t="shared" si="27"/>
        <v>578487</v>
      </c>
      <c r="AB78" s="364">
        <f t="shared" ref="AB78:AB92" si="28">E78+G78+I78+K78+M78+O78+Q78+S78++U78+W78+Y78+AA78</f>
        <v>4820725</v>
      </c>
    </row>
    <row r="79" spans="1:28" ht="15.75" thickBot="1" x14ac:dyDescent="0.3">
      <c r="A79" s="924"/>
      <c r="B79" s="344"/>
      <c r="C79" s="345">
        <f>$E$46</f>
        <v>8105</v>
      </c>
      <c r="D79" s="346">
        <f>'Proy. ventas'!E77</f>
        <v>26.95</v>
      </c>
      <c r="E79" s="279">
        <f t="shared" si="16"/>
        <v>218429.75</v>
      </c>
      <c r="F79" s="371">
        <f>'Proy. ventas'!G77</f>
        <v>24.5</v>
      </c>
      <c r="G79" s="279">
        <f t="shared" si="17"/>
        <v>198572.5</v>
      </c>
      <c r="H79" s="371">
        <f>'Proy. ventas'!I77</f>
        <v>17.150000000000002</v>
      </c>
      <c r="I79" s="279">
        <f t="shared" si="18"/>
        <v>139000.75000000003</v>
      </c>
      <c r="J79" s="371">
        <f>'Proy. ventas'!K77</f>
        <v>14.7</v>
      </c>
      <c r="K79" s="279">
        <f t="shared" si="19"/>
        <v>119143.5</v>
      </c>
      <c r="L79" s="371">
        <f>'Proy. ventas'!M77</f>
        <v>14.7</v>
      </c>
      <c r="M79" s="279">
        <f t="shared" si="20"/>
        <v>119143.5</v>
      </c>
      <c r="N79" s="371">
        <f>'Proy. ventas'!O77</f>
        <v>9.8000000000000007</v>
      </c>
      <c r="O79" s="279">
        <f t="shared" si="21"/>
        <v>79429</v>
      </c>
      <c r="P79" s="371">
        <f>'Proy. ventas'!Q77</f>
        <v>22.05</v>
      </c>
      <c r="Q79" s="279">
        <f t="shared" si="22"/>
        <v>178715.25</v>
      </c>
      <c r="R79" s="371">
        <f>'Proy. ventas'!S77</f>
        <v>12.25</v>
      </c>
      <c r="S79" s="279">
        <f t="shared" si="23"/>
        <v>99286.25</v>
      </c>
      <c r="T79" s="371">
        <f>'Proy. ventas'!U77</f>
        <v>22.05</v>
      </c>
      <c r="U79" s="279">
        <f t="shared" si="24"/>
        <v>178715.25</v>
      </c>
      <c r="V79" s="371">
        <f>'Proy. ventas'!W77</f>
        <v>24.5</v>
      </c>
      <c r="W79" s="279">
        <f t="shared" si="25"/>
        <v>198572.5</v>
      </c>
      <c r="X79" s="371">
        <f>'Proy. ventas'!Y77</f>
        <v>26.95</v>
      </c>
      <c r="Y79" s="279">
        <f t="shared" si="26"/>
        <v>218429.75</v>
      </c>
      <c r="Z79" s="371">
        <f>'Proy. ventas'!AA77</f>
        <v>29.4</v>
      </c>
      <c r="AA79" s="280">
        <f t="shared" si="27"/>
        <v>238287</v>
      </c>
      <c r="AB79" s="365">
        <f t="shared" si="28"/>
        <v>1985725</v>
      </c>
    </row>
    <row r="80" spans="1:28" x14ac:dyDescent="0.25">
      <c r="A80" s="922" t="s">
        <v>185</v>
      </c>
      <c r="B80" s="341"/>
      <c r="C80" s="342">
        <v>420</v>
      </c>
      <c r="D80" s="343">
        <f>'Proy. ventas'!E78</f>
        <v>198</v>
      </c>
      <c r="E80" s="275">
        <f t="shared" si="16"/>
        <v>83160</v>
      </c>
      <c r="F80" s="370">
        <f>'Proy. ventas'!G78</f>
        <v>180</v>
      </c>
      <c r="G80" s="275">
        <f t="shared" si="17"/>
        <v>75600</v>
      </c>
      <c r="H80" s="370">
        <f>'Proy. ventas'!I78</f>
        <v>126.00000000000001</v>
      </c>
      <c r="I80" s="275">
        <f t="shared" si="18"/>
        <v>52920.000000000007</v>
      </c>
      <c r="J80" s="370">
        <f>'Proy. ventas'!K78</f>
        <v>108</v>
      </c>
      <c r="K80" s="275">
        <f t="shared" si="19"/>
        <v>45360</v>
      </c>
      <c r="L80" s="370">
        <f>'Proy. ventas'!M78</f>
        <v>108</v>
      </c>
      <c r="M80" s="275">
        <f t="shared" si="20"/>
        <v>45360</v>
      </c>
      <c r="N80" s="370">
        <f>'Proy. ventas'!O78</f>
        <v>72</v>
      </c>
      <c r="O80" s="275">
        <f t="shared" si="21"/>
        <v>30240</v>
      </c>
      <c r="P80" s="370">
        <f>'Proy. ventas'!Q78</f>
        <v>162</v>
      </c>
      <c r="Q80" s="275">
        <f t="shared" si="22"/>
        <v>68040</v>
      </c>
      <c r="R80" s="370">
        <f>'Proy. ventas'!S78</f>
        <v>90</v>
      </c>
      <c r="S80" s="275">
        <f t="shared" si="23"/>
        <v>37800</v>
      </c>
      <c r="T80" s="370">
        <f>'Proy. ventas'!U78</f>
        <v>162</v>
      </c>
      <c r="U80" s="275">
        <f t="shared" si="24"/>
        <v>68040</v>
      </c>
      <c r="V80" s="370">
        <f>'Proy. ventas'!W78</f>
        <v>180</v>
      </c>
      <c r="W80" s="275">
        <f t="shared" si="25"/>
        <v>75600</v>
      </c>
      <c r="X80" s="370">
        <f>'Proy. ventas'!Y78</f>
        <v>198</v>
      </c>
      <c r="Y80" s="275">
        <f t="shared" si="26"/>
        <v>83160</v>
      </c>
      <c r="Z80" s="370">
        <f>'Proy. ventas'!AA78</f>
        <v>216</v>
      </c>
      <c r="AA80" s="276">
        <f t="shared" si="27"/>
        <v>90720</v>
      </c>
      <c r="AB80" s="363">
        <f t="shared" si="28"/>
        <v>756000</v>
      </c>
    </row>
    <row r="81" spans="1:28" x14ac:dyDescent="0.25">
      <c r="A81" s="923"/>
      <c r="B81" s="333"/>
      <c r="C81" s="334">
        <v>300</v>
      </c>
      <c r="D81" s="331">
        <f>'Proy. ventas'!E79</f>
        <v>198</v>
      </c>
      <c r="E81" s="256">
        <f t="shared" si="16"/>
        <v>59400</v>
      </c>
      <c r="F81" s="328">
        <f>'Proy. ventas'!G79</f>
        <v>180</v>
      </c>
      <c r="G81" s="256">
        <f t="shared" si="17"/>
        <v>54000</v>
      </c>
      <c r="H81" s="328">
        <f>'Proy. ventas'!I79</f>
        <v>126.00000000000001</v>
      </c>
      <c r="I81" s="256">
        <f t="shared" si="18"/>
        <v>37800.000000000007</v>
      </c>
      <c r="J81" s="328">
        <f>'Proy. ventas'!K79</f>
        <v>108</v>
      </c>
      <c r="K81" s="256">
        <f t="shared" si="19"/>
        <v>32400</v>
      </c>
      <c r="L81" s="328">
        <f>'Proy. ventas'!M79</f>
        <v>108</v>
      </c>
      <c r="M81" s="256">
        <f t="shared" si="20"/>
        <v>32400</v>
      </c>
      <c r="N81" s="328">
        <f>'Proy. ventas'!O79</f>
        <v>72</v>
      </c>
      <c r="O81" s="256">
        <f t="shared" si="21"/>
        <v>21600</v>
      </c>
      <c r="P81" s="328">
        <f>'Proy. ventas'!Q79</f>
        <v>162</v>
      </c>
      <c r="Q81" s="256">
        <f t="shared" si="22"/>
        <v>48600</v>
      </c>
      <c r="R81" s="328">
        <f>'Proy. ventas'!S79</f>
        <v>90</v>
      </c>
      <c r="S81" s="256">
        <f t="shared" si="23"/>
        <v>27000</v>
      </c>
      <c r="T81" s="328">
        <f>'Proy. ventas'!U79</f>
        <v>162</v>
      </c>
      <c r="U81" s="256">
        <f t="shared" si="24"/>
        <v>48600</v>
      </c>
      <c r="V81" s="328">
        <f>'Proy. ventas'!W79</f>
        <v>180</v>
      </c>
      <c r="W81" s="256">
        <f t="shared" si="25"/>
        <v>54000</v>
      </c>
      <c r="X81" s="328">
        <f>'Proy. ventas'!Y79</f>
        <v>198</v>
      </c>
      <c r="Y81" s="256">
        <f t="shared" si="26"/>
        <v>59400</v>
      </c>
      <c r="Z81" s="328">
        <f>'Proy. ventas'!AA79</f>
        <v>216</v>
      </c>
      <c r="AA81" s="258">
        <f t="shared" si="27"/>
        <v>64800</v>
      </c>
      <c r="AB81" s="364">
        <f t="shared" si="28"/>
        <v>540000</v>
      </c>
    </row>
    <row r="82" spans="1:28" x14ac:dyDescent="0.25">
      <c r="A82" s="923"/>
      <c r="B82" s="333"/>
      <c r="C82" s="334">
        <v>1800</v>
      </c>
      <c r="D82" s="331">
        <f>'Proy. ventas'!E80</f>
        <v>82.5</v>
      </c>
      <c r="E82" s="256">
        <f t="shared" si="16"/>
        <v>148500</v>
      </c>
      <c r="F82" s="328">
        <f>'Proy. ventas'!G80</f>
        <v>75</v>
      </c>
      <c r="G82" s="256">
        <f t="shared" si="17"/>
        <v>135000</v>
      </c>
      <c r="H82" s="328">
        <f>'Proy. ventas'!I80</f>
        <v>52.500000000000007</v>
      </c>
      <c r="I82" s="256">
        <f t="shared" si="18"/>
        <v>94500.000000000015</v>
      </c>
      <c r="J82" s="328">
        <f>'Proy. ventas'!K80</f>
        <v>45</v>
      </c>
      <c r="K82" s="256">
        <f t="shared" si="19"/>
        <v>81000</v>
      </c>
      <c r="L82" s="328">
        <f>'Proy. ventas'!M80</f>
        <v>45</v>
      </c>
      <c r="M82" s="256">
        <f t="shared" si="20"/>
        <v>81000</v>
      </c>
      <c r="N82" s="328">
        <f>'Proy. ventas'!O80</f>
        <v>30</v>
      </c>
      <c r="O82" s="256">
        <f t="shared" si="21"/>
        <v>54000</v>
      </c>
      <c r="P82" s="328">
        <f>'Proy. ventas'!Q80</f>
        <v>67.5</v>
      </c>
      <c r="Q82" s="256">
        <f t="shared" si="22"/>
        <v>121500</v>
      </c>
      <c r="R82" s="328">
        <f>'Proy. ventas'!S80</f>
        <v>37.5</v>
      </c>
      <c r="S82" s="256">
        <f t="shared" si="23"/>
        <v>67500</v>
      </c>
      <c r="T82" s="328">
        <f>'Proy. ventas'!U80</f>
        <v>67.5</v>
      </c>
      <c r="U82" s="256">
        <f t="shared" si="24"/>
        <v>121500</v>
      </c>
      <c r="V82" s="328">
        <f>'Proy. ventas'!W80</f>
        <v>75</v>
      </c>
      <c r="W82" s="256">
        <f t="shared" si="25"/>
        <v>135000</v>
      </c>
      <c r="X82" s="328">
        <f>'Proy. ventas'!Y80</f>
        <v>82.5</v>
      </c>
      <c r="Y82" s="256">
        <f t="shared" si="26"/>
        <v>148500</v>
      </c>
      <c r="Z82" s="328">
        <f>'Proy. ventas'!AA80</f>
        <v>90</v>
      </c>
      <c r="AA82" s="258">
        <f t="shared" si="27"/>
        <v>162000</v>
      </c>
      <c r="AB82" s="364">
        <f t="shared" si="28"/>
        <v>1350000</v>
      </c>
    </row>
    <row r="83" spans="1:28" x14ac:dyDescent="0.25">
      <c r="A83" s="923"/>
      <c r="B83" s="333"/>
      <c r="C83" s="334">
        <v>180</v>
      </c>
      <c r="D83" s="331">
        <f>'Proy. ventas'!E81</f>
        <v>176</v>
      </c>
      <c r="E83" s="256">
        <f t="shared" si="16"/>
        <v>31680</v>
      </c>
      <c r="F83" s="328">
        <f>'Proy. ventas'!G81</f>
        <v>160</v>
      </c>
      <c r="G83" s="256">
        <f t="shared" si="17"/>
        <v>28800</v>
      </c>
      <c r="H83" s="328">
        <f>'Proy. ventas'!I81</f>
        <v>112.00000000000001</v>
      </c>
      <c r="I83" s="256">
        <f t="shared" si="18"/>
        <v>20160.000000000004</v>
      </c>
      <c r="J83" s="328">
        <f>'Proy. ventas'!K81</f>
        <v>96</v>
      </c>
      <c r="K83" s="256">
        <f t="shared" si="19"/>
        <v>17280</v>
      </c>
      <c r="L83" s="328">
        <f>'Proy. ventas'!M81</f>
        <v>96</v>
      </c>
      <c r="M83" s="256">
        <f t="shared" si="20"/>
        <v>17280</v>
      </c>
      <c r="N83" s="328">
        <f>'Proy. ventas'!O81</f>
        <v>64</v>
      </c>
      <c r="O83" s="256">
        <f t="shared" si="21"/>
        <v>11520</v>
      </c>
      <c r="P83" s="328">
        <f>'Proy. ventas'!Q81</f>
        <v>144</v>
      </c>
      <c r="Q83" s="256">
        <f t="shared" si="22"/>
        <v>25920</v>
      </c>
      <c r="R83" s="328">
        <f>'Proy. ventas'!S81</f>
        <v>80</v>
      </c>
      <c r="S83" s="256">
        <f t="shared" si="23"/>
        <v>14400</v>
      </c>
      <c r="T83" s="328">
        <f>'Proy. ventas'!U81</f>
        <v>144</v>
      </c>
      <c r="U83" s="256">
        <f t="shared" si="24"/>
        <v>25920</v>
      </c>
      <c r="V83" s="328">
        <f>'Proy. ventas'!W81</f>
        <v>160</v>
      </c>
      <c r="W83" s="256">
        <f t="shared" si="25"/>
        <v>28800</v>
      </c>
      <c r="X83" s="328">
        <f>'Proy. ventas'!Y81</f>
        <v>176</v>
      </c>
      <c r="Y83" s="256">
        <f t="shared" si="26"/>
        <v>31680</v>
      </c>
      <c r="Z83" s="328">
        <f>'Proy. ventas'!AA81</f>
        <v>192</v>
      </c>
      <c r="AA83" s="258">
        <f t="shared" si="27"/>
        <v>34560</v>
      </c>
      <c r="AB83" s="364">
        <f t="shared" si="28"/>
        <v>288000</v>
      </c>
    </row>
    <row r="84" spans="1:28" x14ac:dyDescent="0.25">
      <c r="A84" s="923"/>
      <c r="B84" s="333"/>
      <c r="C84" s="334">
        <v>1250</v>
      </c>
      <c r="D84" s="331">
        <f>'Proy. ventas'!E82</f>
        <v>99</v>
      </c>
      <c r="E84" s="256">
        <f t="shared" si="16"/>
        <v>123750</v>
      </c>
      <c r="F84" s="328">
        <f>'Proy. ventas'!G82</f>
        <v>90</v>
      </c>
      <c r="G84" s="256">
        <f t="shared" si="17"/>
        <v>112500</v>
      </c>
      <c r="H84" s="328">
        <f>'Proy. ventas'!I82</f>
        <v>63.000000000000007</v>
      </c>
      <c r="I84" s="256">
        <f t="shared" si="18"/>
        <v>78750.000000000015</v>
      </c>
      <c r="J84" s="328">
        <f>'Proy. ventas'!K82</f>
        <v>54</v>
      </c>
      <c r="K84" s="256">
        <f t="shared" si="19"/>
        <v>67500</v>
      </c>
      <c r="L84" s="328">
        <f>'Proy. ventas'!M82</f>
        <v>54</v>
      </c>
      <c r="M84" s="256">
        <f t="shared" si="20"/>
        <v>67500</v>
      </c>
      <c r="N84" s="328">
        <f>'Proy. ventas'!O82</f>
        <v>36</v>
      </c>
      <c r="O84" s="256">
        <f t="shared" si="21"/>
        <v>45000</v>
      </c>
      <c r="P84" s="328">
        <f>'Proy. ventas'!Q82</f>
        <v>81</v>
      </c>
      <c r="Q84" s="256">
        <f t="shared" si="22"/>
        <v>101250</v>
      </c>
      <c r="R84" s="328">
        <f>'Proy. ventas'!S82</f>
        <v>45</v>
      </c>
      <c r="S84" s="256">
        <f t="shared" si="23"/>
        <v>56250</v>
      </c>
      <c r="T84" s="328">
        <f>'Proy. ventas'!U82</f>
        <v>81</v>
      </c>
      <c r="U84" s="256">
        <f t="shared" si="24"/>
        <v>101250</v>
      </c>
      <c r="V84" s="328">
        <f>'Proy. ventas'!W82</f>
        <v>90</v>
      </c>
      <c r="W84" s="256">
        <f t="shared" si="25"/>
        <v>112500</v>
      </c>
      <c r="X84" s="328">
        <f>'Proy. ventas'!Y82</f>
        <v>99</v>
      </c>
      <c r="Y84" s="256">
        <f t="shared" si="26"/>
        <v>123750</v>
      </c>
      <c r="Z84" s="328">
        <f>'Proy. ventas'!AA82</f>
        <v>108</v>
      </c>
      <c r="AA84" s="258">
        <f t="shared" si="27"/>
        <v>135000</v>
      </c>
      <c r="AB84" s="364">
        <f t="shared" si="28"/>
        <v>1125000</v>
      </c>
    </row>
    <row r="85" spans="1:28" x14ac:dyDescent="0.25">
      <c r="A85" s="923"/>
      <c r="B85" s="333"/>
      <c r="C85" s="334">
        <v>350</v>
      </c>
      <c r="D85" s="331" t="e">
        <f>'Proy. ventas'!#REF!</f>
        <v>#REF!</v>
      </c>
      <c r="E85" s="256" t="e">
        <f t="shared" si="16"/>
        <v>#REF!</v>
      </c>
      <c r="F85" s="328" t="e">
        <f>'Proy. ventas'!#REF!</f>
        <v>#REF!</v>
      </c>
      <c r="G85" s="256" t="e">
        <f t="shared" si="17"/>
        <v>#REF!</v>
      </c>
      <c r="H85" s="328" t="e">
        <f>'Proy. ventas'!#REF!</f>
        <v>#REF!</v>
      </c>
      <c r="I85" s="256" t="e">
        <f t="shared" si="18"/>
        <v>#REF!</v>
      </c>
      <c r="J85" s="328" t="e">
        <f>'Proy. ventas'!#REF!</f>
        <v>#REF!</v>
      </c>
      <c r="K85" s="256" t="e">
        <f t="shared" si="19"/>
        <v>#REF!</v>
      </c>
      <c r="L85" s="328" t="e">
        <f>'Proy. ventas'!#REF!</f>
        <v>#REF!</v>
      </c>
      <c r="M85" s="256" t="e">
        <f t="shared" si="20"/>
        <v>#REF!</v>
      </c>
      <c r="N85" s="328" t="e">
        <f>'Proy. ventas'!#REF!</f>
        <v>#REF!</v>
      </c>
      <c r="O85" s="256" t="e">
        <f t="shared" si="21"/>
        <v>#REF!</v>
      </c>
      <c r="P85" s="328" t="e">
        <f>'Proy. ventas'!#REF!</f>
        <v>#REF!</v>
      </c>
      <c r="Q85" s="256" t="e">
        <f t="shared" si="22"/>
        <v>#REF!</v>
      </c>
      <c r="R85" s="328" t="e">
        <f>'Proy. ventas'!#REF!</f>
        <v>#REF!</v>
      </c>
      <c r="S85" s="256" t="e">
        <f t="shared" si="23"/>
        <v>#REF!</v>
      </c>
      <c r="T85" s="328" t="e">
        <f>'Proy. ventas'!#REF!</f>
        <v>#REF!</v>
      </c>
      <c r="U85" s="256" t="e">
        <f t="shared" si="24"/>
        <v>#REF!</v>
      </c>
      <c r="V85" s="328" t="e">
        <f>'Proy. ventas'!#REF!</f>
        <v>#REF!</v>
      </c>
      <c r="W85" s="256" t="e">
        <f t="shared" si="25"/>
        <v>#REF!</v>
      </c>
      <c r="X85" s="328" t="e">
        <f>'Proy. ventas'!#REF!</f>
        <v>#REF!</v>
      </c>
      <c r="Y85" s="256" t="e">
        <f t="shared" si="26"/>
        <v>#REF!</v>
      </c>
      <c r="Z85" s="328" t="e">
        <f>'Proy. ventas'!#REF!</f>
        <v>#REF!</v>
      </c>
      <c r="AA85" s="258" t="e">
        <f t="shared" si="27"/>
        <v>#REF!</v>
      </c>
      <c r="AB85" s="364" t="e">
        <f t="shared" si="28"/>
        <v>#REF!</v>
      </c>
    </row>
    <row r="86" spans="1:28" x14ac:dyDescent="0.25">
      <c r="A86" s="923"/>
      <c r="B86" s="333"/>
      <c r="C86" s="334">
        <v>950</v>
      </c>
      <c r="D86" s="331" t="e">
        <f>'Proy. ventas'!#REF!</f>
        <v>#REF!</v>
      </c>
      <c r="E86" s="256" t="e">
        <f t="shared" si="16"/>
        <v>#REF!</v>
      </c>
      <c r="F86" s="328" t="e">
        <f>'Proy. ventas'!#REF!</f>
        <v>#REF!</v>
      </c>
      <c r="G86" s="256" t="e">
        <f t="shared" si="17"/>
        <v>#REF!</v>
      </c>
      <c r="H86" s="328" t="e">
        <f>'Proy. ventas'!#REF!</f>
        <v>#REF!</v>
      </c>
      <c r="I86" s="256" t="e">
        <f t="shared" si="18"/>
        <v>#REF!</v>
      </c>
      <c r="J86" s="328" t="e">
        <f>'Proy. ventas'!#REF!</f>
        <v>#REF!</v>
      </c>
      <c r="K86" s="256" t="e">
        <f t="shared" si="19"/>
        <v>#REF!</v>
      </c>
      <c r="L86" s="328" t="e">
        <f>'Proy. ventas'!#REF!</f>
        <v>#REF!</v>
      </c>
      <c r="M86" s="256" t="e">
        <f t="shared" si="20"/>
        <v>#REF!</v>
      </c>
      <c r="N86" s="328" t="e">
        <f>'Proy. ventas'!#REF!</f>
        <v>#REF!</v>
      </c>
      <c r="O86" s="256" t="e">
        <f t="shared" si="21"/>
        <v>#REF!</v>
      </c>
      <c r="P86" s="328" t="e">
        <f>'Proy. ventas'!#REF!</f>
        <v>#REF!</v>
      </c>
      <c r="Q86" s="256" t="e">
        <f t="shared" si="22"/>
        <v>#REF!</v>
      </c>
      <c r="R86" s="328" t="e">
        <f>'Proy. ventas'!#REF!</f>
        <v>#REF!</v>
      </c>
      <c r="S86" s="256" t="e">
        <f t="shared" si="23"/>
        <v>#REF!</v>
      </c>
      <c r="T86" s="328" t="e">
        <f>'Proy. ventas'!#REF!</f>
        <v>#REF!</v>
      </c>
      <c r="U86" s="256" t="e">
        <f t="shared" si="24"/>
        <v>#REF!</v>
      </c>
      <c r="V86" s="328" t="e">
        <f>'Proy. ventas'!#REF!</f>
        <v>#REF!</v>
      </c>
      <c r="W86" s="256" t="e">
        <f t="shared" si="25"/>
        <v>#REF!</v>
      </c>
      <c r="X86" s="328" t="e">
        <f>'Proy. ventas'!#REF!</f>
        <v>#REF!</v>
      </c>
      <c r="Y86" s="256" t="e">
        <f t="shared" si="26"/>
        <v>#REF!</v>
      </c>
      <c r="Z86" s="328" t="e">
        <f>'Proy. ventas'!#REF!</f>
        <v>#REF!</v>
      </c>
      <c r="AA86" s="258" t="e">
        <f t="shared" si="27"/>
        <v>#REF!</v>
      </c>
      <c r="AB86" s="364" t="e">
        <f t="shared" si="28"/>
        <v>#REF!</v>
      </c>
    </row>
    <row r="87" spans="1:28" x14ac:dyDescent="0.25">
      <c r="A87" s="923"/>
      <c r="B87" s="333"/>
      <c r="C87" s="334">
        <v>200</v>
      </c>
      <c r="D87" s="331" t="e">
        <f>'Proy. ventas'!#REF!</f>
        <v>#REF!</v>
      </c>
      <c r="E87" s="256" t="e">
        <f t="shared" si="16"/>
        <v>#REF!</v>
      </c>
      <c r="F87" s="328" t="e">
        <f>'Proy. ventas'!#REF!</f>
        <v>#REF!</v>
      </c>
      <c r="G87" s="256" t="e">
        <f t="shared" si="17"/>
        <v>#REF!</v>
      </c>
      <c r="H87" s="328" t="e">
        <f>'Proy. ventas'!#REF!</f>
        <v>#REF!</v>
      </c>
      <c r="I87" s="256" t="e">
        <f t="shared" si="18"/>
        <v>#REF!</v>
      </c>
      <c r="J87" s="328" t="e">
        <f>'Proy. ventas'!#REF!</f>
        <v>#REF!</v>
      </c>
      <c r="K87" s="256" t="e">
        <f t="shared" si="19"/>
        <v>#REF!</v>
      </c>
      <c r="L87" s="328" t="e">
        <f>'Proy. ventas'!#REF!</f>
        <v>#REF!</v>
      </c>
      <c r="M87" s="256" t="e">
        <f t="shared" si="20"/>
        <v>#REF!</v>
      </c>
      <c r="N87" s="328" t="e">
        <f>'Proy. ventas'!#REF!</f>
        <v>#REF!</v>
      </c>
      <c r="O87" s="256" t="e">
        <f t="shared" si="21"/>
        <v>#REF!</v>
      </c>
      <c r="P87" s="328" t="e">
        <f>'Proy. ventas'!#REF!</f>
        <v>#REF!</v>
      </c>
      <c r="Q87" s="256" t="e">
        <f t="shared" si="22"/>
        <v>#REF!</v>
      </c>
      <c r="R87" s="328" t="e">
        <f>'Proy. ventas'!#REF!</f>
        <v>#REF!</v>
      </c>
      <c r="S87" s="256" t="e">
        <f t="shared" si="23"/>
        <v>#REF!</v>
      </c>
      <c r="T87" s="328" t="e">
        <f>'Proy. ventas'!#REF!</f>
        <v>#REF!</v>
      </c>
      <c r="U87" s="256" t="e">
        <f t="shared" si="24"/>
        <v>#REF!</v>
      </c>
      <c r="V87" s="328" t="e">
        <f>'Proy. ventas'!#REF!</f>
        <v>#REF!</v>
      </c>
      <c r="W87" s="256" t="e">
        <f t="shared" si="25"/>
        <v>#REF!</v>
      </c>
      <c r="X87" s="328" t="e">
        <f>'Proy. ventas'!#REF!</f>
        <v>#REF!</v>
      </c>
      <c r="Y87" s="256" t="e">
        <f t="shared" si="26"/>
        <v>#REF!</v>
      </c>
      <c r="Z87" s="328" t="e">
        <f>'Proy. ventas'!#REF!</f>
        <v>#REF!</v>
      </c>
      <c r="AA87" s="258" t="e">
        <f t="shared" si="27"/>
        <v>#REF!</v>
      </c>
      <c r="AB87" s="364" t="e">
        <f t="shared" si="28"/>
        <v>#REF!</v>
      </c>
    </row>
    <row r="88" spans="1:28" ht="15.75" thickBot="1" x14ac:dyDescent="0.3">
      <c r="A88" s="924"/>
      <c r="B88" s="344"/>
      <c r="C88" s="345">
        <v>1150</v>
      </c>
      <c r="D88" s="346" t="e">
        <f>'Proy. ventas'!#REF!</f>
        <v>#REF!</v>
      </c>
      <c r="E88" s="279" t="e">
        <f t="shared" si="16"/>
        <v>#REF!</v>
      </c>
      <c r="F88" s="371" t="e">
        <f>'Proy. ventas'!#REF!</f>
        <v>#REF!</v>
      </c>
      <c r="G88" s="279" t="e">
        <f t="shared" si="17"/>
        <v>#REF!</v>
      </c>
      <c r="H88" s="371" t="e">
        <f>'Proy. ventas'!#REF!</f>
        <v>#REF!</v>
      </c>
      <c r="I88" s="279" t="e">
        <f t="shared" si="18"/>
        <v>#REF!</v>
      </c>
      <c r="J88" s="371" t="e">
        <f>'Proy. ventas'!#REF!</f>
        <v>#REF!</v>
      </c>
      <c r="K88" s="279" t="e">
        <f t="shared" si="19"/>
        <v>#REF!</v>
      </c>
      <c r="L88" s="371" t="e">
        <f>'Proy. ventas'!#REF!</f>
        <v>#REF!</v>
      </c>
      <c r="M88" s="279" t="e">
        <f t="shared" si="20"/>
        <v>#REF!</v>
      </c>
      <c r="N88" s="371" t="e">
        <f>'Proy. ventas'!#REF!</f>
        <v>#REF!</v>
      </c>
      <c r="O88" s="279" t="e">
        <f t="shared" si="21"/>
        <v>#REF!</v>
      </c>
      <c r="P88" s="371" t="e">
        <f>'Proy. ventas'!#REF!</f>
        <v>#REF!</v>
      </c>
      <c r="Q88" s="279" t="e">
        <f t="shared" si="22"/>
        <v>#REF!</v>
      </c>
      <c r="R88" s="371" t="e">
        <f>'Proy. ventas'!#REF!</f>
        <v>#REF!</v>
      </c>
      <c r="S88" s="279" t="e">
        <f t="shared" si="23"/>
        <v>#REF!</v>
      </c>
      <c r="T88" s="371" t="e">
        <f>'Proy. ventas'!#REF!</f>
        <v>#REF!</v>
      </c>
      <c r="U88" s="279" t="e">
        <f t="shared" si="24"/>
        <v>#REF!</v>
      </c>
      <c r="V88" s="371" t="e">
        <f>'Proy. ventas'!#REF!</f>
        <v>#REF!</v>
      </c>
      <c r="W88" s="279" t="e">
        <f t="shared" si="25"/>
        <v>#REF!</v>
      </c>
      <c r="X88" s="371" t="e">
        <f>'Proy. ventas'!#REF!</f>
        <v>#REF!</v>
      </c>
      <c r="Y88" s="279" t="e">
        <f t="shared" si="26"/>
        <v>#REF!</v>
      </c>
      <c r="Z88" s="371" t="e">
        <f>'Proy. ventas'!#REF!</f>
        <v>#REF!</v>
      </c>
      <c r="AA88" s="280" t="e">
        <f t="shared" si="27"/>
        <v>#REF!</v>
      </c>
      <c r="AB88" s="365" t="e">
        <f t="shared" si="28"/>
        <v>#REF!</v>
      </c>
    </row>
    <row r="89" spans="1:28" ht="30.75" thickBot="1" x14ac:dyDescent="0.3">
      <c r="A89" s="380" t="s">
        <v>186</v>
      </c>
      <c r="B89" s="381"/>
      <c r="C89" s="382">
        <v>300</v>
      </c>
      <c r="D89" s="376">
        <v>50</v>
      </c>
      <c r="E89" s="356">
        <f t="shared" si="16"/>
        <v>15000</v>
      </c>
      <c r="F89" s="377">
        <v>20</v>
      </c>
      <c r="G89" s="356">
        <f t="shared" si="17"/>
        <v>6000</v>
      </c>
      <c r="H89" s="377">
        <v>10</v>
      </c>
      <c r="I89" s="356">
        <f t="shared" si="18"/>
        <v>3000</v>
      </c>
      <c r="J89" s="377">
        <v>5</v>
      </c>
      <c r="K89" s="356">
        <f t="shared" si="19"/>
        <v>1500</v>
      </c>
      <c r="L89" s="377">
        <v>0</v>
      </c>
      <c r="M89" s="356">
        <f t="shared" si="20"/>
        <v>0</v>
      </c>
      <c r="N89" s="377">
        <v>5</v>
      </c>
      <c r="O89" s="356">
        <f t="shared" si="21"/>
        <v>1500</v>
      </c>
      <c r="P89" s="377">
        <v>5</v>
      </c>
      <c r="Q89" s="356">
        <f t="shared" si="22"/>
        <v>1500</v>
      </c>
      <c r="R89" s="377">
        <v>0</v>
      </c>
      <c r="S89" s="356">
        <f t="shared" si="23"/>
        <v>0</v>
      </c>
      <c r="T89" s="377">
        <v>10</v>
      </c>
      <c r="U89" s="356">
        <f t="shared" si="24"/>
        <v>3000</v>
      </c>
      <c r="V89" s="377">
        <v>10</v>
      </c>
      <c r="W89" s="356">
        <f t="shared" si="25"/>
        <v>3000</v>
      </c>
      <c r="X89" s="377">
        <v>15</v>
      </c>
      <c r="Y89" s="356">
        <f t="shared" si="26"/>
        <v>4500</v>
      </c>
      <c r="Z89" s="377">
        <v>10</v>
      </c>
      <c r="AA89" s="378">
        <f t="shared" si="27"/>
        <v>3000</v>
      </c>
      <c r="AB89" s="379">
        <f t="shared" si="28"/>
        <v>42000</v>
      </c>
    </row>
    <row r="90" spans="1:28" x14ac:dyDescent="0.25">
      <c r="A90" s="925" t="s">
        <v>189</v>
      </c>
      <c r="B90" s="359"/>
      <c r="C90" s="332">
        <v>182000</v>
      </c>
      <c r="D90" s="330">
        <v>1</v>
      </c>
      <c r="E90" s="269">
        <f t="shared" si="16"/>
        <v>182000</v>
      </c>
      <c r="F90" s="329">
        <v>1</v>
      </c>
      <c r="G90" s="269">
        <f t="shared" si="17"/>
        <v>182000</v>
      </c>
      <c r="H90" s="329">
        <v>0</v>
      </c>
      <c r="I90" s="269">
        <f t="shared" si="18"/>
        <v>0</v>
      </c>
      <c r="J90" s="329">
        <v>1</v>
      </c>
      <c r="K90" s="269">
        <f t="shared" si="19"/>
        <v>182000</v>
      </c>
      <c r="L90" s="329">
        <v>1</v>
      </c>
      <c r="M90" s="269">
        <f t="shared" si="20"/>
        <v>182000</v>
      </c>
      <c r="N90" s="329">
        <v>0</v>
      </c>
      <c r="O90" s="269">
        <f t="shared" si="21"/>
        <v>0</v>
      </c>
      <c r="P90" s="329">
        <v>0</v>
      </c>
      <c r="Q90" s="269">
        <f t="shared" si="22"/>
        <v>0</v>
      </c>
      <c r="R90" s="329">
        <v>0</v>
      </c>
      <c r="S90" s="269">
        <f t="shared" si="23"/>
        <v>0</v>
      </c>
      <c r="T90" s="329">
        <v>1</v>
      </c>
      <c r="U90" s="269">
        <f t="shared" si="24"/>
        <v>182000</v>
      </c>
      <c r="V90" s="329">
        <v>0</v>
      </c>
      <c r="W90" s="269">
        <f t="shared" si="25"/>
        <v>0</v>
      </c>
      <c r="X90" s="329">
        <v>0</v>
      </c>
      <c r="Y90" s="269">
        <f t="shared" si="26"/>
        <v>0</v>
      </c>
      <c r="Z90" s="329">
        <v>1</v>
      </c>
      <c r="AA90" s="270">
        <f t="shared" si="27"/>
        <v>182000</v>
      </c>
      <c r="AB90" s="367">
        <f t="shared" si="28"/>
        <v>1092000</v>
      </c>
    </row>
    <row r="91" spans="1:28" x14ac:dyDescent="0.25">
      <c r="A91" s="926"/>
      <c r="B91" s="360"/>
      <c r="C91" s="334">
        <v>130000</v>
      </c>
      <c r="D91" s="331">
        <v>1</v>
      </c>
      <c r="E91" s="256">
        <f t="shared" si="16"/>
        <v>130000</v>
      </c>
      <c r="F91" s="328">
        <v>0</v>
      </c>
      <c r="G91" s="256">
        <f t="shared" si="17"/>
        <v>0</v>
      </c>
      <c r="H91" s="328">
        <v>0</v>
      </c>
      <c r="I91" s="256">
        <f t="shared" si="18"/>
        <v>0</v>
      </c>
      <c r="J91" s="328">
        <v>0</v>
      </c>
      <c r="K91" s="256">
        <f t="shared" si="19"/>
        <v>0</v>
      </c>
      <c r="L91" s="328">
        <v>1</v>
      </c>
      <c r="M91" s="256">
        <f t="shared" si="20"/>
        <v>130000</v>
      </c>
      <c r="N91" s="328">
        <v>0</v>
      </c>
      <c r="O91" s="256">
        <f t="shared" si="21"/>
        <v>0</v>
      </c>
      <c r="P91" s="328">
        <v>0</v>
      </c>
      <c r="Q91" s="256">
        <f t="shared" si="22"/>
        <v>0</v>
      </c>
      <c r="R91" s="328">
        <v>0</v>
      </c>
      <c r="S91" s="256">
        <f t="shared" si="23"/>
        <v>0</v>
      </c>
      <c r="T91" s="328">
        <v>1</v>
      </c>
      <c r="U91" s="256">
        <f t="shared" si="24"/>
        <v>130000</v>
      </c>
      <c r="V91" s="328">
        <v>0</v>
      </c>
      <c r="W91" s="256">
        <f t="shared" si="25"/>
        <v>0</v>
      </c>
      <c r="X91" s="328">
        <v>0</v>
      </c>
      <c r="Y91" s="256">
        <f t="shared" si="26"/>
        <v>0</v>
      </c>
      <c r="Z91" s="328">
        <v>1</v>
      </c>
      <c r="AA91" s="258">
        <f t="shared" si="27"/>
        <v>130000</v>
      </c>
      <c r="AB91" s="364">
        <f t="shared" si="28"/>
        <v>520000</v>
      </c>
    </row>
    <row r="92" spans="1:28" x14ac:dyDescent="0.25">
      <c r="A92" s="926"/>
      <c r="B92" s="335"/>
      <c r="C92" s="334">
        <v>250000</v>
      </c>
      <c r="D92" s="331">
        <v>0</v>
      </c>
      <c r="E92" s="256">
        <f t="shared" si="16"/>
        <v>0</v>
      </c>
      <c r="F92" s="328">
        <v>0</v>
      </c>
      <c r="G92" s="256">
        <f t="shared" si="17"/>
        <v>0</v>
      </c>
      <c r="H92" s="328">
        <v>0</v>
      </c>
      <c r="I92" s="256">
        <f t="shared" si="18"/>
        <v>0</v>
      </c>
      <c r="J92" s="328">
        <v>0</v>
      </c>
      <c r="K92" s="256">
        <f t="shared" si="19"/>
        <v>0</v>
      </c>
      <c r="L92" s="328">
        <v>0</v>
      </c>
      <c r="M92" s="256">
        <f t="shared" si="20"/>
        <v>0</v>
      </c>
      <c r="N92" s="328">
        <v>0</v>
      </c>
      <c r="O92" s="256">
        <f t="shared" si="21"/>
        <v>0</v>
      </c>
      <c r="P92" s="328">
        <v>0</v>
      </c>
      <c r="Q92" s="256">
        <f t="shared" si="22"/>
        <v>0</v>
      </c>
      <c r="R92" s="328">
        <v>0</v>
      </c>
      <c r="S92" s="256">
        <f t="shared" si="23"/>
        <v>0</v>
      </c>
      <c r="T92" s="328">
        <v>1</v>
      </c>
      <c r="U92" s="256">
        <f t="shared" si="24"/>
        <v>250000</v>
      </c>
      <c r="V92" s="328">
        <v>0</v>
      </c>
      <c r="W92" s="256">
        <f t="shared" si="25"/>
        <v>0</v>
      </c>
      <c r="X92" s="328">
        <v>0</v>
      </c>
      <c r="Y92" s="256">
        <f t="shared" si="26"/>
        <v>0</v>
      </c>
      <c r="Z92" s="328">
        <v>0</v>
      </c>
      <c r="AA92" s="258">
        <f t="shared" si="27"/>
        <v>0</v>
      </c>
      <c r="AB92" s="364">
        <f t="shared" si="28"/>
        <v>250000</v>
      </c>
    </row>
    <row r="93" spans="1:28" ht="15.75" thickBot="1" x14ac:dyDescent="0.3">
      <c r="A93" s="927"/>
      <c r="B93" s="351"/>
      <c r="C93" s="352">
        <v>0</v>
      </c>
      <c r="D93" s="353">
        <v>0</v>
      </c>
      <c r="E93" s="279">
        <v>0</v>
      </c>
      <c r="F93" s="373">
        <v>0</v>
      </c>
      <c r="G93" s="279">
        <v>0</v>
      </c>
      <c r="H93" s="373">
        <v>0</v>
      </c>
      <c r="I93" s="279">
        <v>0</v>
      </c>
      <c r="J93" s="373">
        <v>0</v>
      </c>
      <c r="K93" s="279">
        <v>0</v>
      </c>
      <c r="L93" s="373">
        <v>0</v>
      </c>
      <c r="M93" s="279">
        <f>($C$53*L77 + $C$54*L78+$C$55*L79)*0.15</f>
        <v>75946.05</v>
      </c>
      <c r="N93" s="373">
        <v>0</v>
      </c>
      <c r="O93" s="279">
        <f>($C$53*N77 + $C$54*N78+$C$55*N79)*0.15</f>
        <v>50630.7</v>
      </c>
      <c r="P93" s="373">
        <v>0</v>
      </c>
      <c r="Q93" s="279">
        <f>($C$53*P77 + $C$54*P78+$C$55*P79)*0.15</f>
        <v>113919.075</v>
      </c>
      <c r="R93" s="373">
        <v>0</v>
      </c>
      <c r="S93" s="279">
        <v>0</v>
      </c>
      <c r="T93" s="373">
        <v>0</v>
      </c>
      <c r="U93" s="279">
        <v>0</v>
      </c>
      <c r="V93" s="373">
        <v>0</v>
      </c>
      <c r="W93" s="279">
        <v>0</v>
      </c>
      <c r="X93" s="373">
        <v>0</v>
      </c>
      <c r="Y93" s="279">
        <v>0</v>
      </c>
      <c r="Z93" s="373">
        <v>0</v>
      </c>
      <c r="AA93" s="280">
        <v>0</v>
      </c>
      <c r="AB93" s="365">
        <f>E93+G93+I93+K93+M93+O93+Q93+S93+U93+W93+Y93+AA93</f>
        <v>240495.82500000001</v>
      </c>
    </row>
    <row r="94" spans="1:28" ht="15.75" thickBot="1" x14ac:dyDescent="0.3">
      <c r="A94" s="347" t="s">
        <v>187</v>
      </c>
      <c r="B94" s="348"/>
      <c r="C94" s="357">
        <v>0</v>
      </c>
      <c r="D94" s="358">
        <v>0</v>
      </c>
      <c r="E94" s="287">
        <f>(D79+D78+D77)*75</f>
        <v>18892.5</v>
      </c>
      <c r="F94" s="374">
        <v>0</v>
      </c>
      <c r="G94" s="287">
        <f>(F79+F78+F77)*75</f>
        <v>17175</v>
      </c>
      <c r="H94" s="374">
        <v>0</v>
      </c>
      <c r="I94" s="287">
        <f>(H79+H78+H77)*75</f>
        <v>12022.5</v>
      </c>
      <c r="J94" s="374">
        <v>0</v>
      </c>
      <c r="K94" s="287">
        <f>(J79+J78+J77)*75</f>
        <v>10304.999999999998</v>
      </c>
      <c r="L94" s="374">
        <v>0</v>
      </c>
      <c r="M94" s="287">
        <f>(L79+L78+L77)*75</f>
        <v>10304.999999999998</v>
      </c>
      <c r="N94" s="374">
        <v>0</v>
      </c>
      <c r="O94" s="287">
        <f>(N79+N78+N77)*75</f>
        <v>6870</v>
      </c>
      <c r="P94" s="374">
        <v>0</v>
      </c>
      <c r="Q94" s="287">
        <f>(P79+P78+P77)*75</f>
        <v>15457.5</v>
      </c>
      <c r="R94" s="374">
        <v>0</v>
      </c>
      <c r="S94" s="287">
        <f>(R79+R78+R77)*75</f>
        <v>8587.5</v>
      </c>
      <c r="T94" s="374">
        <v>0</v>
      </c>
      <c r="U94" s="287">
        <f>(T79+T78+T77)*75</f>
        <v>15457.5</v>
      </c>
      <c r="V94" s="374">
        <v>0</v>
      </c>
      <c r="W94" s="287">
        <f>(V79+V78+V77)*75</f>
        <v>17175</v>
      </c>
      <c r="X94" s="374">
        <v>0</v>
      </c>
      <c r="Y94" s="287">
        <f>(X79+X78+X77)*75</f>
        <v>18892.5</v>
      </c>
      <c r="Z94" s="374">
        <v>0</v>
      </c>
      <c r="AA94" s="287">
        <f>(Z79+Z78+Z77)*75</f>
        <v>20609.999999999996</v>
      </c>
      <c r="AB94" s="365">
        <f>E94+G94+I94+K94+M94+O94+Q94+S94+U94+W94+Y94+AA94</f>
        <v>171750</v>
      </c>
    </row>
    <row r="95" spans="1:28" ht="15.75" thickBot="1" x14ac:dyDescent="0.3">
      <c r="B95" s="362" t="s">
        <v>188</v>
      </c>
      <c r="C95" s="354"/>
      <c r="D95" s="355"/>
      <c r="E95" s="369" t="e">
        <f>SUM(E77:E94)</f>
        <v>#REF!</v>
      </c>
      <c r="F95" s="375"/>
      <c r="G95" s="369" t="e">
        <f>SUM(G77:G94)</f>
        <v>#REF!</v>
      </c>
      <c r="H95" s="375"/>
      <c r="I95" s="369" t="e">
        <f>SUM(I77:I94)</f>
        <v>#REF!</v>
      </c>
      <c r="J95" s="375"/>
      <c r="K95" s="369" t="e">
        <f>SUM(K77:K94)</f>
        <v>#REF!</v>
      </c>
      <c r="L95" s="375"/>
      <c r="M95" s="369" t="e">
        <f>SUM(M77:M94)</f>
        <v>#REF!</v>
      </c>
      <c r="N95" s="355"/>
      <c r="O95" s="369" t="e">
        <f>SUM(O77:O94)</f>
        <v>#REF!</v>
      </c>
      <c r="P95" s="375"/>
      <c r="Q95" s="369" t="e">
        <f>SUM(Q77:Q94)</f>
        <v>#REF!</v>
      </c>
      <c r="R95" s="375"/>
      <c r="S95" s="369" t="e">
        <f>SUM(S77:S94)</f>
        <v>#REF!</v>
      </c>
      <c r="T95" s="375"/>
      <c r="U95" s="369" t="e">
        <f>SUM(U77:U94)</f>
        <v>#REF!</v>
      </c>
      <c r="V95" s="375"/>
      <c r="W95" s="369" t="e">
        <f>SUM(W77:W94)</f>
        <v>#REF!</v>
      </c>
      <c r="X95" s="375"/>
      <c r="Y95" s="369" t="e">
        <f>SUM(Y77:Y94)</f>
        <v>#REF!</v>
      </c>
      <c r="Z95" s="375"/>
      <c r="AA95" s="368" t="e">
        <f>SUM(AA77:AA94)</f>
        <v>#REF!</v>
      </c>
      <c r="AB95" s="361" t="e">
        <f>SUM(E95:AA95)</f>
        <v>#REF!</v>
      </c>
    </row>
    <row r="97" spans="1:28" ht="15.75" thickBot="1" x14ac:dyDescent="0.3"/>
    <row r="98" spans="1:28" ht="27" thickBot="1" x14ac:dyDescent="0.45">
      <c r="B98" s="918" t="s">
        <v>191</v>
      </c>
      <c r="C98" s="919"/>
      <c r="D98" s="919"/>
      <c r="E98" s="919"/>
      <c r="F98" s="919"/>
      <c r="G98" s="919"/>
      <c r="H98" s="919"/>
      <c r="I98" s="919"/>
      <c r="J98" s="919"/>
      <c r="K98" s="919"/>
      <c r="L98" s="919"/>
      <c r="M98" s="919"/>
      <c r="N98" s="919"/>
      <c r="O98" s="919"/>
      <c r="P98" s="919"/>
      <c r="Q98" s="919"/>
      <c r="R98" s="919"/>
      <c r="S98" s="919"/>
      <c r="T98" s="919"/>
      <c r="U98" s="919"/>
      <c r="V98" s="919"/>
      <c r="W98" s="919"/>
      <c r="X98" s="919"/>
      <c r="Y98" s="919"/>
      <c r="Z98" s="919"/>
      <c r="AA98" s="919"/>
      <c r="AB98" s="920"/>
    </row>
    <row r="99" spans="1:28" x14ac:dyDescent="0.25">
      <c r="B99" s="916" t="s">
        <v>64</v>
      </c>
      <c r="C99" s="917"/>
      <c r="D99" s="915" t="s">
        <v>42</v>
      </c>
      <c r="E99" s="911"/>
      <c r="F99" s="910" t="s">
        <v>43</v>
      </c>
      <c r="G99" s="911"/>
      <c r="H99" s="910" t="s">
        <v>44</v>
      </c>
      <c r="I99" s="911"/>
      <c r="J99" s="910" t="s">
        <v>45</v>
      </c>
      <c r="K99" s="911"/>
      <c r="L99" s="910" t="s">
        <v>46</v>
      </c>
      <c r="M99" s="911"/>
      <c r="N99" s="910" t="s">
        <v>47</v>
      </c>
      <c r="O99" s="911"/>
      <c r="P99" s="910" t="s">
        <v>48</v>
      </c>
      <c r="Q99" s="911"/>
      <c r="R99" s="910" t="s">
        <v>49</v>
      </c>
      <c r="S99" s="911"/>
      <c r="T99" s="910" t="s">
        <v>50</v>
      </c>
      <c r="U99" s="911"/>
      <c r="V99" s="910" t="s">
        <v>51</v>
      </c>
      <c r="W99" s="911"/>
      <c r="X99" s="910" t="s">
        <v>52</v>
      </c>
      <c r="Y99" s="911"/>
      <c r="Z99" s="910" t="s">
        <v>53</v>
      </c>
      <c r="AA99" s="915"/>
      <c r="AB99" s="928" t="s">
        <v>19</v>
      </c>
    </row>
    <row r="100" spans="1:28" ht="15.75" thickBot="1" x14ac:dyDescent="0.3">
      <c r="B100" s="336" t="s">
        <v>119</v>
      </c>
      <c r="C100" s="337" t="s">
        <v>172</v>
      </c>
      <c r="D100" s="338" t="s">
        <v>60</v>
      </c>
      <c r="E100" s="339" t="s">
        <v>104</v>
      </c>
      <c r="F100" s="339" t="s">
        <v>60</v>
      </c>
      <c r="G100" s="339" t="s">
        <v>104</v>
      </c>
      <c r="H100" s="339" t="s">
        <v>60</v>
      </c>
      <c r="I100" s="339" t="s">
        <v>104</v>
      </c>
      <c r="J100" s="339" t="s">
        <v>60</v>
      </c>
      <c r="K100" s="339" t="s">
        <v>104</v>
      </c>
      <c r="L100" s="339" t="s">
        <v>60</v>
      </c>
      <c r="M100" s="339" t="s">
        <v>104</v>
      </c>
      <c r="N100" s="339" t="s">
        <v>60</v>
      </c>
      <c r="O100" s="339" t="s">
        <v>104</v>
      </c>
      <c r="P100" s="339" t="s">
        <v>60</v>
      </c>
      <c r="Q100" s="339" t="s">
        <v>104</v>
      </c>
      <c r="R100" s="339" t="s">
        <v>60</v>
      </c>
      <c r="S100" s="339" t="s">
        <v>104</v>
      </c>
      <c r="T100" s="339" t="s">
        <v>60</v>
      </c>
      <c r="U100" s="339" t="s">
        <v>104</v>
      </c>
      <c r="V100" s="339" t="s">
        <v>60</v>
      </c>
      <c r="W100" s="339" t="s">
        <v>104</v>
      </c>
      <c r="X100" s="339" t="s">
        <v>60</v>
      </c>
      <c r="Y100" s="339" t="s">
        <v>104</v>
      </c>
      <c r="Z100" s="339" t="s">
        <v>60</v>
      </c>
      <c r="AA100" s="340" t="s">
        <v>104</v>
      </c>
      <c r="AB100" s="921"/>
    </row>
    <row r="101" spans="1:28" x14ac:dyDescent="0.25">
      <c r="A101" s="922" t="s">
        <v>184</v>
      </c>
      <c r="B101" s="341"/>
      <c r="C101" s="342">
        <f>$E$20</f>
        <v>1360</v>
      </c>
      <c r="D101" s="343">
        <f>'Proy. ventas'!E134</f>
        <v>203.5</v>
      </c>
      <c r="E101" s="275">
        <f t="shared" ref="E101:E116" si="29">D101*C101</f>
        <v>276760</v>
      </c>
      <c r="F101" s="370">
        <f>'Proy. ventas'!G134</f>
        <v>166.5</v>
      </c>
      <c r="G101" s="275">
        <f t="shared" ref="G101:G116" si="30">F101*C101</f>
        <v>226440</v>
      </c>
      <c r="H101" s="370">
        <f>'Proy. ventas'!I134</f>
        <v>148</v>
      </c>
      <c r="I101" s="275">
        <f t="shared" ref="I101:I116" si="31">H101*C101</f>
        <v>201280</v>
      </c>
      <c r="J101" s="370">
        <f>'Proy. ventas'!K134</f>
        <v>111</v>
      </c>
      <c r="K101" s="275">
        <f t="shared" ref="K101:K116" si="32">J101*C101</f>
        <v>150960</v>
      </c>
      <c r="L101" s="370">
        <f>'Proy. ventas'!M134</f>
        <v>111</v>
      </c>
      <c r="M101" s="275">
        <f t="shared" ref="M101:M116" si="33">L101*C101</f>
        <v>150960</v>
      </c>
      <c r="N101" s="370">
        <f>'Proy. ventas'!O134</f>
        <v>92.5</v>
      </c>
      <c r="O101" s="275">
        <f t="shared" ref="O101:O116" si="34">N101*C101</f>
        <v>125800</v>
      </c>
      <c r="P101" s="370">
        <f>'Proy. ventas'!Q134</f>
        <v>185</v>
      </c>
      <c r="Q101" s="275">
        <f t="shared" ref="Q101:Q116" si="35">P101*C101</f>
        <v>251600</v>
      </c>
      <c r="R101" s="370">
        <f>'Proy. ventas'!S134</f>
        <v>92.5</v>
      </c>
      <c r="S101" s="275">
        <f t="shared" ref="S101:S116" si="36">R101*C101</f>
        <v>125800</v>
      </c>
      <c r="T101" s="370">
        <f>'Proy. ventas'!U134</f>
        <v>148</v>
      </c>
      <c r="U101" s="275">
        <f t="shared" ref="U101:U116" si="37">T101*C101</f>
        <v>201280</v>
      </c>
      <c r="V101" s="370">
        <f>'Proy. ventas'!W134</f>
        <v>185</v>
      </c>
      <c r="W101" s="275">
        <f t="shared" ref="W101:W116" si="38">V101*C101</f>
        <v>251600</v>
      </c>
      <c r="X101" s="370">
        <f>'Proy. ventas'!Y134</f>
        <v>185</v>
      </c>
      <c r="Y101" s="275">
        <f t="shared" ref="Y101:Y116" si="39">X101*C101</f>
        <v>251600</v>
      </c>
      <c r="Z101" s="370">
        <f>'Proy. ventas'!AA134</f>
        <v>222</v>
      </c>
      <c r="AA101" s="276">
        <f t="shared" ref="AA101:AA116" si="40">Z101*C101</f>
        <v>301920</v>
      </c>
      <c r="AB101" s="363">
        <f>E101+G101+I101+K101+M101+O101+Q101+S101++U101+W101+Y101+AA101</f>
        <v>2516000</v>
      </c>
    </row>
    <row r="102" spans="1:28" x14ac:dyDescent="0.25">
      <c r="A102" s="923"/>
      <c r="B102" s="333"/>
      <c r="C102" s="334">
        <f>$E$33</f>
        <v>5705</v>
      </c>
      <c r="D102" s="331">
        <f>'Proy. ventas'!E135</f>
        <v>159.5</v>
      </c>
      <c r="E102" s="256">
        <f t="shared" si="29"/>
        <v>909947.5</v>
      </c>
      <c r="F102" s="328">
        <f>'Proy. ventas'!G135</f>
        <v>130.5</v>
      </c>
      <c r="G102" s="256">
        <f t="shared" si="30"/>
        <v>744502.5</v>
      </c>
      <c r="H102" s="328">
        <f>'Proy. ventas'!I135</f>
        <v>116</v>
      </c>
      <c r="I102" s="256">
        <f t="shared" si="31"/>
        <v>661780</v>
      </c>
      <c r="J102" s="328">
        <f>'Proy. ventas'!K135</f>
        <v>87</v>
      </c>
      <c r="K102" s="256">
        <f t="shared" si="32"/>
        <v>496335</v>
      </c>
      <c r="L102" s="328">
        <f>'Proy. ventas'!M135</f>
        <v>87</v>
      </c>
      <c r="M102" s="256">
        <f t="shared" si="33"/>
        <v>496335</v>
      </c>
      <c r="N102" s="328">
        <f>'Proy. ventas'!O135</f>
        <v>72.5</v>
      </c>
      <c r="O102" s="256">
        <f t="shared" si="34"/>
        <v>413612.5</v>
      </c>
      <c r="P102" s="328">
        <f>'Proy. ventas'!Q135</f>
        <v>145</v>
      </c>
      <c r="Q102" s="256">
        <f t="shared" si="35"/>
        <v>827225</v>
      </c>
      <c r="R102" s="328">
        <f>'Proy. ventas'!S135</f>
        <v>72.5</v>
      </c>
      <c r="S102" s="256">
        <f t="shared" si="36"/>
        <v>413612.5</v>
      </c>
      <c r="T102" s="328">
        <f>'Proy. ventas'!U135</f>
        <v>116</v>
      </c>
      <c r="U102" s="256">
        <f t="shared" si="37"/>
        <v>661780</v>
      </c>
      <c r="V102" s="328">
        <f>'Proy. ventas'!W135</f>
        <v>145</v>
      </c>
      <c r="W102" s="256">
        <f t="shared" si="38"/>
        <v>827225</v>
      </c>
      <c r="X102" s="328">
        <f>'Proy. ventas'!Y135</f>
        <v>145</v>
      </c>
      <c r="Y102" s="256">
        <f t="shared" si="39"/>
        <v>827225</v>
      </c>
      <c r="Z102" s="328">
        <f>'Proy. ventas'!AA135</f>
        <v>174</v>
      </c>
      <c r="AA102" s="258">
        <f t="shared" si="40"/>
        <v>992670</v>
      </c>
      <c r="AB102" s="364">
        <f t="shared" ref="AB102:AB116" si="41">E102+G102+I102+K102+M102+O102+Q102+S102++U102+W102+Y102+AA102</f>
        <v>8272250</v>
      </c>
    </row>
    <row r="103" spans="1:28" ht="15.75" thickBot="1" x14ac:dyDescent="0.3">
      <c r="A103" s="924"/>
      <c r="B103" s="344"/>
      <c r="C103" s="345">
        <f>$E$46</f>
        <v>8105</v>
      </c>
      <c r="D103" s="346">
        <f>'Proy. ventas'!E136</f>
        <v>69.3</v>
      </c>
      <c r="E103" s="279">
        <f t="shared" si="29"/>
        <v>561676.5</v>
      </c>
      <c r="F103" s="371">
        <f>'Proy. ventas'!G136</f>
        <v>56.699999999999996</v>
      </c>
      <c r="G103" s="279">
        <f t="shared" si="30"/>
        <v>459553.49999999994</v>
      </c>
      <c r="H103" s="371">
        <f>'Proy. ventas'!I136</f>
        <v>50.4</v>
      </c>
      <c r="I103" s="279">
        <f t="shared" si="31"/>
        <v>408492</v>
      </c>
      <c r="J103" s="371">
        <f>'Proy. ventas'!K136</f>
        <v>37.799999999999997</v>
      </c>
      <c r="K103" s="279">
        <f t="shared" si="32"/>
        <v>306369</v>
      </c>
      <c r="L103" s="371">
        <f>'Proy. ventas'!M136</f>
        <v>37.799999999999997</v>
      </c>
      <c r="M103" s="279">
        <f t="shared" si="33"/>
        <v>306369</v>
      </c>
      <c r="N103" s="371">
        <f>'Proy. ventas'!O136</f>
        <v>31.5</v>
      </c>
      <c r="O103" s="279">
        <f t="shared" si="34"/>
        <v>255307.5</v>
      </c>
      <c r="P103" s="371">
        <f>'Proy. ventas'!Q136</f>
        <v>63</v>
      </c>
      <c r="Q103" s="279">
        <f t="shared" si="35"/>
        <v>510615</v>
      </c>
      <c r="R103" s="371">
        <f>'Proy. ventas'!S136</f>
        <v>31.5</v>
      </c>
      <c r="S103" s="279">
        <f t="shared" si="36"/>
        <v>255307.5</v>
      </c>
      <c r="T103" s="371">
        <f>'Proy. ventas'!U136</f>
        <v>50.4</v>
      </c>
      <c r="U103" s="279">
        <f t="shared" si="37"/>
        <v>408492</v>
      </c>
      <c r="V103" s="371">
        <f>'Proy. ventas'!W136</f>
        <v>63</v>
      </c>
      <c r="W103" s="279">
        <f t="shared" si="38"/>
        <v>510615</v>
      </c>
      <c r="X103" s="371">
        <f>'Proy. ventas'!Y136</f>
        <v>63</v>
      </c>
      <c r="Y103" s="279">
        <f t="shared" si="39"/>
        <v>510615</v>
      </c>
      <c r="Z103" s="371">
        <f>'Proy. ventas'!AA136</f>
        <v>75.599999999999994</v>
      </c>
      <c r="AA103" s="280">
        <f t="shared" si="40"/>
        <v>612738</v>
      </c>
      <c r="AB103" s="365">
        <f t="shared" si="41"/>
        <v>5106150</v>
      </c>
    </row>
    <row r="104" spans="1:28" x14ac:dyDescent="0.25">
      <c r="A104" s="922" t="s">
        <v>185</v>
      </c>
      <c r="B104" s="341"/>
      <c r="C104" s="342">
        <v>420</v>
      </c>
      <c r="D104" s="343">
        <f>'Proy. ventas'!E137</f>
        <v>417.23</v>
      </c>
      <c r="E104" s="275">
        <f t="shared" si="29"/>
        <v>175236.6</v>
      </c>
      <c r="F104" s="370">
        <f>'Proy. ventas'!G137</f>
        <v>341.37</v>
      </c>
      <c r="G104" s="275">
        <f t="shared" si="30"/>
        <v>143375.4</v>
      </c>
      <c r="H104" s="370">
        <f>'Proy. ventas'!I137</f>
        <v>303.44</v>
      </c>
      <c r="I104" s="275">
        <f t="shared" si="31"/>
        <v>127444.8</v>
      </c>
      <c r="J104" s="370">
        <f>'Proy. ventas'!K137</f>
        <v>227.57999999999998</v>
      </c>
      <c r="K104" s="275">
        <f t="shared" si="32"/>
        <v>95583.599999999991</v>
      </c>
      <c r="L104" s="370">
        <f>'Proy. ventas'!M137</f>
        <v>227.57999999999998</v>
      </c>
      <c r="M104" s="275">
        <f t="shared" si="33"/>
        <v>95583.599999999991</v>
      </c>
      <c r="N104" s="370">
        <f>'Proy. ventas'!O137</f>
        <v>189.65</v>
      </c>
      <c r="O104" s="275">
        <f t="shared" si="34"/>
        <v>79653</v>
      </c>
      <c r="P104" s="370">
        <f>'Proy. ventas'!Q137</f>
        <v>379.3</v>
      </c>
      <c r="Q104" s="275">
        <f t="shared" si="35"/>
        <v>159306</v>
      </c>
      <c r="R104" s="370">
        <f>'Proy. ventas'!S137</f>
        <v>189.65</v>
      </c>
      <c r="S104" s="275">
        <f t="shared" si="36"/>
        <v>79653</v>
      </c>
      <c r="T104" s="370">
        <f>'Proy. ventas'!U137</f>
        <v>303.44</v>
      </c>
      <c r="U104" s="275">
        <f t="shared" si="37"/>
        <v>127444.8</v>
      </c>
      <c r="V104" s="370">
        <f>'Proy. ventas'!W137</f>
        <v>379.3</v>
      </c>
      <c r="W104" s="275">
        <f t="shared" si="38"/>
        <v>159306</v>
      </c>
      <c r="X104" s="370">
        <f>'Proy. ventas'!Y137</f>
        <v>379.3</v>
      </c>
      <c r="Y104" s="275">
        <f t="shared" si="39"/>
        <v>159306</v>
      </c>
      <c r="Z104" s="370">
        <f>'Proy. ventas'!AA137</f>
        <v>455.15999999999997</v>
      </c>
      <c r="AA104" s="276">
        <f t="shared" si="40"/>
        <v>191167.19999999998</v>
      </c>
      <c r="AB104" s="363">
        <f t="shared" si="41"/>
        <v>1593060</v>
      </c>
    </row>
    <row r="105" spans="1:28" x14ac:dyDescent="0.25">
      <c r="A105" s="923"/>
      <c r="B105" s="333"/>
      <c r="C105" s="334">
        <v>300</v>
      </c>
      <c r="D105" s="331">
        <f>'Proy. ventas'!E138</f>
        <v>413.6</v>
      </c>
      <c r="E105" s="256">
        <f t="shared" si="29"/>
        <v>124080</v>
      </c>
      <c r="F105" s="328">
        <f>'Proy. ventas'!G138</f>
        <v>338.4</v>
      </c>
      <c r="G105" s="256">
        <f t="shared" si="30"/>
        <v>101520</v>
      </c>
      <c r="H105" s="328">
        <f>'Proy. ventas'!I138</f>
        <v>300.8</v>
      </c>
      <c r="I105" s="256">
        <f t="shared" si="31"/>
        <v>90240</v>
      </c>
      <c r="J105" s="328">
        <f>'Proy. ventas'!K138</f>
        <v>225.6</v>
      </c>
      <c r="K105" s="256">
        <f t="shared" si="32"/>
        <v>67680</v>
      </c>
      <c r="L105" s="328">
        <f>'Proy. ventas'!M138</f>
        <v>225.6</v>
      </c>
      <c r="M105" s="256">
        <f t="shared" si="33"/>
        <v>67680</v>
      </c>
      <c r="N105" s="328">
        <f>'Proy. ventas'!O138</f>
        <v>188</v>
      </c>
      <c r="O105" s="256">
        <f t="shared" si="34"/>
        <v>56400</v>
      </c>
      <c r="P105" s="328">
        <f>'Proy. ventas'!Q138</f>
        <v>376</v>
      </c>
      <c r="Q105" s="256">
        <f t="shared" si="35"/>
        <v>112800</v>
      </c>
      <c r="R105" s="328">
        <f>'Proy. ventas'!S138</f>
        <v>188</v>
      </c>
      <c r="S105" s="256">
        <f t="shared" si="36"/>
        <v>56400</v>
      </c>
      <c r="T105" s="328">
        <f>'Proy. ventas'!U138</f>
        <v>300.8</v>
      </c>
      <c r="U105" s="256">
        <f t="shared" si="37"/>
        <v>90240</v>
      </c>
      <c r="V105" s="328">
        <f>'Proy. ventas'!W138</f>
        <v>376</v>
      </c>
      <c r="W105" s="256">
        <f t="shared" si="38"/>
        <v>112800</v>
      </c>
      <c r="X105" s="328">
        <f>'Proy. ventas'!Y138</f>
        <v>376</v>
      </c>
      <c r="Y105" s="256">
        <f t="shared" si="39"/>
        <v>112800</v>
      </c>
      <c r="Z105" s="328">
        <f>'Proy. ventas'!AA138</f>
        <v>451.2</v>
      </c>
      <c r="AA105" s="258">
        <f t="shared" si="40"/>
        <v>135360</v>
      </c>
      <c r="AB105" s="364">
        <f t="shared" si="41"/>
        <v>1128000</v>
      </c>
    </row>
    <row r="106" spans="1:28" x14ac:dyDescent="0.25">
      <c r="A106" s="923"/>
      <c r="B106" s="333"/>
      <c r="C106" s="334">
        <v>1800</v>
      </c>
      <c r="D106" s="331">
        <f>'Proy. ventas'!E139</f>
        <v>187</v>
      </c>
      <c r="E106" s="256">
        <f t="shared" si="29"/>
        <v>336600</v>
      </c>
      <c r="F106" s="328">
        <f>'Proy. ventas'!G139</f>
        <v>153</v>
      </c>
      <c r="G106" s="256">
        <f t="shared" si="30"/>
        <v>275400</v>
      </c>
      <c r="H106" s="328">
        <f>'Proy. ventas'!I139</f>
        <v>136</v>
      </c>
      <c r="I106" s="256">
        <f t="shared" si="31"/>
        <v>244800</v>
      </c>
      <c r="J106" s="328">
        <f>'Proy. ventas'!K139</f>
        <v>102</v>
      </c>
      <c r="K106" s="256">
        <f t="shared" si="32"/>
        <v>183600</v>
      </c>
      <c r="L106" s="328">
        <f>'Proy. ventas'!M139</f>
        <v>102</v>
      </c>
      <c r="M106" s="256">
        <f t="shared" si="33"/>
        <v>183600</v>
      </c>
      <c r="N106" s="328">
        <f>'Proy. ventas'!O139</f>
        <v>85</v>
      </c>
      <c r="O106" s="256">
        <f t="shared" si="34"/>
        <v>153000</v>
      </c>
      <c r="P106" s="328">
        <f>'Proy. ventas'!Q139</f>
        <v>170</v>
      </c>
      <c r="Q106" s="256">
        <f t="shared" si="35"/>
        <v>306000</v>
      </c>
      <c r="R106" s="328">
        <f>'Proy. ventas'!S139</f>
        <v>85</v>
      </c>
      <c r="S106" s="256">
        <f t="shared" si="36"/>
        <v>153000</v>
      </c>
      <c r="T106" s="328">
        <f>'Proy. ventas'!U139</f>
        <v>136</v>
      </c>
      <c r="U106" s="256">
        <f t="shared" si="37"/>
        <v>244800</v>
      </c>
      <c r="V106" s="328">
        <f>'Proy. ventas'!W139</f>
        <v>170</v>
      </c>
      <c r="W106" s="256">
        <f t="shared" si="38"/>
        <v>306000</v>
      </c>
      <c r="X106" s="328">
        <f>'Proy. ventas'!Y139</f>
        <v>170</v>
      </c>
      <c r="Y106" s="256">
        <f t="shared" si="39"/>
        <v>306000</v>
      </c>
      <c r="Z106" s="328">
        <f>'Proy. ventas'!AA139</f>
        <v>204</v>
      </c>
      <c r="AA106" s="258">
        <f t="shared" si="40"/>
        <v>367200</v>
      </c>
      <c r="AB106" s="364">
        <f t="shared" si="41"/>
        <v>3060000</v>
      </c>
    </row>
    <row r="107" spans="1:28" x14ac:dyDescent="0.25">
      <c r="A107" s="923"/>
      <c r="B107" s="333"/>
      <c r="C107" s="334">
        <v>180</v>
      </c>
      <c r="D107" s="331">
        <f>'Proy. ventas'!E140</f>
        <v>352</v>
      </c>
      <c r="E107" s="256">
        <f t="shared" si="29"/>
        <v>63360</v>
      </c>
      <c r="F107" s="328">
        <f>'Proy. ventas'!G140</f>
        <v>288</v>
      </c>
      <c r="G107" s="256">
        <f t="shared" si="30"/>
        <v>51840</v>
      </c>
      <c r="H107" s="328">
        <f>'Proy. ventas'!I140</f>
        <v>256</v>
      </c>
      <c r="I107" s="256">
        <f t="shared" si="31"/>
        <v>46080</v>
      </c>
      <c r="J107" s="328">
        <f>'Proy. ventas'!K140</f>
        <v>192</v>
      </c>
      <c r="K107" s="256">
        <f t="shared" si="32"/>
        <v>34560</v>
      </c>
      <c r="L107" s="328">
        <f>'Proy. ventas'!M140</f>
        <v>192</v>
      </c>
      <c r="M107" s="256">
        <f t="shared" si="33"/>
        <v>34560</v>
      </c>
      <c r="N107" s="328">
        <f>'Proy. ventas'!O140</f>
        <v>160</v>
      </c>
      <c r="O107" s="256">
        <f t="shared" si="34"/>
        <v>28800</v>
      </c>
      <c r="P107" s="328">
        <f>'Proy. ventas'!Q140</f>
        <v>320</v>
      </c>
      <c r="Q107" s="256">
        <f t="shared" si="35"/>
        <v>57600</v>
      </c>
      <c r="R107" s="328">
        <f>'Proy. ventas'!S140</f>
        <v>160</v>
      </c>
      <c r="S107" s="256">
        <f t="shared" si="36"/>
        <v>28800</v>
      </c>
      <c r="T107" s="328">
        <f>'Proy. ventas'!U140</f>
        <v>256</v>
      </c>
      <c r="U107" s="256">
        <f t="shared" si="37"/>
        <v>46080</v>
      </c>
      <c r="V107" s="328">
        <f>'Proy. ventas'!W140</f>
        <v>320</v>
      </c>
      <c r="W107" s="256">
        <f t="shared" si="38"/>
        <v>57600</v>
      </c>
      <c r="X107" s="328">
        <f>'Proy. ventas'!Y140</f>
        <v>320</v>
      </c>
      <c r="Y107" s="256">
        <f t="shared" si="39"/>
        <v>57600</v>
      </c>
      <c r="Z107" s="328">
        <f>'Proy. ventas'!AA140</f>
        <v>384</v>
      </c>
      <c r="AA107" s="258">
        <f t="shared" si="40"/>
        <v>69120</v>
      </c>
      <c r="AB107" s="364">
        <f t="shared" si="41"/>
        <v>576000</v>
      </c>
    </row>
    <row r="108" spans="1:28" x14ac:dyDescent="0.25">
      <c r="A108" s="923"/>
      <c r="B108" s="333"/>
      <c r="C108" s="334">
        <v>1250</v>
      </c>
      <c r="D108" s="331">
        <f>'Proy. ventas'!E141</f>
        <v>110</v>
      </c>
      <c r="E108" s="256">
        <f t="shared" si="29"/>
        <v>137500</v>
      </c>
      <c r="F108" s="328">
        <f>'Proy. ventas'!G141</f>
        <v>90</v>
      </c>
      <c r="G108" s="256">
        <f t="shared" si="30"/>
        <v>112500</v>
      </c>
      <c r="H108" s="328">
        <f>'Proy. ventas'!I141</f>
        <v>80</v>
      </c>
      <c r="I108" s="256">
        <f t="shared" si="31"/>
        <v>100000</v>
      </c>
      <c r="J108" s="328">
        <f>'Proy. ventas'!K141</f>
        <v>60</v>
      </c>
      <c r="K108" s="256">
        <f t="shared" si="32"/>
        <v>75000</v>
      </c>
      <c r="L108" s="328">
        <f>'Proy. ventas'!M141</f>
        <v>60</v>
      </c>
      <c r="M108" s="256">
        <f t="shared" si="33"/>
        <v>75000</v>
      </c>
      <c r="N108" s="328">
        <f>'Proy. ventas'!O141</f>
        <v>50</v>
      </c>
      <c r="O108" s="256">
        <f t="shared" si="34"/>
        <v>62500</v>
      </c>
      <c r="P108" s="328">
        <f>'Proy. ventas'!Q141</f>
        <v>100</v>
      </c>
      <c r="Q108" s="256">
        <f t="shared" si="35"/>
        <v>125000</v>
      </c>
      <c r="R108" s="328">
        <f>'Proy. ventas'!S141</f>
        <v>50</v>
      </c>
      <c r="S108" s="256">
        <f t="shared" si="36"/>
        <v>62500</v>
      </c>
      <c r="T108" s="328">
        <f>'Proy. ventas'!U141</f>
        <v>80</v>
      </c>
      <c r="U108" s="256">
        <f t="shared" si="37"/>
        <v>100000</v>
      </c>
      <c r="V108" s="328">
        <f>'Proy. ventas'!W141</f>
        <v>100</v>
      </c>
      <c r="W108" s="256">
        <f t="shared" si="38"/>
        <v>125000</v>
      </c>
      <c r="X108" s="328">
        <f>'Proy. ventas'!Y141</f>
        <v>100</v>
      </c>
      <c r="Y108" s="256">
        <f t="shared" si="39"/>
        <v>125000</v>
      </c>
      <c r="Z108" s="328">
        <f>'Proy. ventas'!AA141</f>
        <v>120</v>
      </c>
      <c r="AA108" s="258">
        <f t="shared" si="40"/>
        <v>150000</v>
      </c>
      <c r="AB108" s="364">
        <f t="shared" si="41"/>
        <v>1250000</v>
      </c>
    </row>
    <row r="109" spans="1:28" x14ac:dyDescent="0.25">
      <c r="A109" s="923"/>
      <c r="B109" s="333"/>
      <c r="C109" s="334">
        <v>350</v>
      </c>
      <c r="D109" s="331" t="e">
        <f>'Proy. ventas'!#REF!</f>
        <v>#REF!</v>
      </c>
      <c r="E109" s="256" t="e">
        <f t="shared" si="29"/>
        <v>#REF!</v>
      </c>
      <c r="F109" s="328" t="e">
        <f>'Proy. ventas'!#REF!</f>
        <v>#REF!</v>
      </c>
      <c r="G109" s="256" t="e">
        <f t="shared" si="30"/>
        <v>#REF!</v>
      </c>
      <c r="H109" s="328" t="e">
        <f>'Proy. ventas'!#REF!</f>
        <v>#REF!</v>
      </c>
      <c r="I109" s="256" t="e">
        <f t="shared" si="31"/>
        <v>#REF!</v>
      </c>
      <c r="J109" s="328" t="e">
        <f>'Proy. ventas'!#REF!</f>
        <v>#REF!</v>
      </c>
      <c r="K109" s="256" t="e">
        <f t="shared" si="32"/>
        <v>#REF!</v>
      </c>
      <c r="L109" s="328" t="e">
        <f>'Proy. ventas'!#REF!</f>
        <v>#REF!</v>
      </c>
      <c r="M109" s="256" t="e">
        <f t="shared" si="33"/>
        <v>#REF!</v>
      </c>
      <c r="N109" s="328" t="e">
        <f>'Proy. ventas'!#REF!</f>
        <v>#REF!</v>
      </c>
      <c r="O109" s="256" t="e">
        <f t="shared" si="34"/>
        <v>#REF!</v>
      </c>
      <c r="P109" s="328" t="e">
        <f>'Proy. ventas'!#REF!</f>
        <v>#REF!</v>
      </c>
      <c r="Q109" s="256" t="e">
        <f t="shared" si="35"/>
        <v>#REF!</v>
      </c>
      <c r="R109" s="328" t="e">
        <f>'Proy. ventas'!#REF!</f>
        <v>#REF!</v>
      </c>
      <c r="S109" s="256" t="e">
        <f t="shared" si="36"/>
        <v>#REF!</v>
      </c>
      <c r="T109" s="328" t="e">
        <f>'Proy. ventas'!#REF!</f>
        <v>#REF!</v>
      </c>
      <c r="U109" s="256" t="e">
        <f t="shared" si="37"/>
        <v>#REF!</v>
      </c>
      <c r="V109" s="328" t="e">
        <f>'Proy. ventas'!#REF!</f>
        <v>#REF!</v>
      </c>
      <c r="W109" s="256" t="e">
        <f t="shared" si="38"/>
        <v>#REF!</v>
      </c>
      <c r="X109" s="328" t="e">
        <f>'Proy. ventas'!#REF!</f>
        <v>#REF!</v>
      </c>
      <c r="Y109" s="256" t="e">
        <f t="shared" si="39"/>
        <v>#REF!</v>
      </c>
      <c r="Z109" s="328" t="e">
        <f>'Proy. ventas'!#REF!</f>
        <v>#REF!</v>
      </c>
      <c r="AA109" s="258" t="e">
        <f t="shared" si="40"/>
        <v>#REF!</v>
      </c>
      <c r="AB109" s="364" t="e">
        <f t="shared" si="41"/>
        <v>#REF!</v>
      </c>
    </row>
    <row r="110" spans="1:28" x14ac:dyDescent="0.25">
      <c r="A110" s="923"/>
      <c r="B110" s="333"/>
      <c r="C110" s="334">
        <v>950</v>
      </c>
      <c r="D110" s="331" t="e">
        <f>'Proy. ventas'!#REF!</f>
        <v>#REF!</v>
      </c>
      <c r="E110" s="256" t="e">
        <f t="shared" si="29"/>
        <v>#REF!</v>
      </c>
      <c r="F110" s="328" t="e">
        <f>'Proy. ventas'!#REF!</f>
        <v>#REF!</v>
      </c>
      <c r="G110" s="256" t="e">
        <f t="shared" si="30"/>
        <v>#REF!</v>
      </c>
      <c r="H110" s="328" t="e">
        <f>'Proy. ventas'!#REF!</f>
        <v>#REF!</v>
      </c>
      <c r="I110" s="256" t="e">
        <f t="shared" si="31"/>
        <v>#REF!</v>
      </c>
      <c r="J110" s="328" t="e">
        <f>'Proy. ventas'!#REF!</f>
        <v>#REF!</v>
      </c>
      <c r="K110" s="256" t="e">
        <f t="shared" si="32"/>
        <v>#REF!</v>
      </c>
      <c r="L110" s="328" t="e">
        <f>'Proy. ventas'!#REF!</f>
        <v>#REF!</v>
      </c>
      <c r="M110" s="256" t="e">
        <f t="shared" si="33"/>
        <v>#REF!</v>
      </c>
      <c r="N110" s="328" t="e">
        <f>'Proy. ventas'!#REF!</f>
        <v>#REF!</v>
      </c>
      <c r="O110" s="256" t="e">
        <f t="shared" si="34"/>
        <v>#REF!</v>
      </c>
      <c r="P110" s="328" t="e">
        <f>'Proy. ventas'!#REF!</f>
        <v>#REF!</v>
      </c>
      <c r="Q110" s="256" t="e">
        <f t="shared" si="35"/>
        <v>#REF!</v>
      </c>
      <c r="R110" s="328" t="e">
        <f>'Proy. ventas'!#REF!</f>
        <v>#REF!</v>
      </c>
      <c r="S110" s="256" t="e">
        <f t="shared" si="36"/>
        <v>#REF!</v>
      </c>
      <c r="T110" s="328" t="e">
        <f>'Proy. ventas'!#REF!</f>
        <v>#REF!</v>
      </c>
      <c r="U110" s="256" t="e">
        <f t="shared" si="37"/>
        <v>#REF!</v>
      </c>
      <c r="V110" s="328" t="e">
        <f>'Proy. ventas'!#REF!</f>
        <v>#REF!</v>
      </c>
      <c r="W110" s="256" t="e">
        <f t="shared" si="38"/>
        <v>#REF!</v>
      </c>
      <c r="X110" s="328" t="e">
        <f>'Proy. ventas'!#REF!</f>
        <v>#REF!</v>
      </c>
      <c r="Y110" s="256" t="e">
        <f t="shared" si="39"/>
        <v>#REF!</v>
      </c>
      <c r="Z110" s="328" t="e">
        <f>'Proy. ventas'!#REF!</f>
        <v>#REF!</v>
      </c>
      <c r="AA110" s="258" t="e">
        <f t="shared" si="40"/>
        <v>#REF!</v>
      </c>
      <c r="AB110" s="364" t="e">
        <f t="shared" si="41"/>
        <v>#REF!</v>
      </c>
    </row>
    <row r="111" spans="1:28" x14ac:dyDescent="0.25">
      <c r="A111" s="923"/>
      <c r="B111" s="333"/>
      <c r="C111" s="334">
        <v>200</v>
      </c>
      <c r="D111" s="331" t="e">
        <f>'Proy. ventas'!#REF!</f>
        <v>#REF!</v>
      </c>
      <c r="E111" s="256" t="e">
        <f t="shared" si="29"/>
        <v>#REF!</v>
      </c>
      <c r="F111" s="328" t="e">
        <f>'Proy. ventas'!#REF!</f>
        <v>#REF!</v>
      </c>
      <c r="G111" s="256" t="e">
        <f t="shared" si="30"/>
        <v>#REF!</v>
      </c>
      <c r="H111" s="328" t="e">
        <f>'Proy. ventas'!#REF!</f>
        <v>#REF!</v>
      </c>
      <c r="I111" s="256" t="e">
        <f t="shared" si="31"/>
        <v>#REF!</v>
      </c>
      <c r="J111" s="328" t="e">
        <f>'Proy. ventas'!#REF!</f>
        <v>#REF!</v>
      </c>
      <c r="K111" s="256" t="e">
        <f t="shared" si="32"/>
        <v>#REF!</v>
      </c>
      <c r="L111" s="328" t="e">
        <f>'Proy. ventas'!#REF!</f>
        <v>#REF!</v>
      </c>
      <c r="M111" s="256" t="e">
        <f t="shared" si="33"/>
        <v>#REF!</v>
      </c>
      <c r="N111" s="328" t="e">
        <f>'Proy. ventas'!#REF!</f>
        <v>#REF!</v>
      </c>
      <c r="O111" s="256" t="e">
        <f t="shared" si="34"/>
        <v>#REF!</v>
      </c>
      <c r="P111" s="328" t="e">
        <f>'Proy. ventas'!#REF!</f>
        <v>#REF!</v>
      </c>
      <c r="Q111" s="256" t="e">
        <f t="shared" si="35"/>
        <v>#REF!</v>
      </c>
      <c r="R111" s="328" t="e">
        <f>'Proy. ventas'!#REF!</f>
        <v>#REF!</v>
      </c>
      <c r="S111" s="256" t="e">
        <f t="shared" si="36"/>
        <v>#REF!</v>
      </c>
      <c r="T111" s="328" t="e">
        <f>'Proy. ventas'!#REF!</f>
        <v>#REF!</v>
      </c>
      <c r="U111" s="256" t="e">
        <f t="shared" si="37"/>
        <v>#REF!</v>
      </c>
      <c r="V111" s="328" t="e">
        <f>'Proy. ventas'!#REF!</f>
        <v>#REF!</v>
      </c>
      <c r="W111" s="256" t="e">
        <f t="shared" si="38"/>
        <v>#REF!</v>
      </c>
      <c r="X111" s="328" t="e">
        <f>'Proy. ventas'!#REF!</f>
        <v>#REF!</v>
      </c>
      <c r="Y111" s="256" t="e">
        <f t="shared" si="39"/>
        <v>#REF!</v>
      </c>
      <c r="Z111" s="328" t="e">
        <f>'Proy. ventas'!#REF!</f>
        <v>#REF!</v>
      </c>
      <c r="AA111" s="258" t="e">
        <f t="shared" si="40"/>
        <v>#REF!</v>
      </c>
      <c r="AB111" s="364" t="e">
        <f t="shared" si="41"/>
        <v>#REF!</v>
      </c>
    </row>
    <row r="112" spans="1:28" ht="15.75" thickBot="1" x14ac:dyDescent="0.3">
      <c r="A112" s="924"/>
      <c r="B112" s="344"/>
      <c r="C112" s="345">
        <v>1150</v>
      </c>
      <c r="D112" s="346" t="e">
        <f>'Proy. ventas'!#REF!</f>
        <v>#REF!</v>
      </c>
      <c r="E112" s="279" t="e">
        <f t="shared" si="29"/>
        <v>#REF!</v>
      </c>
      <c r="F112" s="371" t="e">
        <f>'Proy. ventas'!#REF!</f>
        <v>#REF!</v>
      </c>
      <c r="G112" s="279" t="e">
        <f t="shared" si="30"/>
        <v>#REF!</v>
      </c>
      <c r="H112" s="371" t="e">
        <f>'Proy. ventas'!#REF!</f>
        <v>#REF!</v>
      </c>
      <c r="I112" s="279" t="e">
        <f t="shared" si="31"/>
        <v>#REF!</v>
      </c>
      <c r="J112" s="371" t="e">
        <f>'Proy. ventas'!#REF!</f>
        <v>#REF!</v>
      </c>
      <c r="K112" s="279" t="e">
        <f t="shared" si="32"/>
        <v>#REF!</v>
      </c>
      <c r="L112" s="371" t="e">
        <f>'Proy. ventas'!#REF!</f>
        <v>#REF!</v>
      </c>
      <c r="M112" s="279" t="e">
        <f t="shared" si="33"/>
        <v>#REF!</v>
      </c>
      <c r="N112" s="371" t="e">
        <f>'Proy. ventas'!#REF!</f>
        <v>#REF!</v>
      </c>
      <c r="O112" s="279" t="e">
        <f t="shared" si="34"/>
        <v>#REF!</v>
      </c>
      <c r="P112" s="371" t="e">
        <f>'Proy. ventas'!#REF!</f>
        <v>#REF!</v>
      </c>
      <c r="Q112" s="279" t="e">
        <f t="shared" si="35"/>
        <v>#REF!</v>
      </c>
      <c r="R112" s="371" t="e">
        <f>'Proy. ventas'!#REF!</f>
        <v>#REF!</v>
      </c>
      <c r="S112" s="279" t="e">
        <f t="shared" si="36"/>
        <v>#REF!</v>
      </c>
      <c r="T112" s="371" t="e">
        <f>'Proy. ventas'!#REF!</f>
        <v>#REF!</v>
      </c>
      <c r="U112" s="279" t="e">
        <f t="shared" si="37"/>
        <v>#REF!</v>
      </c>
      <c r="V112" s="371" t="e">
        <f>'Proy. ventas'!#REF!</f>
        <v>#REF!</v>
      </c>
      <c r="W112" s="279" t="e">
        <f t="shared" si="38"/>
        <v>#REF!</v>
      </c>
      <c r="X112" s="371" t="e">
        <f>'Proy. ventas'!#REF!</f>
        <v>#REF!</v>
      </c>
      <c r="Y112" s="279" t="e">
        <f t="shared" si="39"/>
        <v>#REF!</v>
      </c>
      <c r="Z112" s="371" t="e">
        <f>'Proy. ventas'!#REF!</f>
        <v>#REF!</v>
      </c>
      <c r="AA112" s="280" t="e">
        <f t="shared" si="40"/>
        <v>#REF!</v>
      </c>
      <c r="AB112" s="365" t="e">
        <f t="shared" si="41"/>
        <v>#REF!</v>
      </c>
    </row>
    <row r="113" spans="1:28" ht="30.75" thickBot="1" x14ac:dyDescent="0.3">
      <c r="A113" s="347" t="s">
        <v>186</v>
      </c>
      <c r="B113" s="381"/>
      <c r="C113" s="382">
        <v>300</v>
      </c>
      <c r="D113" s="376">
        <v>50</v>
      </c>
      <c r="E113" s="356">
        <f t="shared" si="29"/>
        <v>15000</v>
      </c>
      <c r="F113" s="377">
        <v>20</v>
      </c>
      <c r="G113" s="356">
        <f t="shared" si="30"/>
        <v>6000</v>
      </c>
      <c r="H113" s="377">
        <v>10</v>
      </c>
      <c r="I113" s="356">
        <f t="shared" si="31"/>
        <v>3000</v>
      </c>
      <c r="J113" s="377">
        <v>5</v>
      </c>
      <c r="K113" s="356">
        <f t="shared" si="32"/>
        <v>1500</v>
      </c>
      <c r="L113" s="377">
        <v>0</v>
      </c>
      <c r="M113" s="356">
        <f t="shared" si="33"/>
        <v>0</v>
      </c>
      <c r="N113" s="377">
        <v>5</v>
      </c>
      <c r="O113" s="356">
        <f t="shared" si="34"/>
        <v>1500</v>
      </c>
      <c r="P113" s="377">
        <v>5</v>
      </c>
      <c r="Q113" s="356">
        <f t="shared" si="35"/>
        <v>1500</v>
      </c>
      <c r="R113" s="377">
        <v>0</v>
      </c>
      <c r="S113" s="356">
        <f t="shared" si="36"/>
        <v>0</v>
      </c>
      <c r="T113" s="377">
        <v>10</v>
      </c>
      <c r="U113" s="356">
        <f t="shared" si="37"/>
        <v>3000</v>
      </c>
      <c r="V113" s="377">
        <v>10</v>
      </c>
      <c r="W113" s="356">
        <f t="shared" si="38"/>
        <v>3000</v>
      </c>
      <c r="X113" s="377">
        <v>15</v>
      </c>
      <c r="Y113" s="356">
        <f t="shared" si="39"/>
        <v>4500</v>
      </c>
      <c r="Z113" s="377">
        <v>10</v>
      </c>
      <c r="AA113" s="378">
        <f t="shared" si="40"/>
        <v>3000</v>
      </c>
      <c r="AB113" s="379">
        <f t="shared" si="41"/>
        <v>42000</v>
      </c>
    </row>
    <row r="114" spans="1:28" x14ac:dyDescent="0.25">
      <c r="A114" s="925" t="s">
        <v>189</v>
      </c>
      <c r="B114" s="359"/>
      <c r="C114" s="332">
        <v>182000</v>
      </c>
      <c r="D114" s="330">
        <v>1</v>
      </c>
      <c r="E114" s="269">
        <f t="shared" si="29"/>
        <v>182000</v>
      </c>
      <c r="F114" s="329">
        <v>1</v>
      </c>
      <c r="G114" s="269">
        <f t="shared" si="30"/>
        <v>182000</v>
      </c>
      <c r="H114" s="329">
        <v>0</v>
      </c>
      <c r="I114" s="269">
        <f t="shared" si="31"/>
        <v>0</v>
      </c>
      <c r="J114" s="329">
        <v>1</v>
      </c>
      <c r="K114" s="269">
        <f t="shared" si="32"/>
        <v>182000</v>
      </c>
      <c r="L114" s="329">
        <v>1</v>
      </c>
      <c r="M114" s="269">
        <f t="shared" si="33"/>
        <v>182000</v>
      </c>
      <c r="N114" s="329">
        <v>0</v>
      </c>
      <c r="O114" s="269">
        <f t="shared" si="34"/>
        <v>0</v>
      </c>
      <c r="P114" s="329">
        <v>0</v>
      </c>
      <c r="Q114" s="269">
        <f t="shared" si="35"/>
        <v>0</v>
      </c>
      <c r="R114" s="329">
        <v>0</v>
      </c>
      <c r="S114" s="269">
        <f t="shared" si="36"/>
        <v>0</v>
      </c>
      <c r="T114" s="329">
        <v>1</v>
      </c>
      <c r="U114" s="269">
        <f t="shared" si="37"/>
        <v>182000</v>
      </c>
      <c r="V114" s="329">
        <v>0</v>
      </c>
      <c r="W114" s="269">
        <f t="shared" si="38"/>
        <v>0</v>
      </c>
      <c r="X114" s="329">
        <v>0</v>
      </c>
      <c r="Y114" s="269">
        <f t="shared" si="39"/>
        <v>0</v>
      </c>
      <c r="Z114" s="329">
        <v>1</v>
      </c>
      <c r="AA114" s="270">
        <f t="shared" si="40"/>
        <v>182000</v>
      </c>
      <c r="AB114" s="367">
        <f t="shared" si="41"/>
        <v>1092000</v>
      </c>
    </row>
    <row r="115" spans="1:28" x14ac:dyDescent="0.25">
      <c r="A115" s="926"/>
      <c r="B115" s="360"/>
      <c r="C115" s="334">
        <v>130000</v>
      </c>
      <c r="D115" s="331">
        <v>1</v>
      </c>
      <c r="E115" s="256">
        <f t="shared" si="29"/>
        <v>130000</v>
      </c>
      <c r="F115" s="328">
        <v>0</v>
      </c>
      <c r="G115" s="256">
        <f t="shared" si="30"/>
        <v>0</v>
      </c>
      <c r="H115" s="328">
        <v>0</v>
      </c>
      <c r="I115" s="256">
        <f t="shared" si="31"/>
        <v>0</v>
      </c>
      <c r="J115" s="328">
        <v>0</v>
      </c>
      <c r="K115" s="256">
        <f t="shared" si="32"/>
        <v>0</v>
      </c>
      <c r="L115" s="328">
        <v>1</v>
      </c>
      <c r="M115" s="256">
        <f t="shared" si="33"/>
        <v>130000</v>
      </c>
      <c r="N115" s="328">
        <v>0</v>
      </c>
      <c r="O115" s="256">
        <f t="shared" si="34"/>
        <v>0</v>
      </c>
      <c r="P115" s="328">
        <v>0</v>
      </c>
      <c r="Q115" s="256">
        <f t="shared" si="35"/>
        <v>0</v>
      </c>
      <c r="R115" s="328">
        <v>0</v>
      </c>
      <c r="S115" s="256">
        <f t="shared" si="36"/>
        <v>0</v>
      </c>
      <c r="T115" s="328">
        <v>1</v>
      </c>
      <c r="U115" s="256">
        <f t="shared" si="37"/>
        <v>130000</v>
      </c>
      <c r="V115" s="328">
        <v>0</v>
      </c>
      <c r="W115" s="256">
        <f t="shared" si="38"/>
        <v>0</v>
      </c>
      <c r="X115" s="328">
        <v>0</v>
      </c>
      <c r="Y115" s="256">
        <f t="shared" si="39"/>
        <v>0</v>
      </c>
      <c r="Z115" s="328">
        <v>1</v>
      </c>
      <c r="AA115" s="258">
        <f t="shared" si="40"/>
        <v>130000</v>
      </c>
      <c r="AB115" s="364">
        <f t="shared" si="41"/>
        <v>520000</v>
      </c>
    </row>
    <row r="116" spans="1:28" x14ac:dyDescent="0.25">
      <c r="A116" s="926"/>
      <c r="B116" s="335"/>
      <c r="C116" s="334">
        <v>250000</v>
      </c>
      <c r="D116" s="331">
        <v>0</v>
      </c>
      <c r="E116" s="256">
        <f t="shared" si="29"/>
        <v>0</v>
      </c>
      <c r="F116" s="328">
        <v>0</v>
      </c>
      <c r="G116" s="256">
        <f t="shared" si="30"/>
        <v>0</v>
      </c>
      <c r="H116" s="328">
        <v>0</v>
      </c>
      <c r="I116" s="256">
        <f t="shared" si="31"/>
        <v>0</v>
      </c>
      <c r="J116" s="328">
        <v>0</v>
      </c>
      <c r="K116" s="256">
        <f t="shared" si="32"/>
        <v>0</v>
      </c>
      <c r="L116" s="328">
        <v>0</v>
      </c>
      <c r="M116" s="256">
        <f t="shared" si="33"/>
        <v>0</v>
      </c>
      <c r="N116" s="328">
        <v>0</v>
      </c>
      <c r="O116" s="256">
        <f t="shared" si="34"/>
        <v>0</v>
      </c>
      <c r="P116" s="328">
        <v>0</v>
      </c>
      <c r="Q116" s="256">
        <f t="shared" si="35"/>
        <v>0</v>
      </c>
      <c r="R116" s="328">
        <v>0</v>
      </c>
      <c r="S116" s="256">
        <f t="shared" si="36"/>
        <v>0</v>
      </c>
      <c r="T116" s="328">
        <v>1</v>
      </c>
      <c r="U116" s="256">
        <f t="shared" si="37"/>
        <v>250000</v>
      </c>
      <c r="V116" s="328">
        <v>0</v>
      </c>
      <c r="W116" s="256">
        <f t="shared" si="38"/>
        <v>0</v>
      </c>
      <c r="X116" s="328">
        <v>0</v>
      </c>
      <c r="Y116" s="256">
        <f t="shared" si="39"/>
        <v>0</v>
      </c>
      <c r="Z116" s="328">
        <v>0</v>
      </c>
      <c r="AA116" s="258">
        <f t="shared" si="40"/>
        <v>0</v>
      </c>
      <c r="AB116" s="364">
        <f t="shared" si="41"/>
        <v>250000</v>
      </c>
    </row>
    <row r="117" spans="1:28" ht="15.75" thickBot="1" x14ac:dyDescent="0.3">
      <c r="A117" s="927"/>
      <c r="B117" s="351"/>
      <c r="C117" s="352">
        <v>0</v>
      </c>
      <c r="D117" s="353">
        <v>0</v>
      </c>
      <c r="E117" s="279">
        <v>0</v>
      </c>
      <c r="F117" s="373">
        <v>0</v>
      </c>
      <c r="G117" s="279">
        <v>0</v>
      </c>
      <c r="H117" s="373">
        <v>0</v>
      </c>
      <c r="I117" s="279">
        <v>0</v>
      </c>
      <c r="J117" s="373">
        <v>0</v>
      </c>
      <c r="K117" s="279">
        <v>0</v>
      </c>
      <c r="L117" s="373">
        <v>0</v>
      </c>
      <c r="M117" s="279">
        <f>($C$53*L101 + $C$54*L102+$C$55*L103)*0.15</f>
        <v>143049.60000000001</v>
      </c>
      <c r="N117" s="373">
        <v>0</v>
      </c>
      <c r="O117" s="279">
        <f>($C$53*N101 + $C$54*N102+$C$55*N103)*0.15</f>
        <v>119208</v>
      </c>
      <c r="P117" s="373">
        <v>0</v>
      </c>
      <c r="Q117" s="279">
        <f>($C$53*P101 + $C$54*P102+$C$55*P103)*0.15</f>
        <v>238416</v>
      </c>
      <c r="R117" s="373">
        <v>0</v>
      </c>
      <c r="S117" s="279">
        <v>0</v>
      </c>
      <c r="T117" s="373">
        <v>0</v>
      </c>
      <c r="U117" s="279">
        <v>0</v>
      </c>
      <c r="V117" s="373">
        <v>0</v>
      </c>
      <c r="W117" s="279">
        <v>0</v>
      </c>
      <c r="X117" s="373">
        <v>0</v>
      </c>
      <c r="Y117" s="279">
        <v>0</v>
      </c>
      <c r="Z117" s="373">
        <v>0</v>
      </c>
      <c r="AA117" s="280">
        <v>0</v>
      </c>
      <c r="AB117" s="365">
        <f>E117+G117+I117+K117+M117+O117+Q117+S117+U117+W117+Y117+AA117</f>
        <v>500673.6</v>
      </c>
    </row>
    <row r="118" spans="1:28" ht="15.75" thickBot="1" x14ac:dyDescent="0.3">
      <c r="A118" s="347" t="s">
        <v>187</v>
      </c>
      <c r="B118" s="348"/>
      <c r="C118" s="357">
        <v>0</v>
      </c>
      <c r="D118" s="358">
        <v>0</v>
      </c>
      <c r="E118" s="287">
        <f>(D103+D102+D101)*75</f>
        <v>32422.5</v>
      </c>
      <c r="F118" s="374">
        <v>0</v>
      </c>
      <c r="G118" s="287">
        <f>(F103+F102+F101)*75</f>
        <v>26527.5</v>
      </c>
      <c r="H118" s="374">
        <v>0</v>
      </c>
      <c r="I118" s="287">
        <f>(H103+H102+H101)*75</f>
        <v>23580</v>
      </c>
      <c r="J118" s="374">
        <v>0</v>
      </c>
      <c r="K118" s="287">
        <f>(J103+J102+J101)*75</f>
        <v>17685</v>
      </c>
      <c r="L118" s="374">
        <v>0</v>
      </c>
      <c r="M118" s="287">
        <f>(L103+L102+L101)*75</f>
        <v>17685</v>
      </c>
      <c r="N118" s="374">
        <v>0</v>
      </c>
      <c r="O118" s="287">
        <f>(N103+N102+N101)*75</f>
        <v>14737.5</v>
      </c>
      <c r="P118" s="374">
        <v>0</v>
      </c>
      <c r="Q118" s="287">
        <f>(P103+P102+P101)*75</f>
        <v>29475</v>
      </c>
      <c r="R118" s="374">
        <v>0</v>
      </c>
      <c r="S118" s="287">
        <f>(R103+R102+R101)*75</f>
        <v>14737.5</v>
      </c>
      <c r="T118" s="374">
        <v>0</v>
      </c>
      <c r="U118" s="287">
        <f>(T103+T102+T101)*75</f>
        <v>23580</v>
      </c>
      <c r="V118" s="374">
        <v>0</v>
      </c>
      <c r="W118" s="287">
        <f>(V103+V102+V101)*75</f>
        <v>29475</v>
      </c>
      <c r="X118" s="374">
        <v>0</v>
      </c>
      <c r="Y118" s="287">
        <f>(X103+X102+X101)*75</f>
        <v>29475</v>
      </c>
      <c r="Z118" s="374">
        <v>0</v>
      </c>
      <c r="AA118" s="287">
        <f>(Z103+Z102+Z101)*75</f>
        <v>35370</v>
      </c>
      <c r="AB118" s="365">
        <f>E118+G118+I118+K118+M118+O118+Q118+S118+U118+W118+Y118+AA118</f>
        <v>294750</v>
      </c>
    </row>
    <row r="119" spans="1:28" ht="15.75" thickBot="1" x14ac:dyDescent="0.3">
      <c r="B119" s="362" t="s">
        <v>188</v>
      </c>
      <c r="C119" s="354"/>
      <c r="D119" s="355"/>
      <c r="E119" s="369" t="e">
        <f>SUM(E101:E118)</f>
        <v>#REF!</v>
      </c>
      <c r="F119" s="375"/>
      <c r="G119" s="369" t="e">
        <f>SUM(G101:G118)</f>
        <v>#REF!</v>
      </c>
      <c r="H119" s="375"/>
      <c r="I119" s="369" t="e">
        <f>SUM(I101:I118)</f>
        <v>#REF!</v>
      </c>
      <c r="J119" s="375"/>
      <c r="K119" s="369" t="e">
        <f>SUM(K101:K118)</f>
        <v>#REF!</v>
      </c>
      <c r="L119" s="375"/>
      <c r="M119" s="369" t="e">
        <f>SUM(M101:M118)</f>
        <v>#REF!</v>
      </c>
      <c r="N119" s="355"/>
      <c r="O119" s="369" t="e">
        <f>SUM(O101:O118)</f>
        <v>#REF!</v>
      </c>
      <c r="P119" s="375"/>
      <c r="Q119" s="369" t="e">
        <f>SUM(Q101:Q118)</f>
        <v>#REF!</v>
      </c>
      <c r="R119" s="375"/>
      <c r="S119" s="369" t="e">
        <f>SUM(S101:S118)</f>
        <v>#REF!</v>
      </c>
      <c r="T119" s="375"/>
      <c r="U119" s="369" t="e">
        <f>SUM(U101:U118)</f>
        <v>#REF!</v>
      </c>
      <c r="V119" s="375"/>
      <c r="W119" s="369" t="e">
        <f>SUM(W101:W118)</f>
        <v>#REF!</v>
      </c>
      <c r="X119" s="375"/>
      <c r="Y119" s="369" t="e">
        <f>SUM(Y101:Y118)</f>
        <v>#REF!</v>
      </c>
      <c r="Z119" s="375"/>
      <c r="AA119" s="368" t="e">
        <f>SUM(AA101:AA118)</f>
        <v>#REF!</v>
      </c>
      <c r="AB119" s="361" t="e">
        <f>SUM(E119:AA119)</f>
        <v>#REF!</v>
      </c>
    </row>
  </sheetData>
  <mergeCells count="60">
    <mergeCell ref="A114:A117"/>
    <mergeCell ref="P99:Q99"/>
    <mergeCell ref="R99:S99"/>
    <mergeCell ref="T99:U99"/>
    <mergeCell ref="V99:W99"/>
    <mergeCell ref="A101:A103"/>
    <mergeCell ref="A104:A112"/>
    <mergeCell ref="X99:Y99"/>
    <mergeCell ref="Z99:AA99"/>
    <mergeCell ref="B98:AB98"/>
    <mergeCell ref="B99:C99"/>
    <mergeCell ref="D99:E99"/>
    <mergeCell ref="F99:G99"/>
    <mergeCell ref="H99:I99"/>
    <mergeCell ref="J99:K99"/>
    <mergeCell ref="L99:M99"/>
    <mergeCell ref="N99:O99"/>
    <mergeCell ref="AB99:AB100"/>
    <mergeCell ref="A90:A93"/>
    <mergeCell ref="L75:M75"/>
    <mergeCell ref="N75:O75"/>
    <mergeCell ref="P75:Q75"/>
    <mergeCell ref="R75:S75"/>
    <mergeCell ref="A77:A79"/>
    <mergeCell ref="A80:A88"/>
    <mergeCell ref="A53:A55"/>
    <mergeCell ref="A56:A64"/>
    <mergeCell ref="A66:A69"/>
    <mergeCell ref="B74:AB74"/>
    <mergeCell ref="B75:C75"/>
    <mergeCell ref="D75:E75"/>
    <mergeCell ref="F75:G75"/>
    <mergeCell ref="H75:I75"/>
    <mergeCell ref="J75:K75"/>
    <mergeCell ref="X75:Y75"/>
    <mergeCell ref="Z75:AA75"/>
    <mergeCell ref="AB75:AB76"/>
    <mergeCell ref="T75:U75"/>
    <mergeCell ref="V75:W75"/>
    <mergeCell ref="X51:Y51"/>
    <mergeCell ref="Z51:AA51"/>
    <mergeCell ref="B10:E10"/>
    <mergeCell ref="B51:C51"/>
    <mergeCell ref="B50:AB50"/>
    <mergeCell ref="AB51:AB52"/>
    <mergeCell ref="L51:M51"/>
    <mergeCell ref="N51:O51"/>
    <mergeCell ref="P51:Q51"/>
    <mergeCell ref="R51:S51"/>
    <mergeCell ref="T51:U51"/>
    <mergeCell ref="V51:W51"/>
    <mergeCell ref="B22:E22"/>
    <mergeCell ref="B35:E35"/>
    <mergeCell ref="D51:E51"/>
    <mergeCell ref="F51:G51"/>
    <mergeCell ref="H51:I51"/>
    <mergeCell ref="J51:K51"/>
    <mergeCell ref="H4:J4"/>
    <mergeCell ref="B4:D4"/>
    <mergeCell ref="B11:E1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91"/>
  <sheetViews>
    <sheetView zoomScale="80" zoomScaleNormal="80" workbookViewId="0">
      <pane xSplit="2" ySplit="1" topLeftCell="C52" activePane="bottomRight" state="frozen"/>
      <selection pane="topRight" activeCell="C1" sqref="C1"/>
      <selection pane="bottomLeft" activeCell="A2" sqref="A2"/>
      <selection pane="bottomRight" sqref="A1:AE1"/>
    </sheetView>
  </sheetViews>
  <sheetFormatPr defaultColWidth="11.42578125" defaultRowHeight="15" x14ac:dyDescent="0.25"/>
  <cols>
    <col min="1" max="1" width="11.42578125" style="1"/>
    <col min="2" max="2" width="31" style="1" bestFit="1" customWidth="1"/>
    <col min="3" max="3" width="36.140625" style="1" bestFit="1" customWidth="1"/>
    <col min="4" max="4" width="15.140625" style="1" bestFit="1" customWidth="1"/>
    <col min="5" max="5" width="22" style="1" customWidth="1"/>
    <col min="6" max="6" width="23" style="1" customWidth="1"/>
    <col min="7" max="7" width="11.5703125" style="1" bestFit="1" customWidth="1"/>
    <col min="8" max="8" width="15.5703125" style="1" customWidth="1"/>
    <col min="9" max="9" width="14.140625" style="1" bestFit="1" customWidth="1"/>
    <col min="10" max="10" width="15.140625" style="1" bestFit="1" customWidth="1"/>
    <col min="11" max="11" width="16.7109375" style="1" bestFit="1" customWidth="1"/>
    <col min="12" max="12" width="21.28515625" style="1" customWidth="1"/>
    <col min="13" max="13" width="11.42578125" style="1"/>
    <col min="14" max="14" width="13.5703125" style="1" bestFit="1" customWidth="1"/>
    <col min="15" max="15" width="11.42578125" style="1"/>
    <col min="16" max="16" width="12" style="1" bestFit="1" customWidth="1"/>
    <col min="17" max="17" width="11.42578125" style="1"/>
    <col min="18" max="18" width="12" style="1" bestFit="1" customWidth="1"/>
    <col min="19" max="19" width="11.42578125" style="1"/>
    <col min="20" max="20" width="12" style="1" bestFit="1" customWidth="1"/>
    <col min="21" max="21" width="11.42578125" style="1"/>
    <col min="22" max="22" width="12" style="1" bestFit="1" customWidth="1"/>
    <col min="23" max="23" width="17.85546875" style="1" customWidth="1"/>
    <col min="24" max="24" width="12" style="1" bestFit="1" customWidth="1"/>
    <col min="25" max="25" width="12.42578125" style="1" bestFit="1" customWidth="1"/>
    <col min="26" max="26" width="13.5703125" style="1" bestFit="1" customWidth="1"/>
    <col min="27" max="27" width="15.42578125" style="1" customWidth="1"/>
    <col min="28" max="28" width="11.42578125" style="1"/>
    <col min="29" max="29" width="12.42578125" style="1" bestFit="1" customWidth="1"/>
    <col min="30" max="16384" width="11.42578125" style="1"/>
  </cols>
  <sheetData>
    <row r="1" spans="1:31" s="617" customFormat="1" ht="58.5" customHeight="1" x14ac:dyDescent="0.25">
      <c r="A1" s="619"/>
      <c r="B1" s="619"/>
      <c r="C1" s="619"/>
      <c r="D1" s="619"/>
      <c r="E1" s="622" t="s">
        <v>6</v>
      </c>
      <c r="F1" s="624"/>
      <c r="G1" s="624"/>
      <c r="H1" s="619"/>
      <c r="I1" s="619"/>
      <c r="J1" s="619"/>
      <c r="K1" s="619"/>
      <c r="L1" s="619"/>
      <c r="M1" s="619"/>
      <c r="N1" s="619"/>
      <c r="O1" s="619"/>
      <c r="P1" s="619"/>
      <c r="Q1" s="619"/>
      <c r="R1" s="619"/>
      <c r="S1" s="619"/>
      <c r="T1" s="619"/>
      <c r="U1" s="619"/>
      <c r="V1" s="619"/>
      <c r="W1" s="619"/>
      <c r="X1" s="619"/>
      <c r="Y1" s="619"/>
      <c r="Z1" s="619"/>
      <c r="AA1" s="619"/>
      <c r="AB1" s="619"/>
      <c r="AC1" s="619"/>
      <c r="AD1" s="619"/>
      <c r="AE1" s="619"/>
    </row>
    <row r="3" spans="1:31" ht="15.75" thickBot="1" x14ac:dyDescent="0.3"/>
    <row r="4" spans="1:31" ht="27" thickBot="1" x14ac:dyDescent="0.45">
      <c r="B4" s="838" t="s">
        <v>36</v>
      </c>
      <c r="C4" s="839"/>
      <c r="D4" s="840"/>
      <c r="E4" s="39"/>
      <c r="H4" s="838" t="s">
        <v>193</v>
      </c>
      <c r="I4" s="839"/>
      <c r="J4" s="840"/>
    </row>
    <row r="5" spans="1:31" x14ac:dyDescent="0.25">
      <c r="B5" s="34">
        <v>2019</v>
      </c>
      <c r="C5" s="34">
        <v>2020</v>
      </c>
      <c r="D5" s="34">
        <v>2021</v>
      </c>
      <c r="E5" s="212"/>
      <c r="H5" s="94">
        <v>2019</v>
      </c>
      <c r="I5" s="34">
        <v>2020</v>
      </c>
      <c r="J5" s="95">
        <v>2021</v>
      </c>
    </row>
    <row r="6" spans="1:31" ht="15.75" thickBot="1" x14ac:dyDescent="0.3">
      <c r="B6" s="40">
        <f>Hipótesis!C24</f>
        <v>0.03</v>
      </c>
      <c r="C6" s="40">
        <f>Hipótesis!C25</f>
        <v>7.0000000000000007E-2</v>
      </c>
      <c r="D6" s="40">
        <f>Hipótesis!C26</f>
        <v>0.12</v>
      </c>
      <c r="E6" s="307"/>
      <c r="H6" s="98">
        <f>$AA$51</f>
        <v>7341662.4450000012</v>
      </c>
      <c r="I6" s="99">
        <f>$AA$69</f>
        <v>8446303.9266666677</v>
      </c>
      <c r="J6" s="100">
        <f>$AA$87</f>
        <v>10262133.115833335</v>
      </c>
    </row>
    <row r="7" spans="1:31" x14ac:dyDescent="0.25">
      <c r="B7" s="33">
        <f>Hipótesis!D24</f>
        <v>18750000</v>
      </c>
      <c r="C7" s="33">
        <f>Hipótesis!D25</f>
        <v>43750000.000000007</v>
      </c>
      <c r="D7" s="33">
        <f>Hipótesis!D26</f>
        <v>75000000</v>
      </c>
      <c r="E7" s="304"/>
    </row>
    <row r="10" spans="1:31" ht="15.75" thickBot="1" x14ac:dyDescent="0.3"/>
    <row r="11" spans="1:31" ht="27" thickBot="1" x14ac:dyDescent="0.45">
      <c r="B11" s="838" t="s">
        <v>209</v>
      </c>
      <c r="C11" s="839"/>
      <c r="D11" s="839"/>
      <c r="E11" s="839"/>
      <c r="F11" s="839"/>
      <c r="G11" s="839"/>
      <c r="H11" s="839"/>
      <c r="I11" s="839"/>
      <c r="J11" s="839"/>
      <c r="K11" s="839"/>
      <c r="L11" s="840"/>
    </row>
    <row r="12" spans="1:31" ht="15.75" x14ac:dyDescent="0.25">
      <c r="B12" s="944" t="s">
        <v>200</v>
      </c>
      <c r="C12" s="942" t="s">
        <v>201</v>
      </c>
      <c r="D12" s="940" t="s">
        <v>202</v>
      </c>
      <c r="E12" s="390" t="s">
        <v>194</v>
      </c>
      <c r="F12" s="326" t="s">
        <v>195</v>
      </c>
      <c r="G12" s="326" t="s">
        <v>196</v>
      </c>
      <c r="H12" s="326" t="s">
        <v>197</v>
      </c>
      <c r="I12" s="383" t="s">
        <v>198</v>
      </c>
      <c r="J12" s="400" t="s">
        <v>199</v>
      </c>
      <c r="K12" s="934" t="s">
        <v>211</v>
      </c>
      <c r="L12" s="934" t="s">
        <v>212</v>
      </c>
    </row>
    <row r="13" spans="1:31" ht="16.5" thickBot="1" x14ac:dyDescent="0.3">
      <c r="B13" s="945"/>
      <c r="C13" s="943"/>
      <c r="D13" s="941"/>
      <c r="E13" s="391">
        <v>0.1047</v>
      </c>
      <c r="F13" s="384">
        <v>1.54E-2</v>
      </c>
      <c r="G13" s="385">
        <v>0.06</v>
      </c>
      <c r="H13" s="384">
        <v>9.1999999999999998E-3</v>
      </c>
      <c r="I13" s="385" t="s">
        <v>210</v>
      </c>
      <c r="J13" s="401">
        <v>0.03</v>
      </c>
      <c r="K13" s="935"/>
      <c r="L13" s="935"/>
    </row>
    <row r="14" spans="1:31" ht="15.75" thickBot="1" x14ac:dyDescent="0.3">
      <c r="B14" s="386" t="s">
        <v>203</v>
      </c>
      <c r="C14" s="387"/>
      <c r="D14" s="392">
        <v>80000</v>
      </c>
      <c r="E14" s="296">
        <f>$D$14*E13</f>
        <v>8376</v>
      </c>
      <c r="F14" s="287">
        <f>$D$14*F13</f>
        <v>1232</v>
      </c>
      <c r="G14" s="287">
        <f>$D$14*G13</f>
        <v>4800</v>
      </c>
      <c r="H14" s="287">
        <f>$D$14*H13</f>
        <v>736</v>
      </c>
      <c r="I14" s="287">
        <v>18.57</v>
      </c>
      <c r="J14" s="288">
        <f>$D$14*J13</f>
        <v>2400</v>
      </c>
      <c r="K14" s="402">
        <f>SUM(E14:J14)</f>
        <v>17562.57</v>
      </c>
      <c r="L14" s="396">
        <f>D14+K14</f>
        <v>97562.57</v>
      </c>
    </row>
    <row r="15" spans="1:31" x14ac:dyDescent="0.25">
      <c r="B15" s="936" t="s">
        <v>206</v>
      </c>
      <c r="C15" s="388"/>
      <c r="D15" s="393">
        <v>60000</v>
      </c>
      <c r="E15" s="292">
        <f>$D$15*E13</f>
        <v>6282</v>
      </c>
      <c r="F15" s="275">
        <f>$D$15*F13</f>
        <v>924</v>
      </c>
      <c r="G15" s="275">
        <f>$D$15*G13</f>
        <v>3600</v>
      </c>
      <c r="H15" s="275">
        <f>$D$15*H13</f>
        <v>552</v>
      </c>
      <c r="I15" s="275">
        <v>18.57</v>
      </c>
      <c r="J15" s="276">
        <f>$D$15*J13</f>
        <v>1800</v>
      </c>
      <c r="K15" s="403">
        <f t="shared" ref="K15:K34" si="0">SUM(E15:J15)</f>
        <v>13176.57</v>
      </c>
      <c r="L15" s="397">
        <f t="shared" ref="L15:L34" si="1">D15+K15</f>
        <v>73176.570000000007</v>
      </c>
    </row>
    <row r="16" spans="1:31" x14ac:dyDescent="0.25">
      <c r="B16" s="937"/>
      <c r="C16" s="178"/>
      <c r="D16" s="394">
        <v>52000</v>
      </c>
      <c r="E16" s="293">
        <f>$D$16*E13</f>
        <v>5444.4</v>
      </c>
      <c r="F16" s="256">
        <f>$D$16*F13</f>
        <v>800.80000000000007</v>
      </c>
      <c r="G16" s="256">
        <f>$D$16*G13</f>
        <v>3120</v>
      </c>
      <c r="H16" s="256">
        <f>$D$16*H13</f>
        <v>478.4</v>
      </c>
      <c r="I16" s="256">
        <v>18.57</v>
      </c>
      <c r="J16" s="258">
        <f>$D$16*J13</f>
        <v>1560</v>
      </c>
      <c r="K16" s="404">
        <f t="shared" si="0"/>
        <v>11422.17</v>
      </c>
      <c r="L16" s="398">
        <f t="shared" si="1"/>
        <v>63422.17</v>
      </c>
    </row>
    <row r="17" spans="2:12" x14ac:dyDescent="0.25">
      <c r="B17" s="937"/>
      <c r="C17" s="178"/>
      <c r="D17" s="394">
        <v>52000</v>
      </c>
      <c r="E17" s="293">
        <f>$D$17*E13</f>
        <v>5444.4</v>
      </c>
      <c r="F17" s="256">
        <f>$D$17*F13</f>
        <v>800.80000000000007</v>
      </c>
      <c r="G17" s="256">
        <f>$D$17*G13</f>
        <v>3120</v>
      </c>
      <c r="H17" s="256">
        <f>$D$17*H13</f>
        <v>478.4</v>
      </c>
      <c r="I17" s="256">
        <v>18.57</v>
      </c>
      <c r="J17" s="258">
        <f>$D$17*J13</f>
        <v>1560</v>
      </c>
      <c r="K17" s="404">
        <f t="shared" si="0"/>
        <v>11422.17</v>
      </c>
      <c r="L17" s="398">
        <f t="shared" si="1"/>
        <v>63422.17</v>
      </c>
    </row>
    <row r="18" spans="2:12" x14ac:dyDescent="0.25">
      <c r="B18" s="937"/>
      <c r="C18" s="178"/>
      <c r="D18" s="394">
        <v>48000</v>
      </c>
      <c r="E18" s="293">
        <f>$D$18*E13</f>
        <v>5025.6000000000004</v>
      </c>
      <c r="F18" s="256">
        <f>$D$18*F13</f>
        <v>739.2</v>
      </c>
      <c r="G18" s="256">
        <f>$D$18*G13</f>
        <v>2880</v>
      </c>
      <c r="H18" s="256">
        <f>$D$18*H13</f>
        <v>441.59999999999997</v>
      </c>
      <c r="I18" s="256">
        <v>18.57</v>
      </c>
      <c r="J18" s="258">
        <f>$D$18*J13</f>
        <v>1440</v>
      </c>
      <c r="K18" s="404">
        <f t="shared" si="0"/>
        <v>10544.97</v>
      </c>
      <c r="L18" s="398">
        <f t="shared" si="1"/>
        <v>58544.97</v>
      </c>
    </row>
    <row r="19" spans="2:12" ht="15.75" thickBot="1" x14ac:dyDescent="0.3">
      <c r="B19" s="938"/>
      <c r="C19" s="389"/>
      <c r="D19" s="395">
        <v>40000</v>
      </c>
      <c r="E19" s="294">
        <f>$D$19*E13</f>
        <v>4188</v>
      </c>
      <c r="F19" s="279">
        <f>$D$19*F13</f>
        <v>616</v>
      </c>
      <c r="G19" s="279">
        <f>$D$19*G13</f>
        <v>2400</v>
      </c>
      <c r="H19" s="279">
        <f>$D$19*H13</f>
        <v>368</v>
      </c>
      <c r="I19" s="279">
        <v>18.57</v>
      </c>
      <c r="J19" s="280">
        <f>$D$19*J13</f>
        <v>1200</v>
      </c>
      <c r="K19" s="405">
        <f t="shared" si="0"/>
        <v>8790.57</v>
      </c>
      <c r="L19" s="399">
        <f t="shared" si="1"/>
        <v>48790.57</v>
      </c>
    </row>
    <row r="20" spans="2:12" x14ac:dyDescent="0.25">
      <c r="B20" s="936" t="s">
        <v>204</v>
      </c>
      <c r="C20" s="388"/>
      <c r="D20" s="393">
        <v>52000</v>
      </c>
      <c r="E20" s="292">
        <f>$D$20*E13</f>
        <v>5444.4</v>
      </c>
      <c r="F20" s="275">
        <f>$D$20*F13</f>
        <v>800.80000000000007</v>
      </c>
      <c r="G20" s="275">
        <f>$D$20*G13</f>
        <v>3120</v>
      </c>
      <c r="H20" s="275">
        <f>$D$20*H13</f>
        <v>478.4</v>
      </c>
      <c r="I20" s="275">
        <v>18.57</v>
      </c>
      <c r="J20" s="276">
        <f>$D$20*J13</f>
        <v>1560</v>
      </c>
      <c r="K20" s="403">
        <f t="shared" si="0"/>
        <v>11422.17</v>
      </c>
      <c r="L20" s="397">
        <f t="shared" si="1"/>
        <v>63422.17</v>
      </c>
    </row>
    <row r="21" spans="2:12" ht="15.75" thickBot="1" x14ac:dyDescent="0.3">
      <c r="B21" s="938"/>
      <c r="C21" s="389"/>
      <c r="D21" s="395">
        <v>35000</v>
      </c>
      <c r="E21" s="294">
        <f>$D$21*E13</f>
        <v>3664.5</v>
      </c>
      <c r="F21" s="279">
        <f>$D$21*F13</f>
        <v>539</v>
      </c>
      <c r="G21" s="279">
        <f>$D$21*G13</f>
        <v>2100</v>
      </c>
      <c r="H21" s="279">
        <f>$D$21*H13</f>
        <v>322</v>
      </c>
      <c r="I21" s="279">
        <v>18.57</v>
      </c>
      <c r="J21" s="280">
        <f>$D$21*J13</f>
        <v>1050</v>
      </c>
      <c r="K21" s="405">
        <f t="shared" si="0"/>
        <v>7694.07</v>
      </c>
      <c r="L21" s="399">
        <f t="shared" si="1"/>
        <v>42694.07</v>
      </c>
    </row>
    <row r="22" spans="2:12" x14ac:dyDescent="0.25">
      <c r="B22" s="936" t="s">
        <v>207</v>
      </c>
      <c r="C22" s="388"/>
      <c r="D22" s="393">
        <v>48000</v>
      </c>
      <c r="E22" s="292">
        <f>$D$22*E13</f>
        <v>5025.6000000000004</v>
      </c>
      <c r="F22" s="275">
        <f>$D$22*F13</f>
        <v>739.2</v>
      </c>
      <c r="G22" s="275">
        <f>$D$22*G13</f>
        <v>2880</v>
      </c>
      <c r="H22" s="275">
        <f>$D$22*H13</f>
        <v>441.59999999999997</v>
      </c>
      <c r="I22" s="275">
        <v>18.57</v>
      </c>
      <c r="J22" s="276">
        <f>$D$22*J13</f>
        <v>1440</v>
      </c>
      <c r="K22" s="403">
        <f t="shared" si="0"/>
        <v>10544.97</v>
      </c>
      <c r="L22" s="397">
        <f t="shared" si="1"/>
        <v>58544.97</v>
      </c>
    </row>
    <row r="23" spans="2:12" x14ac:dyDescent="0.25">
      <c r="B23" s="937"/>
      <c r="C23" s="178"/>
      <c r="D23" s="394">
        <v>32000</v>
      </c>
      <c r="E23" s="293">
        <f>$D$23*E13</f>
        <v>3350.4</v>
      </c>
      <c r="F23" s="256">
        <f>$D$23*F13</f>
        <v>492.8</v>
      </c>
      <c r="G23" s="256">
        <f>$D$23*G13</f>
        <v>1920</v>
      </c>
      <c r="H23" s="256">
        <f>$D$23*H13</f>
        <v>294.39999999999998</v>
      </c>
      <c r="I23" s="256">
        <v>18.57</v>
      </c>
      <c r="J23" s="258">
        <f>$D$23*J13</f>
        <v>960</v>
      </c>
      <c r="K23" s="404">
        <f t="shared" si="0"/>
        <v>7036.17</v>
      </c>
      <c r="L23" s="398">
        <f t="shared" si="1"/>
        <v>39036.17</v>
      </c>
    </row>
    <row r="24" spans="2:12" x14ac:dyDescent="0.25">
      <c r="B24" s="939"/>
      <c r="C24" s="178"/>
      <c r="D24" s="394">
        <v>32000</v>
      </c>
      <c r="E24" s="293">
        <f>$D$24*E13</f>
        <v>3350.4</v>
      </c>
      <c r="F24" s="293">
        <f>$D$24*F13</f>
        <v>492.8</v>
      </c>
      <c r="G24" s="293">
        <f>$D$24*G13</f>
        <v>1920</v>
      </c>
      <c r="H24" s="293">
        <f>$D$24*H13</f>
        <v>294.39999999999998</v>
      </c>
      <c r="I24" s="256">
        <v>18.57</v>
      </c>
      <c r="J24" s="293">
        <f>$D$24*J13</f>
        <v>960</v>
      </c>
      <c r="K24" s="404">
        <f t="shared" si="0"/>
        <v>7036.17</v>
      </c>
      <c r="L24" s="398">
        <f>D24+K24</f>
        <v>39036.17</v>
      </c>
    </row>
    <row r="25" spans="2:12" x14ac:dyDescent="0.25">
      <c r="B25" s="939"/>
      <c r="C25" s="226"/>
      <c r="D25" s="406">
        <v>16000</v>
      </c>
      <c r="E25" s="297">
        <f>$D$25*E13</f>
        <v>1675.2</v>
      </c>
      <c r="F25" s="297">
        <f>$D$25*F13</f>
        <v>246.4</v>
      </c>
      <c r="G25" s="297">
        <f>$D$25*G13</f>
        <v>960</v>
      </c>
      <c r="H25" s="297">
        <f>$D$25*H13</f>
        <v>147.19999999999999</v>
      </c>
      <c r="I25" s="256">
        <v>18.57</v>
      </c>
      <c r="J25" s="297">
        <f>$D$25*J13</f>
        <v>480</v>
      </c>
      <c r="K25" s="404">
        <f t="shared" si="0"/>
        <v>3527.3700000000003</v>
      </c>
      <c r="L25" s="398">
        <f>D25+K25</f>
        <v>19527.37</v>
      </c>
    </row>
    <row r="26" spans="2:12" ht="15.75" thickBot="1" x14ac:dyDescent="0.3">
      <c r="B26" s="938"/>
      <c r="C26" s="389"/>
      <c r="D26" s="395">
        <v>32000</v>
      </c>
      <c r="E26" s="294">
        <f>$D$26*E13</f>
        <v>3350.4</v>
      </c>
      <c r="F26" s="279">
        <f>$D$26*F13</f>
        <v>492.8</v>
      </c>
      <c r="G26" s="279">
        <f>$D$26*G13</f>
        <v>1920</v>
      </c>
      <c r="H26" s="279">
        <f>$D$26*H13</f>
        <v>294.39999999999998</v>
      </c>
      <c r="I26" s="279">
        <v>18.57</v>
      </c>
      <c r="J26" s="280">
        <f>$D$26*J13</f>
        <v>960</v>
      </c>
      <c r="K26" s="405">
        <f>SUM(E26:J26)</f>
        <v>7036.17</v>
      </c>
      <c r="L26" s="399">
        <f>D26+K26</f>
        <v>39036.17</v>
      </c>
    </row>
    <row r="27" spans="2:12" x14ac:dyDescent="0.25">
      <c r="B27" s="936" t="s">
        <v>205</v>
      </c>
      <c r="C27" s="388"/>
      <c r="D27" s="393">
        <v>52000</v>
      </c>
      <c r="E27" s="292">
        <f>$D$27*E13</f>
        <v>5444.4</v>
      </c>
      <c r="F27" s="275">
        <f>$D$27*F13</f>
        <v>800.80000000000007</v>
      </c>
      <c r="G27" s="275">
        <f>$D$27*G13</f>
        <v>3120</v>
      </c>
      <c r="H27" s="275">
        <f>$D$27*H13</f>
        <v>478.4</v>
      </c>
      <c r="I27" s="275">
        <v>18.57</v>
      </c>
      <c r="J27" s="276">
        <f>$D$27*J13</f>
        <v>1560</v>
      </c>
      <c r="K27" s="403">
        <f t="shared" si="0"/>
        <v>11422.17</v>
      </c>
      <c r="L27" s="397">
        <f t="shared" si="1"/>
        <v>63422.17</v>
      </c>
    </row>
    <row r="28" spans="2:12" x14ac:dyDescent="0.25">
      <c r="B28" s="937"/>
      <c r="C28" s="178"/>
      <c r="D28" s="394">
        <v>42000</v>
      </c>
      <c r="E28" s="293">
        <f>$D$28*E13</f>
        <v>4397.3999999999996</v>
      </c>
      <c r="F28" s="256">
        <f>$D$28*F13</f>
        <v>646.80000000000007</v>
      </c>
      <c r="G28" s="256">
        <f>$D$28*G13</f>
        <v>2520</v>
      </c>
      <c r="H28" s="256">
        <f>$D$28*H13</f>
        <v>386.4</v>
      </c>
      <c r="I28" s="256">
        <v>18.57</v>
      </c>
      <c r="J28" s="258">
        <f>$D$28*J13</f>
        <v>1260</v>
      </c>
      <c r="K28" s="404">
        <f t="shared" si="0"/>
        <v>9229.1699999999983</v>
      </c>
      <c r="L28" s="398">
        <f t="shared" si="1"/>
        <v>51229.17</v>
      </c>
    </row>
    <row r="29" spans="2:12" ht="15.75" thickBot="1" x14ac:dyDescent="0.3">
      <c r="B29" s="938"/>
      <c r="C29" s="389"/>
      <c r="D29" s="395">
        <v>40000</v>
      </c>
      <c r="E29" s="294">
        <f>$D$29*E13</f>
        <v>4188</v>
      </c>
      <c r="F29" s="279">
        <f>$D$29*F13</f>
        <v>616</v>
      </c>
      <c r="G29" s="279">
        <f>$D$29*G13</f>
        <v>2400</v>
      </c>
      <c r="H29" s="279">
        <f>$D$29*H13</f>
        <v>368</v>
      </c>
      <c r="I29" s="279">
        <v>18.57</v>
      </c>
      <c r="J29" s="280">
        <f>$D$29*J13</f>
        <v>1200</v>
      </c>
      <c r="K29" s="405">
        <f t="shared" si="0"/>
        <v>8790.57</v>
      </c>
      <c r="L29" s="399">
        <f t="shared" si="1"/>
        <v>48790.57</v>
      </c>
    </row>
    <row r="30" spans="2:12" x14ac:dyDescent="0.25">
      <c r="B30" s="936" t="s">
        <v>208</v>
      </c>
      <c r="C30" s="388"/>
      <c r="D30" s="393">
        <v>48000</v>
      </c>
      <c r="E30" s="292">
        <f>$D$30*E13</f>
        <v>5025.6000000000004</v>
      </c>
      <c r="F30" s="275">
        <f>$D$30*F13</f>
        <v>739.2</v>
      </c>
      <c r="G30" s="275">
        <f>$D$30*G13</f>
        <v>2880</v>
      </c>
      <c r="H30" s="275">
        <f>$D$30*H13</f>
        <v>441.59999999999997</v>
      </c>
      <c r="I30" s="275">
        <v>18.57</v>
      </c>
      <c r="J30" s="276">
        <f>$D$30*J13</f>
        <v>1440</v>
      </c>
      <c r="K30" s="403">
        <f t="shared" si="0"/>
        <v>10544.97</v>
      </c>
      <c r="L30" s="397">
        <f t="shared" si="1"/>
        <v>58544.97</v>
      </c>
    </row>
    <row r="31" spans="2:12" x14ac:dyDescent="0.25">
      <c r="B31" s="937"/>
      <c r="C31" s="178"/>
      <c r="D31" s="394">
        <v>40000</v>
      </c>
      <c r="E31" s="293">
        <f>$D$31*E13</f>
        <v>4188</v>
      </c>
      <c r="F31" s="256">
        <f>$D$31*F13</f>
        <v>616</v>
      </c>
      <c r="G31" s="256">
        <f>$D$31*G13</f>
        <v>2400</v>
      </c>
      <c r="H31" s="256">
        <f>$D$31*H13</f>
        <v>368</v>
      </c>
      <c r="I31" s="256">
        <v>18.57</v>
      </c>
      <c r="J31" s="258">
        <f>$D$31*J13</f>
        <v>1200</v>
      </c>
      <c r="K31" s="404">
        <f t="shared" si="0"/>
        <v>8790.57</v>
      </c>
      <c r="L31" s="398">
        <f t="shared" si="1"/>
        <v>48790.57</v>
      </c>
    </row>
    <row r="32" spans="2:12" x14ac:dyDescent="0.25">
      <c r="B32" s="937"/>
      <c r="C32" s="178"/>
      <c r="D32" s="394">
        <v>35000</v>
      </c>
      <c r="E32" s="293">
        <f>$D$32*E13</f>
        <v>3664.5</v>
      </c>
      <c r="F32" s="256">
        <f>$D$32*F13</f>
        <v>539</v>
      </c>
      <c r="G32" s="256">
        <f>$D$32*G13</f>
        <v>2100</v>
      </c>
      <c r="H32" s="256">
        <f>$D$32*H13</f>
        <v>322</v>
      </c>
      <c r="I32" s="256">
        <v>18.57</v>
      </c>
      <c r="J32" s="258">
        <f>$D$32*J13</f>
        <v>1050</v>
      </c>
      <c r="K32" s="404">
        <f t="shared" si="0"/>
        <v>7694.07</v>
      </c>
      <c r="L32" s="398">
        <f t="shared" si="1"/>
        <v>42694.07</v>
      </c>
    </row>
    <row r="33" spans="2:27" x14ac:dyDescent="0.25">
      <c r="B33" s="937"/>
      <c r="C33" s="178"/>
      <c r="D33" s="394">
        <v>38000</v>
      </c>
      <c r="E33" s="293">
        <f>$D$33*E13</f>
        <v>3978.6</v>
      </c>
      <c r="F33" s="256">
        <f>$D$33*F13</f>
        <v>585.20000000000005</v>
      </c>
      <c r="G33" s="256">
        <f>$D$33*G13</f>
        <v>2280</v>
      </c>
      <c r="H33" s="256">
        <f>$D$33*H13</f>
        <v>349.59999999999997</v>
      </c>
      <c r="I33" s="256">
        <v>18.57</v>
      </c>
      <c r="J33" s="258">
        <f>$D$33*J13</f>
        <v>1140</v>
      </c>
      <c r="K33" s="404">
        <f t="shared" si="0"/>
        <v>8351.9700000000012</v>
      </c>
      <c r="L33" s="398">
        <f t="shared" si="1"/>
        <v>46351.97</v>
      </c>
    </row>
    <row r="34" spans="2:27" ht="15.75" thickBot="1" x14ac:dyDescent="0.3">
      <c r="B34" s="938"/>
      <c r="C34" s="389"/>
      <c r="D34" s="395">
        <v>42000</v>
      </c>
      <c r="E34" s="294">
        <f>$D$34*E13</f>
        <v>4397.3999999999996</v>
      </c>
      <c r="F34" s="279">
        <f>$D$34*F13</f>
        <v>646.80000000000007</v>
      </c>
      <c r="G34" s="279">
        <f>$D$34*G13</f>
        <v>2520</v>
      </c>
      <c r="H34" s="279">
        <f>$D$34*H13</f>
        <v>386.4</v>
      </c>
      <c r="I34" s="279">
        <v>18.57</v>
      </c>
      <c r="J34" s="280">
        <f>$D$34*J13</f>
        <v>1260</v>
      </c>
      <c r="K34" s="405">
        <f t="shared" si="0"/>
        <v>9229.1699999999983</v>
      </c>
      <c r="L34" s="399">
        <f t="shared" si="1"/>
        <v>51229.17</v>
      </c>
    </row>
    <row r="37" spans="2:27" ht="15.75" thickBot="1" x14ac:dyDescent="0.3"/>
    <row r="38" spans="2:27" ht="27" thickBot="1" x14ac:dyDescent="0.45">
      <c r="B38" s="918" t="s">
        <v>215</v>
      </c>
      <c r="C38" s="919"/>
      <c r="D38" s="919"/>
      <c r="E38" s="919"/>
      <c r="F38" s="919"/>
      <c r="G38" s="919"/>
      <c r="H38" s="919"/>
      <c r="I38" s="919"/>
      <c r="J38" s="919"/>
      <c r="K38" s="919"/>
      <c r="L38" s="919"/>
      <c r="M38" s="919"/>
      <c r="N38" s="919"/>
      <c r="O38" s="919"/>
      <c r="P38" s="919"/>
      <c r="Q38" s="919"/>
      <c r="R38" s="919"/>
      <c r="S38" s="919"/>
      <c r="T38" s="919"/>
      <c r="U38" s="919"/>
      <c r="V38" s="919"/>
      <c r="W38" s="919"/>
      <c r="X38" s="919"/>
      <c r="Y38" s="919"/>
      <c r="Z38" s="919"/>
      <c r="AA38" s="920"/>
    </row>
    <row r="39" spans="2:27" ht="15.75" x14ac:dyDescent="0.25">
      <c r="B39" s="931" t="s">
        <v>201</v>
      </c>
      <c r="C39" s="933" t="s">
        <v>42</v>
      </c>
      <c r="D39" s="933"/>
      <c r="E39" s="933" t="s">
        <v>43</v>
      </c>
      <c r="F39" s="933"/>
      <c r="G39" s="933" t="s">
        <v>44</v>
      </c>
      <c r="H39" s="933"/>
      <c r="I39" s="933" t="s">
        <v>45</v>
      </c>
      <c r="J39" s="933"/>
      <c r="K39" s="933" t="s">
        <v>46</v>
      </c>
      <c r="L39" s="933"/>
      <c r="M39" s="933" t="s">
        <v>213</v>
      </c>
      <c r="N39" s="933"/>
      <c r="O39" s="933" t="s">
        <v>48</v>
      </c>
      <c r="P39" s="933"/>
      <c r="Q39" s="933" t="s">
        <v>49</v>
      </c>
      <c r="R39" s="933"/>
      <c r="S39" s="933" t="s">
        <v>50</v>
      </c>
      <c r="T39" s="933"/>
      <c r="U39" s="933" t="s">
        <v>51</v>
      </c>
      <c r="V39" s="933"/>
      <c r="W39" s="933" t="s">
        <v>52</v>
      </c>
      <c r="X39" s="933"/>
      <c r="Y39" s="933" t="s">
        <v>214</v>
      </c>
      <c r="Z39" s="933"/>
      <c r="AA39" s="929" t="s">
        <v>154</v>
      </c>
    </row>
    <row r="40" spans="2:27" ht="15.75" x14ac:dyDescent="0.25">
      <c r="B40" s="932"/>
      <c r="C40" s="407" t="s">
        <v>60</v>
      </c>
      <c r="D40" s="407" t="s">
        <v>104</v>
      </c>
      <c r="E40" s="407" t="s">
        <v>60</v>
      </c>
      <c r="F40" s="407" t="s">
        <v>104</v>
      </c>
      <c r="G40" s="407" t="s">
        <v>60</v>
      </c>
      <c r="H40" s="407" t="s">
        <v>104</v>
      </c>
      <c r="I40" s="407" t="s">
        <v>60</v>
      </c>
      <c r="J40" s="407" t="s">
        <v>104</v>
      </c>
      <c r="K40" s="407" t="s">
        <v>60</v>
      </c>
      <c r="L40" s="407" t="s">
        <v>104</v>
      </c>
      <c r="M40" s="407" t="s">
        <v>60</v>
      </c>
      <c r="N40" s="407" t="s">
        <v>104</v>
      </c>
      <c r="O40" s="407" t="s">
        <v>60</v>
      </c>
      <c r="P40" s="407" t="s">
        <v>104</v>
      </c>
      <c r="Q40" s="407" t="s">
        <v>60</v>
      </c>
      <c r="R40" s="407" t="s">
        <v>104</v>
      </c>
      <c r="S40" s="407" t="s">
        <v>60</v>
      </c>
      <c r="T40" s="407" t="s">
        <v>104</v>
      </c>
      <c r="U40" s="407" t="s">
        <v>60</v>
      </c>
      <c r="V40" s="407" t="s">
        <v>104</v>
      </c>
      <c r="W40" s="407" t="s">
        <v>60</v>
      </c>
      <c r="X40" s="407" t="s">
        <v>104</v>
      </c>
      <c r="Y40" s="407" t="s">
        <v>60</v>
      </c>
      <c r="Z40" s="407" t="s">
        <v>104</v>
      </c>
      <c r="AA40" s="930"/>
    </row>
    <row r="41" spans="2:27" x14ac:dyDescent="0.25">
      <c r="B41" s="421"/>
      <c r="C41" s="305">
        <v>1</v>
      </c>
      <c r="D41" s="306">
        <f>C41*$L$14</f>
        <v>97562.57</v>
      </c>
      <c r="E41" s="305">
        <v>1</v>
      </c>
      <c r="F41" s="306">
        <f>E41*$L$14</f>
        <v>97562.57</v>
      </c>
      <c r="G41" s="305">
        <v>1</v>
      </c>
      <c r="H41" s="306">
        <f>G41*$L$14</f>
        <v>97562.57</v>
      </c>
      <c r="I41" s="305">
        <v>1</v>
      </c>
      <c r="J41" s="306">
        <f>I41*$L$14</f>
        <v>97562.57</v>
      </c>
      <c r="K41" s="305">
        <v>1</v>
      </c>
      <c r="L41" s="306">
        <f>K41*$L$14</f>
        <v>97562.57</v>
      </c>
      <c r="M41" s="305">
        <v>1</v>
      </c>
      <c r="N41" s="306">
        <f>M41*$L$14*1.5</f>
        <v>146343.85500000001</v>
      </c>
      <c r="O41" s="305">
        <v>1</v>
      </c>
      <c r="P41" s="306">
        <f>O41*$L$14</f>
        <v>97562.57</v>
      </c>
      <c r="Q41" s="305">
        <v>1</v>
      </c>
      <c r="R41" s="306">
        <f>Q41*$L$14</f>
        <v>97562.57</v>
      </c>
      <c r="S41" s="305">
        <v>1</v>
      </c>
      <c r="T41" s="306">
        <f>S41*$L$14</f>
        <v>97562.57</v>
      </c>
      <c r="U41" s="305">
        <v>1</v>
      </c>
      <c r="V41" s="306">
        <f>U41*$L$14</f>
        <v>97562.57</v>
      </c>
      <c r="W41" s="305">
        <v>1</v>
      </c>
      <c r="X41" s="306">
        <f>W41*$L$14</f>
        <v>97562.57</v>
      </c>
      <c r="Y41" s="305">
        <v>1</v>
      </c>
      <c r="Z41" s="306">
        <f>Y41*$L$14*1.5</f>
        <v>146343.85500000001</v>
      </c>
      <c r="AA41" s="422">
        <f>D41+F41+H41+J41+L41+N41+P41+R41+T41+V41+X41+Z41</f>
        <v>1268313.4100000004</v>
      </c>
    </row>
    <row r="42" spans="2:27" x14ac:dyDescent="0.25">
      <c r="B42" s="423"/>
      <c r="C42" s="305">
        <v>1</v>
      </c>
      <c r="D42" s="306">
        <f>C42*$L$15</f>
        <v>73176.570000000007</v>
      </c>
      <c r="E42" s="305">
        <v>1</v>
      </c>
      <c r="F42" s="306">
        <f>E42*$L$15</f>
        <v>73176.570000000007</v>
      </c>
      <c r="G42" s="305">
        <v>1</v>
      </c>
      <c r="H42" s="306">
        <f>G42*$L$15</f>
        <v>73176.570000000007</v>
      </c>
      <c r="I42" s="305">
        <v>1</v>
      </c>
      <c r="J42" s="306">
        <f>I42*$L$15</f>
        <v>73176.570000000007</v>
      </c>
      <c r="K42" s="305">
        <v>1</v>
      </c>
      <c r="L42" s="306">
        <f>K42*$L$15</f>
        <v>73176.570000000007</v>
      </c>
      <c r="M42" s="305">
        <v>1</v>
      </c>
      <c r="N42" s="306">
        <f>M42*$L$15*1.5</f>
        <v>109764.85500000001</v>
      </c>
      <c r="O42" s="305">
        <v>1</v>
      </c>
      <c r="P42" s="306">
        <f>O42*$L$15</f>
        <v>73176.570000000007</v>
      </c>
      <c r="Q42" s="305">
        <v>1</v>
      </c>
      <c r="R42" s="306">
        <f>Q42*$L$15</f>
        <v>73176.570000000007</v>
      </c>
      <c r="S42" s="305">
        <v>1</v>
      </c>
      <c r="T42" s="306">
        <f>S42*$L$15</f>
        <v>73176.570000000007</v>
      </c>
      <c r="U42" s="305">
        <v>1</v>
      </c>
      <c r="V42" s="306">
        <f>U42*$L$15</f>
        <v>73176.570000000007</v>
      </c>
      <c r="W42" s="305">
        <v>1</v>
      </c>
      <c r="X42" s="306">
        <f>W42*$L$15</f>
        <v>73176.570000000007</v>
      </c>
      <c r="Y42" s="305">
        <v>1</v>
      </c>
      <c r="Z42" s="306">
        <f>Y42*$L$15*1.5</f>
        <v>109764.85500000001</v>
      </c>
      <c r="AA42" s="422">
        <f t="shared" ref="AA42:AA50" si="2">D42+F42+H42+J42+L42+N42+P42+R42+T42+V42+X42+Z42</f>
        <v>951295.41000000038</v>
      </c>
    </row>
    <row r="43" spans="2:27" x14ac:dyDescent="0.25">
      <c r="B43" s="423"/>
      <c r="C43" s="305">
        <v>1</v>
      </c>
      <c r="D43" s="306">
        <f>C43*$L$27</f>
        <v>63422.17</v>
      </c>
      <c r="E43" s="305">
        <v>1</v>
      </c>
      <c r="F43" s="306">
        <f>E43*$L$27</f>
        <v>63422.17</v>
      </c>
      <c r="G43" s="305">
        <v>1</v>
      </c>
      <c r="H43" s="306">
        <f>G43*$L$27</f>
        <v>63422.17</v>
      </c>
      <c r="I43" s="305">
        <v>1</v>
      </c>
      <c r="J43" s="306">
        <f>I43*$L$27</f>
        <v>63422.17</v>
      </c>
      <c r="K43" s="305">
        <v>1</v>
      </c>
      <c r="L43" s="306">
        <f>K43*$L$27</f>
        <v>63422.17</v>
      </c>
      <c r="M43" s="305">
        <v>1</v>
      </c>
      <c r="N43" s="306">
        <f>M43*$L$27*1.5</f>
        <v>95133.255000000005</v>
      </c>
      <c r="O43" s="305">
        <v>1</v>
      </c>
      <c r="P43" s="306">
        <f>O43*$L$27</f>
        <v>63422.17</v>
      </c>
      <c r="Q43" s="305">
        <v>1</v>
      </c>
      <c r="R43" s="306">
        <f>Q43*$L$27</f>
        <v>63422.17</v>
      </c>
      <c r="S43" s="305">
        <v>1</v>
      </c>
      <c r="T43" s="306">
        <f>S43*$L$27</f>
        <v>63422.17</v>
      </c>
      <c r="U43" s="305">
        <v>1</v>
      </c>
      <c r="V43" s="306">
        <f>U43*$L$27</f>
        <v>63422.17</v>
      </c>
      <c r="W43" s="305">
        <v>1</v>
      </c>
      <c r="X43" s="306">
        <f>W43*$L$27</f>
        <v>63422.17</v>
      </c>
      <c r="Y43" s="305">
        <v>1</v>
      </c>
      <c r="Z43" s="306">
        <f>Y43*$L$27*1.5</f>
        <v>95133.255000000005</v>
      </c>
      <c r="AA43" s="422">
        <f t="shared" si="2"/>
        <v>824488.21000000008</v>
      </c>
    </row>
    <row r="44" spans="2:27" x14ac:dyDescent="0.25">
      <c r="B44" s="423"/>
      <c r="C44" s="305">
        <v>0</v>
      </c>
      <c r="D44" s="306">
        <v>0</v>
      </c>
      <c r="E44" s="305">
        <v>0</v>
      </c>
      <c r="F44" s="306">
        <v>0</v>
      </c>
      <c r="G44" s="305">
        <v>0</v>
      </c>
      <c r="H44" s="306">
        <v>0</v>
      </c>
      <c r="I44" s="305">
        <v>0</v>
      </c>
      <c r="J44" s="306">
        <v>0</v>
      </c>
      <c r="K44" s="305">
        <v>0</v>
      </c>
      <c r="L44" s="306">
        <v>0</v>
      </c>
      <c r="M44" s="305">
        <v>0</v>
      </c>
      <c r="N44" s="306">
        <v>0</v>
      </c>
      <c r="O44" s="305">
        <v>0</v>
      </c>
      <c r="P44" s="306">
        <v>0</v>
      </c>
      <c r="Q44" s="305">
        <v>0</v>
      </c>
      <c r="R44" s="306">
        <v>0</v>
      </c>
      <c r="S44" s="305">
        <v>0</v>
      </c>
      <c r="T44" s="306">
        <v>0</v>
      </c>
      <c r="U44" s="305">
        <v>0</v>
      </c>
      <c r="V44" s="306">
        <v>0</v>
      </c>
      <c r="W44" s="409">
        <v>1</v>
      </c>
      <c r="X44" s="306">
        <f>$L$28*W44</f>
        <v>51229.17</v>
      </c>
      <c r="Y44" s="305">
        <v>1</v>
      </c>
      <c r="Z44" s="306">
        <f>$L$28*Y44*(1+2/12)</f>
        <v>59767.365000000005</v>
      </c>
      <c r="AA44" s="422">
        <f t="shared" si="2"/>
        <v>110996.535</v>
      </c>
    </row>
    <row r="45" spans="2:27" x14ac:dyDescent="0.25">
      <c r="B45" s="423"/>
      <c r="C45" s="305">
        <v>1</v>
      </c>
      <c r="D45" s="306">
        <f>C45*$L$30</f>
        <v>58544.97</v>
      </c>
      <c r="E45" s="305">
        <v>1</v>
      </c>
      <c r="F45" s="306">
        <f>E45*$L$30</f>
        <v>58544.97</v>
      </c>
      <c r="G45" s="305">
        <v>1</v>
      </c>
      <c r="H45" s="306">
        <f>G45*$L$30</f>
        <v>58544.97</v>
      </c>
      <c r="I45" s="305">
        <v>1</v>
      </c>
      <c r="J45" s="306">
        <f>I45*$L$30</f>
        <v>58544.97</v>
      </c>
      <c r="K45" s="305">
        <v>1</v>
      </c>
      <c r="L45" s="306">
        <f>K45*$L$30</f>
        <v>58544.97</v>
      </c>
      <c r="M45" s="305">
        <v>1</v>
      </c>
      <c r="N45" s="306">
        <f>M45*$L$30*1.5</f>
        <v>87817.455000000002</v>
      </c>
      <c r="O45" s="305">
        <v>1</v>
      </c>
      <c r="P45" s="306">
        <f>O45*$L$30</f>
        <v>58544.97</v>
      </c>
      <c r="Q45" s="305">
        <v>1</v>
      </c>
      <c r="R45" s="306">
        <f>Q45*$L$30</f>
        <v>58544.97</v>
      </c>
      <c r="S45" s="305">
        <v>1</v>
      </c>
      <c r="T45" s="306">
        <f>S45*$L$30</f>
        <v>58544.97</v>
      </c>
      <c r="U45" s="305">
        <v>1</v>
      </c>
      <c r="V45" s="306">
        <f>U45*$L$30</f>
        <v>58544.97</v>
      </c>
      <c r="W45" s="305">
        <v>1</v>
      </c>
      <c r="X45" s="306">
        <f>W45*$L$30</f>
        <v>58544.97</v>
      </c>
      <c r="Y45" s="305">
        <v>1</v>
      </c>
      <c r="Z45" s="306">
        <f>Y45*$L$30*1.5</f>
        <v>87817.455000000002</v>
      </c>
      <c r="AA45" s="422">
        <f t="shared" si="2"/>
        <v>761084.60999999987</v>
      </c>
    </row>
    <row r="46" spans="2:27" x14ac:dyDescent="0.25">
      <c r="B46" s="423"/>
      <c r="C46" s="305">
        <v>1</v>
      </c>
      <c r="D46" s="306">
        <f>C46*$L$31</f>
        <v>48790.57</v>
      </c>
      <c r="E46" s="305">
        <v>1</v>
      </c>
      <c r="F46" s="306">
        <f>E46*$L$31</f>
        <v>48790.57</v>
      </c>
      <c r="G46" s="305">
        <v>1</v>
      </c>
      <c r="H46" s="306">
        <f>G46*$L$31</f>
        <v>48790.57</v>
      </c>
      <c r="I46" s="305">
        <v>1</v>
      </c>
      <c r="J46" s="306">
        <f>I46*$L$31</f>
        <v>48790.57</v>
      </c>
      <c r="K46" s="305">
        <v>1</v>
      </c>
      <c r="L46" s="306">
        <f>K46*$L$31</f>
        <v>48790.57</v>
      </c>
      <c r="M46" s="305">
        <v>1</v>
      </c>
      <c r="N46" s="306">
        <f>M46*$L$31*1.5</f>
        <v>73185.854999999996</v>
      </c>
      <c r="O46" s="305">
        <v>1</v>
      </c>
      <c r="P46" s="306">
        <f>O46*$L$31</f>
        <v>48790.57</v>
      </c>
      <c r="Q46" s="305">
        <v>1</v>
      </c>
      <c r="R46" s="306">
        <f>Q46*$L$31</f>
        <v>48790.57</v>
      </c>
      <c r="S46" s="305">
        <v>1</v>
      </c>
      <c r="T46" s="306">
        <f>S46*$L$31</f>
        <v>48790.57</v>
      </c>
      <c r="U46" s="305">
        <v>1</v>
      </c>
      <c r="V46" s="306">
        <f>U46*$L$31</f>
        <v>48790.57</v>
      </c>
      <c r="W46" s="305">
        <v>1</v>
      </c>
      <c r="X46" s="306">
        <f>W46*$L$31</f>
        <v>48790.57</v>
      </c>
      <c r="Y46" s="305">
        <v>1</v>
      </c>
      <c r="Z46" s="306">
        <f>Y46*$L$31*1.5</f>
        <v>73185.854999999996</v>
      </c>
      <c r="AA46" s="422">
        <f t="shared" si="2"/>
        <v>634277.41</v>
      </c>
    </row>
    <row r="47" spans="2:27" x14ac:dyDescent="0.25">
      <c r="B47" s="423"/>
      <c r="C47" s="305">
        <v>1</v>
      </c>
      <c r="D47" s="306">
        <f>C47*$L$23</f>
        <v>39036.17</v>
      </c>
      <c r="E47" s="305">
        <v>1</v>
      </c>
      <c r="F47" s="306">
        <f>E47*$L$23</f>
        <v>39036.17</v>
      </c>
      <c r="G47" s="305">
        <v>1</v>
      </c>
      <c r="H47" s="306">
        <f>G47*$L$23</f>
        <v>39036.17</v>
      </c>
      <c r="I47" s="305">
        <v>1</v>
      </c>
      <c r="J47" s="306">
        <f>I47*$L$23</f>
        <v>39036.17</v>
      </c>
      <c r="K47" s="305">
        <v>1</v>
      </c>
      <c r="L47" s="306">
        <f>K47*$L$23</f>
        <v>39036.17</v>
      </c>
      <c r="M47" s="305">
        <v>1</v>
      </c>
      <c r="N47" s="306">
        <f>M47*$L$23*1.5</f>
        <v>58554.254999999997</v>
      </c>
      <c r="O47" s="305">
        <v>1</v>
      </c>
      <c r="P47" s="306">
        <f>O47*$L$23</f>
        <v>39036.17</v>
      </c>
      <c r="Q47" s="305">
        <v>1</v>
      </c>
      <c r="R47" s="306">
        <f>Q47*$L$23</f>
        <v>39036.17</v>
      </c>
      <c r="S47" s="305">
        <v>1</v>
      </c>
      <c r="T47" s="306">
        <f>S47*$L$23</f>
        <v>39036.17</v>
      </c>
      <c r="U47" s="305">
        <v>1</v>
      </c>
      <c r="V47" s="306">
        <f>U47*$L$23</f>
        <v>39036.17</v>
      </c>
      <c r="W47" s="305">
        <v>1</v>
      </c>
      <c r="X47" s="306">
        <f>W47*$L$23</f>
        <v>39036.17</v>
      </c>
      <c r="Y47" s="305">
        <v>1</v>
      </c>
      <c r="Z47" s="306">
        <f>Y47*$L$23*1.5</f>
        <v>58554.254999999997</v>
      </c>
      <c r="AA47" s="422">
        <f t="shared" si="2"/>
        <v>507470.2099999999</v>
      </c>
    </row>
    <row r="48" spans="2:27" x14ac:dyDescent="0.25">
      <c r="B48" s="423"/>
      <c r="C48" s="305">
        <v>2</v>
      </c>
      <c r="D48" s="306">
        <f>C48*$L$26</f>
        <v>78072.34</v>
      </c>
      <c r="E48" s="305">
        <v>2</v>
      </c>
      <c r="F48" s="306">
        <f>E48*$L$26</f>
        <v>78072.34</v>
      </c>
      <c r="G48" s="305">
        <v>2</v>
      </c>
      <c r="H48" s="306">
        <f>G48*$L$26</f>
        <v>78072.34</v>
      </c>
      <c r="I48" s="305">
        <v>2</v>
      </c>
      <c r="J48" s="306">
        <f>I48*$L$26</f>
        <v>78072.34</v>
      </c>
      <c r="K48" s="305">
        <v>2</v>
      </c>
      <c r="L48" s="306">
        <f>K48*$L$26</f>
        <v>78072.34</v>
      </c>
      <c r="M48" s="305">
        <v>2</v>
      </c>
      <c r="N48" s="306">
        <f>M48*$L$26*1.5</f>
        <v>117108.51</v>
      </c>
      <c r="O48" s="305">
        <v>2</v>
      </c>
      <c r="P48" s="306">
        <f>O48*$L$26</f>
        <v>78072.34</v>
      </c>
      <c r="Q48" s="305">
        <v>2</v>
      </c>
      <c r="R48" s="306">
        <f>Q48*$L$26</f>
        <v>78072.34</v>
      </c>
      <c r="S48" s="305">
        <v>2</v>
      </c>
      <c r="T48" s="306">
        <f>S48*$L$26</f>
        <v>78072.34</v>
      </c>
      <c r="U48" s="305">
        <v>2</v>
      </c>
      <c r="V48" s="306">
        <f>U48*$L$26</f>
        <v>78072.34</v>
      </c>
      <c r="W48" s="305">
        <v>2</v>
      </c>
      <c r="X48" s="306">
        <f>W48*$L$26</f>
        <v>78072.34</v>
      </c>
      <c r="Y48" s="305">
        <v>2</v>
      </c>
      <c r="Z48" s="306">
        <f>Y48*$L$26*1.5</f>
        <v>117108.51</v>
      </c>
      <c r="AA48" s="422">
        <f t="shared" si="2"/>
        <v>1014940.4199999998</v>
      </c>
    </row>
    <row r="49" spans="2:27" x14ac:dyDescent="0.25">
      <c r="B49" s="423"/>
      <c r="C49" s="305">
        <v>2</v>
      </c>
      <c r="D49" s="306">
        <f>C49*$L$24</f>
        <v>78072.34</v>
      </c>
      <c r="E49" s="305">
        <v>2</v>
      </c>
      <c r="F49" s="306">
        <f>E49*$L$24</f>
        <v>78072.34</v>
      </c>
      <c r="G49" s="305">
        <v>2</v>
      </c>
      <c r="H49" s="306">
        <f>G49*$L$24</f>
        <v>78072.34</v>
      </c>
      <c r="I49" s="305">
        <v>2</v>
      </c>
      <c r="J49" s="306">
        <f>I49*$L$24</f>
        <v>78072.34</v>
      </c>
      <c r="K49" s="305">
        <v>2</v>
      </c>
      <c r="L49" s="306">
        <f>K49*$L$24</f>
        <v>78072.34</v>
      </c>
      <c r="M49" s="305">
        <v>2</v>
      </c>
      <c r="N49" s="306">
        <f>M49*$L$24*1.5</f>
        <v>117108.51</v>
      </c>
      <c r="O49" s="305">
        <v>2</v>
      </c>
      <c r="P49" s="306">
        <f>O49*$L$24</f>
        <v>78072.34</v>
      </c>
      <c r="Q49" s="305">
        <v>2</v>
      </c>
      <c r="R49" s="306">
        <f>Q49*$L$24</f>
        <v>78072.34</v>
      </c>
      <c r="S49" s="305">
        <v>2</v>
      </c>
      <c r="T49" s="306">
        <f>S49*$L$24</f>
        <v>78072.34</v>
      </c>
      <c r="U49" s="305">
        <v>2</v>
      </c>
      <c r="V49" s="306">
        <f>U49*$L$24</f>
        <v>78072.34</v>
      </c>
      <c r="W49" s="305">
        <v>2</v>
      </c>
      <c r="X49" s="306">
        <f>W49*$L$24</f>
        <v>78072.34</v>
      </c>
      <c r="Y49" s="305">
        <v>2</v>
      </c>
      <c r="Z49" s="306">
        <f>Y49*$L$24*1.5</f>
        <v>117108.51</v>
      </c>
      <c r="AA49" s="422">
        <f t="shared" si="2"/>
        <v>1014940.4199999998</v>
      </c>
    </row>
    <row r="50" spans="2:27" x14ac:dyDescent="0.25">
      <c r="B50" s="421"/>
      <c r="C50" s="305">
        <v>1</v>
      </c>
      <c r="D50" s="306">
        <f>C50*$L$25</f>
        <v>19527.37</v>
      </c>
      <c r="E50" s="305">
        <v>1</v>
      </c>
      <c r="F50" s="306">
        <f>E50*$L$25</f>
        <v>19527.37</v>
      </c>
      <c r="G50" s="305">
        <v>1</v>
      </c>
      <c r="H50" s="306">
        <f>G50*$L$25</f>
        <v>19527.37</v>
      </c>
      <c r="I50" s="305">
        <v>1</v>
      </c>
      <c r="J50" s="306">
        <f>I50*$L$25</f>
        <v>19527.37</v>
      </c>
      <c r="K50" s="305">
        <v>1</v>
      </c>
      <c r="L50" s="306">
        <f>K50*$L$25</f>
        <v>19527.37</v>
      </c>
      <c r="M50" s="305">
        <v>1</v>
      </c>
      <c r="N50" s="306">
        <f>M50*$L$25*1.5</f>
        <v>29291.055</v>
      </c>
      <c r="O50" s="305">
        <v>1</v>
      </c>
      <c r="P50" s="306">
        <f>O50*$L$25</f>
        <v>19527.37</v>
      </c>
      <c r="Q50" s="305">
        <v>1</v>
      </c>
      <c r="R50" s="306">
        <f>Q50*$L$25</f>
        <v>19527.37</v>
      </c>
      <c r="S50" s="305">
        <v>1</v>
      </c>
      <c r="T50" s="306">
        <f>S50*$L$25</f>
        <v>19527.37</v>
      </c>
      <c r="U50" s="305">
        <v>1</v>
      </c>
      <c r="V50" s="306">
        <f>U50*$L$25</f>
        <v>19527.37</v>
      </c>
      <c r="W50" s="305">
        <v>1</v>
      </c>
      <c r="X50" s="306">
        <f>W50*$L$25</f>
        <v>19527.37</v>
      </c>
      <c r="Y50" s="305">
        <v>1</v>
      </c>
      <c r="Z50" s="306">
        <f>Y50*$L$25*1.5</f>
        <v>29291.055</v>
      </c>
      <c r="AA50" s="422">
        <f t="shared" si="2"/>
        <v>253855.80999999997</v>
      </c>
    </row>
    <row r="51" spans="2:27" ht="16.5" thickBot="1" x14ac:dyDescent="0.3">
      <c r="B51" s="424" t="s">
        <v>216</v>
      </c>
      <c r="C51" s="425">
        <f t="shared" ref="C51:Z51" si="3">SUM(C41:C50)</f>
        <v>11</v>
      </c>
      <c r="D51" s="426">
        <f t="shared" si="3"/>
        <v>556205.06999999995</v>
      </c>
      <c r="E51" s="425">
        <f t="shared" si="3"/>
        <v>11</v>
      </c>
      <c r="F51" s="426">
        <f t="shared" si="3"/>
        <v>556205.06999999995</v>
      </c>
      <c r="G51" s="425">
        <f t="shared" si="3"/>
        <v>11</v>
      </c>
      <c r="H51" s="426">
        <f t="shared" si="3"/>
        <v>556205.06999999995</v>
      </c>
      <c r="I51" s="425">
        <f t="shared" si="3"/>
        <v>11</v>
      </c>
      <c r="J51" s="426">
        <f t="shared" si="3"/>
        <v>556205.06999999995</v>
      </c>
      <c r="K51" s="425">
        <f t="shared" si="3"/>
        <v>11</v>
      </c>
      <c r="L51" s="426">
        <f t="shared" si="3"/>
        <v>556205.06999999995</v>
      </c>
      <c r="M51" s="425">
        <f t="shared" si="3"/>
        <v>11</v>
      </c>
      <c r="N51" s="426">
        <f t="shared" si="3"/>
        <v>834307.6050000001</v>
      </c>
      <c r="O51" s="425">
        <f t="shared" si="3"/>
        <v>11</v>
      </c>
      <c r="P51" s="426">
        <f t="shared" si="3"/>
        <v>556205.06999999995</v>
      </c>
      <c r="Q51" s="425">
        <f t="shared" si="3"/>
        <v>11</v>
      </c>
      <c r="R51" s="426">
        <f t="shared" si="3"/>
        <v>556205.06999999995</v>
      </c>
      <c r="S51" s="425">
        <f t="shared" si="3"/>
        <v>11</v>
      </c>
      <c r="T51" s="426">
        <f t="shared" si="3"/>
        <v>556205.06999999995</v>
      </c>
      <c r="U51" s="425">
        <f t="shared" si="3"/>
        <v>11</v>
      </c>
      <c r="V51" s="426">
        <f t="shared" si="3"/>
        <v>556205.06999999995</v>
      </c>
      <c r="W51" s="425">
        <f t="shared" si="3"/>
        <v>12</v>
      </c>
      <c r="X51" s="426">
        <f t="shared" si="3"/>
        <v>607434.23999999987</v>
      </c>
      <c r="Y51" s="425">
        <f t="shared" si="3"/>
        <v>12</v>
      </c>
      <c r="Z51" s="426">
        <f t="shared" si="3"/>
        <v>894074.97000000009</v>
      </c>
      <c r="AA51" s="427">
        <f>Z51+X51+V51+T51+R51+P51+N51+L51+J51+H51+F51+D51</f>
        <v>7341662.4450000012</v>
      </c>
    </row>
    <row r="54" spans="2:27" ht="15.75" thickBot="1" x14ac:dyDescent="0.3"/>
    <row r="55" spans="2:27" ht="27" thickBot="1" x14ac:dyDescent="0.45">
      <c r="B55" s="918" t="s">
        <v>217</v>
      </c>
      <c r="C55" s="919"/>
      <c r="D55" s="919"/>
      <c r="E55" s="919"/>
      <c r="F55" s="919"/>
      <c r="G55" s="919"/>
      <c r="H55" s="919"/>
      <c r="I55" s="919"/>
      <c r="J55" s="919"/>
      <c r="K55" s="919"/>
      <c r="L55" s="919"/>
      <c r="M55" s="919"/>
      <c r="N55" s="919"/>
      <c r="O55" s="919"/>
      <c r="P55" s="919"/>
      <c r="Q55" s="919"/>
      <c r="R55" s="919"/>
      <c r="S55" s="919"/>
      <c r="T55" s="919"/>
      <c r="U55" s="919"/>
      <c r="V55" s="919"/>
      <c r="W55" s="919"/>
      <c r="X55" s="919"/>
      <c r="Y55" s="919"/>
      <c r="Z55" s="919"/>
      <c r="AA55" s="920"/>
    </row>
    <row r="56" spans="2:27" ht="15.75" x14ac:dyDescent="0.25">
      <c r="B56" s="931" t="s">
        <v>201</v>
      </c>
      <c r="C56" s="933" t="s">
        <v>42</v>
      </c>
      <c r="D56" s="933"/>
      <c r="E56" s="933" t="s">
        <v>43</v>
      </c>
      <c r="F56" s="933"/>
      <c r="G56" s="933" t="s">
        <v>44</v>
      </c>
      <c r="H56" s="933"/>
      <c r="I56" s="933" t="s">
        <v>45</v>
      </c>
      <c r="J56" s="933"/>
      <c r="K56" s="933" t="s">
        <v>46</v>
      </c>
      <c r="L56" s="933"/>
      <c r="M56" s="933" t="s">
        <v>213</v>
      </c>
      <c r="N56" s="933"/>
      <c r="O56" s="933" t="s">
        <v>48</v>
      </c>
      <c r="P56" s="933"/>
      <c r="Q56" s="933" t="s">
        <v>49</v>
      </c>
      <c r="R56" s="933"/>
      <c r="S56" s="933" t="s">
        <v>50</v>
      </c>
      <c r="T56" s="933"/>
      <c r="U56" s="933" t="s">
        <v>51</v>
      </c>
      <c r="V56" s="933"/>
      <c r="W56" s="933" t="s">
        <v>52</v>
      </c>
      <c r="X56" s="933"/>
      <c r="Y56" s="933" t="s">
        <v>214</v>
      </c>
      <c r="Z56" s="933"/>
      <c r="AA56" s="929" t="s">
        <v>154</v>
      </c>
    </row>
    <row r="57" spans="2:27" ht="15.75" x14ac:dyDescent="0.25">
      <c r="B57" s="932"/>
      <c r="C57" s="407" t="s">
        <v>60</v>
      </c>
      <c r="D57" s="407" t="s">
        <v>104</v>
      </c>
      <c r="E57" s="407" t="s">
        <v>60</v>
      </c>
      <c r="F57" s="407" t="s">
        <v>104</v>
      </c>
      <c r="G57" s="407" t="s">
        <v>60</v>
      </c>
      <c r="H57" s="407" t="s">
        <v>104</v>
      </c>
      <c r="I57" s="407" t="s">
        <v>60</v>
      </c>
      <c r="J57" s="407" t="s">
        <v>104</v>
      </c>
      <c r="K57" s="407" t="s">
        <v>60</v>
      </c>
      <c r="L57" s="407" t="s">
        <v>104</v>
      </c>
      <c r="M57" s="407" t="s">
        <v>60</v>
      </c>
      <c r="N57" s="407" t="s">
        <v>104</v>
      </c>
      <c r="O57" s="407" t="s">
        <v>60</v>
      </c>
      <c r="P57" s="407" t="s">
        <v>104</v>
      </c>
      <c r="Q57" s="407" t="s">
        <v>60</v>
      </c>
      <c r="R57" s="407" t="s">
        <v>104</v>
      </c>
      <c r="S57" s="407" t="s">
        <v>60</v>
      </c>
      <c r="T57" s="407" t="s">
        <v>104</v>
      </c>
      <c r="U57" s="407" t="s">
        <v>60</v>
      </c>
      <c r="V57" s="407" t="s">
        <v>104</v>
      </c>
      <c r="W57" s="407" t="s">
        <v>60</v>
      </c>
      <c r="X57" s="407" t="s">
        <v>104</v>
      </c>
      <c r="Y57" s="407" t="s">
        <v>60</v>
      </c>
      <c r="Z57" s="407" t="s">
        <v>104</v>
      </c>
      <c r="AA57" s="930"/>
    </row>
    <row r="58" spans="2:27" x14ac:dyDescent="0.25">
      <c r="B58" s="421"/>
      <c r="C58" s="305">
        <v>1</v>
      </c>
      <c r="D58" s="306">
        <f>C58*$L$14</f>
        <v>97562.57</v>
      </c>
      <c r="E58" s="305">
        <v>1</v>
      </c>
      <c r="F58" s="306">
        <f>E58*$L$14</f>
        <v>97562.57</v>
      </c>
      <c r="G58" s="305">
        <v>1</v>
      </c>
      <c r="H58" s="306">
        <f>G58*$L$14</f>
        <v>97562.57</v>
      </c>
      <c r="I58" s="305">
        <v>1</v>
      </c>
      <c r="J58" s="306">
        <f>I58*$L$14</f>
        <v>97562.57</v>
      </c>
      <c r="K58" s="305">
        <v>1</v>
      </c>
      <c r="L58" s="306">
        <f>K58*$L$14</f>
        <v>97562.57</v>
      </c>
      <c r="M58" s="305">
        <v>1</v>
      </c>
      <c r="N58" s="306">
        <f>M58*$L$14*1.5</f>
        <v>146343.85500000001</v>
      </c>
      <c r="O58" s="305">
        <v>1</v>
      </c>
      <c r="P58" s="306">
        <f>O58*$L$14</f>
        <v>97562.57</v>
      </c>
      <c r="Q58" s="305">
        <v>1</v>
      </c>
      <c r="R58" s="306">
        <f>Q58*$L$14</f>
        <v>97562.57</v>
      </c>
      <c r="S58" s="305">
        <v>1</v>
      </c>
      <c r="T58" s="306">
        <f>S58*$L$14</f>
        <v>97562.57</v>
      </c>
      <c r="U58" s="305">
        <v>1</v>
      </c>
      <c r="V58" s="306">
        <f>U58*$L$14</f>
        <v>97562.57</v>
      </c>
      <c r="W58" s="305">
        <v>1</v>
      </c>
      <c r="X58" s="306">
        <f>W58*$L$14</f>
        <v>97562.57</v>
      </c>
      <c r="Y58" s="305">
        <v>1</v>
      </c>
      <c r="Z58" s="306">
        <f>Y58*$L$14*1.5</f>
        <v>146343.85500000001</v>
      </c>
      <c r="AA58" s="422">
        <f>D58+F58+H58+J58+L58+N58+P58+R58+T58+V58+X58+Z58</f>
        <v>1268313.4100000004</v>
      </c>
    </row>
    <row r="59" spans="2:27" x14ac:dyDescent="0.25">
      <c r="B59" s="423"/>
      <c r="C59" s="305">
        <v>1</v>
      </c>
      <c r="D59" s="306">
        <f>C59*$L$15</f>
        <v>73176.570000000007</v>
      </c>
      <c r="E59" s="305">
        <v>1</v>
      </c>
      <c r="F59" s="306">
        <f>E59*$L$15</f>
        <v>73176.570000000007</v>
      </c>
      <c r="G59" s="305">
        <v>1</v>
      </c>
      <c r="H59" s="306">
        <f>G59*$L$15</f>
        <v>73176.570000000007</v>
      </c>
      <c r="I59" s="305">
        <v>1</v>
      </c>
      <c r="J59" s="306">
        <f>I59*$L$15</f>
        <v>73176.570000000007</v>
      </c>
      <c r="K59" s="305">
        <v>1</v>
      </c>
      <c r="L59" s="306">
        <f>K59*$L$15</f>
        <v>73176.570000000007</v>
      </c>
      <c r="M59" s="305">
        <v>1</v>
      </c>
      <c r="N59" s="306">
        <f>M59*$L$15*1.5</f>
        <v>109764.85500000001</v>
      </c>
      <c r="O59" s="305">
        <v>1</v>
      </c>
      <c r="P59" s="306">
        <f>O59*$L$15</f>
        <v>73176.570000000007</v>
      </c>
      <c r="Q59" s="305">
        <v>1</v>
      </c>
      <c r="R59" s="306">
        <f>Q59*$L$15</f>
        <v>73176.570000000007</v>
      </c>
      <c r="S59" s="305">
        <v>1</v>
      </c>
      <c r="T59" s="306">
        <f>S59*$L$15</f>
        <v>73176.570000000007</v>
      </c>
      <c r="U59" s="305">
        <v>1</v>
      </c>
      <c r="V59" s="306">
        <f>U59*$L$15</f>
        <v>73176.570000000007</v>
      </c>
      <c r="W59" s="305">
        <v>1</v>
      </c>
      <c r="X59" s="306">
        <f>W59*$L$15</f>
        <v>73176.570000000007</v>
      </c>
      <c r="Y59" s="305">
        <v>1</v>
      </c>
      <c r="Z59" s="306">
        <f>Y59*$L$15*1.5</f>
        <v>109764.85500000001</v>
      </c>
      <c r="AA59" s="422">
        <f t="shared" ref="AA59:AA68" si="4">D59+F59+H59+J59+L59+N59+P59+R59+T59+V59+X59+Z59</f>
        <v>951295.41000000038</v>
      </c>
    </row>
    <row r="60" spans="2:27" x14ac:dyDescent="0.25">
      <c r="B60" s="423"/>
      <c r="C60" s="305">
        <v>1</v>
      </c>
      <c r="D60" s="306">
        <f>C60*$L$27</f>
        <v>63422.17</v>
      </c>
      <c r="E60" s="305">
        <v>1</v>
      </c>
      <c r="F60" s="306">
        <f>E60*$L$27</f>
        <v>63422.17</v>
      </c>
      <c r="G60" s="305">
        <v>1</v>
      </c>
      <c r="H60" s="306">
        <f>G60*$L$27</f>
        <v>63422.17</v>
      </c>
      <c r="I60" s="305">
        <v>1</v>
      </c>
      <c r="J60" s="306">
        <f>I60*$L$27</f>
        <v>63422.17</v>
      </c>
      <c r="K60" s="305">
        <v>1</v>
      </c>
      <c r="L60" s="306">
        <f>K60*$L$27</f>
        <v>63422.17</v>
      </c>
      <c r="M60" s="305">
        <v>1</v>
      </c>
      <c r="N60" s="306">
        <f>M60*$L$27*1.5</f>
        <v>95133.255000000005</v>
      </c>
      <c r="O60" s="305">
        <v>1</v>
      </c>
      <c r="P60" s="306">
        <f>O60*$L$27</f>
        <v>63422.17</v>
      </c>
      <c r="Q60" s="305">
        <v>1</v>
      </c>
      <c r="R60" s="306">
        <f>Q60*$L$27</f>
        <v>63422.17</v>
      </c>
      <c r="S60" s="305">
        <v>1</v>
      </c>
      <c r="T60" s="306">
        <f>S60*$L$27</f>
        <v>63422.17</v>
      </c>
      <c r="U60" s="305">
        <v>1</v>
      </c>
      <c r="V60" s="306">
        <f>U60*$L$27</f>
        <v>63422.17</v>
      </c>
      <c r="W60" s="305">
        <v>1</v>
      </c>
      <c r="X60" s="306">
        <f>W60*$L$27</f>
        <v>63422.17</v>
      </c>
      <c r="Y60" s="305">
        <v>1</v>
      </c>
      <c r="Z60" s="306">
        <f>Y60*$L$27*1.5</f>
        <v>95133.255000000005</v>
      </c>
      <c r="AA60" s="422">
        <f t="shared" si="4"/>
        <v>824488.21000000008</v>
      </c>
    </row>
    <row r="61" spans="2:27" x14ac:dyDescent="0.25">
      <c r="B61" s="423"/>
      <c r="C61" s="305">
        <v>1</v>
      </c>
      <c r="D61" s="306">
        <f>C61*$L$28</f>
        <v>51229.17</v>
      </c>
      <c r="E61" s="305">
        <v>1</v>
      </c>
      <c r="F61" s="306">
        <f>E61*$L$28</f>
        <v>51229.17</v>
      </c>
      <c r="G61" s="305">
        <v>1</v>
      </c>
      <c r="H61" s="306">
        <f>G61*$L$28</f>
        <v>51229.17</v>
      </c>
      <c r="I61" s="305">
        <v>1</v>
      </c>
      <c r="J61" s="306">
        <f>I61*$L$28</f>
        <v>51229.17</v>
      </c>
      <c r="K61" s="305">
        <v>1</v>
      </c>
      <c r="L61" s="306">
        <f>K61*$L$28</f>
        <v>51229.17</v>
      </c>
      <c r="M61" s="305">
        <v>1</v>
      </c>
      <c r="N61" s="306">
        <f>$L$28*M61*(1+6/12)</f>
        <v>76843.755000000005</v>
      </c>
      <c r="O61" s="305">
        <v>1</v>
      </c>
      <c r="P61" s="306">
        <f>O61*$L$28</f>
        <v>51229.17</v>
      </c>
      <c r="Q61" s="305">
        <v>1</v>
      </c>
      <c r="R61" s="306">
        <f>Q61*$L$28</f>
        <v>51229.17</v>
      </c>
      <c r="S61" s="305">
        <v>1</v>
      </c>
      <c r="T61" s="306">
        <f>S61*$L$28</f>
        <v>51229.17</v>
      </c>
      <c r="U61" s="305">
        <v>1</v>
      </c>
      <c r="V61" s="306">
        <f>U61*$L$28</f>
        <v>51229.17</v>
      </c>
      <c r="W61" s="305">
        <v>1</v>
      </c>
      <c r="X61" s="306">
        <f>$L$28*W61</f>
        <v>51229.17</v>
      </c>
      <c r="Y61" s="305">
        <v>1</v>
      </c>
      <c r="Z61" s="306">
        <f>$L$28*Y61*(1+6/12)</f>
        <v>76843.755000000005</v>
      </c>
      <c r="AA61" s="422">
        <f t="shared" si="4"/>
        <v>665979.21</v>
      </c>
    </row>
    <row r="62" spans="2:27" x14ac:dyDescent="0.25">
      <c r="B62" s="423"/>
      <c r="C62" s="305">
        <v>1</v>
      </c>
      <c r="D62" s="306">
        <f>C62*$L$30</f>
        <v>58544.97</v>
      </c>
      <c r="E62" s="305">
        <v>1</v>
      </c>
      <c r="F62" s="306">
        <f>E62*$L$30</f>
        <v>58544.97</v>
      </c>
      <c r="G62" s="305">
        <v>1</v>
      </c>
      <c r="H62" s="306">
        <f>G62*$L$30</f>
        <v>58544.97</v>
      </c>
      <c r="I62" s="305">
        <v>1</v>
      </c>
      <c r="J62" s="306">
        <f>I62*$L$30</f>
        <v>58544.97</v>
      </c>
      <c r="K62" s="305">
        <v>1</v>
      </c>
      <c r="L62" s="306">
        <f>K62*$L$30</f>
        <v>58544.97</v>
      </c>
      <c r="M62" s="305">
        <v>1</v>
      </c>
      <c r="N62" s="306">
        <f>M62*$L$30*1.5</f>
        <v>87817.455000000002</v>
      </c>
      <c r="O62" s="305">
        <v>1</v>
      </c>
      <c r="P62" s="306">
        <f>O62*$L$30</f>
        <v>58544.97</v>
      </c>
      <c r="Q62" s="305">
        <v>1</v>
      </c>
      <c r="R62" s="306">
        <f>Q62*$L$30</f>
        <v>58544.97</v>
      </c>
      <c r="S62" s="305">
        <v>1</v>
      </c>
      <c r="T62" s="306">
        <f>S62*$L$30</f>
        <v>58544.97</v>
      </c>
      <c r="U62" s="305">
        <v>1</v>
      </c>
      <c r="V62" s="306">
        <f>U62*$L$30</f>
        <v>58544.97</v>
      </c>
      <c r="W62" s="305">
        <v>1</v>
      </c>
      <c r="X62" s="306">
        <f>W62*$L$30</f>
        <v>58544.97</v>
      </c>
      <c r="Y62" s="305">
        <v>1</v>
      </c>
      <c r="Z62" s="306">
        <f>Y62*$L$30*1.5</f>
        <v>87817.455000000002</v>
      </c>
      <c r="AA62" s="422">
        <f t="shared" si="4"/>
        <v>761084.60999999987</v>
      </c>
    </row>
    <row r="63" spans="2:27" x14ac:dyDescent="0.25">
      <c r="B63" s="423"/>
      <c r="C63" s="305">
        <v>1</v>
      </c>
      <c r="D63" s="306">
        <f>C63*$L$31</f>
        <v>48790.57</v>
      </c>
      <c r="E63" s="305">
        <v>1</v>
      </c>
      <c r="F63" s="306">
        <f>E63*$L$31</f>
        <v>48790.57</v>
      </c>
      <c r="G63" s="305">
        <v>1</v>
      </c>
      <c r="H63" s="306">
        <f>G63*$L$31</f>
        <v>48790.57</v>
      </c>
      <c r="I63" s="305">
        <v>1</v>
      </c>
      <c r="J63" s="306">
        <f>I63*$L$31</f>
        <v>48790.57</v>
      </c>
      <c r="K63" s="305">
        <v>1</v>
      </c>
      <c r="L63" s="306">
        <f>K63*$L$31</f>
        <v>48790.57</v>
      </c>
      <c r="M63" s="305">
        <v>1</v>
      </c>
      <c r="N63" s="306">
        <f>M63*$L$31*1.5</f>
        <v>73185.854999999996</v>
      </c>
      <c r="O63" s="305">
        <v>1</v>
      </c>
      <c r="P63" s="306">
        <f>O63*$L$31</f>
        <v>48790.57</v>
      </c>
      <c r="Q63" s="305">
        <v>1</v>
      </c>
      <c r="R63" s="306">
        <f>Q63*$L$31</f>
        <v>48790.57</v>
      </c>
      <c r="S63" s="305">
        <v>1</v>
      </c>
      <c r="T63" s="306">
        <f>S63*$L$31</f>
        <v>48790.57</v>
      </c>
      <c r="U63" s="305">
        <v>1</v>
      </c>
      <c r="V63" s="306">
        <f>U63*$L$31</f>
        <v>48790.57</v>
      </c>
      <c r="W63" s="305">
        <v>1</v>
      </c>
      <c r="X63" s="306">
        <f>W63*$L$31</f>
        <v>48790.57</v>
      </c>
      <c r="Y63" s="305">
        <v>1</v>
      </c>
      <c r="Z63" s="306">
        <f>Y63*$L$31*1.5</f>
        <v>73185.854999999996</v>
      </c>
      <c r="AA63" s="422">
        <f t="shared" si="4"/>
        <v>634277.41</v>
      </c>
    </row>
    <row r="64" spans="2:27" x14ac:dyDescent="0.25">
      <c r="B64" s="423"/>
      <c r="C64" s="305">
        <v>1</v>
      </c>
      <c r="D64" s="306">
        <f>C64*$L$23</f>
        <v>39036.17</v>
      </c>
      <c r="E64" s="305">
        <v>1</v>
      </c>
      <c r="F64" s="306">
        <f>E64*$L$23</f>
        <v>39036.17</v>
      </c>
      <c r="G64" s="305">
        <v>1</v>
      </c>
      <c r="H64" s="306">
        <f>G64*$L$23</f>
        <v>39036.17</v>
      </c>
      <c r="I64" s="305">
        <v>1</v>
      </c>
      <c r="J64" s="306">
        <f>I64*$L$23</f>
        <v>39036.17</v>
      </c>
      <c r="K64" s="305">
        <v>1</v>
      </c>
      <c r="L64" s="306">
        <f>K64*$L$23</f>
        <v>39036.17</v>
      </c>
      <c r="M64" s="305">
        <v>1</v>
      </c>
      <c r="N64" s="306">
        <f>M64*$L$23*1.5</f>
        <v>58554.254999999997</v>
      </c>
      <c r="O64" s="305">
        <v>1</v>
      </c>
      <c r="P64" s="306">
        <f>O64*$L$23</f>
        <v>39036.17</v>
      </c>
      <c r="Q64" s="305">
        <v>1</v>
      </c>
      <c r="R64" s="306">
        <f>Q64*$L$23</f>
        <v>39036.17</v>
      </c>
      <c r="S64" s="305">
        <v>1</v>
      </c>
      <c r="T64" s="306">
        <f>S64*$L$23</f>
        <v>39036.17</v>
      </c>
      <c r="U64" s="305">
        <v>1</v>
      </c>
      <c r="V64" s="306">
        <f>U64*$L$23</f>
        <v>39036.17</v>
      </c>
      <c r="W64" s="305">
        <v>1</v>
      </c>
      <c r="X64" s="306">
        <f>W64*$L$23</f>
        <v>39036.17</v>
      </c>
      <c r="Y64" s="305">
        <v>1</v>
      </c>
      <c r="Z64" s="306">
        <f>Y64*$L$23*1.5</f>
        <v>58554.254999999997</v>
      </c>
      <c r="AA64" s="422">
        <f t="shared" si="4"/>
        <v>507470.2099999999</v>
      </c>
    </row>
    <row r="65" spans="2:29" x14ac:dyDescent="0.25">
      <c r="B65" s="423"/>
      <c r="C65" s="305">
        <v>2</v>
      </c>
      <c r="D65" s="306">
        <f>C65*$L$26</f>
        <v>78072.34</v>
      </c>
      <c r="E65" s="305">
        <v>2</v>
      </c>
      <c r="F65" s="306">
        <f>E65*$L$26</f>
        <v>78072.34</v>
      </c>
      <c r="G65" s="305">
        <v>2</v>
      </c>
      <c r="H65" s="306">
        <f>G65*$L$26</f>
        <v>78072.34</v>
      </c>
      <c r="I65" s="305">
        <v>2</v>
      </c>
      <c r="J65" s="306">
        <f>I65*$L$26</f>
        <v>78072.34</v>
      </c>
      <c r="K65" s="305">
        <v>2</v>
      </c>
      <c r="L65" s="306">
        <f>K65*$L$26</f>
        <v>78072.34</v>
      </c>
      <c r="M65" s="305">
        <v>2</v>
      </c>
      <c r="N65" s="306">
        <f>M65*$L$26*1.5</f>
        <v>117108.51</v>
      </c>
      <c r="O65" s="305">
        <v>2</v>
      </c>
      <c r="P65" s="306">
        <f>O65*$L$26</f>
        <v>78072.34</v>
      </c>
      <c r="Q65" s="305">
        <v>2</v>
      </c>
      <c r="R65" s="306">
        <f>Q65*$L$26</f>
        <v>78072.34</v>
      </c>
      <c r="S65" s="305">
        <v>2</v>
      </c>
      <c r="T65" s="306">
        <f>S65*$L$26</f>
        <v>78072.34</v>
      </c>
      <c r="U65" s="305">
        <v>2</v>
      </c>
      <c r="V65" s="306">
        <f>U65*$L$26</f>
        <v>78072.34</v>
      </c>
      <c r="W65" s="305">
        <v>2</v>
      </c>
      <c r="X65" s="306">
        <f>W65*$L$26</f>
        <v>78072.34</v>
      </c>
      <c r="Y65" s="305">
        <v>2</v>
      </c>
      <c r="Z65" s="306">
        <f>Y65*$L$26*1.5</f>
        <v>117108.51</v>
      </c>
      <c r="AA65" s="422">
        <f t="shared" si="4"/>
        <v>1014940.4199999998</v>
      </c>
    </row>
    <row r="66" spans="2:29" x14ac:dyDescent="0.25">
      <c r="B66" s="423"/>
      <c r="C66" s="305">
        <v>2</v>
      </c>
      <c r="D66" s="306">
        <f>C66*$L$24</f>
        <v>78072.34</v>
      </c>
      <c r="E66" s="305">
        <v>2</v>
      </c>
      <c r="F66" s="306">
        <f>E66*$L$24</f>
        <v>78072.34</v>
      </c>
      <c r="G66" s="305">
        <v>2</v>
      </c>
      <c r="H66" s="306">
        <f>G66*$L$24</f>
        <v>78072.34</v>
      </c>
      <c r="I66" s="305">
        <v>2</v>
      </c>
      <c r="J66" s="306">
        <f>I66*$L$24</f>
        <v>78072.34</v>
      </c>
      <c r="K66" s="305">
        <v>2</v>
      </c>
      <c r="L66" s="306">
        <f>K66*$L$24</f>
        <v>78072.34</v>
      </c>
      <c r="M66" s="305">
        <v>2</v>
      </c>
      <c r="N66" s="306">
        <f>M66*$L$24*1.5</f>
        <v>117108.51</v>
      </c>
      <c r="O66" s="305">
        <v>2</v>
      </c>
      <c r="P66" s="306">
        <f>O66*$L$24</f>
        <v>78072.34</v>
      </c>
      <c r="Q66" s="305">
        <v>2</v>
      </c>
      <c r="R66" s="306">
        <f>Q66*$L$24</f>
        <v>78072.34</v>
      </c>
      <c r="S66" s="305">
        <v>2</v>
      </c>
      <c r="T66" s="306">
        <f>S66*$L$24</f>
        <v>78072.34</v>
      </c>
      <c r="U66" s="305">
        <v>2</v>
      </c>
      <c r="V66" s="306">
        <f>U66*$L$24</f>
        <v>78072.34</v>
      </c>
      <c r="W66" s="305">
        <v>2</v>
      </c>
      <c r="X66" s="306">
        <f>W66*$L$24</f>
        <v>78072.34</v>
      </c>
      <c r="Y66" s="305">
        <v>2</v>
      </c>
      <c r="Z66" s="306">
        <f>Y66*$L$24*1.5</f>
        <v>117108.51</v>
      </c>
      <c r="AA66" s="422">
        <f t="shared" si="4"/>
        <v>1014940.4199999998</v>
      </c>
    </row>
    <row r="67" spans="2:29" x14ac:dyDescent="0.25">
      <c r="B67" s="421"/>
      <c r="C67" s="305">
        <v>1</v>
      </c>
      <c r="D67" s="306">
        <f>C67*$L$25</f>
        <v>19527.37</v>
      </c>
      <c r="E67" s="305">
        <v>1</v>
      </c>
      <c r="F67" s="306">
        <f>E67*$L$25</f>
        <v>19527.37</v>
      </c>
      <c r="G67" s="305">
        <v>1</v>
      </c>
      <c r="H67" s="306">
        <f>G67*$L$25</f>
        <v>19527.37</v>
      </c>
      <c r="I67" s="305">
        <v>1</v>
      </c>
      <c r="J67" s="306">
        <f>I67*$L$25</f>
        <v>19527.37</v>
      </c>
      <c r="K67" s="305">
        <v>1</v>
      </c>
      <c r="L67" s="306">
        <f>K67*$L$25</f>
        <v>19527.37</v>
      </c>
      <c r="M67" s="305">
        <v>1</v>
      </c>
      <c r="N67" s="306">
        <f>M67*$L$25*1.5</f>
        <v>29291.055</v>
      </c>
      <c r="O67" s="305">
        <v>1</v>
      </c>
      <c r="P67" s="306">
        <f>O67*$L$25</f>
        <v>19527.37</v>
      </c>
      <c r="Q67" s="305">
        <v>1</v>
      </c>
      <c r="R67" s="306">
        <f>Q67*$L$25</f>
        <v>19527.37</v>
      </c>
      <c r="S67" s="305">
        <v>1</v>
      </c>
      <c r="T67" s="306">
        <f>S67*$L$25</f>
        <v>19527.37</v>
      </c>
      <c r="U67" s="305">
        <v>1</v>
      </c>
      <c r="V67" s="306">
        <f>U67*$L$25</f>
        <v>19527.37</v>
      </c>
      <c r="W67" s="305">
        <v>1</v>
      </c>
      <c r="X67" s="306">
        <f>W67*$L$25</f>
        <v>19527.37</v>
      </c>
      <c r="Y67" s="305">
        <v>1</v>
      </c>
      <c r="Z67" s="306">
        <f>Y67*$L$25*1.5</f>
        <v>29291.055</v>
      </c>
      <c r="AA67" s="422">
        <f t="shared" si="4"/>
        <v>253855.80999999997</v>
      </c>
    </row>
    <row r="68" spans="2:29" x14ac:dyDescent="0.25">
      <c r="B68" s="421"/>
      <c r="C68" s="305">
        <v>0</v>
      </c>
      <c r="D68" s="306">
        <f>C68*D20</f>
        <v>0</v>
      </c>
      <c r="E68" s="305">
        <v>0</v>
      </c>
      <c r="F68" s="306">
        <f>E68*F20</f>
        <v>0</v>
      </c>
      <c r="G68" s="305">
        <v>0</v>
      </c>
      <c r="H68" s="306">
        <f>G68*H20</f>
        <v>0</v>
      </c>
      <c r="I68" s="305">
        <v>0</v>
      </c>
      <c r="J68" s="306">
        <f>I68*J20</f>
        <v>0</v>
      </c>
      <c r="K68" s="409">
        <v>1</v>
      </c>
      <c r="L68" s="306">
        <f>K68*$L$20</f>
        <v>63422.17</v>
      </c>
      <c r="M68" s="305">
        <v>1</v>
      </c>
      <c r="N68" s="306">
        <f>M68*$L$20*(1+2/12)</f>
        <v>73992.531666666662</v>
      </c>
      <c r="O68" s="305">
        <v>1</v>
      </c>
      <c r="P68" s="306">
        <f>O68*$L$20</f>
        <v>63422.17</v>
      </c>
      <c r="Q68" s="305">
        <v>1</v>
      </c>
      <c r="R68" s="306">
        <f>Q68*$L$20</f>
        <v>63422.17</v>
      </c>
      <c r="S68" s="305">
        <v>1</v>
      </c>
      <c r="T68" s="306">
        <f>S68*$L$20</f>
        <v>63422.17</v>
      </c>
      <c r="U68" s="305">
        <v>1</v>
      </c>
      <c r="V68" s="306">
        <f>U68*$L$20</f>
        <v>63422.17</v>
      </c>
      <c r="W68" s="305">
        <v>1</v>
      </c>
      <c r="X68" s="306">
        <f>W68*$L$20</f>
        <v>63422.17</v>
      </c>
      <c r="Y68" s="305">
        <v>1</v>
      </c>
      <c r="Z68" s="306">
        <f>Y68*$L$20*(1+6/12)</f>
        <v>95133.255000000005</v>
      </c>
      <c r="AA68" s="422">
        <f t="shared" si="4"/>
        <v>549658.80666666664</v>
      </c>
    </row>
    <row r="69" spans="2:29" ht="15.75" x14ac:dyDescent="0.25">
      <c r="B69" s="428" t="s">
        <v>216</v>
      </c>
      <c r="C69" s="34">
        <f t="shared" ref="C69:Z69" si="5">SUM(C58:C68)</f>
        <v>12</v>
      </c>
      <c r="D69" s="408">
        <f t="shared" si="5"/>
        <v>607434.23999999987</v>
      </c>
      <c r="E69" s="34">
        <f t="shared" si="5"/>
        <v>12</v>
      </c>
      <c r="F69" s="408">
        <f t="shared" si="5"/>
        <v>607434.23999999987</v>
      </c>
      <c r="G69" s="34">
        <f t="shared" si="5"/>
        <v>12</v>
      </c>
      <c r="H69" s="408">
        <f t="shared" si="5"/>
        <v>607434.23999999987</v>
      </c>
      <c r="I69" s="34">
        <f t="shared" si="5"/>
        <v>12</v>
      </c>
      <c r="J69" s="408">
        <f t="shared" si="5"/>
        <v>607434.23999999987</v>
      </c>
      <c r="K69" s="34">
        <f t="shared" si="5"/>
        <v>13</v>
      </c>
      <c r="L69" s="408">
        <f t="shared" si="5"/>
        <v>670856.40999999992</v>
      </c>
      <c r="M69" s="34">
        <f t="shared" si="5"/>
        <v>13</v>
      </c>
      <c r="N69" s="408">
        <f t="shared" si="5"/>
        <v>985143.89166666672</v>
      </c>
      <c r="O69" s="34">
        <f t="shared" si="5"/>
        <v>13</v>
      </c>
      <c r="P69" s="408">
        <f t="shared" si="5"/>
        <v>670856.40999999992</v>
      </c>
      <c r="Q69" s="34">
        <f t="shared" si="5"/>
        <v>13</v>
      </c>
      <c r="R69" s="408">
        <f t="shared" si="5"/>
        <v>670856.40999999992</v>
      </c>
      <c r="S69" s="34">
        <f t="shared" si="5"/>
        <v>13</v>
      </c>
      <c r="T69" s="408">
        <f t="shared" si="5"/>
        <v>670856.40999999992</v>
      </c>
      <c r="U69" s="34">
        <f t="shared" si="5"/>
        <v>13</v>
      </c>
      <c r="V69" s="408">
        <f t="shared" si="5"/>
        <v>670856.40999999992</v>
      </c>
      <c r="W69" s="34">
        <f t="shared" si="5"/>
        <v>13</v>
      </c>
      <c r="X69" s="408">
        <f t="shared" si="5"/>
        <v>670856.40999999992</v>
      </c>
      <c r="Y69" s="34">
        <f t="shared" si="5"/>
        <v>13</v>
      </c>
      <c r="Z69" s="408">
        <f t="shared" si="5"/>
        <v>1006284.6150000001</v>
      </c>
      <c r="AA69" s="429">
        <f>Z69+X69+V69+T69+R69+P69+N69+L69+J69+H69+F69+D69</f>
        <v>8446303.9266666677</v>
      </c>
    </row>
    <row r="70" spans="2:29" ht="15.75" thickBot="1" x14ac:dyDescent="0.3">
      <c r="B70" s="430"/>
      <c r="C70" s="431"/>
      <c r="D70" s="431"/>
      <c r="E70" s="431"/>
      <c r="F70" s="431"/>
      <c r="G70" s="431"/>
      <c r="H70" s="431"/>
      <c r="I70" s="431"/>
      <c r="J70" s="431"/>
      <c r="K70" s="431"/>
      <c r="L70" s="431"/>
      <c r="M70" s="431"/>
      <c r="N70" s="431"/>
      <c r="O70" s="431"/>
      <c r="P70" s="431"/>
      <c r="Q70" s="431"/>
      <c r="R70" s="431"/>
      <c r="S70" s="431"/>
      <c r="T70" s="431"/>
      <c r="U70" s="431"/>
      <c r="V70" s="431"/>
      <c r="W70" s="431"/>
      <c r="X70" s="431"/>
      <c r="Y70" s="431"/>
      <c r="Z70" s="431"/>
      <c r="AA70" s="432"/>
    </row>
    <row r="71" spans="2:29" ht="15.75" thickBot="1" x14ac:dyDescent="0.3"/>
    <row r="72" spans="2:29" ht="27" thickBot="1" x14ac:dyDescent="0.45">
      <c r="B72" s="918" t="s">
        <v>218</v>
      </c>
      <c r="C72" s="919"/>
      <c r="D72" s="919"/>
      <c r="E72" s="919"/>
      <c r="F72" s="919"/>
      <c r="G72" s="919"/>
      <c r="H72" s="919"/>
      <c r="I72" s="919"/>
      <c r="J72" s="919"/>
      <c r="K72" s="919"/>
      <c r="L72" s="919"/>
      <c r="M72" s="919"/>
      <c r="N72" s="919"/>
      <c r="O72" s="919"/>
      <c r="P72" s="919"/>
      <c r="Q72" s="919"/>
      <c r="R72" s="919"/>
      <c r="S72" s="919"/>
      <c r="T72" s="919"/>
      <c r="U72" s="919"/>
      <c r="V72" s="919"/>
      <c r="W72" s="919"/>
      <c r="X72" s="919"/>
      <c r="Y72" s="919"/>
      <c r="Z72" s="919"/>
      <c r="AA72" s="920"/>
    </row>
    <row r="73" spans="2:29" ht="15.75" x14ac:dyDescent="0.25">
      <c r="B73" s="931" t="s">
        <v>201</v>
      </c>
      <c r="C73" s="933" t="s">
        <v>42</v>
      </c>
      <c r="D73" s="933"/>
      <c r="E73" s="933" t="s">
        <v>43</v>
      </c>
      <c r="F73" s="933"/>
      <c r="G73" s="933" t="s">
        <v>44</v>
      </c>
      <c r="H73" s="933"/>
      <c r="I73" s="933" t="s">
        <v>45</v>
      </c>
      <c r="J73" s="933"/>
      <c r="K73" s="933" t="s">
        <v>46</v>
      </c>
      <c r="L73" s="933"/>
      <c r="M73" s="933" t="s">
        <v>213</v>
      </c>
      <c r="N73" s="933"/>
      <c r="O73" s="933" t="s">
        <v>48</v>
      </c>
      <c r="P73" s="933"/>
      <c r="Q73" s="933" t="s">
        <v>49</v>
      </c>
      <c r="R73" s="933"/>
      <c r="S73" s="933" t="s">
        <v>50</v>
      </c>
      <c r="T73" s="933"/>
      <c r="U73" s="933" t="s">
        <v>51</v>
      </c>
      <c r="V73" s="933"/>
      <c r="W73" s="933" t="s">
        <v>52</v>
      </c>
      <c r="X73" s="933"/>
      <c r="Y73" s="933" t="s">
        <v>214</v>
      </c>
      <c r="Z73" s="933"/>
      <c r="AA73" s="929" t="s">
        <v>154</v>
      </c>
    </row>
    <row r="74" spans="2:29" ht="15.75" x14ac:dyDescent="0.25">
      <c r="B74" s="932"/>
      <c r="C74" s="407" t="s">
        <v>60</v>
      </c>
      <c r="D74" s="407" t="s">
        <v>104</v>
      </c>
      <c r="E74" s="407" t="s">
        <v>60</v>
      </c>
      <c r="F74" s="407" t="s">
        <v>104</v>
      </c>
      <c r="G74" s="407" t="s">
        <v>60</v>
      </c>
      <c r="H74" s="407" t="s">
        <v>104</v>
      </c>
      <c r="I74" s="407" t="s">
        <v>60</v>
      </c>
      <c r="J74" s="407" t="s">
        <v>104</v>
      </c>
      <c r="K74" s="407" t="s">
        <v>60</v>
      </c>
      <c r="L74" s="407" t="s">
        <v>104</v>
      </c>
      <c r="M74" s="407" t="s">
        <v>60</v>
      </c>
      <c r="N74" s="407" t="s">
        <v>104</v>
      </c>
      <c r="O74" s="407" t="s">
        <v>60</v>
      </c>
      <c r="P74" s="407" t="s">
        <v>104</v>
      </c>
      <c r="Q74" s="407" t="s">
        <v>60</v>
      </c>
      <c r="R74" s="407" t="s">
        <v>104</v>
      </c>
      <c r="S74" s="407" t="s">
        <v>60</v>
      </c>
      <c r="T74" s="407" t="s">
        <v>104</v>
      </c>
      <c r="U74" s="407" t="s">
        <v>60</v>
      </c>
      <c r="V74" s="407" t="s">
        <v>104</v>
      </c>
      <c r="W74" s="407" t="s">
        <v>60</v>
      </c>
      <c r="X74" s="407" t="s">
        <v>104</v>
      </c>
      <c r="Y74" s="407" t="s">
        <v>60</v>
      </c>
      <c r="Z74" s="407" t="s">
        <v>104</v>
      </c>
      <c r="AA74" s="930"/>
    </row>
    <row r="75" spans="2:29" x14ac:dyDescent="0.25">
      <c r="B75" s="421"/>
      <c r="C75" s="305">
        <v>1</v>
      </c>
      <c r="D75" s="306">
        <f>C75*$L$14</f>
        <v>97562.57</v>
      </c>
      <c r="E75" s="305">
        <v>1</v>
      </c>
      <c r="F75" s="306">
        <f>E75*$L$14</f>
        <v>97562.57</v>
      </c>
      <c r="G75" s="305">
        <v>1</v>
      </c>
      <c r="H75" s="306">
        <f>G75*$L$14</f>
        <v>97562.57</v>
      </c>
      <c r="I75" s="305">
        <v>1</v>
      </c>
      <c r="J75" s="306">
        <f>I75*$L$14</f>
        <v>97562.57</v>
      </c>
      <c r="K75" s="305">
        <v>1</v>
      </c>
      <c r="L75" s="306">
        <f>K75*$L$14</f>
        <v>97562.57</v>
      </c>
      <c r="M75" s="305">
        <v>1</v>
      </c>
      <c r="N75" s="306">
        <f>M75*$L$14*1.5</f>
        <v>146343.85500000001</v>
      </c>
      <c r="O75" s="305">
        <v>1</v>
      </c>
      <c r="P75" s="306">
        <f>O75*$L$14</f>
        <v>97562.57</v>
      </c>
      <c r="Q75" s="305">
        <v>1</v>
      </c>
      <c r="R75" s="306">
        <f>Q75*$L$14</f>
        <v>97562.57</v>
      </c>
      <c r="S75" s="305">
        <v>1</v>
      </c>
      <c r="T75" s="306">
        <f>S75*$L$14</f>
        <v>97562.57</v>
      </c>
      <c r="U75" s="305">
        <v>1</v>
      </c>
      <c r="V75" s="306">
        <f>U75*$L$14</f>
        <v>97562.57</v>
      </c>
      <c r="W75" s="305">
        <v>1</v>
      </c>
      <c r="X75" s="306">
        <f>W75*$L$14</f>
        <v>97562.57</v>
      </c>
      <c r="Y75" s="305">
        <v>1</v>
      </c>
      <c r="Z75" s="306">
        <f>Y75*$L$14*1.5</f>
        <v>146343.85500000001</v>
      </c>
      <c r="AA75" s="422">
        <f>D75+F75+H75+J75+L75+N75+P75+R75+T75+V75+X75+Z75</f>
        <v>1268313.4100000004</v>
      </c>
    </row>
    <row r="76" spans="2:29" x14ac:dyDescent="0.25">
      <c r="B76" s="423"/>
      <c r="C76" s="305">
        <v>1</v>
      </c>
      <c r="D76" s="306">
        <f>C76*$L$15</f>
        <v>73176.570000000007</v>
      </c>
      <c r="E76" s="305">
        <v>1</v>
      </c>
      <c r="F76" s="306">
        <f>E76*$L$15</f>
        <v>73176.570000000007</v>
      </c>
      <c r="G76" s="305">
        <v>1</v>
      </c>
      <c r="H76" s="306">
        <f>G76*$L$15</f>
        <v>73176.570000000007</v>
      </c>
      <c r="I76" s="305">
        <v>1</v>
      </c>
      <c r="J76" s="306">
        <f>I76*$L$15</f>
        <v>73176.570000000007</v>
      </c>
      <c r="K76" s="305">
        <v>1</v>
      </c>
      <c r="L76" s="306">
        <f>K76*$L$15</f>
        <v>73176.570000000007</v>
      </c>
      <c r="M76" s="305">
        <v>1</v>
      </c>
      <c r="N76" s="306">
        <f>M76*$L$15*1.5</f>
        <v>109764.85500000001</v>
      </c>
      <c r="O76" s="305">
        <v>1</v>
      </c>
      <c r="P76" s="306">
        <f>O76*$L$15</f>
        <v>73176.570000000007</v>
      </c>
      <c r="Q76" s="305">
        <v>1</v>
      </c>
      <c r="R76" s="306">
        <f>Q76*$L$15</f>
        <v>73176.570000000007</v>
      </c>
      <c r="S76" s="305">
        <v>1</v>
      </c>
      <c r="T76" s="306">
        <f>S76*$L$15</f>
        <v>73176.570000000007</v>
      </c>
      <c r="U76" s="305">
        <v>1</v>
      </c>
      <c r="V76" s="306">
        <f>U76*$L$15</f>
        <v>73176.570000000007</v>
      </c>
      <c r="W76" s="305">
        <v>1</v>
      </c>
      <c r="X76" s="306">
        <f>W76*$L$15</f>
        <v>73176.570000000007</v>
      </c>
      <c r="Y76" s="305">
        <v>1</v>
      </c>
      <c r="Z76" s="306">
        <f>Y76*$L$15*1.5</f>
        <v>109764.85500000001</v>
      </c>
      <c r="AA76" s="422">
        <f t="shared" ref="AA76:AA85" si="6">D76+F76+H76+J76+L76+N76+P76+R76+T76+V76+X76+Z76</f>
        <v>951295.41000000038</v>
      </c>
    </row>
    <row r="77" spans="2:29" x14ac:dyDescent="0.25">
      <c r="B77" s="423"/>
      <c r="C77" s="305">
        <v>1</v>
      </c>
      <c r="D77" s="306">
        <f>C77*$L$27</f>
        <v>63422.17</v>
      </c>
      <c r="E77" s="305">
        <v>1</v>
      </c>
      <c r="F77" s="306">
        <f>E77*$L$27</f>
        <v>63422.17</v>
      </c>
      <c r="G77" s="305">
        <v>1</v>
      </c>
      <c r="H77" s="306">
        <f>G77*$L$27</f>
        <v>63422.17</v>
      </c>
      <c r="I77" s="305">
        <v>1</v>
      </c>
      <c r="J77" s="306">
        <f>I77*$L$27</f>
        <v>63422.17</v>
      </c>
      <c r="K77" s="305">
        <v>1</v>
      </c>
      <c r="L77" s="306">
        <f>K77*$L$27</f>
        <v>63422.17</v>
      </c>
      <c r="M77" s="305">
        <v>1</v>
      </c>
      <c r="N77" s="306">
        <f>M77*$L$27*1.5</f>
        <v>95133.255000000005</v>
      </c>
      <c r="O77" s="305">
        <v>1</v>
      </c>
      <c r="P77" s="306">
        <f>O77*$L$27</f>
        <v>63422.17</v>
      </c>
      <c r="Q77" s="305">
        <v>1</v>
      </c>
      <c r="R77" s="306">
        <f>Q77*$L$27</f>
        <v>63422.17</v>
      </c>
      <c r="S77" s="305">
        <v>1</v>
      </c>
      <c r="T77" s="306">
        <f>S77*$L$27</f>
        <v>63422.17</v>
      </c>
      <c r="U77" s="305">
        <v>1</v>
      </c>
      <c r="V77" s="306">
        <f>U77*$L$27</f>
        <v>63422.17</v>
      </c>
      <c r="W77" s="305">
        <v>1</v>
      </c>
      <c r="X77" s="306">
        <f>W77*$L$27</f>
        <v>63422.17</v>
      </c>
      <c r="Y77" s="305">
        <v>1</v>
      </c>
      <c r="Z77" s="306">
        <f>Y77*$L$27*1.5</f>
        <v>95133.255000000005</v>
      </c>
      <c r="AA77" s="422">
        <f t="shared" si="6"/>
        <v>824488.21000000008</v>
      </c>
    </row>
    <row r="78" spans="2:29" x14ac:dyDescent="0.25">
      <c r="B78" s="423"/>
      <c r="C78" s="305">
        <v>1</v>
      </c>
      <c r="D78" s="306">
        <f>C78*$L$28</f>
        <v>51229.17</v>
      </c>
      <c r="E78" s="305">
        <v>1</v>
      </c>
      <c r="F78" s="306">
        <f>E78*$L$28</f>
        <v>51229.17</v>
      </c>
      <c r="G78" s="305">
        <v>1</v>
      </c>
      <c r="H78" s="306">
        <f>G78*$L$28</f>
        <v>51229.17</v>
      </c>
      <c r="I78" s="305">
        <v>1</v>
      </c>
      <c r="J78" s="306">
        <f>I78*$L$28</f>
        <v>51229.17</v>
      </c>
      <c r="K78" s="305">
        <v>1</v>
      </c>
      <c r="L78" s="306">
        <f>K78*$L$28</f>
        <v>51229.17</v>
      </c>
      <c r="M78" s="305">
        <v>1</v>
      </c>
      <c r="N78" s="306">
        <f>$L$28*M78*(1+6/12)</f>
        <v>76843.755000000005</v>
      </c>
      <c r="O78" s="305">
        <v>1</v>
      </c>
      <c r="P78" s="306">
        <f>O78*$L$28</f>
        <v>51229.17</v>
      </c>
      <c r="Q78" s="305">
        <v>1</v>
      </c>
      <c r="R78" s="306">
        <f>Q78*$L$28</f>
        <v>51229.17</v>
      </c>
      <c r="S78" s="305">
        <v>1</v>
      </c>
      <c r="T78" s="306">
        <f>S78*$L$28</f>
        <v>51229.17</v>
      </c>
      <c r="U78" s="305">
        <v>1</v>
      </c>
      <c r="V78" s="306">
        <f>U78*$L$28</f>
        <v>51229.17</v>
      </c>
      <c r="W78" s="305">
        <v>1</v>
      </c>
      <c r="X78" s="306">
        <f>$L$28*W78</f>
        <v>51229.17</v>
      </c>
      <c r="Y78" s="305">
        <v>1</v>
      </c>
      <c r="Z78" s="306">
        <f>$L$28*Y78*(1+6/12)</f>
        <v>76843.755000000005</v>
      </c>
      <c r="AA78" s="422">
        <f t="shared" si="6"/>
        <v>665979.21</v>
      </c>
    </row>
    <row r="79" spans="2:29" x14ac:dyDescent="0.25">
      <c r="B79" s="423"/>
      <c r="C79" s="305">
        <v>1</v>
      </c>
      <c r="D79" s="306">
        <f>C79*$L$30</f>
        <v>58544.97</v>
      </c>
      <c r="E79" s="305">
        <v>1</v>
      </c>
      <c r="F79" s="306">
        <f>E79*$L$30</f>
        <v>58544.97</v>
      </c>
      <c r="G79" s="305">
        <v>1</v>
      </c>
      <c r="H79" s="306">
        <f>G79*$L$30</f>
        <v>58544.97</v>
      </c>
      <c r="I79" s="305">
        <v>1</v>
      </c>
      <c r="J79" s="306">
        <f>I79*$L$30</f>
        <v>58544.97</v>
      </c>
      <c r="K79" s="305">
        <v>1</v>
      </c>
      <c r="L79" s="306">
        <f>K79*$L$30</f>
        <v>58544.97</v>
      </c>
      <c r="M79" s="305">
        <v>1</v>
      </c>
      <c r="N79" s="306">
        <f>M79*$L$30*1.5</f>
        <v>87817.455000000002</v>
      </c>
      <c r="O79" s="305">
        <v>1</v>
      </c>
      <c r="P79" s="306">
        <f>O79*$L$30</f>
        <v>58544.97</v>
      </c>
      <c r="Q79" s="305">
        <v>1</v>
      </c>
      <c r="R79" s="306">
        <f>Q79*$L$30</f>
        <v>58544.97</v>
      </c>
      <c r="S79" s="305">
        <v>1</v>
      </c>
      <c r="T79" s="306">
        <f>S79*$L$30</f>
        <v>58544.97</v>
      </c>
      <c r="U79" s="305">
        <v>1</v>
      </c>
      <c r="V79" s="306">
        <f>U79*$L$30</f>
        <v>58544.97</v>
      </c>
      <c r="W79" s="305">
        <v>1</v>
      </c>
      <c r="X79" s="306">
        <f>W79*$L$30</f>
        <v>58544.97</v>
      </c>
      <c r="Y79" s="305">
        <v>1</v>
      </c>
      <c r="Z79" s="306">
        <f>Y79*$L$30*1.5</f>
        <v>87817.455000000002</v>
      </c>
      <c r="AA79" s="422">
        <f t="shared" si="6"/>
        <v>761084.60999999987</v>
      </c>
    </row>
    <row r="80" spans="2:29" x14ac:dyDescent="0.25">
      <c r="B80" s="423"/>
      <c r="C80" s="409">
        <v>2</v>
      </c>
      <c r="D80" s="306">
        <f>C80*$L$31</f>
        <v>97581.14</v>
      </c>
      <c r="E80" s="305">
        <v>2</v>
      </c>
      <c r="F80" s="306">
        <f>E80*$L$31</f>
        <v>97581.14</v>
      </c>
      <c r="G80" s="305">
        <v>2</v>
      </c>
      <c r="H80" s="306">
        <f>G80*$L$31</f>
        <v>97581.14</v>
      </c>
      <c r="I80" s="305">
        <v>2</v>
      </c>
      <c r="J80" s="306">
        <f>I80*$L$31</f>
        <v>97581.14</v>
      </c>
      <c r="K80" s="305">
        <v>2</v>
      </c>
      <c r="L80" s="306">
        <f>K80*$L$31</f>
        <v>97581.14</v>
      </c>
      <c r="M80" s="305">
        <v>2</v>
      </c>
      <c r="N80" s="306">
        <f>M80*$L$31*1.5</f>
        <v>146371.71</v>
      </c>
      <c r="O80" s="305">
        <v>2</v>
      </c>
      <c r="P80" s="306">
        <f>O80*$L$31</f>
        <v>97581.14</v>
      </c>
      <c r="Q80" s="305">
        <v>2</v>
      </c>
      <c r="R80" s="306">
        <f>Q80*$L$31</f>
        <v>97581.14</v>
      </c>
      <c r="S80" s="305">
        <v>2</v>
      </c>
      <c r="T80" s="306">
        <f>S80*$L$31</f>
        <v>97581.14</v>
      </c>
      <c r="U80" s="305">
        <v>2</v>
      </c>
      <c r="V80" s="306">
        <f>U80*$L$31</f>
        <v>97581.14</v>
      </c>
      <c r="W80" s="305">
        <v>2</v>
      </c>
      <c r="X80" s="306">
        <f>W80*$L$31</f>
        <v>97581.14</v>
      </c>
      <c r="Y80" s="305">
        <v>2</v>
      </c>
      <c r="Z80" s="306">
        <f>Y80*$L$31*1.5</f>
        <v>146371.71</v>
      </c>
      <c r="AA80" s="422">
        <f t="shared" si="6"/>
        <v>1268554.82</v>
      </c>
      <c r="AC80" s="35"/>
    </row>
    <row r="81" spans="2:27" x14ac:dyDescent="0.25">
      <c r="B81" s="423"/>
      <c r="C81" s="305">
        <v>1</v>
      </c>
      <c r="D81" s="306">
        <f>C81*$L$23</f>
        <v>39036.17</v>
      </c>
      <c r="E81" s="305">
        <v>1</v>
      </c>
      <c r="F81" s="306">
        <f>E81*$L$23</f>
        <v>39036.17</v>
      </c>
      <c r="G81" s="305">
        <v>1</v>
      </c>
      <c r="H81" s="306">
        <f>G81*$L$23</f>
        <v>39036.17</v>
      </c>
      <c r="I81" s="305">
        <v>1</v>
      </c>
      <c r="J81" s="306">
        <f>I81*$L$23</f>
        <v>39036.17</v>
      </c>
      <c r="K81" s="305">
        <v>1</v>
      </c>
      <c r="L81" s="306">
        <f>K81*$L$23</f>
        <v>39036.17</v>
      </c>
      <c r="M81" s="305">
        <v>1</v>
      </c>
      <c r="N81" s="306">
        <f>M81*$L$23*1.5</f>
        <v>58554.254999999997</v>
      </c>
      <c r="O81" s="305">
        <v>1</v>
      </c>
      <c r="P81" s="306">
        <f>O81*$L$23</f>
        <v>39036.17</v>
      </c>
      <c r="Q81" s="305">
        <v>1</v>
      </c>
      <c r="R81" s="306">
        <f>Q81*$L$23</f>
        <v>39036.17</v>
      </c>
      <c r="S81" s="305">
        <v>1</v>
      </c>
      <c r="T81" s="306">
        <f>S81*$L$23</f>
        <v>39036.17</v>
      </c>
      <c r="U81" s="305">
        <v>1</v>
      </c>
      <c r="V81" s="306">
        <f>U81*$L$23</f>
        <v>39036.17</v>
      </c>
      <c r="W81" s="305">
        <v>1</v>
      </c>
      <c r="X81" s="306">
        <f>W81*$L$23</f>
        <v>39036.17</v>
      </c>
      <c r="Y81" s="305">
        <v>1</v>
      </c>
      <c r="Z81" s="306">
        <f>Y81*$L$23*1.5</f>
        <v>58554.254999999997</v>
      </c>
      <c r="AA81" s="422">
        <f t="shared" si="6"/>
        <v>507470.2099999999</v>
      </c>
    </row>
    <row r="82" spans="2:27" x14ac:dyDescent="0.25">
      <c r="B82" s="423"/>
      <c r="C82" s="305">
        <v>2</v>
      </c>
      <c r="D82" s="306">
        <f>C82*$L$26</f>
        <v>78072.34</v>
      </c>
      <c r="E82" s="305">
        <v>2</v>
      </c>
      <c r="F82" s="306">
        <f>E82*$L$26</f>
        <v>78072.34</v>
      </c>
      <c r="G82" s="305">
        <v>2</v>
      </c>
      <c r="H82" s="306">
        <f>G82*$L$26</f>
        <v>78072.34</v>
      </c>
      <c r="I82" s="305">
        <v>2</v>
      </c>
      <c r="J82" s="306">
        <f>I82*$L$26</f>
        <v>78072.34</v>
      </c>
      <c r="K82" s="305">
        <v>2</v>
      </c>
      <c r="L82" s="306">
        <f>K82*$L$26</f>
        <v>78072.34</v>
      </c>
      <c r="M82" s="305">
        <v>2</v>
      </c>
      <c r="N82" s="306">
        <f>M82*$L$26*1.5</f>
        <v>117108.51</v>
      </c>
      <c r="O82" s="305">
        <v>2</v>
      </c>
      <c r="P82" s="306">
        <f>O82*$L$26</f>
        <v>78072.34</v>
      </c>
      <c r="Q82" s="305">
        <v>2</v>
      </c>
      <c r="R82" s="306">
        <f>Q82*$L$26</f>
        <v>78072.34</v>
      </c>
      <c r="S82" s="409">
        <v>3</v>
      </c>
      <c r="T82" s="306">
        <f>S82*$L$26</f>
        <v>117108.51</v>
      </c>
      <c r="U82" s="305">
        <v>3</v>
      </c>
      <c r="V82" s="306">
        <f>U82*$L$26</f>
        <v>117108.51</v>
      </c>
      <c r="W82" s="305">
        <v>3</v>
      </c>
      <c r="X82" s="306">
        <f>W82*$L$26</f>
        <v>117108.51</v>
      </c>
      <c r="Y82" s="305">
        <v>3</v>
      </c>
      <c r="Z82" s="306">
        <f>Y82*$L$26*1.5- (2/6)*$L$26</f>
        <v>162650.70833333331</v>
      </c>
      <c r="AA82" s="422">
        <f t="shared" si="6"/>
        <v>1177591.1283333332</v>
      </c>
    </row>
    <row r="83" spans="2:27" x14ac:dyDescent="0.25">
      <c r="B83" s="423"/>
      <c r="C83" s="305">
        <v>2</v>
      </c>
      <c r="D83" s="306">
        <f>C83*$L$24</f>
        <v>78072.34</v>
      </c>
      <c r="E83" s="305">
        <v>2</v>
      </c>
      <c r="F83" s="306">
        <f>E83*$L$24</f>
        <v>78072.34</v>
      </c>
      <c r="G83" s="305">
        <v>2</v>
      </c>
      <c r="H83" s="306">
        <f>G83*$L$24</f>
        <v>78072.34</v>
      </c>
      <c r="I83" s="305">
        <v>2</v>
      </c>
      <c r="J83" s="306">
        <f>I83*$L$24</f>
        <v>78072.34</v>
      </c>
      <c r="K83" s="305">
        <v>2</v>
      </c>
      <c r="L83" s="306">
        <f>K83*$L$24</f>
        <v>78072.34</v>
      </c>
      <c r="M83" s="305">
        <v>2</v>
      </c>
      <c r="N83" s="306">
        <f>M83*$L$24*1.5</f>
        <v>117108.51</v>
      </c>
      <c r="O83" s="305">
        <v>2</v>
      </c>
      <c r="P83" s="306">
        <f>O83*$L$24</f>
        <v>78072.34</v>
      </c>
      <c r="Q83" s="305">
        <v>2</v>
      </c>
      <c r="R83" s="306">
        <f>Q83*$L$24</f>
        <v>78072.34</v>
      </c>
      <c r="S83" s="409">
        <v>3</v>
      </c>
      <c r="T83" s="306">
        <f>S83*$L$24</f>
        <v>117108.51</v>
      </c>
      <c r="U83" s="305">
        <v>3</v>
      </c>
      <c r="V83" s="306">
        <f>U83*$L$24</f>
        <v>117108.51</v>
      </c>
      <c r="W83" s="305">
        <v>3</v>
      </c>
      <c r="X83" s="306">
        <f>W83*$L$24</f>
        <v>117108.51</v>
      </c>
      <c r="Y83" s="305">
        <v>3</v>
      </c>
      <c r="Z83" s="306">
        <f>Y83*$L$24*1.5 - (2/6)*$L$24</f>
        <v>162650.70833333331</v>
      </c>
      <c r="AA83" s="422">
        <f t="shared" si="6"/>
        <v>1177591.1283333332</v>
      </c>
    </row>
    <row r="84" spans="2:27" x14ac:dyDescent="0.25">
      <c r="B84" s="421"/>
      <c r="C84" s="305">
        <v>1</v>
      </c>
      <c r="D84" s="306">
        <f>C84*$L$25</f>
        <v>19527.37</v>
      </c>
      <c r="E84" s="305">
        <v>1</v>
      </c>
      <c r="F84" s="306">
        <f>E84*$L$25</f>
        <v>19527.37</v>
      </c>
      <c r="G84" s="305">
        <v>1</v>
      </c>
      <c r="H84" s="306">
        <f>G84*$L$25</f>
        <v>19527.37</v>
      </c>
      <c r="I84" s="305">
        <v>1</v>
      </c>
      <c r="J84" s="306">
        <f>I84*$L$25</f>
        <v>19527.37</v>
      </c>
      <c r="K84" s="305">
        <v>1</v>
      </c>
      <c r="L84" s="306">
        <f>K84*$L$25</f>
        <v>19527.37</v>
      </c>
      <c r="M84" s="305">
        <v>1</v>
      </c>
      <c r="N84" s="306">
        <f>M84*$L$25*1.5</f>
        <v>29291.055</v>
      </c>
      <c r="O84" s="305">
        <v>1</v>
      </c>
      <c r="P84" s="306">
        <f>O84*$L$25</f>
        <v>19527.37</v>
      </c>
      <c r="Q84" s="305">
        <v>1</v>
      </c>
      <c r="R84" s="306">
        <f>Q84*$L$25</f>
        <v>19527.37</v>
      </c>
      <c r="S84" s="305">
        <v>1</v>
      </c>
      <c r="T84" s="306">
        <f>S84*$L$25</f>
        <v>19527.37</v>
      </c>
      <c r="U84" s="305">
        <v>1</v>
      </c>
      <c r="V84" s="306">
        <f>U84*$L$25</f>
        <v>19527.37</v>
      </c>
      <c r="W84" s="305">
        <v>1</v>
      </c>
      <c r="X84" s="306">
        <f>W84*$L$25</f>
        <v>19527.37</v>
      </c>
      <c r="Y84" s="305">
        <v>1</v>
      </c>
      <c r="Z84" s="306">
        <f>Y84*$L$25*1.5</f>
        <v>29291.055</v>
      </c>
      <c r="AA84" s="422">
        <f t="shared" si="6"/>
        <v>253855.80999999997</v>
      </c>
    </row>
    <row r="85" spans="2:27" x14ac:dyDescent="0.25">
      <c r="B85" s="421"/>
      <c r="C85" s="305">
        <v>1</v>
      </c>
      <c r="D85" s="306">
        <f>C85*$L$20</f>
        <v>63422.17</v>
      </c>
      <c r="E85" s="305">
        <v>1</v>
      </c>
      <c r="F85" s="306">
        <f>E85*$L$20</f>
        <v>63422.17</v>
      </c>
      <c r="G85" s="305">
        <v>1</v>
      </c>
      <c r="H85" s="306">
        <f>G85*$L$20</f>
        <v>63422.17</v>
      </c>
      <c r="I85" s="305">
        <v>1</v>
      </c>
      <c r="J85" s="306">
        <f>I85*$L$20</f>
        <v>63422.17</v>
      </c>
      <c r="K85" s="305">
        <v>1</v>
      </c>
      <c r="L85" s="306">
        <f>K85*$L$20</f>
        <v>63422.17</v>
      </c>
      <c r="M85" s="305">
        <v>1</v>
      </c>
      <c r="N85" s="306">
        <f>M85*$L$20*(1+6/12)</f>
        <v>95133.255000000005</v>
      </c>
      <c r="O85" s="305">
        <v>1</v>
      </c>
      <c r="P85" s="306">
        <f>O85*$L$20</f>
        <v>63422.17</v>
      </c>
      <c r="Q85" s="305">
        <v>1</v>
      </c>
      <c r="R85" s="306">
        <f>Q85*$L$20</f>
        <v>63422.17</v>
      </c>
      <c r="S85" s="305">
        <v>1</v>
      </c>
      <c r="T85" s="306">
        <f>S85*$L$20</f>
        <v>63422.17</v>
      </c>
      <c r="U85" s="305">
        <v>1</v>
      </c>
      <c r="V85" s="306">
        <f>U85*$L$20</f>
        <v>63422.17</v>
      </c>
      <c r="W85" s="305">
        <v>1</v>
      </c>
      <c r="X85" s="306">
        <f>W85*$L$20</f>
        <v>63422.17</v>
      </c>
      <c r="Y85" s="305">
        <v>1</v>
      </c>
      <c r="Z85" s="306">
        <f>Y85*$L$20*(1+6/12)</f>
        <v>95133.255000000005</v>
      </c>
      <c r="AA85" s="422">
        <f t="shared" si="6"/>
        <v>824488.21000000008</v>
      </c>
    </row>
    <row r="86" spans="2:27" x14ac:dyDescent="0.25">
      <c r="B86" s="421"/>
      <c r="C86" s="305">
        <v>0</v>
      </c>
      <c r="D86" s="306">
        <f>C86*$L$29</f>
        <v>0</v>
      </c>
      <c r="E86" s="409">
        <v>1</v>
      </c>
      <c r="F86" s="306">
        <f>E86*$L$29</f>
        <v>48790.57</v>
      </c>
      <c r="G86" s="305">
        <v>1</v>
      </c>
      <c r="H86" s="306">
        <f>G86*$L$29</f>
        <v>48790.57</v>
      </c>
      <c r="I86" s="305">
        <v>1</v>
      </c>
      <c r="J86" s="306">
        <f>I86*$L$29</f>
        <v>48790.57</v>
      </c>
      <c r="K86" s="305">
        <v>1</v>
      </c>
      <c r="L86" s="306">
        <f>K86*$L$29</f>
        <v>48790.57</v>
      </c>
      <c r="M86" s="305">
        <v>1</v>
      </c>
      <c r="N86" s="306">
        <f>M86*$L$29*(1+5/12)</f>
        <v>69119.974166666667</v>
      </c>
      <c r="O86" s="305">
        <v>1</v>
      </c>
      <c r="P86" s="306">
        <f>O86*$L$29</f>
        <v>48790.57</v>
      </c>
      <c r="Q86" s="305">
        <v>1</v>
      </c>
      <c r="R86" s="306">
        <f>Q86*$L$29</f>
        <v>48790.57</v>
      </c>
      <c r="S86" s="305">
        <v>1</v>
      </c>
      <c r="T86" s="306">
        <f>S86*$L$29</f>
        <v>48790.57</v>
      </c>
      <c r="U86" s="305">
        <v>1</v>
      </c>
      <c r="V86" s="306">
        <f>U86*$L$29</f>
        <v>48790.57</v>
      </c>
      <c r="W86" s="305">
        <v>1</v>
      </c>
      <c r="X86" s="306">
        <f>W86*$L$29</f>
        <v>48790.57</v>
      </c>
      <c r="Y86" s="305">
        <v>1</v>
      </c>
      <c r="Z86" s="306">
        <f>Y86*$L$29*(1+6/12)</f>
        <v>73185.854999999996</v>
      </c>
      <c r="AA86" s="422">
        <f>D86+F86+H86+J86+L86+N86+P86+R86+T86+V86+X86+Z86</f>
        <v>581420.95916666673</v>
      </c>
    </row>
    <row r="87" spans="2:27" ht="16.5" thickBot="1" x14ac:dyDescent="0.3">
      <c r="B87" s="424" t="s">
        <v>216</v>
      </c>
      <c r="C87" s="425">
        <f>SUM(C75:C86)</f>
        <v>14</v>
      </c>
      <c r="D87" s="426">
        <f t="shared" ref="D87:Z87" si="7">SUM(D75:D86)</f>
        <v>719646.98</v>
      </c>
      <c r="E87" s="425">
        <f t="shared" si="7"/>
        <v>15</v>
      </c>
      <c r="F87" s="426">
        <f t="shared" si="7"/>
        <v>768437.54999999993</v>
      </c>
      <c r="G87" s="425">
        <f t="shared" si="7"/>
        <v>15</v>
      </c>
      <c r="H87" s="426">
        <f t="shared" si="7"/>
        <v>768437.54999999993</v>
      </c>
      <c r="I87" s="425">
        <f t="shared" si="7"/>
        <v>15</v>
      </c>
      <c r="J87" s="426">
        <f t="shared" si="7"/>
        <v>768437.54999999993</v>
      </c>
      <c r="K87" s="425">
        <f t="shared" si="7"/>
        <v>15</v>
      </c>
      <c r="L87" s="426">
        <f t="shared" si="7"/>
        <v>768437.54999999993</v>
      </c>
      <c r="M87" s="425">
        <f t="shared" si="7"/>
        <v>15</v>
      </c>
      <c r="N87" s="426">
        <f t="shared" si="7"/>
        <v>1148590.4441666668</v>
      </c>
      <c r="O87" s="425">
        <f t="shared" si="7"/>
        <v>15</v>
      </c>
      <c r="P87" s="426">
        <f t="shared" si="7"/>
        <v>768437.54999999993</v>
      </c>
      <c r="Q87" s="425">
        <f t="shared" si="7"/>
        <v>15</v>
      </c>
      <c r="R87" s="426">
        <f t="shared" si="7"/>
        <v>768437.54999999993</v>
      </c>
      <c r="S87" s="425">
        <f t="shared" si="7"/>
        <v>17</v>
      </c>
      <c r="T87" s="426">
        <f t="shared" si="7"/>
        <v>846509.8899999999</v>
      </c>
      <c r="U87" s="425">
        <f t="shared" si="7"/>
        <v>17</v>
      </c>
      <c r="V87" s="426">
        <f t="shared" si="7"/>
        <v>846509.8899999999</v>
      </c>
      <c r="W87" s="425">
        <f t="shared" si="7"/>
        <v>17</v>
      </c>
      <c r="X87" s="426">
        <f t="shared" si="7"/>
        <v>846509.8899999999</v>
      </c>
      <c r="Y87" s="425">
        <f t="shared" si="7"/>
        <v>17</v>
      </c>
      <c r="Z87" s="426">
        <f t="shared" si="7"/>
        <v>1243740.7216666667</v>
      </c>
      <c r="AA87" s="427">
        <f>Z87+X87+V87+T87+R87+P87+N87+L87+J87+H87+F87+D87</f>
        <v>10262133.115833335</v>
      </c>
    </row>
    <row r="91" spans="2:27" x14ac:dyDescent="0.25">
      <c r="U91" s="35"/>
      <c r="W91" s="35"/>
      <c r="X91" s="35"/>
      <c r="Y91" s="35"/>
      <c r="Z91" s="35"/>
    </row>
  </sheetData>
  <mergeCells count="58">
    <mergeCell ref="B55:AA55"/>
    <mergeCell ref="B56:B57"/>
    <mergeCell ref="C56:D56"/>
    <mergeCell ref="E56:F56"/>
    <mergeCell ref="G56:H56"/>
    <mergeCell ref="I56:J56"/>
    <mergeCell ref="K56:L56"/>
    <mergeCell ref="M56:N56"/>
    <mergeCell ref="AA56:AA57"/>
    <mergeCell ref="O56:P56"/>
    <mergeCell ref="Q56:R56"/>
    <mergeCell ref="S56:T56"/>
    <mergeCell ref="U56:V56"/>
    <mergeCell ref="W56:X56"/>
    <mergeCell ref="Y56:Z56"/>
    <mergeCell ref="B12:B13"/>
    <mergeCell ref="Y39:Z39"/>
    <mergeCell ref="B39:B40"/>
    <mergeCell ref="B38:AA38"/>
    <mergeCell ref="AA39:AA40"/>
    <mergeCell ref="M39:N39"/>
    <mergeCell ref="O39:P39"/>
    <mergeCell ref="Q39:R39"/>
    <mergeCell ref="S39:T39"/>
    <mergeCell ref="U39:V39"/>
    <mergeCell ref="W39:X39"/>
    <mergeCell ref="Y73:Z73"/>
    <mergeCell ref="K12:K13"/>
    <mergeCell ref="L12:L13"/>
    <mergeCell ref="B11:L11"/>
    <mergeCell ref="C39:D39"/>
    <mergeCell ref="E39:F39"/>
    <mergeCell ref="G39:H39"/>
    <mergeCell ref="I39:J39"/>
    <mergeCell ref="K39:L39"/>
    <mergeCell ref="B15:B19"/>
    <mergeCell ref="B20:B21"/>
    <mergeCell ref="B22:B26"/>
    <mergeCell ref="B27:B29"/>
    <mergeCell ref="B30:B34"/>
    <mergeCell ref="D12:D13"/>
    <mergeCell ref="C12:C13"/>
    <mergeCell ref="AA73:AA74"/>
    <mergeCell ref="B4:D4"/>
    <mergeCell ref="H4:J4"/>
    <mergeCell ref="B72:AA72"/>
    <mergeCell ref="B73:B74"/>
    <mergeCell ref="C73:D73"/>
    <mergeCell ref="E73:F73"/>
    <mergeCell ref="G73:H73"/>
    <mergeCell ref="I73:J73"/>
    <mergeCell ref="K73:L73"/>
    <mergeCell ref="M73:N73"/>
    <mergeCell ref="O73:P73"/>
    <mergeCell ref="Q73:R73"/>
    <mergeCell ref="S73:T73"/>
    <mergeCell ref="U73:V73"/>
    <mergeCell ref="W73:X7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Portada</vt:lpstr>
      <vt:lpstr>Indice</vt:lpstr>
      <vt:lpstr>Hipótesis</vt:lpstr>
      <vt:lpstr>Proy. ventas</vt:lpstr>
      <vt:lpstr>Anexo capacidad operativa</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Martin</cp:lastModifiedBy>
  <dcterms:created xsi:type="dcterms:W3CDTF">2019-08-27T12:23:32Z</dcterms:created>
  <dcterms:modified xsi:type="dcterms:W3CDTF">2021-09-04T22:52:37Z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