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Excel&amp;Grace Consult\Documents\"/>
    </mc:Choice>
  </mc:AlternateContent>
  <bookViews>
    <workbookView xWindow="0" yWindow="0" windowWidth="19620" windowHeight="8250" activeTab="1"/>
  </bookViews>
  <sheets>
    <sheet name="Settings" sheetId="6" r:id="rId1"/>
    <sheet name="Budget Planning" sheetId="1" r:id="rId2"/>
    <sheet name="Budget Tracking" sheetId="2" r:id="rId3"/>
    <sheet name="Budget Dashboard" sheetId="3" r:id="rId4"/>
    <sheet name="Calculations" sheetId="4" state="hidden" r:id="rId5"/>
    <sheet name="Dropdown Data" sheetId="5" state="hidden" r:id="rId6"/>
  </sheets>
  <definedNames>
    <definedName name="budget" localSheetId="3">'Budget Dashboard'!$L1</definedName>
    <definedName name="budget_range" localSheetId="3">'Budget Dashboard'!$Q1</definedName>
    <definedName name="budget_rank" localSheetId="3">'Budget Dashboard'!$R1</definedName>
    <definedName name="cc_budget" localSheetId="4">Calculations!$K1</definedName>
    <definedName name="cc_delta" localSheetId="4">Calculations!$L1</definedName>
    <definedName name="cc_in_focus" localSheetId="4">Calculations!$G1</definedName>
    <definedName name="cc_month_number" localSheetId="4">Calculations!$F1</definedName>
    <definedName name="cc_show_remaining_budget" localSheetId="4">Calculations!$I1</definedName>
    <definedName name="cc_show_type" localSheetId="4">Calculations!$H1</definedName>
    <definedName name="cc_tracked" localSheetId="4">Calculations!$J1</definedName>
    <definedName name="cc_type" localSheetId="4">Calculations!$E1</definedName>
    <definedName name="comb_rank" localSheetId="3">'Budget Dashboard'!$S1</definedName>
    <definedName name="comb_rank_norm" localSheetId="3">'Budget Dashboard'!$U1</definedName>
    <definedName name="comb_rank_norm_run_range" localSheetId="3">'Budget Dashboard'!$V1</definedName>
    <definedName name="comb_rank_range" localSheetId="3">'Budget Dashboard'!$T1</definedName>
    <definedName name="comb_rank_unique" localSheetId="3">'Budget Dashboard'!$W1</definedName>
    <definedName name="current_date">TODAY()</definedName>
    <definedName name="expenses_header_row">ROW(Expenses[[#Headers],[Expenses]])</definedName>
    <definedName name="expenses_max_row">MAX(ROW(Expenses[]))</definedName>
    <definedName name="expenses_min_row">MIN(ROW(Expenses[]))</definedName>
    <definedName name="expenses_total_row">ROW('Budget Planning'!$C$36)</definedName>
    <definedName name="header_row_id" localSheetId="3">'Budget Dashboard'!$D1</definedName>
    <definedName name="income_header_row">ROW(Income[[#Headers],[Income]])</definedName>
    <definedName name="income_max_row">MAX(ROW(Income[]))</definedName>
    <definedName name="income_min_row">MIN(ROW(Income[]))</definedName>
    <definedName name="income_total_row">ROW('Budget Planning'!$C$20)</definedName>
    <definedName name="is_cat" localSheetId="3">'Budget Dashboard'!$F1</definedName>
    <definedName name="is_empty" localSheetId="3">'Budget Dashboard'!$H1</definedName>
    <definedName name="is_header" localSheetId="3">'Budget Dashboard'!$E1</definedName>
    <definedName name="is_total" localSheetId="3">'Budget Dashboard'!$G1</definedName>
    <definedName name="item" localSheetId="3">'Budget Dashboard'!$J1</definedName>
    <definedName name="out_budget" localSheetId="3">'Budget Dashboard'!$AA1</definedName>
    <definedName name="out_percentage_completed" localSheetId="3">'Budget Dashboard'!$AB1</definedName>
    <definedName name="out_tracked" localSheetId="3">'Budget Dashboard'!$Z1</definedName>
    <definedName name="row_id" localSheetId="3">'Budget Dashboard'!$C1</definedName>
    <definedName name="savings_header_row">ROW(Savings[[#Headers],[Savings]])</definedName>
    <definedName name="savings_max_row">MAX(ROW(Savings[]))</definedName>
    <definedName name="savings_min_row">MIN(ROW(Savings[]))</definedName>
    <definedName name="savings_rate_calculation_type">Settings!$E$22</definedName>
    <definedName name="savings_total_row">ROW('Budget Planning'!$C$49)</definedName>
    <definedName name="selected_period">Calculations!$E$20</definedName>
    <definedName name="selected_period_display">Calculations!$E$21</definedName>
    <definedName name="selected_year">Calculations!$E$19</definedName>
    <definedName name="shift_late_income_starting_day">Settings!$E$18</definedName>
    <definedName name="shift_late_income_status">Settings!$E$16</definedName>
    <definedName name="sort_max_row" localSheetId="3">'Budget Dashboard'!$N1</definedName>
    <definedName name="sort_min_row" localSheetId="3">'Budget Dashboard'!$M1</definedName>
    <definedName name="starting_year">Settings!$E$8</definedName>
    <definedName name="tracked" localSheetId="3">'Budget Dashboard'!$K1</definedName>
    <definedName name="tracked_range" localSheetId="3">'Budget Dashboard'!$O1</definedName>
    <definedName name="tracked_rank" localSheetId="3">'Budget Dashboard'!$P1</definedName>
    <definedName name="type" localSheetId="3">'Budget Dashboard'!$I1</definedName>
  </definedNames>
  <calcPr calcId="162913"/>
</workbook>
</file>

<file path=xl/calcChain.xml><?xml version="1.0" encoding="utf-8"?>
<calcChain xmlns="http://schemas.openxmlformats.org/spreadsheetml/2006/main">
  <c r="K13" i="3" l="1"/>
  <c r="K18" i="3"/>
  <c r="K19" i="3"/>
  <c r="K30" i="3"/>
  <c r="K31" i="3"/>
  <c r="K38" i="3"/>
  <c r="K39" i="3"/>
  <c r="K40" i="3"/>
  <c r="K41" i="3"/>
  <c r="K42" i="3"/>
  <c r="K43" i="3"/>
  <c r="K44" i="3"/>
  <c r="K45" i="3"/>
  <c r="K46" i="3"/>
  <c r="K47" i="3"/>
  <c r="K48" i="3"/>
  <c r="K49" i="3"/>
  <c r="K50" i="3"/>
  <c r="I59" i="4"/>
  <c r="I60" i="4"/>
  <c r="I61" i="4"/>
  <c r="I63" i="4"/>
  <c r="I64" i="4"/>
  <c r="I65" i="4"/>
  <c r="I67" i="4"/>
  <c r="I68" i="4"/>
  <c r="I69" i="4"/>
  <c r="I71" i="4"/>
  <c r="I72" i="4"/>
  <c r="I73" i="4"/>
  <c r="I75" i="4"/>
  <c r="I76" i="4"/>
  <c r="I77" i="4"/>
  <c r="I79" i="4"/>
  <c r="I80" i="4"/>
  <c r="I81" i="4"/>
  <c r="I83" i="4"/>
  <c r="I84" i="4"/>
  <c r="I85" i="4"/>
  <c r="I87" i="4"/>
  <c r="I88" i="4"/>
  <c r="I89" i="4"/>
  <c r="I91" i="4"/>
  <c r="I92" i="4"/>
  <c r="I93" i="4"/>
  <c r="I95" i="4"/>
  <c r="I96" i="4"/>
  <c r="I97" i="4"/>
  <c r="I99" i="4"/>
  <c r="I100" i="4"/>
  <c r="I101" i="4"/>
  <c r="I56" i="4"/>
  <c r="I57" i="4"/>
  <c r="I55" i="4"/>
  <c r="H59" i="4"/>
  <c r="H60" i="4"/>
  <c r="H61" i="4"/>
  <c r="H63" i="4"/>
  <c r="H64" i="4"/>
  <c r="H65" i="4"/>
  <c r="H67" i="4"/>
  <c r="H68" i="4"/>
  <c r="H69" i="4"/>
  <c r="H71" i="4"/>
  <c r="H72" i="4"/>
  <c r="H73" i="4"/>
  <c r="H75" i="4"/>
  <c r="H76" i="4"/>
  <c r="H77" i="4"/>
  <c r="H79" i="4"/>
  <c r="H80" i="4"/>
  <c r="H81" i="4"/>
  <c r="H83" i="4"/>
  <c r="H84" i="4"/>
  <c r="H85" i="4"/>
  <c r="H87" i="4"/>
  <c r="H88" i="4"/>
  <c r="H89" i="4"/>
  <c r="H91" i="4"/>
  <c r="H92" i="4"/>
  <c r="H93" i="4"/>
  <c r="H95" i="4"/>
  <c r="H96" i="4"/>
  <c r="H97" i="4"/>
  <c r="H99" i="4"/>
  <c r="H100" i="4"/>
  <c r="H101" i="4"/>
  <c r="H57" i="4"/>
  <c r="H56" i="4"/>
  <c r="H55" i="4"/>
  <c r="F38" i="4"/>
  <c r="E38" i="4" s="1"/>
  <c r="AI19" i="3" s="1"/>
  <c r="F39" i="4"/>
  <c r="E39" i="4" s="1"/>
  <c r="AI20" i="3" s="1"/>
  <c r="AP35" i="3"/>
  <c r="AI35" i="3"/>
  <c r="C9" i="5"/>
  <c r="C10" i="5" s="1"/>
  <c r="C11" i="5" s="1"/>
  <c r="C12" i="5" s="1"/>
  <c r="C13" i="5" s="1"/>
  <c r="C14" i="5" s="1"/>
  <c r="C15" i="5" s="1"/>
  <c r="C16" i="5" s="1"/>
  <c r="C17" i="5" s="1"/>
  <c r="C18" i="5" s="1"/>
  <c r="E20" i="4"/>
  <c r="E19" i="4"/>
  <c r="D63" i="4" s="1"/>
  <c r="F65" i="4" s="1"/>
  <c r="E12" i="4"/>
  <c r="E11" i="4"/>
  <c r="E9" i="4"/>
  <c r="E8" i="4"/>
  <c r="E10" i="4" s="1"/>
  <c r="AI22" i="3"/>
  <c r="C14" i="3"/>
  <c r="J13" i="3"/>
  <c r="G13" i="3"/>
  <c r="C13" i="3"/>
  <c r="I70" i="2"/>
  <c r="H70" i="2"/>
  <c r="I69" i="2"/>
  <c r="H69" i="2"/>
  <c r="I68" i="2"/>
  <c r="H68" i="2"/>
  <c r="I67" i="2"/>
  <c r="H67" i="2"/>
  <c r="I66" i="2"/>
  <c r="H66" i="2"/>
  <c r="I65" i="2"/>
  <c r="H65" i="2"/>
  <c r="I64" i="2"/>
  <c r="H64" i="2"/>
  <c r="I63" i="2"/>
  <c r="H63" i="2"/>
  <c r="I62" i="2"/>
  <c r="H62" i="2"/>
  <c r="I61" i="2"/>
  <c r="H61" i="2"/>
  <c r="I60" i="2"/>
  <c r="H60" i="2"/>
  <c r="I59" i="2"/>
  <c r="H59" i="2"/>
  <c r="I58" i="2"/>
  <c r="H58" i="2"/>
  <c r="I57" i="2"/>
  <c r="H57" i="2"/>
  <c r="I56" i="2"/>
  <c r="H56" i="2"/>
  <c r="I55" i="2"/>
  <c r="H55" i="2"/>
  <c r="I54" i="2"/>
  <c r="H54" i="2"/>
  <c r="I53" i="2"/>
  <c r="H53" i="2"/>
  <c r="I52" i="2"/>
  <c r="H52" i="2"/>
  <c r="I51" i="2"/>
  <c r="H51" i="2"/>
  <c r="I50" i="2"/>
  <c r="H50" i="2"/>
  <c r="I49" i="2"/>
  <c r="H49" i="2"/>
  <c r="I48" i="2"/>
  <c r="H48" i="2"/>
  <c r="I47" i="2"/>
  <c r="H47" i="2"/>
  <c r="I46" i="2"/>
  <c r="H46" i="2"/>
  <c r="I45" i="2"/>
  <c r="H45" i="2"/>
  <c r="I44" i="2"/>
  <c r="H44" i="2"/>
  <c r="I43" i="2"/>
  <c r="H43" i="2"/>
  <c r="I42" i="2"/>
  <c r="H42" i="2"/>
  <c r="I41" i="2"/>
  <c r="H41" i="2"/>
  <c r="I40" i="2"/>
  <c r="H40" i="2"/>
  <c r="I39" i="2"/>
  <c r="H39" i="2"/>
  <c r="I38" i="2"/>
  <c r="H38" i="2"/>
  <c r="I37" i="2"/>
  <c r="H37" i="2"/>
  <c r="I36" i="2"/>
  <c r="H36" i="2"/>
  <c r="I35" i="2"/>
  <c r="H35" i="2"/>
  <c r="I34" i="2"/>
  <c r="H34" i="2"/>
  <c r="I33" i="2"/>
  <c r="H33" i="2"/>
  <c r="I32" i="2"/>
  <c r="H32" i="2"/>
  <c r="I31" i="2"/>
  <c r="H31" i="2"/>
  <c r="I30" i="2"/>
  <c r="H30" i="2"/>
  <c r="I29" i="2"/>
  <c r="H29" i="2"/>
  <c r="I28" i="2"/>
  <c r="H28" i="2"/>
  <c r="I27" i="2"/>
  <c r="H27" i="2"/>
  <c r="I26" i="2"/>
  <c r="H26" i="2"/>
  <c r="I25" i="2"/>
  <c r="H25" i="2"/>
  <c r="I24" i="2"/>
  <c r="H24" i="2"/>
  <c r="I23" i="2"/>
  <c r="H23" i="2"/>
  <c r="I22" i="2"/>
  <c r="H22" i="2"/>
  <c r="I21" i="2"/>
  <c r="H21" i="2"/>
  <c r="I20" i="2"/>
  <c r="H20" i="2"/>
  <c r="I19" i="2"/>
  <c r="H19" i="2"/>
  <c r="I18" i="2"/>
  <c r="H18" i="2"/>
  <c r="I17" i="2"/>
  <c r="H17" i="2"/>
  <c r="I16" i="2"/>
  <c r="H16" i="2"/>
  <c r="I15" i="2"/>
  <c r="H15" i="2"/>
  <c r="I14" i="2"/>
  <c r="H14" i="2"/>
  <c r="I13" i="2"/>
  <c r="H13" i="2"/>
  <c r="I12" i="2"/>
  <c r="H12" i="2"/>
  <c r="EM48" i="1"/>
  <c r="DY48" i="1"/>
  <c r="DK48" i="1"/>
  <c r="CW48" i="1"/>
  <c r="CI48" i="1"/>
  <c r="BU48" i="1"/>
  <c r="BG48" i="1"/>
  <c r="AS48" i="1"/>
  <c r="AE48" i="1"/>
  <c r="Q48" i="1"/>
  <c r="EM47" i="1"/>
  <c r="DY47" i="1"/>
  <c r="DK47" i="1"/>
  <c r="CW47" i="1"/>
  <c r="CI47" i="1"/>
  <c r="BU47" i="1"/>
  <c r="BG47" i="1"/>
  <c r="AS47" i="1"/>
  <c r="AE47" i="1"/>
  <c r="Q47" i="1"/>
  <c r="EM46" i="1"/>
  <c r="DY46" i="1"/>
  <c r="DK46" i="1"/>
  <c r="CW46" i="1"/>
  <c r="CI46" i="1"/>
  <c r="BU46" i="1"/>
  <c r="BG46" i="1"/>
  <c r="AS46" i="1"/>
  <c r="AE46" i="1"/>
  <c r="Q46" i="1"/>
  <c r="EM45" i="1"/>
  <c r="DY45" i="1"/>
  <c r="DK45" i="1"/>
  <c r="CW45" i="1"/>
  <c r="CI45" i="1"/>
  <c r="BU45" i="1"/>
  <c r="BG45" i="1"/>
  <c r="AS45" i="1"/>
  <c r="AE45" i="1"/>
  <c r="Q45" i="1"/>
  <c r="EM44" i="1"/>
  <c r="DY44" i="1"/>
  <c r="DK44" i="1"/>
  <c r="CW44" i="1"/>
  <c r="CI44" i="1"/>
  <c r="BU44" i="1"/>
  <c r="BG44" i="1"/>
  <c r="AS44" i="1"/>
  <c r="AE44" i="1"/>
  <c r="Q44" i="1"/>
  <c r="EM43" i="1"/>
  <c r="DY43" i="1"/>
  <c r="DK43" i="1"/>
  <c r="CW43" i="1"/>
  <c r="CI43" i="1"/>
  <c r="BU43" i="1"/>
  <c r="BG43" i="1"/>
  <c r="AS43" i="1"/>
  <c r="AE43" i="1"/>
  <c r="Q43" i="1"/>
  <c r="EM42" i="1"/>
  <c r="DY42" i="1"/>
  <c r="DK42" i="1"/>
  <c r="CW42" i="1"/>
  <c r="CI42" i="1"/>
  <c r="BU42" i="1"/>
  <c r="BG42" i="1"/>
  <c r="AS42" i="1"/>
  <c r="AE42" i="1"/>
  <c r="Q42" i="1"/>
  <c r="EM41" i="1"/>
  <c r="DY41" i="1"/>
  <c r="DK41" i="1"/>
  <c r="CW41" i="1"/>
  <c r="CI41" i="1"/>
  <c r="BU41" i="1"/>
  <c r="BG41" i="1"/>
  <c r="AS41" i="1"/>
  <c r="AE41" i="1"/>
  <c r="Q41" i="1"/>
  <c r="EM40" i="1"/>
  <c r="DY40" i="1"/>
  <c r="DK40" i="1"/>
  <c r="CW40" i="1"/>
  <c r="CI40" i="1"/>
  <c r="BU40" i="1"/>
  <c r="BG40" i="1"/>
  <c r="AS40" i="1"/>
  <c r="AE40" i="1"/>
  <c r="Q40" i="1"/>
  <c r="EM39" i="1"/>
  <c r="DY39" i="1"/>
  <c r="DK39" i="1"/>
  <c r="CW39" i="1"/>
  <c r="CI39" i="1"/>
  <c r="BU39" i="1"/>
  <c r="BG39" i="1"/>
  <c r="AS39" i="1"/>
  <c r="AE39" i="1"/>
  <c r="Q39" i="1"/>
  <c r="EM35" i="1"/>
  <c r="DY35" i="1"/>
  <c r="DK35" i="1"/>
  <c r="CW35" i="1"/>
  <c r="CI35" i="1"/>
  <c r="BU35" i="1"/>
  <c r="BG35" i="1"/>
  <c r="AS35" i="1"/>
  <c r="AE35" i="1"/>
  <c r="Q35" i="1"/>
  <c r="EM34" i="1"/>
  <c r="DY34" i="1"/>
  <c r="DK34" i="1"/>
  <c r="CW34" i="1"/>
  <c r="CI34" i="1"/>
  <c r="BU34" i="1"/>
  <c r="BG34" i="1"/>
  <c r="AS34" i="1"/>
  <c r="AE34" i="1"/>
  <c r="Q34" i="1"/>
  <c r="EM33" i="1"/>
  <c r="DY33" i="1"/>
  <c r="DK33" i="1"/>
  <c r="CW33" i="1"/>
  <c r="CI33" i="1"/>
  <c r="BU33" i="1"/>
  <c r="BG33" i="1"/>
  <c r="AS33" i="1"/>
  <c r="AE33" i="1"/>
  <c r="Q33" i="1"/>
  <c r="EM32" i="1"/>
  <c r="DY32" i="1"/>
  <c r="DK32" i="1"/>
  <c r="CW32" i="1"/>
  <c r="CI32" i="1"/>
  <c r="BU32" i="1"/>
  <c r="BG32" i="1"/>
  <c r="AS32" i="1"/>
  <c r="AE32" i="1"/>
  <c r="Q32" i="1"/>
  <c r="EM31" i="1"/>
  <c r="DY31" i="1"/>
  <c r="DK31" i="1"/>
  <c r="CW31" i="1"/>
  <c r="CI31" i="1"/>
  <c r="BU31" i="1"/>
  <c r="BG31" i="1"/>
  <c r="AS31" i="1"/>
  <c r="AE31" i="1"/>
  <c r="Q31" i="1"/>
  <c r="EM30" i="1"/>
  <c r="DY30" i="1"/>
  <c r="DK30" i="1"/>
  <c r="CW30" i="1"/>
  <c r="CI30" i="1"/>
  <c r="BU30" i="1"/>
  <c r="BG30" i="1"/>
  <c r="AS30" i="1"/>
  <c r="AE30" i="1"/>
  <c r="Q30" i="1"/>
  <c r="EM29" i="1"/>
  <c r="DY29" i="1"/>
  <c r="DK29" i="1"/>
  <c r="CW29" i="1"/>
  <c r="CI29" i="1"/>
  <c r="BU29" i="1"/>
  <c r="BG29" i="1"/>
  <c r="AS29" i="1"/>
  <c r="AE29" i="1"/>
  <c r="Q29" i="1"/>
  <c r="EM28" i="1"/>
  <c r="DY28" i="1"/>
  <c r="DK28" i="1"/>
  <c r="CW28" i="1"/>
  <c r="CI28" i="1"/>
  <c r="BU28" i="1"/>
  <c r="BG28" i="1"/>
  <c r="AS28" i="1"/>
  <c r="AE28" i="1"/>
  <c r="Q28" i="1"/>
  <c r="EM27" i="1"/>
  <c r="DY27" i="1"/>
  <c r="DK27" i="1"/>
  <c r="CW27" i="1"/>
  <c r="CI27" i="1"/>
  <c r="BU27" i="1"/>
  <c r="BG27" i="1"/>
  <c r="AS27" i="1"/>
  <c r="AE27" i="1"/>
  <c r="Q27" i="1"/>
  <c r="EM26" i="1"/>
  <c r="DY26" i="1"/>
  <c r="DK26" i="1"/>
  <c r="CW26" i="1"/>
  <c r="CI26" i="1"/>
  <c r="BU26" i="1"/>
  <c r="BG26" i="1"/>
  <c r="AS26" i="1"/>
  <c r="AE26" i="1"/>
  <c r="Q26" i="1"/>
  <c r="EM25" i="1"/>
  <c r="DY25" i="1"/>
  <c r="DK25" i="1"/>
  <c r="CW25" i="1"/>
  <c r="CI25" i="1"/>
  <c r="BU25" i="1"/>
  <c r="BG25" i="1"/>
  <c r="AS25" i="1"/>
  <c r="AE25" i="1"/>
  <c r="Q25" i="1"/>
  <c r="EM24" i="1"/>
  <c r="DY24" i="1"/>
  <c r="DK24" i="1"/>
  <c r="CW24" i="1"/>
  <c r="CI24" i="1"/>
  <c r="BU24" i="1"/>
  <c r="BG24" i="1"/>
  <c r="AS24" i="1"/>
  <c r="AE24" i="1"/>
  <c r="Q24" i="1"/>
  <c r="EM23" i="1"/>
  <c r="DY23" i="1"/>
  <c r="DK23" i="1"/>
  <c r="CW23" i="1"/>
  <c r="CI23" i="1"/>
  <c r="BU23" i="1"/>
  <c r="BG23" i="1"/>
  <c r="AS23" i="1"/>
  <c r="AE23" i="1"/>
  <c r="Q23" i="1"/>
  <c r="EM19" i="1"/>
  <c r="DY19" i="1"/>
  <c r="DK19" i="1"/>
  <c r="CW19" i="1"/>
  <c r="CI19" i="1"/>
  <c r="BU19" i="1"/>
  <c r="BG19" i="1"/>
  <c r="AS19" i="1"/>
  <c r="AE19" i="1"/>
  <c r="Q19" i="1"/>
  <c r="EM18" i="1"/>
  <c r="DY18" i="1"/>
  <c r="DK18" i="1"/>
  <c r="CW18" i="1"/>
  <c r="CI18" i="1"/>
  <c r="BU18" i="1"/>
  <c r="BG18" i="1"/>
  <c r="AS18" i="1"/>
  <c r="AE18" i="1"/>
  <c r="Q18" i="1"/>
  <c r="EM17" i="1"/>
  <c r="DY17" i="1"/>
  <c r="DK17" i="1"/>
  <c r="CW17" i="1"/>
  <c r="CI17" i="1"/>
  <c r="BU17" i="1"/>
  <c r="BG17" i="1"/>
  <c r="AS17" i="1"/>
  <c r="AE17" i="1"/>
  <c r="Q17" i="1"/>
  <c r="EM16" i="1"/>
  <c r="DY16" i="1"/>
  <c r="DK16" i="1"/>
  <c r="CW16" i="1"/>
  <c r="CI16" i="1"/>
  <c r="BU16" i="1"/>
  <c r="BG16" i="1"/>
  <c r="AS16" i="1"/>
  <c r="AE16" i="1"/>
  <c r="Q16" i="1"/>
  <c r="EM15" i="1"/>
  <c r="DY15" i="1"/>
  <c r="DK15" i="1"/>
  <c r="CW15" i="1"/>
  <c r="CI15" i="1"/>
  <c r="BU15" i="1"/>
  <c r="BG15" i="1"/>
  <c r="AS15" i="1"/>
  <c r="AE15" i="1"/>
  <c r="Q15" i="1"/>
  <c r="EM14" i="1"/>
  <c r="DY14" i="1"/>
  <c r="DK14" i="1"/>
  <c r="CW14" i="1"/>
  <c r="CI14" i="1"/>
  <c r="BU14" i="1"/>
  <c r="BG14" i="1"/>
  <c r="AS14" i="1"/>
  <c r="AE14" i="1"/>
  <c r="Q14" i="1"/>
  <c r="EM13" i="1"/>
  <c r="DY13" i="1"/>
  <c r="DK13" i="1"/>
  <c r="CW13" i="1"/>
  <c r="CI13" i="1"/>
  <c r="BU13" i="1"/>
  <c r="BG13" i="1"/>
  <c r="AS13" i="1"/>
  <c r="AE13" i="1"/>
  <c r="Q13" i="1"/>
  <c r="EM12" i="1"/>
  <c r="DY12" i="1"/>
  <c r="DK12" i="1"/>
  <c r="CW12" i="1"/>
  <c r="CI12" i="1"/>
  <c r="BU12" i="1"/>
  <c r="BG12" i="1"/>
  <c r="AS12" i="1"/>
  <c r="AE12" i="1"/>
  <c r="Q12" i="1"/>
  <c r="EM11" i="1"/>
  <c r="DY11" i="1"/>
  <c r="DK11" i="1"/>
  <c r="CW11" i="1"/>
  <c r="CI11" i="1"/>
  <c r="BU11" i="1"/>
  <c r="BG11" i="1"/>
  <c r="AS11" i="1"/>
  <c r="AE11" i="1"/>
  <c r="Q11" i="1"/>
  <c r="EM10" i="1"/>
  <c r="DY10" i="1"/>
  <c r="DK10" i="1"/>
  <c r="CW10" i="1"/>
  <c r="CI10" i="1"/>
  <c r="BU10" i="1"/>
  <c r="BG10" i="1"/>
  <c r="AS10" i="1"/>
  <c r="AE10" i="1"/>
  <c r="Q10" i="1"/>
  <c r="E5" i="1"/>
  <c r="O22" i="1" s="1"/>
  <c r="EG49" i="1"/>
  <c r="DP49" i="1"/>
  <c r="DS49" i="1"/>
  <c r="DA49" i="1"/>
  <c r="CI49" i="1"/>
  <c r="BR49" i="1"/>
  <c r="BA49" i="1"/>
  <c r="AJ49" i="1"/>
  <c r="S49" i="1"/>
  <c r="EM36" i="1"/>
  <c r="DV36" i="1"/>
  <c r="DE36" i="1"/>
  <c r="CN36" i="1"/>
  <c r="BW36" i="1"/>
  <c r="BE36" i="1"/>
  <c r="AN36" i="1"/>
  <c r="W36" i="1"/>
  <c r="F36" i="1"/>
  <c r="DK49" i="1"/>
  <c r="CO49" i="1"/>
  <c r="BQ49" i="1"/>
  <c r="AU49" i="1"/>
  <c r="X49" i="1"/>
  <c r="EM49" i="1"/>
  <c r="DJ49" i="1"/>
  <c r="CM49" i="1"/>
  <c r="BP49" i="1"/>
  <c r="AS49" i="1"/>
  <c r="V49" i="1"/>
  <c r="EK36" i="1"/>
  <c r="DO36" i="1"/>
  <c r="CQ36" i="1"/>
  <c r="BT36" i="1"/>
  <c r="AX36" i="1"/>
  <c r="Z36" i="1"/>
  <c r="EJ20" i="1"/>
  <c r="DS20" i="1"/>
  <c r="DB20" i="1"/>
  <c r="CK20" i="1"/>
  <c r="BS20" i="1"/>
  <c r="BB20" i="1"/>
  <c r="AK20" i="1"/>
  <c r="T20" i="1"/>
  <c r="EI49" i="1"/>
  <c r="DG49" i="1"/>
  <c r="CK49" i="1"/>
  <c r="BM49" i="1"/>
  <c r="AP49" i="1"/>
  <c r="T49" i="1"/>
  <c r="DO49" i="1"/>
  <c r="Z49" i="1"/>
  <c r="DG36" i="1"/>
  <c r="CC36" i="1"/>
  <c r="AY36" i="1"/>
  <c r="T36" i="1"/>
  <c r="EE20" i="1"/>
  <c r="DH20" i="1"/>
  <c r="CL20" i="1"/>
  <c r="BN20" i="1"/>
  <c r="AQ20" i="1"/>
  <c r="U20" i="1"/>
  <c r="DD36" i="1"/>
  <c r="P36" i="1"/>
  <c r="CN20" i="1"/>
  <c r="AC20" i="1"/>
  <c r="CL49" i="1"/>
  <c r="EL36" i="1"/>
  <c r="DF36" i="1"/>
  <c r="CB36" i="1"/>
  <c r="AV36" i="1"/>
  <c r="Q36" i="1"/>
  <c r="DX20" i="1"/>
  <c r="DA20" i="1"/>
  <c r="CD20" i="1"/>
  <c r="BG20" i="1"/>
  <c r="AJ20" i="1"/>
  <c r="M20" i="1"/>
  <c r="BY36" i="1"/>
  <c r="EM20" i="1"/>
  <c r="BQ20" i="1"/>
  <c r="F20" i="1"/>
  <c r="BI49" i="1"/>
  <c r="DK36" i="1"/>
  <c r="X36" i="1"/>
  <c r="BW20" i="1"/>
  <c r="DV49" i="1"/>
  <c r="AG49" i="1"/>
  <c r="DQ36" i="1"/>
  <c r="CM36" i="1"/>
  <c r="BG36" i="1"/>
  <c r="AC36" i="1"/>
  <c r="EL20" i="1"/>
  <c r="DP20" i="1"/>
  <c r="CR20" i="1"/>
  <c r="BU20" i="1"/>
  <c r="AY20" i="1"/>
  <c r="AA20" i="1"/>
  <c r="E20" i="1"/>
  <c r="V20" i="1"/>
  <c r="DX49" i="1"/>
  <c r="DI49" i="1"/>
  <c r="CA49" i="1"/>
  <c r="AR49" i="1"/>
  <c r="J49" i="1"/>
  <c r="DN36" i="1"/>
  <c r="CE36" i="1"/>
  <c r="AW36" i="1"/>
  <c r="N36" i="1"/>
  <c r="CZ49" i="1"/>
  <c r="BF49" i="1"/>
  <c r="L49" i="1"/>
  <c r="CY49" i="1"/>
  <c r="BD49" i="1"/>
  <c r="AH49" i="1"/>
  <c r="DY36" i="1"/>
  <c r="CF36" i="1"/>
  <c r="AL36" i="1"/>
  <c r="EB20" i="1"/>
  <c r="CS20" i="1"/>
  <c r="BK20" i="1"/>
  <c r="AB20" i="1"/>
  <c r="DU49" i="1"/>
  <c r="BY49" i="1"/>
  <c r="AD49" i="1"/>
  <c r="H49" i="1"/>
  <c r="DW36" i="1"/>
  <c r="BM36" i="1"/>
  <c r="EC49" i="1"/>
  <c r="EJ49" i="1"/>
  <c r="DN49" i="1"/>
  <c r="CV49" i="1"/>
  <c r="CE49" i="1"/>
  <c r="BN49" i="1"/>
  <c r="AW49" i="1"/>
  <c r="AE49" i="1"/>
  <c r="N49" i="1"/>
  <c r="EI36" i="1"/>
  <c r="DR36" i="1"/>
  <c r="DA36" i="1"/>
  <c r="CI36" i="1"/>
  <c r="BR36" i="1"/>
  <c r="BA36" i="1"/>
  <c r="AJ36" i="1"/>
  <c r="S36" i="1"/>
  <c r="EH49" i="1"/>
  <c r="DF49" i="1"/>
  <c r="CH49" i="1"/>
  <c r="BL49" i="1"/>
  <c r="AO49" i="1"/>
  <c r="Q49" i="1"/>
  <c r="EF49" i="1"/>
  <c r="DD49" i="1"/>
  <c r="CG49" i="1"/>
  <c r="BK49" i="1"/>
  <c r="AM49" i="1"/>
  <c r="P49" i="1"/>
  <c r="EF36" i="1"/>
  <c r="DH36" i="1"/>
  <c r="CL36" i="1"/>
  <c r="BO36" i="1"/>
  <c r="AQ36" i="1"/>
  <c r="U36" i="1"/>
  <c r="EF20" i="1"/>
  <c r="DO20" i="1"/>
  <c r="CW20" i="1"/>
  <c r="CF20" i="1"/>
  <c r="BO20" i="1"/>
  <c r="AX20" i="1"/>
  <c r="AG20" i="1"/>
  <c r="O20" i="1"/>
  <c r="EB49" i="1"/>
  <c r="DB49" i="1"/>
  <c r="CD49" i="1"/>
  <c r="BG49" i="1"/>
  <c r="AK49" i="1"/>
  <c r="M49" i="1"/>
  <c r="CQ49" i="1"/>
  <c r="ED36" i="1"/>
  <c r="CZ36" i="1"/>
  <c r="BU36" i="1"/>
  <c r="AP36" i="1"/>
  <c r="L36" i="1"/>
  <c r="DY20" i="1"/>
  <c r="DC20" i="1"/>
  <c r="CE20" i="1"/>
  <c r="BI20" i="1"/>
  <c r="AL20" i="1"/>
  <c r="N20" i="1"/>
  <c r="CG36" i="1"/>
  <c r="EH20" i="1"/>
  <c r="CC20" i="1"/>
  <c r="L20" i="1"/>
  <c r="BO49" i="1"/>
  <c r="EC36" i="1"/>
  <c r="CY36" i="1"/>
  <c r="BS36" i="1"/>
  <c r="AO36" i="1"/>
  <c r="K36" i="1"/>
  <c r="DR20" i="1"/>
  <c r="CU20" i="1"/>
  <c r="BY20" i="1"/>
  <c r="BA20" i="1"/>
  <c r="AD20" i="1"/>
  <c r="H20" i="1"/>
  <c r="BB36" i="1"/>
  <c r="DV20" i="1"/>
  <c r="AZ20" i="1"/>
  <c r="ED49" i="1"/>
  <c r="AL49" i="1"/>
  <c r="CO36" i="1"/>
  <c r="EC20" i="1"/>
  <c r="BE20" i="1"/>
  <c r="CW49" i="1"/>
  <c r="I49" i="1"/>
  <c r="DJ36" i="1"/>
  <c r="CD36" i="1"/>
  <c r="AZ36" i="1"/>
  <c r="V36" i="1"/>
  <c r="EG20" i="1"/>
  <c r="DI20" i="1"/>
  <c r="CM20" i="1"/>
  <c r="BP20" i="1"/>
  <c r="AR20" i="1"/>
  <c r="EE49" i="1"/>
  <c r="CR49" i="1"/>
  <c r="BJ49" i="1"/>
  <c r="AA49" i="1"/>
  <c r="EE36" i="1"/>
  <c r="CV36" i="1"/>
  <c r="BN36" i="1"/>
  <c r="AE36" i="1"/>
  <c r="EA49" i="1"/>
  <c r="CC49" i="1"/>
  <c r="AI49" i="1"/>
  <c r="DW49" i="1"/>
  <c r="CB49" i="1"/>
  <c r="K49" i="1"/>
  <c r="DC36" i="1"/>
  <c r="BI36" i="1"/>
  <c r="O36" i="1"/>
  <c r="DJ20" i="1"/>
  <c r="CB20" i="1"/>
  <c r="AS20" i="1"/>
  <c r="K20" i="1"/>
  <c r="CU49" i="1"/>
  <c r="BB49" i="1"/>
  <c r="BT49" i="1"/>
  <c r="CS36" i="1"/>
  <c r="AI36" i="1"/>
  <c r="EK49" i="1"/>
  <c r="CN49" i="1"/>
  <c r="W49" i="1"/>
  <c r="CR36" i="1"/>
  <c r="AA36" i="1"/>
  <c r="BX49" i="1"/>
  <c r="DQ49" i="1"/>
  <c r="AB49" i="1"/>
  <c r="BZ36" i="1"/>
  <c r="DW20" i="1"/>
  <c r="BF20" i="1"/>
  <c r="DM49" i="1"/>
  <c r="Y49" i="1"/>
  <c r="CK36" i="1"/>
  <c r="EK20" i="1"/>
  <c r="CQ20" i="1"/>
  <c r="AW20" i="1"/>
  <c r="DS36" i="1"/>
  <c r="CZ20" i="1"/>
  <c r="DH49" i="1"/>
  <c r="DM36" i="1"/>
  <c r="BD36" i="1"/>
  <c r="ED20" i="1"/>
  <c r="CI20" i="1"/>
  <c r="AP20" i="1"/>
  <c r="CU36" i="1"/>
  <c r="CH20" i="1"/>
  <c r="CF49" i="1"/>
  <c r="AU36" i="1"/>
  <c r="Q20" i="1"/>
  <c r="DX36" i="1"/>
  <c r="BP36" i="1"/>
  <c r="G36" i="1"/>
  <c r="CY20" i="1"/>
  <c r="BD20" i="1"/>
  <c r="J20" i="1"/>
  <c r="DT20" i="1"/>
  <c r="AE20" i="1"/>
  <c r="BL20" i="1"/>
  <c r="CP36" i="1"/>
  <c r="DM20" i="1"/>
  <c r="Y20" i="1"/>
  <c r="AI20" i="1"/>
  <c r="DK20" i="1"/>
  <c r="DB36" i="1"/>
  <c r="EA20" i="1"/>
  <c r="AM20" i="1"/>
  <c r="BE49" i="1"/>
  <c r="EA36" i="1"/>
  <c r="AC49" i="1"/>
  <c r="DT36" i="1"/>
  <c r="CO20" i="1"/>
  <c r="BS49" i="1"/>
  <c r="AB36" i="1"/>
  <c r="BT20" i="1"/>
  <c r="AU20" i="1"/>
  <c r="CH36" i="1"/>
  <c r="DG20" i="1"/>
  <c r="S20" i="1"/>
  <c r="W20" i="1"/>
  <c r="CT20" i="1"/>
  <c r="CT36" i="1"/>
  <c r="DU20" i="1"/>
  <c r="AH20" i="1"/>
  <c r="DE49" i="1"/>
  <c r="AR36" i="1"/>
  <c r="G49" i="1"/>
  <c r="CW36" i="1"/>
  <c r="BX20" i="1"/>
  <c r="AV49" i="1"/>
  <c r="E36" i="1"/>
  <c r="BC20" i="1"/>
  <c r="DQ20" i="1"/>
  <c r="BL36" i="1"/>
  <c r="CP20" i="1"/>
  <c r="EB36" i="1"/>
  <c r="DC49" i="1"/>
  <c r="AN20" i="1"/>
  <c r="BX36" i="1"/>
  <c r="DD20" i="1"/>
  <c r="P20" i="1"/>
  <c r="DT49" i="1"/>
  <c r="BW49" i="1"/>
  <c r="F49" i="1"/>
  <c r="CA36" i="1"/>
  <c r="J36" i="1"/>
  <c r="AZ49" i="1"/>
  <c r="CS49" i="1"/>
  <c r="E49" i="1"/>
  <c r="BC36" i="1"/>
  <c r="DF20" i="1"/>
  <c r="AO20" i="1"/>
  <c r="CP49" i="1"/>
  <c r="EH36" i="1"/>
  <c r="BF36" i="1"/>
  <c r="BZ20" i="1"/>
  <c r="BK36" i="1"/>
  <c r="AQ49" i="1"/>
  <c r="AH36" i="1"/>
  <c r="BR20" i="1"/>
  <c r="AD36" i="1"/>
  <c r="O49" i="1"/>
  <c r="BZ49" i="1"/>
  <c r="AS36" i="1"/>
  <c r="CG20" i="1"/>
  <c r="DY49" i="1"/>
  <c r="BJ36" i="1"/>
  <c r="DR49" i="1"/>
  <c r="BU49" i="1"/>
  <c r="AG36" i="1"/>
  <c r="X20" i="1"/>
  <c r="AX49" i="1"/>
  <c r="DN20" i="1"/>
  <c r="Z20" i="1"/>
  <c r="AM36" i="1"/>
  <c r="U49" i="1"/>
  <c r="Y36" i="1"/>
  <c r="BM20" i="1"/>
  <c r="H36" i="1"/>
  <c r="EJ36" i="1"/>
  <c r="BC49" i="1"/>
  <c r="AK36" i="1"/>
  <c r="CA20" i="1"/>
  <c r="AN49" i="1"/>
  <c r="DI36" i="1"/>
  <c r="CT49" i="1"/>
  <c r="AY49" i="1"/>
  <c r="I36" i="1"/>
  <c r="G20" i="1"/>
  <c r="DP36" i="1"/>
  <c r="CV20" i="1"/>
  <c r="I20" i="1"/>
  <c r="EL49" i="1"/>
  <c r="DU36" i="1"/>
  <c r="EI20" i="1"/>
  <c r="AV20" i="1"/>
  <c r="DE20" i="1"/>
  <c r="BQ36" i="1"/>
  <c r="EG36" i="1"/>
  <c r="M36" i="1"/>
  <c r="BJ20" i="1"/>
  <c r="N9" i="1" l="1"/>
  <c r="H9" i="1"/>
  <c r="K38" i="1"/>
  <c r="J22" i="1"/>
  <c r="S5" i="1"/>
  <c r="Z38" i="1" s="1"/>
  <c r="E22" i="4"/>
  <c r="E23" i="4"/>
  <c r="E24" i="4" s="1"/>
  <c r="D79" i="4"/>
  <c r="F79" i="4" s="1"/>
  <c r="J79" i="4" s="1"/>
  <c r="D95" i="4"/>
  <c r="F95" i="4" s="1"/>
  <c r="J95" i="4" s="1"/>
  <c r="D67" i="4"/>
  <c r="D83" i="4"/>
  <c r="D99" i="4"/>
  <c r="F64" i="4"/>
  <c r="G64" i="4" s="1"/>
  <c r="F97" i="4"/>
  <c r="J97" i="4" s="1"/>
  <c r="E21" i="4"/>
  <c r="AF11" i="3" s="1"/>
  <c r="D55" i="4"/>
  <c r="D71" i="4"/>
  <c r="D87" i="4"/>
  <c r="F63" i="4"/>
  <c r="J63" i="4" s="1"/>
  <c r="J65" i="4"/>
  <c r="D59" i="4"/>
  <c r="D75" i="4"/>
  <c r="D91" i="4"/>
  <c r="G65" i="4"/>
  <c r="G80" i="4"/>
  <c r="G95" i="4"/>
  <c r="G79" i="4"/>
  <c r="G63" i="4"/>
  <c r="E7" i="1"/>
  <c r="E6" i="1" s="1"/>
  <c r="J7" i="1"/>
  <c r="J6" i="1" s="1"/>
  <c r="P7" i="1"/>
  <c r="P6" i="1" s="1"/>
  <c r="V7" i="1"/>
  <c r="V6" i="1" s="1"/>
  <c r="AA7" i="1"/>
  <c r="AA6" i="1" s="1"/>
  <c r="AH7" i="1"/>
  <c r="AH6" i="1" s="1"/>
  <c r="AM7" i="1"/>
  <c r="AM6" i="1" s="1"/>
  <c r="AR7" i="1"/>
  <c r="AR6" i="1" s="1"/>
  <c r="AY7" i="1"/>
  <c r="AY6" i="1" s="1"/>
  <c r="BD7" i="1"/>
  <c r="BD6" i="1" s="1"/>
  <c r="BJ7" i="1"/>
  <c r="BJ6" i="1" s="1"/>
  <c r="BP7" i="1"/>
  <c r="BP6" i="1" s="1"/>
  <c r="BU7" i="1"/>
  <c r="BU6" i="1" s="1"/>
  <c r="CA7" i="1"/>
  <c r="CA6" i="1" s="1"/>
  <c r="CG7" i="1"/>
  <c r="CG6" i="1" s="1"/>
  <c r="CM7" i="1"/>
  <c r="CM6" i="1" s="1"/>
  <c r="CR7" i="1"/>
  <c r="CR6" i="1" s="1"/>
  <c r="CY7" i="1"/>
  <c r="CY6" i="1" s="1"/>
  <c r="DD7" i="1"/>
  <c r="DD6" i="1" s="1"/>
  <c r="DI7" i="1"/>
  <c r="DI6" i="1" s="1"/>
  <c r="DP7" i="1"/>
  <c r="DP6" i="1" s="1"/>
  <c r="DU7" i="1"/>
  <c r="DU6" i="1" s="1"/>
  <c r="EA7" i="1"/>
  <c r="EA6" i="1" s="1"/>
  <c r="EG7" i="1"/>
  <c r="EG6" i="1" s="1"/>
  <c r="EL7" i="1"/>
  <c r="EL6" i="1" s="1"/>
  <c r="Q7" i="1"/>
  <c r="Q6" i="1" s="1"/>
  <c r="AN7" i="1"/>
  <c r="AN6" i="1" s="1"/>
  <c r="BE7" i="1"/>
  <c r="BE6" i="1" s="1"/>
  <c r="BW7" i="1"/>
  <c r="BW6" i="1" s="1"/>
  <c r="CT7" i="1"/>
  <c r="CT6" i="1" s="1"/>
  <c r="DK7" i="1"/>
  <c r="DK6" i="1" s="1"/>
  <c r="EC7" i="1"/>
  <c r="EC6" i="1" s="1"/>
  <c r="F7" i="1"/>
  <c r="F6" i="1" s="1"/>
  <c r="W7" i="1"/>
  <c r="W6" i="1" s="1"/>
  <c r="AI7" i="1"/>
  <c r="AI6" i="1" s="1"/>
  <c r="AZ7" i="1"/>
  <c r="AZ6" i="1" s="1"/>
  <c r="BQ7" i="1"/>
  <c r="BQ6" i="1" s="1"/>
  <c r="CH7" i="1"/>
  <c r="CH6" i="1" s="1"/>
  <c r="DE7" i="1"/>
  <c r="DE6" i="1" s="1"/>
  <c r="DV7" i="1"/>
  <c r="DV6" i="1" s="1"/>
  <c r="EM7" i="1"/>
  <c r="EM6" i="1" s="1"/>
  <c r="H7" i="1"/>
  <c r="H6" i="1" s="1"/>
  <c r="M7" i="1"/>
  <c r="M6" i="1" s="1"/>
  <c r="S7" i="1"/>
  <c r="S6" i="1" s="1"/>
  <c r="Y7" i="1"/>
  <c r="Y6" i="1" s="1"/>
  <c r="AD7" i="1"/>
  <c r="AD6" i="1" s="1"/>
  <c r="AJ7" i="1"/>
  <c r="AJ6" i="1" s="1"/>
  <c r="AP7" i="1"/>
  <c r="AP6" i="1" s="1"/>
  <c r="AV7" i="1"/>
  <c r="AV6" i="1" s="1"/>
  <c r="BA7" i="1"/>
  <c r="BA6" i="1" s="1"/>
  <c r="BG7" i="1"/>
  <c r="BG6" i="1" s="1"/>
  <c r="BM7" i="1"/>
  <c r="BM6" i="1" s="1"/>
  <c r="BR7" i="1"/>
  <c r="BR6" i="1" s="1"/>
  <c r="BY7" i="1"/>
  <c r="BY6" i="1" s="1"/>
  <c r="CD7" i="1"/>
  <c r="CD6" i="1" s="1"/>
  <c r="CI7" i="1"/>
  <c r="CI6" i="1" s="1"/>
  <c r="CP7" i="1"/>
  <c r="CP6" i="1" s="1"/>
  <c r="CU7" i="1"/>
  <c r="CU6" i="1" s="1"/>
  <c r="DA7" i="1"/>
  <c r="DA6" i="1" s="1"/>
  <c r="DG7" i="1"/>
  <c r="DG6" i="1" s="1"/>
  <c r="DM7" i="1"/>
  <c r="DM6" i="1" s="1"/>
  <c r="DR7" i="1"/>
  <c r="DR6" i="1" s="1"/>
  <c r="DX7" i="1"/>
  <c r="DX6" i="1" s="1"/>
  <c r="ED7" i="1"/>
  <c r="ED6" i="1" s="1"/>
  <c r="EI7" i="1"/>
  <c r="EI6" i="1" s="1"/>
  <c r="L7" i="1"/>
  <c r="L6" i="1" s="1"/>
  <c r="AC7" i="1"/>
  <c r="AC6" i="1" s="1"/>
  <c r="AU7" i="1"/>
  <c r="AU6" i="1" s="1"/>
  <c r="BL7" i="1"/>
  <c r="BL6" i="1" s="1"/>
  <c r="CC7" i="1"/>
  <c r="CC6" i="1" s="1"/>
  <c r="CN7" i="1"/>
  <c r="CN6" i="1" s="1"/>
  <c r="CZ7" i="1"/>
  <c r="CZ6" i="1" s="1"/>
  <c r="DQ7" i="1"/>
  <c r="DQ6" i="1" s="1"/>
  <c r="EH7" i="1"/>
  <c r="EH6" i="1" s="1"/>
  <c r="I7" i="1"/>
  <c r="I6" i="1" s="1"/>
  <c r="N7" i="1"/>
  <c r="N6" i="1" s="1"/>
  <c r="U7" i="1"/>
  <c r="U6" i="1" s="1"/>
  <c r="Z7" i="1"/>
  <c r="Z6" i="1" s="1"/>
  <c r="AE7" i="1"/>
  <c r="AE6" i="1" s="1"/>
  <c r="AL7" i="1"/>
  <c r="AL6" i="1" s="1"/>
  <c r="AQ7" i="1"/>
  <c r="AQ6" i="1" s="1"/>
  <c r="AW7" i="1"/>
  <c r="AW6" i="1" s="1"/>
  <c r="BC7" i="1"/>
  <c r="BC6" i="1" s="1"/>
  <c r="BI7" i="1"/>
  <c r="BI6" i="1" s="1"/>
  <c r="BN7" i="1"/>
  <c r="BN6" i="1" s="1"/>
  <c r="BT7" i="1"/>
  <c r="BT6" i="1" s="1"/>
  <c r="BZ7" i="1"/>
  <c r="BZ6" i="1" s="1"/>
  <c r="CE7" i="1"/>
  <c r="CE6" i="1" s="1"/>
  <c r="CL7" i="1"/>
  <c r="CL6" i="1" s="1"/>
  <c r="CQ7" i="1"/>
  <c r="CQ6" i="1" s="1"/>
  <c r="CV7" i="1"/>
  <c r="CV6" i="1" s="1"/>
  <c r="DC7" i="1"/>
  <c r="DC6" i="1" s="1"/>
  <c r="DH7" i="1"/>
  <c r="DH6" i="1" s="1"/>
  <c r="DN7" i="1"/>
  <c r="DN6" i="1" s="1"/>
  <c r="DT7" i="1"/>
  <c r="DT6" i="1" s="1"/>
  <c r="DY7" i="1"/>
  <c r="DY6" i="1" s="1"/>
  <c r="EE7" i="1"/>
  <c r="EE6" i="1" s="1"/>
  <c r="EK7" i="1"/>
  <c r="EK6" i="1" s="1"/>
  <c r="G7" i="1"/>
  <c r="G6" i="1" s="1"/>
  <c r="K7" i="1"/>
  <c r="K6" i="1" s="1"/>
  <c r="O7" i="1"/>
  <c r="O6" i="1" s="1"/>
  <c r="T7" i="1"/>
  <c r="T6" i="1" s="1"/>
  <c r="X7" i="1"/>
  <c r="X6" i="1" s="1"/>
  <c r="AB7" i="1"/>
  <c r="AB6" i="1" s="1"/>
  <c r="AG7" i="1"/>
  <c r="AG6" i="1" s="1"/>
  <c r="AK7" i="1"/>
  <c r="AK6" i="1" s="1"/>
  <c r="AO7" i="1"/>
  <c r="AO6" i="1" s="1"/>
  <c r="AS7" i="1"/>
  <c r="AS6" i="1" s="1"/>
  <c r="AX7" i="1"/>
  <c r="AX6" i="1" s="1"/>
  <c r="BB7" i="1"/>
  <c r="BB6" i="1" s="1"/>
  <c r="BF7" i="1"/>
  <c r="BF6" i="1" s="1"/>
  <c r="BK7" i="1"/>
  <c r="BK6" i="1" s="1"/>
  <c r="BO7" i="1"/>
  <c r="BO6" i="1" s="1"/>
  <c r="BS7" i="1"/>
  <c r="BS6" i="1" s="1"/>
  <c r="BX7" i="1"/>
  <c r="BX6" i="1" s="1"/>
  <c r="CB7" i="1"/>
  <c r="CB6" i="1" s="1"/>
  <c r="CF7" i="1"/>
  <c r="CF6" i="1" s="1"/>
  <c r="CK7" i="1"/>
  <c r="CK6" i="1" s="1"/>
  <c r="CO7" i="1"/>
  <c r="CO6" i="1" s="1"/>
  <c r="CS7" i="1"/>
  <c r="CS6" i="1" s="1"/>
  <c r="CW7" i="1"/>
  <c r="CW6" i="1" s="1"/>
  <c r="DB7" i="1"/>
  <c r="DB6" i="1" s="1"/>
  <c r="DF7" i="1"/>
  <c r="DF6" i="1" s="1"/>
  <c r="DJ7" i="1"/>
  <c r="DJ6" i="1" s="1"/>
  <c r="DO7" i="1"/>
  <c r="DO6" i="1" s="1"/>
  <c r="DS7" i="1"/>
  <c r="DS6" i="1" s="1"/>
  <c r="DW7" i="1"/>
  <c r="DW6" i="1" s="1"/>
  <c r="EB7" i="1"/>
  <c r="EB6" i="1" s="1"/>
  <c r="EF7" i="1"/>
  <c r="EF6" i="1" s="1"/>
  <c r="EJ7" i="1"/>
  <c r="EJ6" i="1" s="1"/>
  <c r="P38" i="1"/>
  <c r="L38" i="1"/>
  <c r="H38" i="1"/>
  <c r="M38" i="1"/>
  <c r="G38" i="1"/>
  <c r="Q22" i="1"/>
  <c r="M22" i="1"/>
  <c r="I22" i="1"/>
  <c r="E22" i="1"/>
  <c r="Q9" i="1"/>
  <c r="M9" i="1"/>
  <c r="I9" i="1"/>
  <c r="E9" i="1"/>
  <c r="O38" i="1"/>
  <c r="J38" i="1"/>
  <c r="E38" i="1"/>
  <c r="G9" i="1"/>
  <c r="L9" i="1"/>
  <c r="S9" i="1"/>
  <c r="X9" i="1"/>
  <c r="AC9" i="1"/>
  <c r="H22" i="1"/>
  <c r="N22" i="1"/>
  <c r="T22" i="1"/>
  <c r="Y22" i="1"/>
  <c r="AE22" i="1"/>
  <c r="I38" i="1"/>
  <c r="T38" i="1"/>
  <c r="AE38" i="1"/>
  <c r="T9" i="1"/>
  <c r="AA22" i="1"/>
  <c r="W38" i="1"/>
  <c r="Y9" i="1"/>
  <c r="U22" i="1"/>
  <c r="J9" i="1"/>
  <c r="O9" i="1"/>
  <c r="U9" i="1"/>
  <c r="AA9" i="1"/>
  <c r="F22" i="1"/>
  <c r="K22" i="1"/>
  <c r="P22" i="1"/>
  <c r="W22" i="1"/>
  <c r="AB22" i="1"/>
  <c r="N38" i="1"/>
  <c r="AC38" i="1"/>
  <c r="Y38" i="1"/>
  <c r="U38" i="1"/>
  <c r="AD38" i="1"/>
  <c r="X38" i="1"/>
  <c r="S38" i="1"/>
  <c r="AD22" i="1"/>
  <c r="Z22" i="1"/>
  <c r="V22" i="1"/>
  <c r="AD9" i="1"/>
  <c r="Z9" i="1"/>
  <c r="V9" i="1"/>
  <c r="AG5" i="1"/>
  <c r="AA38" i="1"/>
  <c r="V38" i="1"/>
  <c r="AE9" i="1"/>
  <c r="F9" i="1"/>
  <c r="K9" i="1"/>
  <c r="P9" i="1"/>
  <c r="W9" i="1"/>
  <c r="AB9" i="1"/>
  <c r="G22" i="1"/>
  <c r="L22" i="1"/>
  <c r="S22" i="1"/>
  <c r="X22" i="1"/>
  <c r="AC22" i="1"/>
  <c r="F38" i="1"/>
  <c r="Q38" i="1"/>
  <c r="AB38" i="1"/>
  <c r="E14" i="3"/>
  <c r="H14" i="3"/>
  <c r="J14" i="3"/>
  <c r="C15" i="3"/>
  <c r="G14" i="3"/>
  <c r="E13" i="3"/>
  <c r="H13" i="3"/>
  <c r="E13" i="4"/>
  <c r="E14" i="4" s="1"/>
  <c r="F80" i="4" l="1"/>
  <c r="J80" i="4" s="1"/>
  <c r="Y11" i="3"/>
  <c r="F96" i="4"/>
  <c r="F81" i="4"/>
  <c r="G97" i="4"/>
  <c r="F56" i="4"/>
  <c r="F57" i="4"/>
  <c r="F55" i="4"/>
  <c r="F83" i="4"/>
  <c r="F84" i="4"/>
  <c r="F85" i="4"/>
  <c r="J64" i="4"/>
  <c r="F93" i="4"/>
  <c r="F91" i="4"/>
  <c r="F92" i="4"/>
  <c r="F67" i="4"/>
  <c r="F68" i="4"/>
  <c r="F69" i="4"/>
  <c r="F77" i="4"/>
  <c r="F76" i="4"/>
  <c r="F75" i="4"/>
  <c r="F88" i="4"/>
  <c r="F89" i="4"/>
  <c r="F87" i="4"/>
  <c r="F61" i="4"/>
  <c r="F59" i="4"/>
  <c r="F60" i="4"/>
  <c r="F72" i="4"/>
  <c r="F73" i="4"/>
  <c r="F71" i="4"/>
  <c r="F99" i="4"/>
  <c r="F100" i="4"/>
  <c r="F101" i="4"/>
  <c r="F14" i="3"/>
  <c r="E15" i="3"/>
  <c r="H15" i="3"/>
  <c r="J15" i="3"/>
  <c r="G15" i="3"/>
  <c r="C16" i="3"/>
  <c r="AP38" i="1"/>
  <c r="AL38" i="1"/>
  <c r="AH38" i="1"/>
  <c r="AO38" i="1"/>
  <c r="AJ38" i="1"/>
  <c r="AQ22" i="1"/>
  <c r="AM22" i="1"/>
  <c r="AI22" i="1"/>
  <c r="AQ9" i="1"/>
  <c r="AM9" i="1"/>
  <c r="AI9" i="1"/>
  <c r="AR38" i="1"/>
  <c r="AM38" i="1"/>
  <c r="AG38" i="1"/>
  <c r="AN38" i="1"/>
  <c r="AO22" i="1"/>
  <c r="AJ22" i="1"/>
  <c r="AS9" i="1"/>
  <c r="AN9" i="1"/>
  <c r="AH9" i="1"/>
  <c r="AS38" i="1"/>
  <c r="AI38" i="1"/>
  <c r="AL22" i="1"/>
  <c r="AK38" i="1"/>
  <c r="AS22" i="1"/>
  <c r="AN22" i="1"/>
  <c r="AH22" i="1"/>
  <c r="AR9" i="1"/>
  <c r="AL9" i="1"/>
  <c r="AG9" i="1"/>
  <c r="AU5" i="1"/>
  <c r="AG22" i="1"/>
  <c r="AP9" i="1"/>
  <c r="AR22" i="1"/>
  <c r="AK9" i="1"/>
  <c r="AQ38" i="1"/>
  <c r="AP22" i="1"/>
  <c r="AK22" i="1"/>
  <c r="AO9" i="1"/>
  <c r="AJ9" i="1"/>
  <c r="AC13" i="3"/>
  <c r="AB13" i="3"/>
  <c r="AD13" i="3"/>
  <c r="AA13" i="3"/>
  <c r="Z13" i="3"/>
  <c r="L13" i="3"/>
  <c r="D13" i="3"/>
  <c r="I13" i="3" s="1"/>
  <c r="F13" i="3"/>
  <c r="J81" i="4" l="1"/>
  <c r="G81" i="4"/>
  <c r="G96" i="4"/>
  <c r="J96" i="4"/>
  <c r="J55" i="4"/>
  <c r="G55" i="4"/>
  <c r="J99" i="4"/>
  <c r="G99" i="4"/>
  <c r="J89" i="4"/>
  <c r="G89" i="4"/>
  <c r="J68" i="4"/>
  <c r="G68" i="4"/>
  <c r="J83" i="4"/>
  <c r="G83" i="4"/>
  <c r="J101" i="4"/>
  <c r="G101" i="4"/>
  <c r="J73" i="4"/>
  <c r="G73" i="4"/>
  <c r="J61" i="4"/>
  <c r="G61" i="4"/>
  <c r="J75" i="4"/>
  <c r="G75" i="4"/>
  <c r="J92" i="4"/>
  <c r="G92" i="4"/>
  <c r="G85" i="4"/>
  <c r="J85" i="4"/>
  <c r="J57" i="4"/>
  <c r="G57" i="4"/>
  <c r="G60" i="4"/>
  <c r="J60" i="4"/>
  <c r="G77" i="4"/>
  <c r="J77" i="4"/>
  <c r="G93" i="4"/>
  <c r="J93" i="4"/>
  <c r="G71" i="4"/>
  <c r="J71" i="4"/>
  <c r="J59" i="4"/>
  <c r="G59" i="4"/>
  <c r="J88" i="4"/>
  <c r="G88" i="4"/>
  <c r="G67" i="4"/>
  <c r="J67" i="4"/>
  <c r="J100" i="4"/>
  <c r="G100" i="4"/>
  <c r="J72" i="4"/>
  <c r="G72" i="4"/>
  <c r="G87" i="4"/>
  <c r="J87" i="4"/>
  <c r="J76" i="4"/>
  <c r="G76" i="4"/>
  <c r="G69" i="4"/>
  <c r="J69" i="4"/>
  <c r="G91" i="4"/>
  <c r="J91" i="4"/>
  <c r="J84" i="4"/>
  <c r="G84" i="4"/>
  <c r="G56" i="4"/>
  <c r="J56" i="4"/>
  <c r="U13" i="3"/>
  <c r="Q13" i="3"/>
  <c r="M13" i="3"/>
  <c r="X13" i="3"/>
  <c r="T13" i="3"/>
  <c r="P13" i="3"/>
  <c r="V13" i="3"/>
  <c r="N13" i="3"/>
  <c r="S13" i="3"/>
  <c r="R13" i="3"/>
  <c r="O13" i="3"/>
  <c r="W13" i="3"/>
  <c r="D14" i="3"/>
  <c r="I14" i="3" s="1"/>
  <c r="K14" i="3" s="1"/>
  <c r="BG38" i="1"/>
  <c r="BC38" i="1"/>
  <c r="AY38" i="1"/>
  <c r="AU38" i="1"/>
  <c r="BF38" i="1"/>
  <c r="BA38" i="1"/>
  <c r="AV38" i="1"/>
  <c r="BD22" i="1"/>
  <c r="AZ22" i="1"/>
  <c r="AV22" i="1"/>
  <c r="BD9" i="1"/>
  <c r="AZ9" i="1"/>
  <c r="AV9" i="1"/>
  <c r="BD38" i="1"/>
  <c r="AX38" i="1"/>
  <c r="AZ38" i="1"/>
  <c r="BF22" i="1"/>
  <c r="BA22" i="1"/>
  <c r="AU22" i="1"/>
  <c r="BE9" i="1"/>
  <c r="AY9" i="1"/>
  <c r="BI5" i="1"/>
  <c r="BC22" i="1"/>
  <c r="AW9" i="1"/>
  <c r="AW38" i="1"/>
  <c r="BE22" i="1"/>
  <c r="AY22" i="1"/>
  <c r="BC9" i="1"/>
  <c r="AX9" i="1"/>
  <c r="AX22" i="1"/>
  <c r="BB9" i="1"/>
  <c r="BE38" i="1"/>
  <c r="BG9" i="1"/>
  <c r="BB38" i="1"/>
  <c r="BG22" i="1"/>
  <c r="BB22" i="1"/>
  <c r="AW22" i="1"/>
  <c r="BF9" i="1"/>
  <c r="BA9" i="1"/>
  <c r="AU9" i="1"/>
  <c r="C17" i="3"/>
  <c r="E16" i="3"/>
  <c r="H16" i="3"/>
  <c r="J16" i="3"/>
  <c r="G16" i="3"/>
  <c r="D15" i="3"/>
  <c r="I15" i="3" s="1"/>
  <c r="K15" i="3" s="1"/>
  <c r="F15" i="3"/>
  <c r="N14" i="3" l="1"/>
  <c r="M14" i="3"/>
  <c r="G17" i="3"/>
  <c r="J17" i="3"/>
  <c r="H17" i="3"/>
  <c r="E17" i="3"/>
  <c r="C18" i="3"/>
  <c r="Y13" i="3"/>
  <c r="M15" i="3"/>
  <c r="T15" i="3" s="1"/>
  <c r="N15" i="3"/>
  <c r="Q15" i="3" s="1"/>
  <c r="D16" i="3"/>
  <c r="I16" i="3" s="1"/>
  <c r="K16" i="3" s="1"/>
  <c r="F16" i="3"/>
  <c r="BT38" i="1"/>
  <c r="BP38" i="1"/>
  <c r="BL38" i="1"/>
  <c r="BR22" i="1"/>
  <c r="BN22" i="1"/>
  <c r="BR38" i="1"/>
  <c r="BM38" i="1"/>
  <c r="BS22" i="1"/>
  <c r="BM22" i="1"/>
  <c r="BI22" i="1"/>
  <c r="BU9" i="1"/>
  <c r="BQ9" i="1"/>
  <c r="BM9" i="1"/>
  <c r="BI9" i="1"/>
  <c r="BU38" i="1"/>
  <c r="BO38" i="1"/>
  <c r="BJ38" i="1"/>
  <c r="BK38" i="1"/>
  <c r="BT22" i="1"/>
  <c r="BL22" i="1"/>
  <c r="BP9" i="1"/>
  <c r="BK9" i="1"/>
  <c r="BQ38" i="1"/>
  <c r="BN9" i="1"/>
  <c r="BS38" i="1"/>
  <c r="BI38" i="1"/>
  <c r="BQ22" i="1"/>
  <c r="BK22" i="1"/>
  <c r="BT9" i="1"/>
  <c r="BO9" i="1"/>
  <c r="BJ9" i="1"/>
  <c r="BP22" i="1"/>
  <c r="BS9" i="1"/>
  <c r="BJ22" i="1"/>
  <c r="BN38" i="1"/>
  <c r="BU22" i="1"/>
  <c r="BO22" i="1"/>
  <c r="BR9" i="1"/>
  <c r="BL9" i="1"/>
  <c r="BW5" i="1"/>
  <c r="O15" i="3" l="1"/>
  <c r="V15" i="3"/>
  <c r="CG38" i="1"/>
  <c r="CC38" i="1"/>
  <c r="BY38" i="1"/>
  <c r="CI22" i="1"/>
  <c r="CE22" i="1"/>
  <c r="CA22" i="1"/>
  <c r="BW22" i="1"/>
  <c r="CI38" i="1"/>
  <c r="CD38" i="1"/>
  <c r="BX38" i="1"/>
  <c r="CD22" i="1"/>
  <c r="BY22" i="1"/>
  <c r="CH9" i="1"/>
  <c r="CD9" i="1"/>
  <c r="BZ9" i="1"/>
  <c r="CK5" i="1"/>
  <c r="CF38" i="1"/>
  <c r="CA38" i="1"/>
  <c r="CH38" i="1"/>
  <c r="BW38" i="1"/>
  <c r="CH22" i="1"/>
  <c r="CB22" i="1"/>
  <c r="CG9" i="1"/>
  <c r="CB9" i="1"/>
  <c r="BW9" i="1"/>
  <c r="BX22" i="1"/>
  <c r="CE9" i="1"/>
  <c r="CE38" i="1"/>
  <c r="CG22" i="1"/>
  <c r="BZ22" i="1"/>
  <c r="CF9" i="1"/>
  <c r="CA9" i="1"/>
  <c r="CB38" i="1"/>
  <c r="CF22" i="1"/>
  <c r="BY9" i="1"/>
  <c r="BZ38" i="1"/>
  <c r="CC22" i="1"/>
  <c r="CI9" i="1"/>
  <c r="CC9" i="1"/>
  <c r="BX9" i="1"/>
  <c r="M16" i="3"/>
  <c r="T16" i="3" s="1"/>
  <c r="N16" i="3"/>
  <c r="F17" i="3"/>
  <c r="D17" i="3"/>
  <c r="I17" i="3" s="1"/>
  <c r="K17" i="3" s="1"/>
  <c r="T14" i="3"/>
  <c r="O14" i="3"/>
  <c r="Q14" i="3"/>
  <c r="V14" i="3"/>
  <c r="C19" i="3"/>
  <c r="E18" i="3"/>
  <c r="H18" i="3"/>
  <c r="J18" i="3"/>
  <c r="G18" i="3"/>
  <c r="P15" i="3"/>
  <c r="P14" i="3"/>
  <c r="V16" i="3" l="1"/>
  <c r="W17" i="3"/>
  <c r="S17" i="3"/>
  <c r="O17" i="3"/>
  <c r="V17" i="3"/>
  <c r="R17" i="3"/>
  <c r="N17" i="3"/>
  <c r="Q17" i="3"/>
  <c r="X17" i="3"/>
  <c r="P17" i="3"/>
  <c r="U17" i="3"/>
  <c r="T17" i="3"/>
  <c r="M17" i="3"/>
  <c r="Q16" i="3"/>
  <c r="G19" i="3"/>
  <c r="J19" i="3"/>
  <c r="H19" i="3"/>
  <c r="E19" i="3"/>
  <c r="C20" i="3"/>
  <c r="AC18" i="3"/>
  <c r="Y18" i="3"/>
  <c r="AB18" i="3"/>
  <c r="Z18" i="3"/>
  <c r="AD18" i="3"/>
  <c r="AA18" i="3"/>
  <c r="O16" i="3"/>
  <c r="L18" i="3"/>
  <c r="D18" i="3"/>
  <c r="I18" i="3" s="1"/>
  <c r="F18" i="3"/>
  <c r="CT38" i="1"/>
  <c r="CP38" i="1"/>
  <c r="CL38" i="1"/>
  <c r="CV22" i="1"/>
  <c r="CR22" i="1"/>
  <c r="CN22" i="1"/>
  <c r="CU38" i="1"/>
  <c r="CO38" i="1"/>
  <c r="CU22" i="1"/>
  <c r="CP22" i="1"/>
  <c r="CK22" i="1"/>
  <c r="CU9" i="1"/>
  <c r="CQ9" i="1"/>
  <c r="CM9" i="1"/>
  <c r="CW38" i="1"/>
  <c r="CR38" i="1"/>
  <c r="CM38" i="1"/>
  <c r="CS38" i="1"/>
  <c r="CQ22" i="1"/>
  <c r="CS9" i="1"/>
  <c r="CN9" i="1"/>
  <c r="CN38" i="1"/>
  <c r="CT22" i="1"/>
  <c r="CQ38" i="1"/>
  <c r="CW22" i="1"/>
  <c r="CO22" i="1"/>
  <c r="CW9" i="1"/>
  <c r="CR9" i="1"/>
  <c r="CL9" i="1"/>
  <c r="CM22" i="1"/>
  <c r="CV9" i="1"/>
  <c r="CK9" i="1"/>
  <c r="CY5" i="1"/>
  <c r="CP9" i="1"/>
  <c r="CV38" i="1"/>
  <c r="CK38" i="1"/>
  <c r="CS22" i="1"/>
  <c r="CL22" i="1"/>
  <c r="CT9" i="1"/>
  <c r="CO9" i="1"/>
  <c r="P16" i="3"/>
  <c r="U18" i="3" l="1"/>
  <c r="Q18" i="3"/>
  <c r="M18" i="3"/>
  <c r="X18" i="3"/>
  <c r="T18" i="3"/>
  <c r="P18" i="3"/>
  <c r="R18" i="3"/>
  <c r="W18" i="3"/>
  <c r="O18" i="3"/>
  <c r="N18" i="3"/>
  <c r="V18" i="3"/>
  <c r="S18" i="3"/>
  <c r="F19" i="3"/>
  <c r="D19" i="3"/>
  <c r="I19" i="3" s="1"/>
  <c r="L19" i="3"/>
  <c r="C21" i="3"/>
  <c r="E20" i="3"/>
  <c r="H20" i="3"/>
  <c r="J20" i="3"/>
  <c r="G20" i="3"/>
  <c r="AA19" i="3"/>
  <c r="AD19" i="3"/>
  <c r="Z19" i="3"/>
  <c r="AC19" i="3"/>
  <c r="AB19" i="3"/>
  <c r="DK38" i="1"/>
  <c r="DG38" i="1"/>
  <c r="DC38" i="1"/>
  <c r="CY38" i="1"/>
  <c r="DI22" i="1"/>
  <c r="DE22" i="1"/>
  <c r="DA22" i="1"/>
  <c r="DF38" i="1"/>
  <c r="DA38" i="1"/>
  <c r="DG22" i="1"/>
  <c r="DB22" i="1"/>
  <c r="DH9" i="1"/>
  <c r="DD9" i="1"/>
  <c r="CZ9" i="1"/>
  <c r="DI38" i="1"/>
  <c r="DD38" i="1"/>
  <c r="DE38" i="1"/>
  <c r="DF22" i="1"/>
  <c r="CY22" i="1"/>
  <c r="DJ9" i="1"/>
  <c r="DE9" i="1"/>
  <c r="CY9" i="1"/>
  <c r="DG9" i="1"/>
  <c r="DB38" i="1"/>
  <c r="DK22" i="1"/>
  <c r="DD22" i="1"/>
  <c r="DI9" i="1"/>
  <c r="DC9" i="1"/>
  <c r="DM5" i="1"/>
  <c r="DJ22" i="1"/>
  <c r="DJ38" i="1"/>
  <c r="CZ38" i="1"/>
  <c r="DC22" i="1"/>
  <c r="DB9" i="1"/>
  <c r="DH38" i="1"/>
  <c r="DH22" i="1"/>
  <c r="CZ22" i="1"/>
  <c r="DK9" i="1"/>
  <c r="DF9" i="1"/>
  <c r="DA9" i="1"/>
  <c r="D20" i="3" l="1"/>
  <c r="I20" i="3" s="1"/>
  <c r="K20" i="3" s="1"/>
  <c r="F20" i="3"/>
  <c r="W19" i="3"/>
  <c r="S19" i="3"/>
  <c r="O19" i="3"/>
  <c r="V19" i="3"/>
  <c r="R19" i="3"/>
  <c r="N19" i="3"/>
  <c r="Q19" i="3"/>
  <c r="X19" i="3"/>
  <c r="P19" i="3"/>
  <c r="U19" i="3"/>
  <c r="T19" i="3"/>
  <c r="M19" i="3"/>
  <c r="G21" i="3"/>
  <c r="J21" i="3"/>
  <c r="H21" i="3"/>
  <c r="E21" i="3"/>
  <c r="C22" i="3"/>
  <c r="DX38" i="1"/>
  <c r="DT38" i="1"/>
  <c r="DP38" i="1"/>
  <c r="DV22" i="1"/>
  <c r="DR22" i="1"/>
  <c r="DN22" i="1"/>
  <c r="DW38" i="1"/>
  <c r="DR38" i="1"/>
  <c r="DM38" i="1"/>
  <c r="DX22" i="1"/>
  <c r="DS22" i="1"/>
  <c r="DM22" i="1"/>
  <c r="DY9" i="1"/>
  <c r="DU9" i="1"/>
  <c r="DQ9" i="1"/>
  <c r="DM9" i="1"/>
  <c r="DU38" i="1"/>
  <c r="DO38" i="1"/>
  <c r="DQ38" i="1"/>
  <c r="DU22" i="1"/>
  <c r="DO22" i="1"/>
  <c r="DV9" i="1"/>
  <c r="DP9" i="1"/>
  <c r="EA5" i="1"/>
  <c r="DV38" i="1"/>
  <c r="DQ22" i="1"/>
  <c r="DY38" i="1"/>
  <c r="DN38" i="1"/>
  <c r="DT22" i="1"/>
  <c r="DT9" i="1"/>
  <c r="DO9" i="1"/>
  <c r="DX9" i="1"/>
  <c r="DN9" i="1"/>
  <c r="DY22" i="1"/>
  <c r="DS9" i="1"/>
  <c r="DS38" i="1"/>
  <c r="DW22" i="1"/>
  <c r="DP22" i="1"/>
  <c r="DW9" i="1"/>
  <c r="DR9" i="1"/>
  <c r="F21" i="3" l="1"/>
  <c r="D21" i="3"/>
  <c r="I21" i="3" s="1"/>
  <c r="K21" i="3" s="1"/>
  <c r="M20" i="3"/>
  <c r="EK38" i="1"/>
  <c r="EG38" i="1"/>
  <c r="EC38" i="1"/>
  <c r="EM22" i="1"/>
  <c r="EI22" i="1"/>
  <c r="EE22" i="1"/>
  <c r="EA22" i="1"/>
  <c r="EI38" i="1"/>
  <c r="ED38" i="1"/>
  <c r="EJ22" i="1"/>
  <c r="ED22" i="1"/>
  <c r="EL9" i="1"/>
  <c r="EH9" i="1"/>
  <c r="ED9" i="1"/>
  <c r="EL38" i="1"/>
  <c r="EF38" i="1"/>
  <c r="EA38" i="1"/>
  <c r="EM38" i="1"/>
  <c r="EB38" i="1"/>
  <c r="EK22" i="1"/>
  <c r="EC22" i="1"/>
  <c r="EM9" i="1"/>
  <c r="EG9" i="1"/>
  <c r="EB9" i="1"/>
  <c r="EG22" i="1"/>
  <c r="EE9" i="1"/>
  <c r="EJ38" i="1"/>
  <c r="EH22" i="1"/>
  <c r="EB22" i="1"/>
  <c r="EK9" i="1"/>
  <c r="EF9" i="1"/>
  <c r="EA9" i="1"/>
  <c r="L20" i="3" s="1"/>
  <c r="EJ9" i="1"/>
  <c r="EH38" i="1"/>
  <c r="EE38" i="1"/>
  <c r="EL22" i="1"/>
  <c r="EF22" i="1"/>
  <c r="EI9" i="1"/>
  <c r="EC9" i="1"/>
  <c r="E22" i="3"/>
  <c r="C23" i="3"/>
  <c r="H22" i="3"/>
  <c r="J22" i="3"/>
  <c r="G22" i="3"/>
  <c r="L21" i="3" l="1"/>
  <c r="K63" i="4"/>
  <c r="K81" i="4"/>
  <c r="K80" i="4"/>
  <c r="K97" i="4"/>
  <c r="L14" i="3"/>
  <c r="K76" i="4"/>
  <c r="K65" i="4"/>
  <c r="K79" i="4"/>
  <c r="K64" i="4"/>
  <c r="K95" i="4"/>
  <c r="K72" i="4"/>
  <c r="K100" i="4"/>
  <c r="K93" i="4"/>
  <c r="K73" i="4"/>
  <c r="K83" i="4"/>
  <c r="K101" i="4"/>
  <c r="K87" i="4"/>
  <c r="K91" i="4"/>
  <c r="K56" i="4"/>
  <c r="K55" i="4"/>
  <c r="K92" i="4"/>
  <c r="K77" i="4"/>
  <c r="K84" i="4"/>
  <c r="K61" i="4"/>
  <c r="K85" i="4"/>
  <c r="K75" i="4"/>
  <c r="K59" i="4"/>
  <c r="K68" i="4"/>
  <c r="K89" i="4"/>
  <c r="K96" i="4"/>
  <c r="L15" i="3"/>
  <c r="K71" i="4"/>
  <c r="K88" i="4"/>
  <c r="K99" i="4"/>
  <c r="K60" i="4"/>
  <c r="K69" i="4"/>
  <c r="K67" i="4"/>
  <c r="K57" i="4"/>
  <c r="L17" i="3"/>
  <c r="L16" i="3"/>
  <c r="M21" i="3"/>
  <c r="V20" i="3"/>
  <c r="E23" i="3"/>
  <c r="C24" i="3"/>
  <c r="J23" i="3"/>
  <c r="H23" i="3"/>
  <c r="G23" i="3"/>
  <c r="D22" i="3"/>
  <c r="I22" i="3" s="1"/>
  <c r="K22" i="3" s="1"/>
  <c r="L22" i="3"/>
  <c r="F22" i="3"/>
  <c r="R14" i="3"/>
  <c r="R16" i="3"/>
  <c r="R15" i="3"/>
  <c r="S15" i="3" l="1"/>
  <c r="S16" i="3"/>
  <c r="S14" i="3"/>
  <c r="L69" i="4"/>
  <c r="M69" i="4"/>
  <c r="P69" i="4"/>
  <c r="L61" i="4"/>
  <c r="P61" i="4"/>
  <c r="M61" i="4"/>
  <c r="P100" i="4"/>
  <c r="M100" i="4"/>
  <c r="L100" i="4"/>
  <c r="L97" i="4"/>
  <c r="P97" i="4"/>
  <c r="M97" i="4"/>
  <c r="L60" i="4"/>
  <c r="M60" i="4"/>
  <c r="P60" i="4"/>
  <c r="L59" i="4"/>
  <c r="M59" i="4"/>
  <c r="P59" i="4"/>
  <c r="L84" i="4"/>
  <c r="M84" i="4"/>
  <c r="P84" i="4"/>
  <c r="L56" i="4"/>
  <c r="M56" i="4"/>
  <c r="P56" i="4"/>
  <c r="L83" i="4"/>
  <c r="M83" i="4"/>
  <c r="P83" i="4"/>
  <c r="L72" i="4"/>
  <c r="M72" i="4"/>
  <c r="P72" i="4"/>
  <c r="M65" i="4"/>
  <c r="L65" i="4"/>
  <c r="P65" i="4"/>
  <c r="M80" i="4"/>
  <c r="L80" i="4"/>
  <c r="P80" i="4"/>
  <c r="P68" i="4"/>
  <c r="L68" i="4"/>
  <c r="M68" i="4"/>
  <c r="P101" i="4"/>
  <c r="L101" i="4"/>
  <c r="M101" i="4"/>
  <c r="L57" i="4"/>
  <c r="M57" i="4"/>
  <c r="P57" i="4"/>
  <c r="L99" i="4"/>
  <c r="P99" i="4"/>
  <c r="M99" i="4"/>
  <c r="P96" i="4"/>
  <c r="M96" i="4"/>
  <c r="L96" i="4"/>
  <c r="L75" i="4"/>
  <c r="M75" i="4"/>
  <c r="P75" i="4"/>
  <c r="L77" i="4"/>
  <c r="M77" i="4"/>
  <c r="P77" i="4"/>
  <c r="P91" i="4"/>
  <c r="M91" i="4"/>
  <c r="L91" i="4"/>
  <c r="P73" i="4"/>
  <c r="M73" i="4"/>
  <c r="L73" i="4"/>
  <c r="L95" i="4"/>
  <c r="P95" i="4"/>
  <c r="M95" i="4"/>
  <c r="M76" i="4"/>
  <c r="P76" i="4"/>
  <c r="L76" i="4"/>
  <c r="M81" i="4"/>
  <c r="P81" i="4"/>
  <c r="L81" i="4"/>
  <c r="P71" i="4"/>
  <c r="L71" i="4"/>
  <c r="M71" i="4"/>
  <c r="P55" i="4"/>
  <c r="L55" i="4"/>
  <c r="M55" i="4"/>
  <c r="P79" i="4"/>
  <c r="M79" i="4"/>
  <c r="L79" i="4"/>
  <c r="M67" i="4"/>
  <c r="L67" i="4"/>
  <c r="P67" i="4"/>
  <c r="L88" i="4"/>
  <c r="P88" i="4"/>
  <c r="M88" i="4"/>
  <c r="M89" i="4"/>
  <c r="P89" i="4"/>
  <c r="L89" i="4"/>
  <c r="P85" i="4"/>
  <c r="M85" i="4"/>
  <c r="L85" i="4"/>
  <c r="L92" i="4"/>
  <c r="M92" i="4"/>
  <c r="P92" i="4"/>
  <c r="L87" i="4"/>
  <c r="P87" i="4"/>
  <c r="M87" i="4"/>
  <c r="M93" i="4"/>
  <c r="P93" i="4"/>
  <c r="L93" i="4"/>
  <c r="L64" i="4"/>
  <c r="P64" i="4"/>
  <c r="M64" i="4"/>
  <c r="M63" i="4"/>
  <c r="P63" i="4"/>
  <c r="L63" i="4"/>
  <c r="D23" i="3"/>
  <c r="I23" i="3" s="1"/>
  <c r="K23" i="3" s="1"/>
  <c r="L23" i="3"/>
  <c r="F23" i="3"/>
  <c r="V21" i="3"/>
  <c r="M22" i="3"/>
  <c r="V22" i="3" s="1"/>
  <c r="E24" i="3"/>
  <c r="H24" i="3"/>
  <c r="G24" i="3"/>
  <c r="C25" i="3"/>
  <c r="J24" i="3"/>
  <c r="U15" i="3"/>
  <c r="U16" i="3"/>
  <c r="U14" i="3"/>
  <c r="W16" i="3"/>
  <c r="W15" i="3"/>
  <c r="W14" i="3"/>
  <c r="X14" i="3" l="1"/>
  <c r="X15" i="3"/>
  <c r="X16" i="3"/>
  <c r="N87" i="4"/>
  <c r="R87" i="4"/>
  <c r="Q87" i="4"/>
  <c r="O87" i="4"/>
  <c r="Q88" i="4"/>
  <c r="N88" i="4"/>
  <c r="O88" i="4"/>
  <c r="R88" i="4"/>
  <c r="R55" i="4"/>
  <c r="O55" i="4"/>
  <c r="Q55" i="4"/>
  <c r="N55" i="4"/>
  <c r="Q83" i="4"/>
  <c r="N83" i="4"/>
  <c r="R83" i="4"/>
  <c r="O83" i="4"/>
  <c r="Q63" i="4"/>
  <c r="N63" i="4"/>
  <c r="O63" i="4"/>
  <c r="R63" i="4"/>
  <c r="N81" i="4"/>
  <c r="Q81" i="4"/>
  <c r="R81" i="4"/>
  <c r="O81" i="4"/>
  <c r="Q95" i="4"/>
  <c r="O95" i="4"/>
  <c r="N95" i="4"/>
  <c r="R95" i="4"/>
  <c r="O91" i="4"/>
  <c r="R91" i="4"/>
  <c r="Q91" i="4"/>
  <c r="N91" i="4"/>
  <c r="N75" i="4"/>
  <c r="O75" i="4"/>
  <c r="Q75" i="4"/>
  <c r="R75" i="4"/>
  <c r="Q65" i="4"/>
  <c r="N65" i="4"/>
  <c r="R65" i="4"/>
  <c r="O65" i="4"/>
  <c r="N72" i="4"/>
  <c r="R72" i="4"/>
  <c r="Q72" i="4"/>
  <c r="O72" i="4"/>
  <c r="Q59" i="4"/>
  <c r="O59" i="4"/>
  <c r="R59" i="4"/>
  <c r="N59" i="4"/>
  <c r="N61" i="4"/>
  <c r="R61" i="4"/>
  <c r="O61" i="4"/>
  <c r="Q61" i="4"/>
  <c r="N85" i="4"/>
  <c r="Q85" i="4"/>
  <c r="R85" i="4"/>
  <c r="O85" i="4"/>
  <c r="Q64" i="4"/>
  <c r="O64" i="4"/>
  <c r="R64" i="4"/>
  <c r="N64" i="4"/>
  <c r="O67" i="4"/>
  <c r="Q67" i="4"/>
  <c r="R67" i="4"/>
  <c r="N67" i="4"/>
  <c r="Q73" i="4"/>
  <c r="O73" i="4"/>
  <c r="N73" i="4"/>
  <c r="R73" i="4"/>
  <c r="Q77" i="4"/>
  <c r="N77" i="4"/>
  <c r="O77" i="4"/>
  <c r="R77" i="4"/>
  <c r="Q96" i="4"/>
  <c r="N96" i="4"/>
  <c r="O96" i="4"/>
  <c r="R96" i="4"/>
  <c r="R57" i="4"/>
  <c r="N57" i="4"/>
  <c r="Q57" i="4"/>
  <c r="O57" i="4"/>
  <c r="O80" i="4"/>
  <c r="Q80" i="4"/>
  <c r="N80" i="4"/>
  <c r="R80" i="4"/>
  <c r="Q84" i="4"/>
  <c r="N84" i="4"/>
  <c r="O84" i="4"/>
  <c r="R84" i="4"/>
  <c r="R79" i="4"/>
  <c r="Q79" i="4"/>
  <c r="N79" i="4"/>
  <c r="O79" i="4"/>
  <c r="O76" i="4"/>
  <c r="R76" i="4"/>
  <c r="Q76" i="4"/>
  <c r="N76" i="4"/>
  <c r="N101" i="4"/>
  <c r="Q101" i="4"/>
  <c r="R101" i="4"/>
  <c r="O101" i="4"/>
  <c r="O60" i="4"/>
  <c r="Q60" i="4"/>
  <c r="R60" i="4"/>
  <c r="N60" i="4"/>
  <c r="Q100" i="4"/>
  <c r="N100" i="4"/>
  <c r="R100" i="4"/>
  <c r="O100" i="4"/>
  <c r="O69" i="4"/>
  <c r="Q69" i="4"/>
  <c r="N69" i="4"/>
  <c r="R69" i="4"/>
  <c r="Q93" i="4"/>
  <c r="N93" i="4"/>
  <c r="O93" i="4"/>
  <c r="R93" i="4"/>
  <c r="R92" i="4"/>
  <c r="N92" i="4"/>
  <c r="O92" i="4"/>
  <c r="Q92" i="4"/>
  <c r="O89" i="4"/>
  <c r="R89" i="4"/>
  <c r="Q89" i="4"/>
  <c r="N89" i="4"/>
  <c r="Q71" i="4"/>
  <c r="R71" i="4"/>
  <c r="O71" i="4"/>
  <c r="N71" i="4"/>
  <c r="Q99" i="4"/>
  <c r="N99" i="4"/>
  <c r="R99" i="4"/>
  <c r="O99" i="4"/>
  <c r="Q68" i="4"/>
  <c r="O68" i="4"/>
  <c r="R68" i="4"/>
  <c r="N68" i="4"/>
  <c r="N56" i="4"/>
  <c r="Q56" i="4"/>
  <c r="O56" i="4"/>
  <c r="R56" i="4"/>
  <c r="R97" i="4"/>
  <c r="Q97" i="4"/>
  <c r="N97" i="4"/>
  <c r="O97" i="4"/>
  <c r="L24" i="3"/>
  <c r="D24" i="3"/>
  <c r="I24" i="3" s="1"/>
  <c r="K24" i="3" s="1"/>
  <c r="F24" i="3"/>
  <c r="M23" i="3"/>
  <c r="E25" i="3"/>
  <c r="G25" i="3"/>
  <c r="H25" i="3"/>
  <c r="C26" i="3"/>
  <c r="J25" i="3"/>
  <c r="Y19" i="3" l="1"/>
  <c r="AA17" i="3"/>
  <c r="Y17" i="3"/>
  <c r="F41" i="4"/>
  <c r="Z17" i="3"/>
  <c r="AB17" i="3" s="1"/>
  <c r="L25" i="3"/>
  <c r="F25" i="3"/>
  <c r="D25" i="3"/>
  <c r="I25" i="3" s="1"/>
  <c r="K25" i="3" s="1"/>
  <c r="V23" i="3"/>
  <c r="E26" i="3"/>
  <c r="C27" i="3"/>
  <c r="J26" i="3"/>
  <c r="H26" i="3"/>
  <c r="G26" i="3"/>
  <c r="M24" i="3"/>
  <c r="AD17" i="3" l="1"/>
  <c r="AC17" i="3"/>
  <c r="AJ22" i="3"/>
  <c r="E27" i="3"/>
  <c r="C28" i="3"/>
  <c r="J27" i="3"/>
  <c r="H27" i="3"/>
  <c r="G27" i="3"/>
  <c r="N21" i="3"/>
  <c r="F26" i="3"/>
  <c r="D26" i="3"/>
  <c r="I26" i="3" s="1"/>
  <c r="K26" i="3" s="1"/>
  <c r="L26" i="3"/>
  <c r="N23" i="3"/>
  <c r="N24" i="3"/>
  <c r="T24" i="3" s="1"/>
  <c r="V24" i="3"/>
  <c r="N22" i="3"/>
  <c r="M25" i="3"/>
  <c r="O25" i="3" s="1"/>
  <c r="N25" i="3"/>
  <c r="T25" i="3" l="1"/>
  <c r="Q24" i="3"/>
  <c r="V25" i="3"/>
  <c r="Q25" i="3"/>
  <c r="T23" i="3"/>
  <c r="Q23" i="3"/>
  <c r="O23" i="3"/>
  <c r="O21" i="3"/>
  <c r="T21" i="3"/>
  <c r="Q21" i="3"/>
  <c r="E28" i="3"/>
  <c r="H28" i="3"/>
  <c r="G28" i="3"/>
  <c r="C29" i="3"/>
  <c r="J28" i="3"/>
  <c r="O22" i="3"/>
  <c r="Q22" i="3"/>
  <c r="T22" i="3"/>
  <c r="D27" i="3"/>
  <c r="I27" i="3" s="1"/>
  <c r="K27" i="3" s="1"/>
  <c r="F27" i="3"/>
  <c r="L27" i="3"/>
  <c r="M26" i="3"/>
  <c r="Q26" i="3" s="1"/>
  <c r="N26" i="3"/>
  <c r="O24" i="3"/>
  <c r="V26" i="3" l="1"/>
  <c r="L28" i="3"/>
  <c r="F28" i="3"/>
  <c r="D28" i="3"/>
  <c r="I28" i="3" s="1"/>
  <c r="K28" i="3" s="1"/>
  <c r="C30" i="3"/>
  <c r="E29" i="3"/>
  <c r="G29" i="3"/>
  <c r="J29" i="3"/>
  <c r="H29" i="3"/>
  <c r="O26" i="3"/>
  <c r="T26" i="3"/>
  <c r="M27" i="3"/>
  <c r="N27" i="3"/>
  <c r="R24" i="3"/>
  <c r="P23" i="3"/>
  <c r="P21" i="3"/>
  <c r="R21" i="3"/>
  <c r="R25" i="3"/>
  <c r="R23" i="3"/>
  <c r="R26" i="3"/>
  <c r="R22" i="3"/>
  <c r="P25" i="3"/>
  <c r="P24" i="3"/>
  <c r="P26" i="3"/>
  <c r="P22" i="3"/>
  <c r="O27" i="3" l="1"/>
  <c r="V27" i="3"/>
  <c r="T27" i="3"/>
  <c r="S21" i="3"/>
  <c r="S22" i="3"/>
  <c r="S24" i="3"/>
  <c r="S25" i="3"/>
  <c r="S23" i="3"/>
  <c r="S26" i="3"/>
  <c r="L29" i="3"/>
  <c r="F29" i="3"/>
  <c r="D29" i="3"/>
  <c r="I29" i="3" s="1"/>
  <c r="K29" i="3" s="1"/>
  <c r="M28" i="3"/>
  <c r="V28" i="3" s="1"/>
  <c r="N28" i="3"/>
  <c r="Q28" i="3" s="1"/>
  <c r="G30" i="3"/>
  <c r="C31" i="3"/>
  <c r="H30" i="3"/>
  <c r="J30" i="3"/>
  <c r="E30" i="3"/>
  <c r="Q27" i="3"/>
  <c r="P27" i="3"/>
  <c r="R28" i="3"/>
  <c r="R27" i="3"/>
  <c r="O28" i="3" l="1"/>
  <c r="S27" i="3"/>
  <c r="AA30" i="3"/>
  <c r="AD30" i="3"/>
  <c r="Y30" i="3"/>
  <c r="AC30" i="3"/>
  <c r="Z30" i="3"/>
  <c r="AB30" i="3"/>
  <c r="T28" i="3"/>
  <c r="C32" i="3"/>
  <c r="E31" i="3"/>
  <c r="J31" i="3"/>
  <c r="H31" i="3"/>
  <c r="G31" i="3"/>
  <c r="D30" i="3"/>
  <c r="I30" i="3" s="1"/>
  <c r="L30" i="3"/>
  <c r="F30" i="3"/>
  <c r="U29" i="3"/>
  <c r="Q29" i="3"/>
  <c r="M29" i="3"/>
  <c r="W29" i="3"/>
  <c r="R29" i="3"/>
  <c r="V29" i="3"/>
  <c r="P29" i="3"/>
  <c r="X29" i="3"/>
  <c r="N29" i="3"/>
  <c r="T29" i="3"/>
  <c r="S29" i="3"/>
  <c r="O29" i="3"/>
  <c r="P28" i="3"/>
  <c r="S28" i="3" l="1"/>
  <c r="W30" i="3"/>
  <c r="S30" i="3"/>
  <c r="O30" i="3"/>
  <c r="T30" i="3"/>
  <c r="N30" i="3"/>
  <c r="X30" i="3"/>
  <c r="R30" i="3"/>
  <c r="M30" i="3"/>
  <c r="V30" i="3"/>
  <c r="U30" i="3"/>
  <c r="Q30" i="3"/>
  <c r="P30" i="3"/>
  <c r="D31" i="3"/>
  <c r="I31" i="3" s="1"/>
  <c r="L31" i="3"/>
  <c r="F31" i="3"/>
  <c r="G32" i="3"/>
  <c r="J32" i="3"/>
  <c r="E32" i="3"/>
  <c r="C33" i="3"/>
  <c r="H32" i="3"/>
  <c r="AC31" i="3"/>
  <c r="Z31" i="3"/>
  <c r="AD31" i="3"/>
  <c r="AA31" i="3"/>
  <c r="AB31" i="3"/>
  <c r="C34" i="3" l="1"/>
  <c r="E33" i="3"/>
  <c r="G33" i="3"/>
  <c r="H33" i="3"/>
  <c r="J33" i="3"/>
  <c r="U31" i="3"/>
  <c r="Q31" i="3"/>
  <c r="M31" i="3"/>
  <c r="T31" i="3"/>
  <c r="O31" i="3"/>
  <c r="X31" i="3"/>
  <c r="S31" i="3"/>
  <c r="N31" i="3"/>
  <c r="W31" i="3"/>
  <c r="V31" i="3"/>
  <c r="R31" i="3"/>
  <c r="P31" i="3"/>
  <c r="L32" i="3"/>
  <c r="F32" i="3"/>
  <c r="D32" i="3"/>
  <c r="I32" i="3" s="1"/>
  <c r="K32" i="3" s="1"/>
  <c r="M32" i="3" l="1"/>
  <c r="L33" i="3"/>
  <c r="F33" i="3"/>
  <c r="D33" i="3"/>
  <c r="I33" i="3" s="1"/>
  <c r="K33" i="3" s="1"/>
  <c r="H34" i="3"/>
  <c r="G34" i="3"/>
  <c r="C35" i="3"/>
  <c r="E34" i="3"/>
  <c r="J34" i="3"/>
  <c r="V32" i="3" l="1"/>
  <c r="L34" i="3"/>
  <c r="D34" i="3"/>
  <c r="I34" i="3" s="1"/>
  <c r="K34" i="3" s="1"/>
  <c r="F34" i="3"/>
  <c r="J35" i="3"/>
  <c r="C36" i="3"/>
  <c r="E35" i="3"/>
  <c r="G35" i="3"/>
  <c r="H35" i="3"/>
  <c r="N33" i="3"/>
  <c r="M33" i="3"/>
  <c r="O33" i="3" s="1"/>
  <c r="T33" i="3" l="1"/>
  <c r="V33" i="3"/>
  <c r="Q33" i="3"/>
  <c r="H36" i="3"/>
  <c r="C37" i="3"/>
  <c r="G36" i="3"/>
  <c r="E36" i="3"/>
  <c r="J36" i="3"/>
  <c r="F35" i="3"/>
  <c r="L35" i="3"/>
  <c r="D35" i="3"/>
  <c r="I35" i="3" s="1"/>
  <c r="K35" i="3" s="1"/>
  <c r="N34" i="3"/>
  <c r="M34" i="3"/>
  <c r="T34" i="3" s="1"/>
  <c r="N32" i="3"/>
  <c r="Q32" i="3" l="1"/>
  <c r="O32" i="3"/>
  <c r="T32" i="3"/>
  <c r="N35" i="3"/>
  <c r="M35" i="3"/>
  <c r="T35" i="3" s="1"/>
  <c r="L36" i="3"/>
  <c r="D36" i="3"/>
  <c r="I36" i="3" s="1"/>
  <c r="K36" i="3" s="1"/>
  <c r="F36" i="3"/>
  <c r="Q34" i="3"/>
  <c r="V34" i="3"/>
  <c r="H37" i="3"/>
  <c r="C38" i="3"/>
  <c r="G37" i="3"/>
  <c r="J37" i="3"/>
  <c r="E37" i="3"/>
  <c r="O34" i="3"/>
  <c r="R32" i="3"/>
  <c r="R33" i="3"/>
  <c r="P34" i="3"/>
  <c r="P32" i="3"/>
  <c r="R34" i="3"/>
  <c r="P33" i="3"/>
  <c r="S34" i="3" l="1"/>
  <c r="S33" i="3"/>
  <c r="S32" i="3"/>
  <c r="Q35" i="3"/>
  <c r="V35" i="3"/>
  <c r="H38" i="3"/>
  <c r="C39" i="3"/>
  <c r="G38" i="3"/>
  <c r="E38" i="3"/>
  <c r="J38" i="3"/>
  <c r="N36" i="3"/>
  <c r="M36" i="3"/>
  <c r="O35" i="3"/>
  <c r="L37" i="3"/>
  <c r="D37" i="3"/>
  <c r="I37" i="3" s="1"/>
  <c r="K37" i="3" s="1"/>
  <c r="F37" i="3"/>
  <c r="P35" i="3"/>
  <c r="R35" i="3"/>
  <c r="T36" i="3" l="1"/>
  <c r="S35" i="3"/>
  <c r="AB38" i="3"/>
  <c r="AA38" i="3"/>
  <c r="AD38" i="3"/>
  <c r="AC38" i="3"/>
  <c r="Z38" i="3"/>
  <c r="Y38" i="3"/>
  <c r="Q36" i="3"/>
  <c r="V36" i="3"/>
  <c r="L38" i="3"/>
  <c r="D38" i="3"/>
  <c r="I38" i="3" s="1"/>
  <c r="F38" i="3"/>
  <c r="O36" i="3"/>
  <c r="X37" i="3"/>
  <c r="T37" i="3"/>
  <c r="P37" i="3"/>
  <c r="W37" i="3"/>
  <c r="S37" i="3"/>
  <c r="O37" i="3"/>
  <c r="R37" i="3"/>
  <c r="Q37" i="3"/>
  <c r="M37" i="3"/>
  <c r="V37" i="3"/>
  <c r="N37" i="3"/>
  <c r="U37" i="3"/>
  <c r="H39" i="3"/>
  <c r="C40" i="3"/>
  <c r="G39" i="3"/>
  <c r="J39" i="3"/>
  <c r="E39" i="3"/>
  <c r="P36" i="3"/>
  <c r="R36" i="3"/>
  <c r="S36" i="3" l="1"/>
  <c r="AC39" i="3"/>
  <c r="Y39" i="3"/>
  <c r="AB39" i="3"/>
  <c r="Z39" i="3"/>
  <c r="AA39" i="3"/>
  <c r="AD39" i="3"/>
  <c r="E40" i="3"/>
  <c r="H40" i="3"/>
  <c r="J40" i="3"/>
  <c r="G40" i="3"/>
  <c r="C41" i="3"/>
  <c r="L39" i="3"/>
  <c r="D39" i="3"/>
  <c r="I39" i="3" s="1"/>
  <c r="F39" i="3"/>
  <c r="X38" i="3"/>
  <c r="T38" i="3"/>
  <c r="P38" i="3"/>
  <c r="W38" i="3"/>
  <c r="S38" i="3"/>
  <c r="O38" i="3"/>
  <c r="V38" i="3"/>
  <c r="N38" i="3"/>
  <c r="U38" i="3"/>
  <c r="M38" i="3"/>
  <c r="Q38" i="3"/>
  <c r="R38" i="3"/>
  <c r="U33" i="3"/>
  <c r="U35" i="3"/>
  <c r="U34" i="3"/>
  <c r="U32" i="3"/>
  <c r="U39" i="3" l="1"/>
  <c r="Q39" i="3"/>
  <c r="X39" i="3"/>
  <c r="T39" i="3"/>
  <c r="P39" i="3"/>
  <c r="R39" i="3"/>
  <c r="W39" i="3"/>
  <c r="O39" i="3"/>
  <c r="V39" i="3"/>
  <c r="S39" i="3"/>
  <c r="N39" i="3"/>
  <c r="M39" i="3"/>
  <c r="E41" i="3"/>
  <c r="H41" i="3"/>
  <c r="J41" i="3"/>
  <c r="C42" i="3"/>
  <c r="G41" i="3"/>
  <c r="L40" i="3"/>
  <c r="D40" i="3"/>
  <c r="I40" i="3" s="1"/>
  <c r="F40" i="3"/>
  <c r="AC40" i="3"/>
  <c r="Y40" i="3"/>
  <c r="AB40" i="3"/>
  <c r="AD40" i="3"/>
  <c r="AA40" i="3"/>
  <c r="Z40" i="3"/>
  <c r="W33" i="3"/>
  <c r="U36" i="3"/>
  <c r="W34" i="3"/>
  <c r="W35" i="3"/>
  <c r="W32" i="3"/>
  <c r="X34" i="3" l="1"/>
  <c r="X33" i="3"/>
  <c r="X32" i="3"/>
  <c r="X35" i="3"/>
  <c r="U40" i="3"/>
  <c r="Q40" i="3"/>
  <c r="M40" i="3"/>
  <c r="X40" i="3"/>
  <c r="T40" i="3"/>
  <c r="P40" i="3"/>
  <c r="V40" i="3"/>
  <c r="N40" i="3"/>
  <c r="S40" i="3"/>
  <c r="W40" i="3"/>
  <c r="R40" i="3"/>
  <c r="O40" i="3"/>
  <c r="E42" i="3"/>
  <c r="H42" i="3"/>
  <c r="C43" i="3"/>
  <c r="G42" i="3"/>
  <c r="J42" i="3"/>
  <c r="AC41" i="3"/>
  <c r="Y41" i="3"/>
  <c r="AB41" i="3"/>
  <c r="Z41" i="3"/>
  <c r="AD41" i="3"/>
  <c r="AA41" i="3"/>
  <c r="L41" i="3"/>
  <c r="D41" i="3"/>
  <c r="I41" i="3" s="1"/>
  <c r="F41" i="3"/>
  <c r="W36" i="3"/>
  <c r="X36" i="3" l="1"/>
  <c r="U41" i="3"/>
  <c r="Q41" i="3"/>
  <c r="M41" i="3"/>
  <c r="X41" i="3"/>
  <c r="T41" i="3"/>
  <c r="P41" i="3"/>
  <c r="R41" i="3"/>
  <c r="W41" i="3"/>
  <c r="O41" i="3"/>
  <c r="N41" i="3"/>
  <c r="V41" i="3"/>
  <c r="S41" i="3"/>
  <c r="E43" i="3"/>
  <c r="H43" i="3"/>
  <c r="J43" i="3"/>
  <c r="C44" i="3"/>
  <c r="G43" i="3"/>
  <c r="AC42" i="3"/>
  <c r="Y42" i="3"/>
  <c r="AB42" i="3"/>
  <c r="AD42" i="3"/>
  <c r="AA42" i="3"/>
  <c r="Z42" i="3"/>
  <c r="L42" i="3"/>
  <c r="D42" i="3"/>
  <c r="I42" i="3" s="1"/>
  <c r="F42" i="3"/>
  <c r="AC43" i="3" l="1"/>
  <c r="Y43" i="3"/>
  <c r="AB43" i="3"/>
  <c r="Z43" i="3"/>
  <c r="AD43" i="3"/>
  <c r="AA43" i="3"/>
  <c r="U42" i="3"/>
  <c r="Q42" i="3"/>
  <c r="M42" i="3"/>
  <c r="X42" i="3"/>
  <c r="T42" i="3"/>
  <c r="P42" i="3"/>
  <c r="V42" i="3"/>
  <c r="N42" i="3"/>
  <c r="S42" i="3"/>
  <c r="R42" i="3"/>
  <c r="O42" i="3"/>
  <c r="W42" i="3"/>
  <c r="L43" i="3"/>
  <c r="D43" i="3"/>
  <c r="I43" i="3" s="1"/>
  <c r="F43" i="3"/>
  <c r="E44" i="3"/>
  <c r="H44" i="3"/>
  <c r="J44" i="3"/>
  <c r="G44" i="3"/>
  <c r="C45" i="3"/>
  <c r="E45" i="3" l="1"/>
  <c r="H45" i="3"/>
  <c r="J45" i="3"/>
  <c r="C46" i="3"/>
  <c r="G45" i="3"/>
  <c r="AC44" i="3"/>
  <c r="Y44" i="3"/>
  <c r="AB44" i="3"/>
  <c r="AD44" i="3"/>
  <c r="AA44" i="3"/>
  <c r="Z44" i="3"/>
  <c r="L44" i="3"/>
  <c r="D44" i="3"/>
  <c r="I44" i="3" s="1"/>
  <c r="F44" i="3"/>
  <c r="U43" i="3"/>
  <c r="Q43" i="3"/>
  <c r="M43" i="3"/>
  <c r="X43" i="3"/>
  <c r="T43" i="3"/>
  <c r="P43" i="3"/>
  <c r="R43" i="3"/>
  <c r="W43" i="3"/>
  <c r="O43" i="3"/>
  <c r="V43" i="3"/>
  <c r="S43" i="3"/>
  <c r="N43" i="3"/>
  <c r="E46" i="3" l="1"/>
  <c r="H46" i="3"/>
  <c r="C47" i="3"/>
  <c r="J46" i="3"/>
  <c r="G46" i="3"/>
  <c r="U44" i="3"/>
  <c r="Q44" i="3"/>
  <c r="M44" i="3"/>
  <c r="X44" i="3"/>
  <c r="T44" i="3"/>
  <c r="P44" i="3"/>
  <c r="V44" i="3"/>
  <c r="N44" i="3"/>
  <c r="S44" i="3"/>
  <c r="W44" i="3"/>
  <c r="O44" i="3"/>
  <c r="R44" i="3"/>
  <c r="AC45" i="3"/>
  <c r="Y45" i="3"/>
  <c r="AB45" i="3"/>
  <c r="Z45" i="3"/>
  <c r="AD45" i="3"/>
  <c r="AA45" i="3"/>
  <c r="L45" i="3"/>
  <c r="D45" i="3"/>
  <c r="I45" i="3" s="1"/>
  <c r="F45" i="3"/>
  <c r="E47" i="3" l="1"/>
  <c r="H47" i="3"/>
  <c r="J47" i="3"/>
  <c r="C48" i="3"/>
  <c r="G47" i="3"/>
  <c r="U45" i="3"/>
  <c r="Q45" i="3"/>
  <c r="M45" i="3"/>
  <c r="X45" i="3"/>
  <c r="T45" i="3"/>
  <c r="P45" i="3"/>
  <c r="R45" i="3"/>
  <c r="W45" i="3"/>
  <c r="O45" i="3"/>
  <c r="N45" i="3"/>
  <c r="S45" i="3"/>
  <c r="V45" i="3"/>
  <c r="AC46" i="3"/>
  <c r="Y46" i="3"/>
  <c r="AB46" i="3"/>
  <c r="AD46" i="3"/>
  <c r="AA46" i="3"/>
  <c r="Z46" i="3"/>
  <c r="L46" i="3"/>
  <c r="D46" i="3"/>
  <c r="I46" i="3" s="1"/>
  <c r="F46" i="3"/>
  <c r="E48" i="3" l="1"/>
  <c r="H48" i="3"/>
  <c r="J48" i="3"/>
  <c r="G48" i="3"/>
  <c r="C49" i="3"/>
  <c r="U46" i="3"/>
  <c r="Q46" i="3"/>
  <c r="M46" i="3"/>
  <c r="X46" i="3"/>
  <c r="T46" i="3"/>
  <c r="P46" i="3"/>
  <c r="V46" i="3"/>
  <c r="N46" i="3"/>
  <c r="S46" i="3"/>
  <c r="R46" i="3"/>
  <c r="O46" i="3"/>
  <c r="W46" i="3"/>
  <c r="AC47" i="3"/>
  <c r="Y47" i="3"/>
  <c r="AB47" i="3"/>
  <c r="Z47" i="3"/>
  <c r="AA47" i="3"/>
  <c r="AD47" i="3"/>
  <c r="L47" i="3"/>
  <c r="D47" i="3"/>
  <c r="I47" i="3" s="1"/>
  <c r="F47" i="3"/>
  <c r="U47" i="3" l="1"/>
  <c r="Q47" i="3"/>
  <c r="M47" i="3"/>
  <c r="X47" i="3"/>
  <c r="T47" i="3"/>
  <c r="P47" i="3"/>
  <c r="R47" i="3"/>
  <c r="W47" i="3"/>
  <c r="O47" i="3"/>
  <c r="V47" i="3"/>
  <c r="S47" i="3"/>
  <c r="N47" i="3"/>
  <c r="AC48" i="3"/>
  <c r="Y48" i="3"/>
  <c r="AB48" i="3"/>
  <c r="AD48" i="3"/>
  <c r="AA48" i="3"/>
  <c r="Z48" i="3"/>
  <c r="E49" i="3"/>
  <c r="H49" i="3"/>
  <c r="J49" i="3"/>
  <c r="C50" i="3"/>
  <c r="G49" i="3"/>
  <c r="L48" i="3"/>
  <c r="D48" i="3"/>
  <c r="I48" i="3" s="1"/>
  <c r="F48" i="3"/>
  <c r="AC49" i="3" l="1"/>
  <c r="Y49" i="3"/>
  <c r="AB49" i="3"/>
  <c r="Z49" i="3"/>
  <c r="AD49" i="3"/>
  <c r="AA49" i="3"/>
  <c r="L49" i="3"/>
  <c r="D49" i="3"/>
  <c r="I49" i="3" s="1"/>
  <c r="F49" i="3"/>
  <c r="U48" i="3"/>
  <c r="Q48" i="3"/>
  <c r="M48" i="3"/>
  <c r="X48" i="3"/>
  <c r="T48" i="3"/>
  <c r="P48" i="3"/>
  <c r="V48" i="3"/>
  <c r="N48" i="3"/>
  <c r="S48" i="3"/>
  <c r="W48" i="3"/>
  <c r="R48" i="3"/>
  <c r="O48" i="3"/>
  <c r="E50" i="3"/>
  <c r="H50" i="3"/>
  <c r="G50" i="3"/>
  <c r="J50" i="3"/>
  <c r="N20" i="3"/>
  <c r="AC50" i="3" l="1"/>
  <c r="Y50" i="3"/>
  <c r="AB50" i="3"/>
  <c r="AD50" i="3"/>
  <c r="AA50" i="3"/>
  <c r="Z50" i="3"/>
  <c r="L50" i="3"/>
  <c r="D50" i="3"/>
  <c r="I50" i="3" s="1"/>
  <c r="F50" i="3"/>
  <c r="O20" i="3"/>
  <c r="T20" i="3"/>
  <c r="Q20" i="3"/>
  <c r="U49" i="3"/>
  <c r="Q49" i="3"/>
  <c r="M49" i="3"/>
  <c r="X49" i="3"/>
  <c r="T49" i="3"/>
  <c r="P49" i="3"/>
  <c r="R49" i="3"/>
  <c r="W49" i="3"/>
  <c r="O49" i="3"/>
  <c r="N49" i="3"/>
  <c r="V49" i="3"/>
  <c r="S49" i="3"/>
  <c r="R20" i="3"/>
  <c r="P20" i="3"/>
  <c r="S20" i="3" l="1"/>
  <c r="U50" i="3"/>
  <c r="Q50" i="3"/>
  <c r="M50" i="3"/>
  <c r="X50" i="3"/>
  <c r="T50" i="3"/>
  <c r="P50" i="3"/>
  <c r="V50" i="3"/>
  <c r="N50" i="3"/>
  <c r="S50" i="3"/>
  <c r="R50" i="3"/>
  <c r="O50" i="3"/>
  <c r="W50" i="3"/>
  <c r="U26" i="3"/>
  <c r="U25" i="3"/>
  <c r="U27" i="3"/>
  <c r="U21" i="3"/>
  <c r="U28" i="3"/>
  <c r="U22" i="3"/>
  <c r="U20" i="3"/>
  <c r="U23" i="3"/>
  <c r="U24" i="3"/>
  <c r="AJ20" i="3" l="1"/>
  <c r="AJ19" i="3"/>
  <c r="W24" i="3"/>
  <c r="W21" i="3"/>
  <c r="W20" i="3"/>
  <c r="W28" i="3"/>
  <c r="W23" i="3"/>
  <c r="W27" i="3"/>
  <c r="W22" i="3"/>
  <c r="W25" i="3"/>
  <c r="W26" i="3"/>
  <c r="X26" i="3" l="1"/>
  <c r="X25" i="3"/>
  <c r="X22" i="3"/>
  <c r="X27" i="3"/>
  <c r="X23" i="3"/>
  <c r="X28" i="3"/>
  <c r="X20" i="3"/>
  <c r="X21" i="3"/>
  <c r="X24" i="3"/>
  <c r="F37" i="4" l="1"/>
  <c r="Z14" i="3"/>
  <c r="Y15" i="3"/>
  <c r="Z16" i="3"/>
  <c r="Y14" i="3"/>
  <c r="AA16" i="3"/>
  <c r="F35" i="4"/>
  <c r="F36" i="4"/>
  <c r="Z15" i="3"/>
  <c r="Y16" i="3"/>
  <c r="AA14" i="3"/>
  <c r="AA15" i="3"/>
  <c r="N41" i="4"/>
  <c r="N35" i="4"/>
  <c r="N36" i="4"/>
  <c r="J38" i="4"/>
  <c r="Y22" i="3"/>
  <c r="Y21" i="3"/>
  <c r="AA21" i="3"/>
  <c r="Y25" i="3"/>
  <c r="Y26" i="3"/>
  <c r="AA27" i="3"/>
  <c r="AA29" i="3"/>
  <c r="AA32" i="3"/>
  <c r="AA33" i="3"/>
  <c r="Y34" i="3"/>
  <c r="Z36" i="3"/>
  <c r="Z37" i="3"/>
  <c r="J35" i="4"/>
  <c r="Y20" i="3"/>
  <c r="Y23" i="3"/>
  <c r="AA25" i="3"/>
  <c r="Z28" i="3"/>
  <c r="Y32" i="3"/>
  <c r="Z35" i="3"/>
  <c r="N38" i="4"/>
  <c r="Z23" i="3"/>
  <c r="Z24" i="3"/>
  <c r="Y28" i="3"/>
  <c r="Z34" i="3"/>
  <c r="N37" i="4"/>
  <c r="J41" i="4"/>
  <c r="E25" i="4" s="1"/>
  <c r="E26" i="4" s="1"/>
  <c r="J36" i="4"/>
  <c r="Z22" i="3"/>
  <c r="Z20" i="3"/>
  <c r="Z21" i="3"/>
  <c r="AA24" i="3"/>
  <c r="Z25" i="3"/>
  <c r="AB25" i="3" s="1"/>
  <c r="Z26" i="3"/>
  <c r="AA28" i="3"/>
  <c r="Z29" i="3"/>
  <c r="Z32" i="3"/>
  <c r="AB32" i="3" s="1"/>
  <c r="Y33" i="3"/>
  <c r="Y35" i="3"/>
  <c r="Y36" i="3"/>
  <c r="Y37" i="3"/>
  <c r="J39" i="4"/>
  <c r="AA22" i="3"/>
  <c r="Y24" i="3"/>
  <c r="Y27" i="3"/>
  <c r="Y29" i="3"/>
  <c r="AA34" i="3"/>
  <c r="AA36" i="3"/>
  <c r="J37" i="4"/>
  <c r="AA23" i="3"/>
  <c r="Z27" i="3"/>
  <c r="AB27" i="3" s="1"/>
  <c r="Y31" i="3"/>
  <c r="AA35" i="3"/>
  <c r="N39" i="4"/>
  <c r="AA20" i="3"/>
  <c r="AA26" i="3"/>
  <c r="Z33" i="3"/>
  <c r="AB33" i="3" s="1"/>
  <c r="AA37" i="3"/>
  <c r="AB16" i="3" l="1"/>
  <c r="AD15" i="3"/>
  <c r="AC15" i="3"/>
  <c r="AC14" i="3"/>
  <c r="AD14" i="3"/>
  <c r="E35" i="4"/>
  <c r="AI16" i="3" s="1"/>
  <c r="AJ16" i="3"/>
  <c r="F40" i="4"/>
  <c r="AJ17" i="3"/>
  <c r="E36" i="4"/>
  <c r="AI17" i="3" s="1"/>
  <c r="AD16" i="3"/>
  <c r="AC16" i="3"/>
  <c r="AB14" i="3"/>
  <c r="AB15" i="3"/>
  <c r="E37" i="4"/>
  <c r="AI18" i="3" s="1"/>
  <c r="AJ18" i="3"/>
  <c r="E27" i="4"/>
  <c r="AB29" i="3"/>
  <c r="AB21" i="3"/>
  <c r="AB22" i="3"/>
  <c r="AB34" i="3"/>
  <c r="AC35" i="3"/>
  <c r="AD35" i="3"/>
  <c r="AC25" i="3"/>
  <c r="AD25" i="3"/>
  <c r="AD32" i="3"/>
  <c r="AC32" i="3"/>
  <c r="AC26" i="3"/>
  <c r="AD26" i="3"/>
  <c r="AC36" i="3"/>
  <c r="AD36" i="3"/>
  <c r="AD24" i="3"/>
  <c r="AC24" i="3"/>
  <c r="AJ30" i="3"/>
  <c r="I36" i="4"/>
  <c r="AI30" i="3" s="1"/>
  <c r="AB35" i="3"/>
  <c r="AB36" i="3"/>
  <c r="AC29" i="3"/>
  <c r="AD29" i="3"/>
  <c r="AD21" i="3"/>
  <c r="AC21" i="3"/>
  <c r="M36" i="4"/>
  <c r="AP30" i="3" s="1"/>
  <c r="AQ30" i="3"/>
  <c r="M38" i="4"/>
  <c r="AP32" i="3" s="1"/>
  <c r="AQ32" i="3"/>
  <c r="AB37" i="3"/>
  <c r="I38" i="4"/>
  <c r="AI32" i="3" s="1"/>
  <c r="AJ32" i="3"/>
  <c r="AD20" i="3"/>
  <c r="AC20" i="3"/>
  <c r="AC34" i="3"/>
  <c r="AD34" i="3"/>
  <c r="AD22" i="3"/>
  <c r="AC22" i="3"/>
  <c r="AD28" i="3"/>
  <c r="AC28" i="3"/>
  <c r="AJ35" i="3"/>
  <c r="J40" i="4"/>
  <c r="AB24" i="3"/>
  <c r="AD27" i="3"/>
  <c r="AC27" i="3"/>
  <c r="M35" i="4"/>
  <c r="AP29" i="3" s="1"/>
  <c r="AQ29" i="3"/>
  <c r="AJ31" i="3"/>
  <c r="I37" i="4"/>
  <c r="AI31" i="3" s="1"/>
  <c r="AD37" i="3"/>
  <c r="AC37" i="3"/>
  <c r="M39" i="4"/>
  <c r="AP33" i="3" s="1"/>
  <c r="AQ33" i="3"/>
  <c r="AC23" i="3"/>
  <c r="AD23" i="3"/>
  <c r="I39" i="4"/>
  <c r="AI33" i="3" s="1"/>
  <c r="AJ33" i="3"/>
  <c r="AB26" i="3"/>
  <c r="AB20" i="3"/>
  <c r="M37" i="4"/>
  <c r="AP31" i="3" s="1"/>
  <c r="AQ31" i="3"/>
  <c r="AB23" i="3"/>
  <c r="AB28" i="3"/>
  <c r="I35" i="4"/>
  <c r="AI29" i="3" s="1"/>
  <c r="AJ29" i="3"/>
  <c r="AC33" i="3"/>
  <c r="AD33" i="3"/>
  <c r="AQ35" i="3"/>
  <c r="N40" i="4"/>
  <c r="E40" i="4" l="1"/>
  <c r="AI21" i="3" s="1"/>
  <c r="AJ21" i="3"/>
  <c r="M40" i="4"/>
  <c r="AP34" i="3" s="1"/>
  <c r="AQ34" i="3"/>
  <c r="I40" i="4"/>
  <c r="AI34" i="3" s="1"/>
  <c r="AJ34" i="3"/>
</calcChain>
</file>

<file path=xl/sharedStrings.xml><?xml version="1.0" encoding="utf-8"?>
<sst xmlns="http://schemas.openxmlformats.org/spreadsheetml/2006/main" count="305" uniqueCount="118">
  <si>
    <t>General</t>
  </si>
  <si>
    <t>Starting Year:</t>
  </si>
  <si>
    <t>Set the starting year (yyyy) once at the beginning and do not change it again</t>
  </si>
  <si>
    <t>Budget Tracking &amp; Dashboard</t>
  </si>
  <si>
    <t>Late Monthly Income</t>
  </si>
  <si>
    <t>Shift late income:</t>
  </si>
  <si>
    <t>Active</t>
  </si>
  <si>
    <t>Activate this option to treat late income received on or after a certain day of the month as income for the next month. This is especially recommended in case you receive your monthly paycheck toward the end of the month and prefer to consider this income as the disposable income for the next month</t>
  </si>
  <si>
    <t>Starting on day x in month:</t>
  </si>
  <si>
    <t>Budget Planning</t>
  </si>
  <si>
    <t>Define starting year in settings</t>
  </si>
  <si>
    <t>To be allocated:</t>
  </si>
  <si>
    <t>Income</t>
  </si>
  <si>
    <t>Employment (Net)</t>
  </si>
  <si>
    <t>Side Hustle (Net)</t>
  </si>
  <si>
    <t>Dividends</t>
  </si>
  <si>
    <t>Enter Income Category…</t>
  </si>
  <si>
    <t>Total</t>
  </si>
  <si>
    <t>Expenses</t>
  </si>
  <si>
    <t>Housing</t>
  </si>
  <si>
    <t>Utilities</t>
  </si>
  <si>
    <t>Groceries</t>
  </si>
  <si>
    <t>Transportation</t>
  </si>
  <si>
    <t>Tithe &amp; Offering</t>
  </si>
  <si>
    <t>Clothing</t>
  </si>
  <si>
    <t>Body Care</t>
  </si>
  <si>
    <t>Airtime &amp; Data</t>
  </si>
  <si>
    <t>Fun &amp; Vacation</t>
  </si>
  <si>
    <t>Enter Expenses Category…</t>
  </si>
  <si>
    <t>Savings</t>
  </si>
  <si>
    <t>Emergency Fund</t>
  </si>
  <si>
    <t>Retirement Account</t>
  </si>
  <si>
    <t>Stock Portfolio</t>
  </si>
  <si>
    <t>Sinking Fund Rent</t>
  </si>
  <si>
    <t>Sinking Fund Down Payment</t>
  </si>
  <si>
    <t>Enter Savings Category…</t>
  </si>
  <si>
    <t>Budget Tracking</t>
  </si>
  <si>
    <t>Date</t>
  </si>
  <si>
    <t>Type</t>
  </si>
  <si>
    <t>Category</t>
  </si>
  <si>
    <t>Amount</t>
  </si>
  <si>
    <t>Details</t>
  </si>
  <si>
    <t>Balance</t>
  </si>
  <si>
    <t>Effective Date</t>
  </si>
  <si>
    <t>Year</t>
  </si>
  <si>
    <t>Select the year to view ➡</t>
  </si>
  <si>
    <t>Period</t>
  </si>
  <si>
    <t>Select the period to view ➡</t>
  </si>
  <si>
    <t>row_id</t>
  </si>
  <si>
    <t>header_row_id</t>
  </si>
  <si>
    <t>is_header</t>
  </si>
  <si>
    <t>is_cat</t>
  </si>
  <si>
    <t>is_total</t>
  </si>
  <si>
    <t>is_empty</t>
  </si>
  <si>
    <t>type</t>
  </si>
  <si>
    <t>item</t>
  </si>
  <si>
    <t>tracked</t>
  </si>
  <si>
    <t>budget</t>
  </si>
  <si>
    <t>sort_min_row</t>
  </si>
  <si>
    <t>sort_max_row</t>
  </si>
  <si>
    <t>tracked_range</t>
  </si>
  <si>
    <t>tracked_rank</t>
  </si>
  <si>
    <t>budget_range</t>
  </si>
  <si>
    <t>budget_rank</t>
  </si>
  <si>
    <t>comb_rank</t>
  </si>
  <si>
    <t>comb_rank_range</t>
  </si>
  <si>
    <t>comb_rank_norm</t>
  </si>
  <si>
    <t>comb_rank_norm_run_range</t>
  </si>
  <si>
    <t>comb_rank_unique</t>
  </si>
  <si>
    <t>sorted_row_id[Lookup]</t>
  </si>
  <si>
    <t>Worksheet: Budget Tracking</t>
  </si>
  <si>
    <t>Today:</t>
  </si>
  <si>
    <t>Last Record:</t>
  </si>
  <si>
    <t>Delta Last Record:</t>
  </si>
  <si>
    <t># Record:</t>
  </si>
  <si>
    <t># Record this year:</t>
  </si>
  <si>
    <t>Tracking Balance:</t>
  </si>
  <si>
    <t>Balance Analysis Text:</t>
  </si>
  <si>
    <t>Worksheet: Budget Dashboard</t>
  </si>
  <si>
    <t>Selected Year:</t>
  </si>
  <si>
    <t>Selected Period:</t>
  </si>
  <si>
    <t>Selected Period (Display):</t>
  </si>
  <si>
    <r>
      <rPr>
        <b/>
        <sz val="11"/>
        <color rgb="FF0070C0"/>
        <rFont val="Calibri"/>
        <charset val="134"/>
        <scheme val="minor"/>
      </rPr>
      <t>Chart Calculations:</t>
    </r>
    <r>
      <rPr>
        <sz val="11"/>
        <color rgb="FF0070C0"/>
        <rFont val="Calibri"/>
        <charset val="134"/>
        <scheme val="minor"/>
      </rPr>
      <t xml:space="preserve"> Category Distribution Charts</t>
    </r>
  </si>
  <si>
    <t>Dropdown Data</t>
  </si>
  <si>
    <t>Year Dropdown</t>
  </si>
  <si>
    <t>Period Dropdown</t>
  </si>
  <si>
    <t>Current Year</t>
  </si>
  <si>
    <t>Total Year</t>
  </si>
  <si>
    <t>Current Month</t>
  </si>
  <si>
    <r>
      <rPr>
        <b/>
        <sz val="11"/>
        <color rgb="FF0070C0"/>
        <rFont val="Calibri"/>
        <charset val="134"/>
        <scheme val="minor"/>
      </rPr>
      <t>Chart Calculations:</t>
    </r>
    <r>
      <rPr>
        <sz val="11"/>
        <color rgb="FF0070C0"/>
        <rFont val="Calibri"/>
        <charset val="134"/>
        <scheme val="minor"/>
      </rPr>
      <t xml:space="preserve"> Tracked (vs. Budget) Chart</t>
    </r>
  </si>
  <si>
    <t>Month</t>
  </si>
  <si>
    <t>Month Num.</t>
  </si>
  <si>
    <t>In Focus</t>
  </si>
  <si>
    <t>Show Type</t>
  </si>
  <si>
    <t>Show Rem. Budget</t>
  </si>
  <si>
    <t>Tracked</t>
  </si>
  <si>
    <t>Budget</t>
  </si>
  <si>
    <t>Delta</t>
  </si>
  <si>
    <t>Period in Focus</t>
  </si>
  <si>
    <t>In Budget</t>
  </si>
  <si>
    <t>Remaining</t>
  </si>
  <si>
    <t>Excess</t>
  </si>
  <si>
    <t>Period not in Focus</t>
  </si>
  <si>
    <t>Show Income:</t>
  </si>
  <si>
    <t>Show Expenses:</t>
  </si>
  <si>
    <t>Show Savings:</t>
  </si>
  <si>
    <t>Show Rem. Budget:</t>
  </si>
  <si>
    <t>Budget Dashboard</t>
  </si>
  <si>
    <t>Settings</t>
  </si>
  <si>
    <t>Days in Period:</t>
  </si>
  <si>
    <t>Days passed in Period:</t>
  </si>
  <si>
    <t>Days passed in Period %:</t>
  </si>
  <si>
    <t>Period Tracking Balance:</t>
  </si>
  <si>
    <t>Period Savings Rate:</t>
  </si>
  <si>
    <t>KPI Calculation in Dashboard</t>
  </si>
  <si>
    <t>Savings Rate as % of Income:</t>
  </si>
  <si>
    <t>% allocated to Savings</t>
  </si>
  <si>
    <t>Choose how you want the savings rate (SR) to be calculated in the dashboard KPI tiles.
1) Active Option (% allocated to Savings):                          SR = Savings / Income
2) Passive Option (% not allocated to Expenses):              SR = (Income - Expenses) /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</si>
</sst>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 #,##0.00_-;_-* &quot;-&quot;??_-;_-@_-"/>
    <numFmt numFmtId="165" formatCode="mmmm"/>
    <numFmt numFmtId="166" formatCode="_-* #,##0_-;\-* #,##0_-;_-* &quot;-&quot;??_-;_-@_-"/>
    <numFmt numFmtId="167" formatCode="mmm"/>
    <numFmt numFmtId="170" formatCode="0.0%"/>
  </numFmts>
  <fonts count="36">
    <font>
      <sz val="11"/>
      <color theme="1"/>
      <name val="Calibri"/>
      <charset val="134"/>
      <scheme val="minor"/>
    </font>
    <font>
      <sz val="11"/>
      <color theme="1"/>
      <name val="Calibri"/>
      <family val="2"/>
      <scheme val="minor"/>
    </font>
    <font>
      <b/>
      <sz val="14"/>
      <color rgb="FF002060"/>
      <name val="Calibri"/>
      <charset val="134"/>
      <scheme val="minor"/>
    </font>
    <font>
      <b/>
      <sz val="11"/>
      <color theme="0"/>
      <name val="Calibri"/>
      <charset val="134"/>
      <scheme val="minor"/>
    </font>
    <font>
      <sz val="10"/>
      <color theme="1"/>
      <name val="Calibri"/>
      <charset val="134"/>
      <scheme val="minor"/>
    </font>
    <font>
      <sz val="9"/>
      <color theme="0"/>
      <name val="Calibri"/>
      <charset val="134"/>
      <scheme val="minor"/>
    </font>
    <font>
      <b/>
      <sz val="11"/>
      <color theme="1"/>
      <name val="Calibri"/>
      <charset val="134"/>
      <scheme val="minor"/>
    </font>
    <font>
      <sz val="11"/>
      <color rgb="FF0070C0"/>
      <name val="Calibri"/>
      <charset val="134"/>
      <scheme val="minor"/>
    </font>
    <font>
      <sz val="8"/>
      <color theme="1"/>
      <name val="Calibri"/>
      <charset val="134"/>
      <scheme val="minor"/>
    </font>
    <font>
      <b/>
      <sz val="10"/>
      <color theme="0"/>
      <name val="Calibri"/>
      <charset val="134"/>
      <scheme val="minor"/>
    </font>
    <font>
      <sz val="10.5"/>
      <color theme="1"/>
      <name val="Calibri"/>
      <charset val="134"/>
      <scheme val="minor"/>
    </font>
    <font>
      <i/>
      <sz val="9"/>
      <color theme="0" tint="-0.34998626667073579"/>
      <name val="Calibri"/>
      <charset val="134"/>
      <scheme val="minor"/>
    </font>
    <font>
      <sz val="9"/>
      <color theme="1"/>
      <name val="Calibri"/>
      <charset val="134"/>
      <scheme val="minor"/>
    </font>
    <font>
      <b/>
      <sz val="9"/>
      <color theme="1"/>
      <name val="Calibri"/>
      <charset val="134"/>
      <scheme val="minor"/>
    </font>
    <font>
      <b/>
      <sz val="18"/>
      <color theme="0"/>
      <name val="Calibri"/>
      <charset val="134"/>
      <scheme val="minor"/>
    </font>
    <font>
      <sz val="11"/>
      <color theme="0" tint="-0.499984740745262"/>
      <name val="Calibri"/>
      <charset val="134"/>
      <scheme val="minor"/>
    </font>
    <font>
      <sz val="10"/>
      <color theme="0" tint="-0.499984740745262"/>
      <name val="Calibri"/>
      <charset val="134"/>
      <scheme val="minor"/>
    </font>
    <font>
      <sz val="10"/>
      <color theme="0" tint="-0.14996795556505021"/>
      <name val="Calibri"/>
      <charset val="134"/>
      <scheme val="minor"/>
    </font>
    <font>
      <i/>
      <sz val="9"/>
      <color theme="0" tint="-0.499984740745262"/>
      <name val="Calibri"/>
      <charset val="134"/>
      <scheme val="minor"/>
    </font>
    <font>
      <b/>
      <sz val="10"/>
      <color theme="1"/>
      <name val="Calibri"/>
      <charset val="134"/>
      <scheme val="minor"/>
    </font>
    <font>
      <i/>
      <sz val="10"/>
      <color theme="1"/>
      <name val="Calibri"/>
      <charset val="134"/>
      <scheme val="minor"/>
    </font>
    <font>
      <sz val="10"/>
      <color theme="0" tint="-0.34998626667073579"/>
      <name val="Calibri"/>
      <charset val="134"/>
      <scheme val="minor"/>
    </font>
    <font>
      <sz val="9"/>
      <color theme="0" tint="-0.34998626667073579"/>
      <name val="Calibri"/>
      <charset val="134"/>
      <scheme val="minor"/>
    </font>
    <font>
      <b/>
      <sz val="9"/>
      <color theme="0" tint="-0.34998626667073579"/>
      <name val="Calibri"/>
      <charset val="134"/>
      <scheme val="minor"/>
    </font>
    <font>
      <b/>
      <sz val="12"/>
      <color rgb="FF7030A0"/>
      <name val="Calibri"/>
      <charset val="134"/>
      <scheme val="minor"/>
    </font>
    <font>
      <b/>
      <sz val="11"/>
      <color rgb="FF0070C0"/>
      <name val="Calibri"/>
      <charset val="134"/>
      <scheme val="minor"/>
    </font>
    <font>
      <sz val="11"/>
      <color theme="1"/>
      <name val="Calibri"/>
      <charset val="134"/>
      <scheme val="minor"/>
    </font>
    <font>
      <b/>
      <sz val="11"/>
      <color theme="1"/>
      <name val="Calibri"/>
      <family val="2"/>
      <scheme val="minor"/>
    </font>
    <font>
      <sz val="11"/>
      <color rgb="FF0070C0"/>
      <name val="Calibri"/>
      <family val="2"/>
      <scheme val="minor"/>
    </font>
    <font>
      <sz val="10"/>
      <color theme="1"/>
      <name val="Calibri"/>
      <family val="2"/>
      <scheme val="minor"/>
    </font>
    <font>
      <b/>
      <sz val="10"/>
      <color theme="0"/>
      <name val="Calibri"/>
      <family val="2"/>
      <scheme val="minor"/>
    </font>
    <font>
      <b/>
      <sz val="10"/>
      <color theme="1"/>
      <name val="Calibri"/>
      <family val="2"/>
      <scheme val="minor"/>
    </font>
    <font>
      <sz val="8"/>
      <color rgb="FF000000"/>
      <name val="Segoe UI"/>
      <family val="2"/>
    </font>
    <font>
      <b/>
      <sz val="18"/>
      <color theme="0"/>
      <name val="Calibri"/>
      <family val="2"/>
      <scheme val="minor"/>
    </font>
    <font>
      <b/>
      <sz val="12"/>
      <color rgb="FF7030A0"/>
      <name val="Calibri"/>
      <family val="2"/>
      <scheme val="minor"/>
    </font>
    <font>
      <i/>
      <sz val="9"/>
      <color theme="0" tint="-0.49998474074526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rgb="FF002060"/>
        <bgColor indexed="64"/>
      </patternFill>
    </fill>
    <fill>
      <patternFill patternType="solid">
        <fgColor theme="9" tint="0.79995117038483843"/>
        <bgColor indexed="64"/>
      </patternFill>
    </fill>
    <fill>
      <patternFill patternType="solid">
        <fgColor rgb="FF00B050"/>
        <bgColor indexed="64"/>
      </patternFill>
    </fill>
    <fill>
      <patternFill patternType="solid">
        <fgColor rgb="FFFF33F0"/>
        <bgColor indexed="64"/>
      </patternFill>
    </fill>
    <fill>
      <patternFill patternType="solid">
        <fgColor theme="8"/>
        <bgColor indexed="64"/>
      </patternFill>
    </fill>
    <fill>
      <patternFill patternType="solid">
        <fgColor theme="4" tint="0.79995117038483843"/>
        <bgColor indexed="64"/>
      </patternFill>
    </fill>
    <fill>
      <patternFill patternType="solid">
        <fgColor theme="1"/>
        <bgColor indexed="64"/>
      </patternFill>
    </fill>
    <fill>
      <patternFill patternType="solid">
        <fgColor theme="0" tint="-0.249977111117893"/>
        <bgColor indexed="64"/>
      </patternFill>
    </fill>
  </fills>
  <borders count="19">
    <border>
      <left/>
      <right/>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bottom style="thin">
        <color auto="1"/>
      </bottom>
      <diagonal/>
    </border>
    <border>
      <left/>
      <right/>
      <top style="dotted">
        <color auto="1"/>
      </top>
      <bottom style="double">
        <color auto="1"/>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style="thin">
        <color theme="0" tint="-0.24994659260841701"/>
      </top>
      <bottom/>
      <diagonal/>
    </border>
    <border>
      <left style="thin">
        <color theme="0" tint="-0.24994659260841701"/>
      </left>
      <right/>
      <top/>
      <bottom style="thin">
        <color theme="0" tint="-0.24994659260841701"/>
      </bottom>
      <diagonal/>
    </border>
    <border>
      <left/>
      <right/>
      <top style="thin">
        <color theme="0" tint="-0.24994659260841701"/>
      </top>
      <bottom/>
      <diagonal/>
    </border>
    <border>
      <left/>
      <right style="thin">
        <color theme="0" tint="-0.24994659260841701"/>
      </right>
      <top style="thin">
        <color theme="0" tint="-0.24994659260841701"/>
      </top>
      <bottom/>
      <diagonal/>
    </border>
    <border>
      <left/>
      <right/>
      <top style="hair">
        <color auto="1"/>
      </top>
      <bottom/>
      <diagonal/>
    </border>
    <border>
      <left/>
      <right style="thin">
        <color theme="0" tint="-0.24994659260841701"/>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auto="1"/>
      </top>
      <bottom/>
      <diagonal/>
    </border>
  </borders>
  <cellStyleXfs count="3">
    <xf numFmtId="0" fontId="0" fillId="0" borderId="0"/>
    <xf numFmtId="164" fontId="26" fillId="0" borderId="0" applyFont="0" applyFill="0" applyBorder="0" applyAlignment="0" applyProtection="0"/>
    <xf numFmtId="9" fontId="26" fillId="0" borderId="0" applyFont="0" applyFill="0" applyBorder="0" applyAlignment="0" applyProtection="0"/>
  </cellStyleXfs>
  <cellXfs count="118">
    <xf numFmtId="0" fontId="0" fillId="0" borderId="0" xfId="0"/>
    <xf numFmtId="0" fontId="0" fillId="2" borderId="0" xfId="0" applyFill="1"/>
    <xf numFmtId="0" fontId="2" fillId="2" borderId="0" xfId="0" applyFont="1" applyFill="1" applyAlignment="1">
      <alignment horizontal="left" vertical="center" indent="1"/>
    </xf>
    <xf numFmtId="0" fontId="3" fillId="3" borderId="0" xfId="0" applyFont="1" applyFill="1" applyAlignment="1">
      <alignment horizontal="center" vertical="center"/>
    </xf>
    <xf numFmtId="0" fontId="4" fillId="0" borderId="1" xfId="0" applyFont="1" applyBorder="1" applyAlignment="1">
      <alignment horizontal="center" vertical="center"/>
    </xf>
    <xf numFmtId="165" fontId="4" fillId="0" borderId="1" xfId="0" applyNumberFormat="1" applyFont="1" applyBorder="1" applyAlignment="1">
      <alignment horizontal="center" vertical="center"/>
    </xf>
    <xf numFmtId="0" fontId="4" fillId="0" borderId="2" xfId="0" applyFont="1" applyBorder="1" applyAlignment="1">
      <alignment horizontal="center" vertical="center"/>
    </xf>
    <xf numFmtId="165" fontId="4" fillId="0" borderId="2" xfId="0" applyNumberFormat="1" applyFont="1" applyBorder="1" applyAlignment="1">
      <alignment horizontal="center" vertical="center"/>
    </xf>
    <xf numFmtId="0" fontId="6" fillId="0" borderId="0" xfId="0" applyFont="1"/>
    <xf numFmtId="15" fontId="0" fillId="0" borderId="0" xfId="0" applyNumberFormat="1"/>
    <xf numFmtId="166" fontId="0" fillId="0" borderId="0" xfId="1" applyNumberFormat="1" applyFont="1"/>
    <xf numFmtId="0" fontId="6" fillId="0" borderId="3" xfId="0" applyFont="1" applyBorder="1"/>
    <xf numFmtId="0" fontId="0" fillId="0" borderId="3" xfId="0" applyBorder="1"/>
    <xf numFmtId="0" fontId="0" fillId="0" borderId="0" xfId="0" applyAlignment="1">
      <alignment horizontal="right"/>
    </xf>
    <xf numFmtId="0" fontId="7" fillId="0" borderId="4" xfId="0" applyFont="1" applyBorder="1"/>
    <xf numFmtId="0" fontId="0" fillId="0" borderId="4" xfId="0" applyBorder="1"/>
    <xf numFmtId="0" fontId="6" fillId="0" borderId="5" xfId="0" applyFont="1" applyBorder="1" applyAlignment="1">
      <alignment horizontal="center"/>
    </xf>
    <xf numFmtId="0" fontId="0" fillId="0" borderId="0" xfId="0" applyAlignment="1">
      <alignment horizontal="center"/>
    </xf>
    <xf numFmtId="166" fontId="0" fillId="0" borderId="0" xfId="1" applyNumberFormat="1" applyFont="1" applyAlignment="1">
      <alignment horizontal="center"/>
    </xf>
    <xf numFmtId="0" fontId="0" fillId="0" borderId="6" xfId="0" applyBorder="1" applyAlignment="1">
      <alignment horizontal="center"/>
    </xf>
    <xf numFmtId="166" fontId="0" fillId="0" borderId="6" xfId="1" applyNumberFormat="1" applyFont="1" applyBorder="1" applyAlignment="1">
      <alignment horizontal="center"/>
    </xf>
    <xf numFmtId="0" fontId="6" fillId="0" borderId="0" xfId="0" applyFont="1" applyAlignment="1">
      <alignment horizontal="center"/>
    </xf>
    <xf numFmtId="166" fontId="6" fillId="0" borderId="0" xfId="1" applyNumberFormat="1" applyFont="1" applyAlignment="1">
      <alignment horizontal="center"/>
    </xf>
    <xf numFmtId="0" fontId="0" fillId="3" borderId="0" xfId="0" applyFill="1"/>
    <xf numFmtId="0" fontId="8" fillId="2" borderId="7" xfId="0" applyFont="1" applyFill="1" applyBorder="1" applyAlignment="1">
      <alignment horizontal="center" vertical="center"/>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0" fillId="0" borderId="7" xfId="0" applyBorder="1"/>
    <xf numFmtId="0" fontId="0" fillId="0" borderId="8" xfId="0" applyBorder="1"/>
    <xf numFmtId="0" fontId="0" fillId="0" borderId="0" xfId="0" applyBorder="1"/>
    <xf numFmtId="166" fontId="0" fillId="0" borderId="0" xfId="1" applyNumberFormat="1" applyFont="1" applyBorder="1"/>
    <xf numFmtId="166" fontId="0" fillId="0" borderId="8" xfId="1" applyNumberFormat="1" applyFont="1" applyBorder="1"/>
    <xf numFmtId="0" fontId="8" fillId="2" borderId="1" xfId="0" applyFont="1" applyFill="1" applyBorder="1" applyAlignment="1">
      <alignment horizontal="center" vertical="center"/>
    </xf>
    <xf numFmtId="0" fontId="0" fillId="0" borderId="1" xfId="0" applyBorder="1"/>
    <xf numFmtId="0" fontId="10" fillId="0" borderId="0" xfId="0" applyFont="1" applyAlignment="1">
      <alignment vertical="center"/>
    </xf>
    <xf numFmtId="166" fontId="10" fillId="0" borderId="0" xfId="1" applyNumberFormat="1" applyFont="1" applyAlignment="1">
      <alignment horizontal="center" vertical="center"/>
    </xf>
    <xf numFmtId="9" fontId="10" fillId="0" borderId="0" xfId="2" applyFont="1" applyAlignment="1">
      <alignment horizontal="center" vertical="center"/>
    </xf>
    <xf numFmtId="0" fontId="0" fillId="0" borderId="9" xfId="0" applyBorder="1"/>
    <xf numFmtId="0" fontId="0" fillId="0" borderId="10" xfId="0" applyBorder="1"/>
    <xf numFmtId="0" fontId="0" fillId="0" borderId="11" xfId="0" applyBorder="1"/>
    <xf numFmtId="0" fontId="0" fillId="0" borderId="12" xfId="0" applyBorder="1"/>
    <xf numFmtId="0" fontId="12" fillId="0" borderId="0" xfId="0" applyFont="1" applyBorder="1" applyAlignment="1">
      <alignment horizontal="left" vertical="center" indent="1"/>
    </xf>
    <xf numFmtId="166" fontId="12" fillId="0" borderId="0" xfId="1" applyNumberFormat="1" applyFont="1" applyBorder="1" applyAlignment="1">
      <alignment vertical="center"/>
    </xf>
    <xf numFmtId="0" fontId="13" fillId="0" borderId="13" xfId="0" applyFont="1" applyBorder="1" applyAlignment="1">
      <alignment horizontal="left" vertical="center" indent="1"/>
    </xf>
    <xf numFmtId="166" fontId="13" fillId="0" borderId="13" xfId="1" applyNumberFormat="1" applyFont="1" applyBorder="1" applyAlignment="1">
      <alignment vertical="center"/>
    </xf>
    <xf numFmtId="0" fontId="0" fillId="0" borderId="14" xfId="0" applyBorder="1"/>
    <xf numFmtId="0" fontId="14" fillId="3" borderId="0" xfId="0" applyFont="1" applyFill="1"/>
    <xf numFmtId="0" fontId="14" fillId="3" borderId="0" xfId="0" applyFont="1" applyFill="1" applyAlignment="1">
      <alignment horizontal="left" vertical="center" indent="1"/>
    </xf>
    <xf numFmtId="0" fontId="0" fillId="0" borderId="0" xfId="0" applyAlignment="1">
      <alignment horizontal="left" vertical="center" indent="1"/>
    </xf>
    <xf numFmtId="0" fontId="15" fillId="2" borderId="0" xfId="0" applyFont="1" applyFill="1" applyAlignment="1">
      <alignment horizontal="left" vertical="center" indent="1"/>
    </xf>
    <xf numFmtId="15" fontId="4" fillId="0" borderId="0" xfId="0" applyNumberFormat="1" applyFont="1" applyAlignment="1">
      <alignment horizontal="left" indent="1"/>
    </xf>
    <xf numFmtId="0" fontId="4" fillId="0" borderId="0" xfId="0" applyFont="1" applyAlignment="1">
      <alignment horizontal="left" indent="1"/>
    </xf>
    <xf numFmtId="166" fontId="4" fillId="0" borderId="0" xfId="1" applyNumberFormat="1" applyFont="1" applyAlignment="1">
      <alignment horizontal="left" indent="1"/>
    </xf>
    <xf numFmtId="0" fontId="16" fillId="0" borderId="0" xfId="0" applyFont="1" applyAlignment="1">
      <alignment horizontal="left" indent="1"/>
    </xf>
    <xf numFmtId="166" fontId="16" fillId="0" borderId="0" xfId="1" applyNumberFormat="1" applyFont="1" applyAlignment="1">
      <alignment horizontal="left" indent="1"/>
    </xf>
    <xf numFmtId="15" fontId="17" fillId="0" borderId="0" xfId="0" applyNumberFormat="1" applyFont="1" applyAlignment="1">
      <alignment horizontal="right" indent="1"/>
    </xf>
    <xf numFmtId="0" fontId="14" fillId="3" borderId="0" xfId="0" applyFont="1" applyFill="1" applyAlignment="1">
      <alignment horizontal="left" vertical="center"/>
    </xf>
    <xf numFmtId="0" fontId="18" fillId="0" borderId="0" xfId="0" applyFont="1" applyAlignment="1">
      <alignment horizontal="center" vertical="center"/>
    </xf>
    <xf numFmtId="0" fontId="19" fillId="0" borderId="17" xfId="0" applyFont="1" applyBorder="1" applyAlignment="1">
      <alignment horizontal="center" vertical="center"/>
    </xf>
    <xf numFmtId="0" fontId="20" fillId="0" borderId="0" xfId="0" applyFont="1" applyAlignment="1">
      <alignment horizontal="left" indent="10"/>
    </xf>
    <xf numFmtId="166" fontId="12" fillId="0" borderId="17" xfId="0" applyNumberFormat="1" applyFont="1" applyBorder="1"/>
    <xf numFmtId="0" fontId="6" fillId="0" borderId="0" xfId="0" applyFont="1" applyAlignment="1">
      <alignment horizontal="left" indent="1"/>
    </xf>
    <xf numFmtId="167" fontId="9" fillId="5" borderId="0" xfId="0" applyNumberFormat="1" applyFont="1" applyFill="1" applyAlignment="1">
      <alignment horizontal="center" vertical="center"/>
    </xf>
    <xf numFmtId="0" fontId="21" fillId="0" borderId="0" xfId="0" applyFont="1" applyAlignment="1">
      <alignment horizontal="left" indent="1"/>
    </xf>
    <xf numFmtId="166" fontId="22" fillId="0" borderId="17" xfId="1" applyNumberFormat="1" applyFont="1" applyBorder="1"/>
    <xf numFmtId="0" fontId="6" fillId="0" borderId="17" xfId="0" applyFont="1" applyBorder="1" applyAlignment="1">
      <alignment horizontal="left" indent="1"/>
    </xf>
    <xf numFmtId="166" fontId="13" fillId="0" borderId="17" xfId="1" applyNumberFormat="1" applyFont="1" applyBorder="1"/>
    <xf numFmtId="167" fontId="9" fillId="6" borderId="0" xfId="0" applyNumberFormat="1" applyFont="1" applyFill="1" applyAlignment="1">
      <alignment horizontal="center" vertical="center"/>
    </xf>
    <xf numFmtId="167" fontId="9" fillId="7" borderId="0" xfId="0" applyNumberFormat="1" applyFont="1" applyFill="1" applyAlignment="1">
      <alignment horizontal="center" vertical="center"/>
    </xf>
    <xf numFmtId="166" fontId="13" fillId="0" borderId="17" xfId="0" applyNumberFormat="1" applyFont="1" applyBorder="1"/>
    <xf numFmtId="0" fontId="9" fillId="5" borderId="0" xfId="0" applyFont="1" applyFill="1" applyAlignment="1">
      <alignment horizontal="center" vertical="center"/>
    </xf>
    <xf numFmtId="166" fontId="23" fillId="0" borderId="17" xfId="1" applyNumberFormat="1" applyFont="1" applyBorder="1"/>
    <xf numFmtId="0" fontId="9" fillId="6" borderId="0" xfId="0" applyFont="1" applyFill="1" applyAlignment="1">
      <alignment horizontal="center" vertical="center"/>
    </xf>
    <xf numFmtId="0" fontId="9" fillId="7" borderId="0" xfId="0" applyFont="1" applyFill="1" applyAlignment="1">
      <alignment horizontal="center" vertical="center"/>
    </xf>
    <xf numFmtId="0" fontId="6" fillId="0" borderId="0" xfId="0" applyFont="1" applyBorder="1"/>
    <xf numFmtId="0" fontId="4" fillId="8" borderId="0" xfId="0" applyFont="1" applyFill="1" applyBorder="1" applyAlignment="1">
      <alignment horizontal="center" vertical="center"/>
    </xf>
    <xf numFmtId="0" fontId="18" fillId="0" borderId="0" xfId="0" applyFont="1" applyBorder="1"/>
    <xf numFmtId="0" fontId="24" fillId="0" borderId="0" xfId="0" applyFont="1" applyBorder="1"/>
    <xf numFmtId="0" fontId="6" fillId="0" borderId="0" xfId="0" applyFont="1" applyBorder="1" applyAlignment="1">
      <alignment horizontal="left" indent="1"/>
    </xf>
    <xf numFmtId="0" fontId="28" fillId="0" borderId="4" xfId="0" applyFont="1" applyBorder="1"/>
    <xf numFmtId="0" fontId="27" fillId="0" borderId="0" xfId="0" applyFont="1" applyAlignment="1">
      <alignment horizontal="center"/>
    </xf>
    <xf numFmtId="0" fontId="27" fillId="0" borderId="5" xfId="0" applyFont="1" applyBorder="1" applyAlignment="1">
      <alignment horizontal="center"/>
    </xf>
    <xf numFmtId="0" fontId="1" fillId="0" borderId="18" xfId="0" applyFont="1" applyBorder="1" applyAlignment="1">
      <alignment horizontal="center"/>
    </xf>
    <xf numFmtId="0" fontId="1" fillId="0" borderId="0" xfId="0" applyFont="1" applyBorder="1" applyAlignment="1">
      <alignment horizontal="center"/>
    </xf>
    <xf numFmtId="0" fontId="0" fillId="0" borderId="0" xfId="0" applyBorder="1" applyAlignment="1">
      <alignment horizontal="center"/>
    </xf>
    <xf numFmtId="0" fontId="0" fillId="0" borderId="5" xfId="0" applyBorder="1" applyAlignment="1">
      <alignment horizontal="center"/>
    </xf>
    <xf numFmtId="166" fontId="0" fillId="0" borderId="0" xfId="1" applyNumberFormat="1" applyFont="1" applyBorder="1" applyAlignment="1">
      <alignment horizontal="center"/>
    </xf>
    <xf numFmtId="0" fontId="31" fillId="0" borderId="0" xfId="0" applyFont="1"/>
    <xf numFmtId="0" fontId="29" fillId="0" borderId="0" xfId="0" applyFont="1"/>
    <xf numFmtId="166" fontId="0" fillId="0" borderId="5" xfId="1" applyNumberFormat="1" applyFont="1" applyBorder="1" applyAlignment="1">
      <alignment horizontal="center"/>
    </xf>
    <xf numFmtId="0" fontId="3" fillId="3" borderId="0" xfId="0" applyFont="1" applyFill="1" applyAlignment="1">
      <alignment horizontal="center"/>
    </xf>
    <xf numFmtId="0" fontId="18" fillId="0" borderId="0" xfId="0" applyFont="1" applyBorder="1" applyAlignment="1">
      <alignment horizontal="left" vertical="top" wrapText="1"/>
    </xf>
    <xf numFmtId="0" fontId="3" fillId="3" borderId="0" xfId="0" applyFont="1" applyFill="1" applyAlignment="1">
      <alignment horizontal="center" vertical="center"/>
    </xf>
    <xf numFmtId="0" fontId="9" fillId="3" borderId="0" xfId="0" applyFont="1" applyFill="1" applyAlignment="1">
      <alignment horizontal="center" vertical="center"/>
    </xf>
    <xf numFmtId="0" fontId="9" fillId="3" borderId="0" xfId="0" applyFont="1" applyFill="1" applyAlignment="1">
      <alignment horizont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11" fillId="0" borderId="0" xfId="0" applyFont="1" applyAlignment="1">
      <alignment horizontal="right" vertical="center" indent="1"/>
    </xf>
    <xf numFmtId="0" fontId="4" fillId="4" borderId="11" xfId="0" applyFont="1" applyFill="1" applyBorder="1" applyAlignment="1">
      <alignment horizontal="center" vertical="center"/>
    </xf>
    <xf numFmtId="165" fontId="4" fillId="4" borderId="11" xfId="0" applyNumberFormat="1" applyFont="1" applyFill="1" applyBorder="1" applyAlignment="1">
      <alignment horizontal="center" vertical="center"/>
    </xf>
    <xf numFmtId="167" fontId="0" fillId="0" borderId="18" xfId="0" applyNumberFormat="1" applyBorder="1" applyAlignment="1">
      <alignment horizontal="center" vertical="center"/>
    </xf>
    <xf numFmtId="167" fontId="0" fillId="0" borderId="0" xfId="0" applyNumberFormat="1" applyBorder="1" applyAlignment="1">
      <alignment horizontal="center" vertical="center"/>
    </xf>
    <xf numFmtId="167" fontId="0" fillId="0" borderId="5" xfId="0" applyNumberFormat="1" applyBorder="1" applyAlignment="1">
      <alignment horizontal="center" vertical="center"/>
    </xf>
    <xf numFmtId="0" fontId="5" fillId="3" borderId="0" xfId="0" applyFont="1" applyFill="1" applyAlignment="1">
      <alignment horizontal="left" vertical="center" indent="1"/>
    </xf>
    <xf numFmtId="0" fontId="30" fillId="9" borderId="0" xfId="0" applyFont="1" applyFill="1" applyAlignment="1">
      <alignment horizontal="center" vertical="center"/>
    </xf>
    <xf numFmtId="0" fontId="31" fillId="10" borderId="0" xfId="0" applyFont="1" applyFill="1" applyAlignment="1">
      <alignment horizontal="center" vertical="center"/>
    </xf>
    <xf numFmtId="0" fontId="33" fillId="3" borderId="0" xfId="0" applyFont="1" applyFill="1"/>
    <xf numFmtId="0" fontId="14" fillId="3" borderId="0" xfId="0" applyFont="1" applyFill="1" applyAlignment="1">
      <alignment vertical="center"/>
    </xf>
    <xf numFmtId="0" fontId="33" fillId="3" borderId="0" xfId="0" applyFont="1" applyFill="1" applyAlignment="1">
      <alignment vertical="center"/>
    </xf>
    <xf numFmtId="0" fontId="0" fillId="0" borderId="3" xfId="0" applyBorder="1" applyAlignment="1">
      <alignment horizontal="right"/>
    </xf>
    <xf numFmtId="0" fontId="27" fillId="0" borderId="0" xfId="0" applyFont="1"/>
    <xf numFmtId="9" fontId="0" fillId="0" borderId="0" xfId="2" applyFont="1"/>
    <xf numFmtId="166" fontId="0" fillId="0" borderId="0" xfId="0" applyNumberFormat="1"/>
    <xf numFmtId="0" fontId="34" fillId="0" borderId="0" xfId="0" applyFont="1" applyBorder="1"/>
    <xf numFmtId="0" fontId="27" fillId="0" borderId="0" xfId="0" applyFont="1" applyBorder="1" applyAlignment="1">
      <alignment horizontal="left" indent="1"/>
    </xf>
    <xf numFmtId="0" fontId="35" fillId="0" borderId="0" xfId="0" applyFont="1" applyBorder="1" applyAlignment="1">
      <alignment horizontal="left" vertical="top"/>
    </xf>
    <xf numFmtId="0" fontId="35" fillId="0" borderId="0" xfId="0" applyFont="1" applyBorder="1" applyAlignment="1">
      <alignment horizontal="left" vertical="top" wrapText="1"/>
    </xf>
    <xf numFmtId="170" fontId="0" fillId="0" borderId="0" xfId="2" applyNumberFormat="1" applyFont="1"/>
  </cellXfs>
  <cellStyles count="3">
    <cellStyle name="Comma" xfId="1" builtinId="3"/>
    <cellStyle name="Normal" xfId="0" builtinId="0"/>
    <cellStyle name="Percent" xfId="2" builtinId="5"/>
  </cellStyles>
  <dxfs count="54">
    <dxf>
      <fill>
        <patternFill patternType="solid">
          <bgColor theme="0" tint="-4.9989318521683403E-2"/>
        </patternFill>
      </fill>
    </dxf>
    <dxf>
      <fill>
        <patternFill patternType="solid">
          <bgColor theme="8" tint="0.79998168889431442"/>
        </patternFill>
      </fill>
    </dxf>
    <dxf>
      <fill>
        <patternFill patternType="solid">
          <bgColor theme="8" tint="0.59996337778862885"/>
        </patternFill>
      </fill>
    </dxf>
    <dxf>
      <fill>
        <patternFill patternType="solid">
          <bgColor theme="8" tint="0.39994506668294322"/>
        </patternFill>
      </fill>
    </dxf>
    <dxf>
      <fill>
        <patternFill patternType="solid">
          <bgColor theme="8" tint="-0.24994659260841701"/>
        </patternFill>
      </fill>
    </dxf>
    <dxf>
      <fill>
        <patternFill patternType="solid">
          <bgColor theme="8" tint="-0.499984740745262"/>
        </patternFill>
      </fill>
    </dxf>
    <dxf>
      <font>
        <b/>
        <i val="0"/>
      </font>
      <border>
        <top style="thin">
          <color auto="1"/>
        </top>
      </border>
    </dxf>
    <dxf>
      <font>
        <b/>
        <i val="0"/>
        <color theme="0"/>
      </font>
      <fill>
        <patternFill patternType="solid">
          <bgColor theme="8"/>
        </patternFill>
      </fill>
    </dxf>
    <dxf>
      <font>
        <b/>
        <i val="0"/>
        <color theme="0"/>
      </font>
      <fill>
        <patternFill patternType="solid">
          <bgColor rgb="FFF75FAF"/>
        </patternFill>
      </fill>
    </dxf>
    <dxf>
      <font>
        <b/>
        <i val="0"/>
        <color theme="0"/>
      </font>
      <fill>
        <patternFill patternType="solid">
          <bgColor rgb="FF00B050"/>
        </patternFill>
      </fill>
    </dxf>
    <dxf>
      <fill>
        <patternFill patternType="solid">
          <bgColor theme="8" tint="0.39991454817346722"/>
        </patternFill>
      </fill>
    </dxf>
    <dxf>
      <fill>
        <patternFill patternType="solid">
          <bgColor rgb="FFFBA7EF"/>
        </patternFill>
      </fill>
    </dxf>
    <dxf>
      <fill>
        <patternFill patternType="solid">
          <bgColor theme="9" tint="0.39991454817346722"/>
        </patternFill>
      </fill>
    </dxf>
    <dxf>
      <fill>
        <patternFill patternType="solid">
          <bgColor theme="0" tint="-4.9989318521683403E-2"/>
        </patternFill>
      </fill>
    </dxf>
    <dxf>
      <fill>
        <patternFill patternType="solid">
          <bgColor rgb="FFFFCCFF"/>
        </patternFill>
      </fill>
    </dxf>
    <dxf>
      <fill>
        <patternFill patternType="solid">
          <bgColor rgb="FFFF99FF"/>
        </patternFill>
      </fill>
    </dxf>
    <dxf>
      <fill>
        <patternFill patternType="solid">
          <bgColor rgb="FFFF66CC"/>
        </patternFill>
      </fill>
    </dxf>
    <dxf>
      <fill>
        <patternFill patternType="solid">
          <bgColor rgb="FFFF3399"/>
        </patternFill>
      </fill>
    </dxf>
    <dxf>
      <fill>
        <patternFill patternType="solid">
          <bgColor rgb="FFFF0066"/>
        </patternFill>
      </fill>
    </dxf>
    <dxf>
      <fill>
        <patternFill patternType="solid">
          <bgColor theme="0" tint="-4.9989318521683403E-2"/>
        </patternFill>
      </fill>
    </dxf>
    <dxf>
      <fill>
        <patternFill patternType="solid">
          <bgColor theme="9" tint="0.79998168889431442"/>
        </patternFill>
      </fill>
    </dxf>
    <dxf>
      <fill>
        <patternFill patternType="solid">
          <bgColor theme="9" tint="0.59999389629810485"/>
        </patternFill>
      </fill>
    </dxf>
    <dxf>
      <fill>
        <patternFill patternType="solid">
          <bgColor theme="9" tint="0.39997558519241921"/>
        </patternFill>
      </fill>
    </dxf>
    <dxf>
      <fill>
        <patternFill patternType="solid">
          <bgColor theme="9" tint="-0.249977111117893"/>
        </patternFill>
      </fill>
    </dxf>
    <dxf>
      <fill>
        <patternFill patternType="solid">
          <bgColor theme="9" tint="-0.499984740745262"/>
        </patternFill>
      </fill>
    </dxf>
    <dxf>
      <font>
        <color theme="0" tint="-0.499984740745262"/>
      </font>
      <numFmt numFmtId="168" formatCode="&quot;→&quot;\ d\-mmm\-yy"/>
    </dxf>
    <dxf>
      <font>
        <b/>
        <i val="0"/>
        <color rgb="FF00B050"/>
      </font>
      <numFmt numFmtId="169" formatCode="#,##0_ ;\-#,##0\ "/>
    </dxf>
    <dxf>
      <font>
        <color rgb="FFFF0000"/>
      </font>
    </dxf>
    <dxf>
      <font>
        <color rgb="FF000000"/>
      </font>
      <fill>
        <patternFill patternType="solid">
          <bgColor theme="8" tint="0.79995117038483843"/>
        </patternFill>
      </fill>
    </dxf>
    <dxf>
      <font>
        <color rgb="FF000000"/>
      </font>
      <fill>
        <patternFill patternType="solid">
          <bgColor rgb="FFFFDDF1"/>
        </patternFill>
      </fill>
    </dxf>
    <dxf>
      <font>
        <color rgb="FF000000"/>
      </font>
      <fill>
        <patternFill patternType="solid">
          <bgColor theme="9" tint="0.79995117038483843"/>
        </patternFill>
      </fill>
    </dxf>
    <dxf>
      <font>
        <color rgb="FFFF0000"/>
      </font>
    </dxf>
    <dxf>
      <font>
        <color theme="9" tint="-0.24994659260841701"/>
      </font>
    </dxf>
    <dxf>
      <font>
        <color theme="0" tint="-0.24994659260841701"/>
      </font>
    </dxf>
    <dxf>
      <font>
        <color theme="0" tint="-0.24994659260841701"/>
      </font>
      <fill>
        <patternFill patternType="solid">
          <bgColor theme="0" tint="-4.9989318521683403E-2"/>
        </patternFill>
      </fill>
    </dxf>
    <dxf>
      <font>
        <strike val="0"/>
        <u val="none"/>
        <sz val="10"/>
        <color theme="0" tint="-0.14996795556505021"/>
        <name val="Calibri"/>
        <scheme val="none"/>
      </font>
      <numFmt numFmtId="20" formatCode="d\-mmm\-yy"/>
      <alignment horizontal="right" indent="1"/>
    </dxf>
    <dxf>
      <font>
        <strike val="0"/>
        <u val="none"/>
        <sz val="10"/>
        <color theme="0" tint="-0.499984740745262"/>
        <name val="Calibri"/>
        <scheme val="none"/>
      </font>
      <numFmt numFmtId="166" formatCode="_-* #,##0_-;\-* #,##0_-;_-* &quot;-&quot;??_-;_-@_-"/>
      <alignment horizontal="left"/>
    </dxf>
    <dxf>
      <font>
        <strike val="0"/>
        <u val="none"/>
        <sz val="10"/>
        <color theme="0" tint="-0.499984740745262"/>
        <name val="Calibri"/>
        <scheme val="none"/>
      </font>
      <alignment horizontal="left"/>
    </dxf>
    <dxf>
      <font>
        <strike val="0"/>
        <u val="none"/>
        <sz val="10"/>
        <color theme="1"/>
        <name val="Calibri"/>
        <scheme val="none"/>
      </font>
      <numFmt numFmtId="166" formatCode="_-* #,##0_-;\-* #,##0_-;_-* &quot;-&quot;??_-;_-@_-"/>
      <alignment horizontal="left"/>
    </dxf>
    <dxf>
      <font>
        <strike val="0"/>
        <u val="none"/>
        <sz val="10"/>
        <color theme="1"/>
        <name val="Calibri"/>
        <scheme val="none"/>
      </font>
      <alignment horizontal="left"/>
    </dxf>
    <dxf>
      <font>
        <strike val="0"/>
        <u val="none"/>
        <sz val="10"/>
        <color theme="1"/>
        <name val="Calibri"/>
        <scheme val="none"/>
      </font>
      <alignment horizontal="left"/>
    </dxf>
    <dxf>
      <font>
        <strike val="0"/>
        <u val="none"/>
        <sz val="10"/>
        <color theme="1"/>
        <name val="Calibri"/>
        <scheme val="none"/>
      </font>
      <numFmt numFmtId="20" formatCode="d\-mmm\-yy"/>
      <alignment horizontal="left"/>
    </dxf>
    <dxf>
      <font>
        <b val="0"/>
        <i val="0"/>
        <strike val="0"/>
        <u val="none"/>
        <sz val="10"/>
        <color theme="0" tint="-0.34998626667073579"/>
        <name val="Calibri"/>
        <scheme val="none"/>
      </font>
      <alignment horizontal="left" indent="1"/>
    </dxf>
    <dxf>
      <font>
        <b val="0"/>
        <i val="0"/>
        <strike val="0"/>
        <u val="none"/>
        <sz val="10"/>
        <color theme="0" tint="-0.34998626667073579"/>
        <name val="Calibri"/>
        <scheme val="none"/>
      </font>
      <alignment horizontal="left" indent="1"/>
    </dxf>
    <dxf>
      <font>
        <b val="0"/>
        <i val="0"/>
        <strike val="0"/>
        <u val="none"/>
        <sz val="10"/>
        <color theme="0" tint="-0.34998626667073579"/>
        <name val="Calibri"/>
        <scheme val="none"/>
      </font>
      <alignment horizontal="left" indent="1"/>
    </dxf>
    <dxf>
      <fill>
        <patternFill patternType="solid">
          <bgColor theme="0" tint="-4.9989318521683403E-2"/>
        </patternFill>
      </fill>
    </dxf>
    <dxf>
      <font>
        <b/>
        <i val="0"/>
        <color theme="0"/>
      </font>
      <fill>
        <patternFill patternType="solid">
          <bgColor rgb="FF002060"/>
        </patternFill>
      </fill>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left style="thin">
          <color theme="0" tint="-0.24994659260841701"/>
        </left>
        <right style="thin">
          <color theme="0" tint="-0.24994659260841701"/>
        </right>
        <top style="thin">
          <color theme="0" tint="-0.24994659260841701"/>
        </top>
        <bottom style="thin">
          <color theme="0" tint="-0.24994659260841701"/>
        </bottom>
        <vertical/>
        <horizontal/>
      </border>
    </dxf>
    <dxf>
      <font>
        <b/>
        <i val="0"/>
        <color theme="0"/>
      </font>
      <fill>
        <patternFill patternType="solid">
          <bgColor theme="8"/>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patternType="solid">
          <bgColor rgb="FF00B050"/>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patternType="solid">
          <bgColor rgb="FFFF33F0"/>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TableStyleMedium2" defaultPivotStyle="PivotStyleLight16">
    <tableStyle name="Expenses Table Style" pivot="0" count="2">
      <tableStyleElement type="wholeTable" dxfId="53"/>
      <tableStyleElement type="headerRow" dxfId="52"/>
    </tableStyle>
    <tableStyle name="Income Table Style" pivot="0" count="2">
      <tableStyleElement type="wholeTable" dxfId="51"/>
      <tableStyleElement type="headerRow" dxfId="50"/>
    </tableStyle>
    <tableStyle name="Savings Table Style" pivot="0" count="2">
      <tableStyleElement type="wholeTable" dxfId="49"/>
      <tableStyleElement type="headerRow" dxfId="48"/>
    </tableStyle>
    <tableStyle name="Tracking Table Style" pivot="0" count="3">
      <tableStyleElement type="wholeTable" dxfId="47"/>
      <tableStyleElement type="headerRow" dxfId="46"/>
      <tableStyleElement type="firstRowStripe" dxfId="45"/>
    </tableStyle>
  </tableStyles>
  <colors>
    <mruColors>
      <color rgb="FFFFCCFF"/>
      <color rgb="FFFF0066"/>
      <color rgb="FFFF66CC"/>
      <color rgb="FFD9D9D9"/>
      <color rgb="FFEEEEEE"/>
      <color rgb="FFE2E2E2"/>
      <color rgb="FFF3F3F3"/>
      <color rgb="FFE6E6E6"/>
      <color rgb="FFFF99FF"/>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360658372887202E-2"/>
          <c:y val="8.5285456551387404E-2"/>
          <c:w val="0.79060869565217395"/>
          <c:h val="0.83781791374861803"/>
        </c:manualLayout>
      </c:layout>
      <c:doughnutChart>
        <c:varyColors val="1"/>
        <c:ser>
          <c:idx val="0"/>
          <c:order val="0"/>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4908-4CDC-9202-0ECECEB667C4}"/>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908-4CDC-9202-0ECECEB667C4}"/>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4908-4CDC-9202-0ECECEB667C4}"/>
              </c:ext>
            </c:extLst>
          </c:dPt>
          <c:dPt>
            <c:idx val="3"/>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7-4908-4CDC-9202-0ECECEB667C4}"/>
              </c:ext>
            </c:extLst>
          </c:dPt>
          <c:dPt>
            <c:idx val="4"/>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9-4908-4CDC-9202-0ECECEB667C4}"/>
              </c:ext>
            </c:extLst>
          </c:dPt>
          <c:dPt>
            <c:idx val="5"/>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B-4908-4CDC-9202-0ECECEB667C4}"/>
              </c:ext>
            </c:extLst>
          </c:dPt>
          <c:cat>
            <c:strRef>
              <c:f>Calculations!$E$35:$E$40</c:f>
              <c:strCache>
                <c:ptCount val="3"/>
                <c:pt idx="0">
                  <c:v>Employment (Net)</c:v>
                </c:pt>
                <c:pt idx="1">
                  <c:v>Side Hustle (Net)</c:v>
                </c:pt>
                <c:pt idx="2">
                  <c:v>Dividends</c:v>
                </c:pt>
              </c:strCache>
            </c:strRef>
          </c:cat>
          <c:val>
            <c:numRef>
              <c:f>Calculations!$F$35:$F$40</c:f>
              <c:numCache>
                <c:formatCode>_-* #,##0_-;\-* #,##0_-;_-* "-"??_-;_-@_-</c:formatCode>
                <c:ptCount val="6"/>
                <c:pt idx="0">
                  <c:v>10500</c:v>
                </c:pt>
                <c:pt idx="1">
                  <c:v>2800</c:v>
                </c:pt>
                <c:pt idx="2">
                  <c:v>300</c:v>
                </c:pt>
                <c:pt idx="3">
                  <c:v>0</c:v>
                </c:pt>
                <c:pt idx="4">
                  <c:v>0</c:v>
                </c:pt>
                <c:pt idx="5">
                  <c:v>0</c:v>
                </c:pt>
              </c:numCache>
            </c:numRef>
          </c:val>
          <c:extLst>
            <c:ext xmlns:c16="http://schemas.microsoft.com/office/drawing/2014/chart" uri="{C3380CC4-5D6E-409C-BE32-E72D297353CC}">
              <c16:uniqueId val="{0000000C-4908-4CDC-9202-0ECECEB667C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360658372887202E-2"/>
          <c:y val="8.5285456551387404E-2"/>
          <c:w val="0.79060869565217395"/>
          <c:h val="0.83781791374861803"/>
        </c:manualLayout>
      </c:layout>
      <c:doughnutChart>
        <c:varyColors val="1"/>
        <c:ser>
          <c:idx val="0"/>
          <c:order val="0"/>
          <c:dPt>
            <c:idx val="0"/>
            <c:bubble3D val="0"/>
            <c:spPr>
              <a:solidFill>
                <a:srgbClr val="FF0066"/>
              </a:solidFill>
              <a:ln w="19050">
                <a:solidFill>
                  <a:schemeClr val="lt1"/>
                </a:solidFill>
              </a:ln>
              <a:effectLst/>
            </c:spPr>
            <c:extLst>
              <c:ext xmlns:c16="http://schemas.microsoft.com/office/drawing/2014/chart" uri="{C3380CC4-5D6E-409C-BE32-E72D297353CC}">
                <c16:uniqueId val="{00000001-B881-4E01-9F3E-835BBA7808A9}"/>
              </c:ext>
            </c:extLst>
          </c:dPt>
          <c:dPt>
            <c:idx val="1"/>
            <c:bubble3D val="0"/>
            <c:spPr>
              <a:solidFill>
                <a:srgbClr val="FF3399"/>
              </a:solidFill>
              <a:ln w="19050">
                <a:solidFill>
                  <a:schemeClr val="lt1"/>
                </a:solidFill>
              </a:ln>
              <a:effectLst/>
            </c:spPr>
            <c:extLst>
              <c:ext xmlns:c16="http://schemas.microsoft.com/office/drawing/2014/chart" uri="{C3380CC4-5D6E-409C-BE32-E72D297353CC}">
                <c16:uniqueId val="{00000003-B881-4E01-9F3E-835BBA7808A9}"/>
              </c:ext>
            </c:extLst>
          </c:dPt>
          <c:dPt>
            <c:idx val="2"/>
            <c:bubble3D val="0"/>
            <c:spPr>
              <a:solidFill>
                <a:srgbClr val="FF66CC"/>
              </a:solidFill>
              <a:ln w="19050">
                <a:solidFill>
                  <a:schemeClr val="lt1"/>
                </a:solidFill>
              </a:ln>
              <a:effectLst/>
            </c:spPr>
            <c:extLst>
              <c:ext xmlns:c16="http://schemas.microsoft.com/office/drawing/2014/chart" uri="{C3380CC4-5D6E-409C-BE32-E72D297353CC}">
                <c16:uniqueId val="{00000005-B881-4E01-9F3E-835BBA7808A9}"/>
              </c:ext>
            </c:extLst>
          </c:dPt>
          <c:dPt>
            <c:idx val="3"/>
            <c:bubble3D val="0"/>
            <c:spPr>
              <a:solidFill>
                <a:srgbClr val="FF99FF">
                  <a:alpha val="92157"/>
                </a:srgbClr>
              </a:solidFill>
              <a:ln w="19050">
                <a:solidFill>
                  <a:schemeClr val="lt1"/>
                </a:solidFill>
              </a:ln>
              <a:effectLst/>
            </c:spPr>
            <c:extLst>
              <c:ext xmlns:c16="http://schemas.microsoft.com/office/drawing/2014/chart" uri="{C3380CC4-5D6E-409C-BE32-E72D297353CC}">
                <c16:uniqueId val="{00000007-B881-4E01-9F3E-835BBA7808A9}"/>
              </c:ext>
            </c:extLst>
          </c:dPt>
          <c:dPt>
            <c:idx val="4"/>
            <c:bubble3D val="0"/>
            <c:spPr>
              <a:solidFill>
                <a:srgbClr val="FFCCFF"/>
              </a:solidFill>
              <a:ln w="19050">
                <a:solidFill>
                  <a:schemeClr val="lt1"/>
                </a:solidFill>
              </a:ln>
              <a:effectLst/>
            </c:spPr>
            <c:extLst>
              <c:ext xmlns:c16="http://schemas.microsoft.com/office/drawing/2014/chart" uri="{C3380CC4-5D6E-409C-BE32-E72D297353CC}">
                <c16:uniqueId val="{00000009-B881-4E01-9F3E-835BBA7808A9}"/>
              </c:ext>
            </c:extLst>
          </c:dPt>
          <c:dPt>
            <c:idx val="5"/>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B-B881-4E01-9F3E-835BBA7808A9}"/>
              </c:ext>
            </c:extLst>
          </c:dPt>
          <c:cat>
            <c:strRef>
              <c:f>Calculations!$I$35:$I$40</c:f>
              <c:strCache>
                <c:ptCount val="6"/>
                <c:pt idx="0">
                  <c:v>Housing</c:v>
                </c:pt>
                <c:pt idx="1">
                  <c:v>Groceries</c:v>
                </c:pt>
                <c:pt idx="2">
                  <c:v>Utilities</c:v>
                </c:pt>
                <c:pt idx="3">
                  <c:v>Fun &amp; Vacation</c:v>
                </c:pt>
                <c:pt idx="4">
                  <c:v>Transportation</c:v>
                </c:pt>
                <c:pt idx="5">
                  <c:v>Other</c:v>
                </c:pt>
              </c:strCache>
            </c:strRef>
          </c:cat>
          <c:val>
            <c:numRef>
              <c:f>Calculations!$J$35:$J$40</c:f>
              <c:numCache>
                <c:formatCode>_-* #,##0_-;\-* #,##0_-;_-* "-"??_-;_-@_-</c:formatCode>
                <c:ptCount val="6"/>
                <c:pt idx="0">
                  <c:v>3600</c:v>
                </c:pt>
                <c:pt idx="1">
                  <c:v>900</c:v>
                </c:pt>
                <c:pt idx="2">
                  <c:v>900</c:v>
                </c:pt>
                <c:pt idx="3">
                  <c:v>730</c:v>
                </c:pt>
                <c:pt idx="4">
                  <c:v>610</c:v>
                </c:pt>
                <c:pt idx="5">
                  <c:v>1150</c:v>
                </c:pt>
              </c:numCache>
            </c:numRef>
          </c:val>
          <c:extLst>
            <c:ext xmlns:c16="http://schemas.microsoft.com/office/drawing/2014/chart" uri="{C3380CC4-5D6E-409C-BE32-E72D297353CC}">
              <c16:uniqueId val="{0000000C-B881-4E01-9F3E-835BBA7808A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360658372887202E-2"/>
          <c:y val="8.5285456551387404E-2"/>
          <c:w val="0.79060869565217395"/>
          <c:h val="0.83781791374861803"/>
        </c:manualLayout>
      </c:layout>
      <c:doughnutChart>
        <c:varyColors val="1"/>
        <c:ser>
          <c:idx val="0"/>
          <c:order val="0"/>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A3F9-47C4-8ED4-B08A0C976383}"/>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A3F9-47C4-8ED4-B08A0C976383}"/>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A3F9-47C4-8ED4-B08A0C976383}"/>
              </c:ext>
            </c:extLst>
          </c:dPt>
          <c:dPt>
            <c:idx val="3"/>
            <c:bubble3D val="0"/>
            <c:spPr>
              <a:solidFill>
                <a:schemeClr val="accent5">
                  <a:lumMod val="40000"/>
                  <a:lumOff val="60000"/>
                  <a:alpha val="92000"/>
                </a:schemeClr>
              </a:solidFill>
              <a:ln w="19050">
                <a:solidFill>
                  <a:schemeClr val="lt1"/>
                </a:solidFill>
              </a:ln>
              <a:effectLst/>
            </c:spPr>
            <c:extLst>
              <c:ext xmlns:c16="http://schemas.microsoft.com/office/drawing/2014/chart" uri="{C3380CC4-5D6E-409C-BE32-E72D297353CC}">
                <c16:uniqueId val="{00000007-A3F9-47C4-8ED4-B08A0C976383}"/>
              </c:ext>
            </c:extLst>
          </c:dPt>
          <c:dPt>
            <c:idx val="4"/>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9-A3F9-47C4-8ED4-B08A0C976383}"/>
              </c:ext>
            </c:extLst>
          </c:dPt>
          <c:dPt>
            <c:idx val="5"/>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B-A3F9-47C4-8ED4-B08A0C976383}"/>
              </c:ext>
            </c:extLst>
          </c:dPt>
          <c:cat>
            <c:strRef>
              <c:f>Calculations!$M$35:$M$40</c:f>
              <c:strCache>
                <c:ptCount val="4"/>
                <c:pt idx="0">
                  <c:v>Emergency Fund</c:v>
                </c:pt>
                <c:pt idx="1">
                  <c:v>Retirement Account</c:v>
                </c:pt>
                <c:pt idx="2">
                  <c:v>Stock Portfolio</c:v>
                </c:pt>
                <c:pt idx="3">
                  <c:v>Sinking Fund Rent</c:v>
                </c:pt>
              </c:strCache>
            </c:strRef>
          </c:cat>
          <c:val>
            <c:numRef>
              <c:f>Calculations!$N$35:$N$40</c:f>
              <c:numCache>
                <c:formatCode>_-* #,##0_-;\-* #,##0_-;_-* "-"??_-;_-@_-</c:formatCode>
                <c:ptCount val="6"/>
                <c:pt idx="0">
                  <c:v>1140</c:v>
                </c:pt>
                <c:pt idx="1">
                  <c:v>800</c:v>
                </c:pt>
                <c:pt idx="2">
                  <c:v>750</c:v>
                </c:pt>
                <c:pt idx="3">
                  <c:v>400</c:v>
                </c:pt>
                <c:pt idx="4">
                  <c:v>0</c:v>
                </c:pt>
                <c:pt idx="5">
                  <c:v>0</c:v>
                </c:pt>
              </c:numCache>
            </c:numRef>
          </c:val>
          <c:extLst>
            <c:ext xmlns:c16="http://schemas.microsoft.com/office/drawing/2014/chart" uri="{C3380CC4-5D6E-409C-BE32-E72D297353CC}">
              <c16:uniqueId val="{0000000C-A3F9-47C4-8ED4-B08A0C97638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chemeClr val="accent6"/>
            </a:solidFill>
            <a:ln>
              <a:noFill/>
            </a:ln>
            <a:effectLst/>
          </c:spPr>
          <c:invertIfNegative val="0"/>
          <c:dPt>
            <c:idx val="1"/>
            <c:invertIfNegative val="0"/>
            <c:bubble3D val="0"/>
            <c:spPr>
              <a:solidFill>
                <a:srgbClr val="FF66CC"/>
              </a:solidFill>
              <a:ln>
                <a:noFill/>
              </a:ln>
              <a:effectLst/>
            </c:spPr>
            <c:extLst>
              <c:ext xmlns:c16="http://schemas.microsoft.com/office/drawing/2014/chart" uri="{C3380CC4-5D6E-409C-BE32-E72D297353CC}">
                <c16:uniqueId val="{00000001-AB45-4B43-B956-0165EFD2AC95}"/>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3-AB45-4B43-B956-0165EFD2AC95}"/>
              </c:ext>
            </c:extLst>
          </c:dPt>
          <c:dPt>
            <c:idx val="5"/>
            <c:invertIfNegative val="0"/>
            <c:bubble3D val="0"/>
            <c:spPr>
              <a:solidFill>
                <a:srgbClr val="FF66CC"/>
              </a:solidFill>
              <a:ln>
                <a:noFill/>
              </a:ln>
              <a:effectLst/>
            </c:spPr>
            <c:extLst>
              <c:ext xmlns:c16="http://schemas.microsoft.com/office/drawing/2014/chart" uri="{C3380CC4-5D6E-409C-BE32-E72D297353CC}">
                <c16:uniqueId val="{00000005-AB45-4B43-B956-0165EFD2AC95}"/>
              </c:ext>
            </c:extLst>
          </c:dPt>
          <c:dPt>
            <c:idx val="6"/>
            <c:invertIfNegative val="0"/>
            <c:bubble3D val="0"/>
            <c:spPr>
              <a:solidFill>
                <a:schemeClr val="accent5"/>
              </a:solidFill>
              <a:ln>
                <a:noFill/>
              </a:ln>
              <a:effectLst/>
            </c:spPr>
            <c:extLst>
              <c:ext xmlns:c16="http://schemas.microsoft.com/office/drawing/2014/chart" uri="{C3380CC4-5D6E-409C-BE32-E72D297353CC}">
                <c16:uniqueId val="{00000007-AB45-4B43-B956-0165EFD2AC95}"/>
              </c:ext>
            </c:extLst>
          </c:dPt>
          <c:dPt>
            <c:idx val="9"/>
            <c:invertIfNegative val="0"/>
            <c:bubble3D val="0"/>
            <c:spPr>
              <a:solidFill>
                <a:srgbClr val="FF66CC"/>
              </a:solidFill>
              <a:ln>
                <a:noFill/>
              </a:ln>
              <a:effectLst/>
            </c:spPr>
            <c:extLst>
              <c:ext xmlns:c16="http://schemas.microsoft.com/office/drawing/2014/chart" uri="{C3380CC4-5D6E-409C-BE32-E72D297353CC}">
                <c16:uniqueId val="{00000009-AB45-4B43-B956-0165EFD2AC95}"/>
              </c:ext>
            </c:extLst>
          </c:dPt>
          <c:dPt>
            <c:idx val="10"/>
            <c:invertIfNegative val="0"/>
            <c:bubble3D val="0"/>
            <c:spPr>
              <a:solidFill>
                <a:schemeClr val="accent5"/>
              </a:solidFill>
              <a:ln>
                <a:noFill/>
              </a:ln>
              <a:effectLst/>
            </c:spPr>
            <c:extLst>
              <c:ext xmlns:c16="http://schemas.microsoft.com/office/drawing/2014/chart" uri="{C3380CC4-5D6E-409C-BE32-E72D297353CC}">
                <c16:uniqueId val="{0000000B-AB45-4B43-B956-0165EFD2AC95}"/>
              </c:ext>
            </c:extLst>
          </c:dPt>
          <c:dPt>
            <c:idx val="13"/>
            <c:invertIfNegative val="0"/>
            <c:bubble3D val="0"/>
            <c:spPr>
              <a:solidFill>
                <a:srgbClr val="FF66CC"/>
              </a:solidFill>
              <a:ln>
                <a:noFill/>
              </a:ln>
              <a:effectLst/>
            </c:spPr>
            <c:extLst>
              <c:ext xmlns:c16="http://schemas.microsoft.com/office/drawing/2014/chart" uri="{C3380CC4-5D6E-409C-BE32-E72D297353CC}">
                <c16:uniqueId val="{0000000D-AB45-4B43-B956-0165EFD2AC95}"/>
              </c:ext>
            </c:extLst>
          </c:dPt>
          <c:dPt>
            <c:idx val="14"/>
            <c:invertIfNegative val="0"/>
            <c:bubble3D val="0"/>
            <c:spPr>
              <a:solidFill>
                <a:schemeClr val="accent5"/>
              </a:solidFill>
              <a:ln>
                <a:noFill/>
              </a:ln>
              <a:effectLst/>
            </c:spPr>
            <c:extLst>
              <c:ext xmlns:c16="http://schemas.microsoft.com/office/drawing/2014/chart" uri="{C3380CC4-5D6E-409C-BE32-E72D297353CC}">
                <c16:uniqueId val="{0000000F-AB45-4B43-B956-0165EFD2AC95}"/>
              </c:ext>
            </c:extLst>
          </c:dPt>
          <c:dPt>
            <c:idx val="17"/>
            <c:invertIfNegative val="0"/>
            <c:bubble3D val="0"/>
            <c:spPr>
              <a:solidFill>
                <a:srgbClr val="FF66CC"/>
              </a:solidFill>
              <a:ln>
                <a:noFill/>
              </a:ln>
              <a:effectLst/>
            </c:spPr>
            <c:extLst>
              <c:ext xmlns:c16="http://schemas.microsoft.com/office/drawing/2014/chart" uri="{C3380CC4-5D6E-409C-BE32-E72D297353CC}">
                <c16:uniqueId val="{00000011-AB45-4B43-B956-0165EFD2AC95}"/>
              </c:ext>
            </c:extLst>
          </c:dPt>
          <c:dPt>
            <c:idx val="18"/>
            <c:invertIfNegative val="0"/>
            <c:bubble3D val="0"/>
            <c:spPr>
              <a:solidFill>
                <a:schemeClr val="accent5"/>
              </a:solidFill>
              <a:ln>
                <a:noFill/>
              </a:ln>
              <a:effectLst/>
            </c:spPr>
            <c:extLst>
              <c:ext xmlns:c16="http://schemas.microsoft.com/office/drawing/2014/chart" uri="{C3380CC4-5D6E-409C-BE32-E72D297353CC}">
                <c16:uniqueId val="{00000013-AB45-4B43-B956-0165EFD2AC95}"/>
              </c:ext>
            </c:extLst>
          </c:dPt>
          <c:dPt>
            <c:idx val="21"/>
            <c:invertIfNegative val="0"/>
            <c:bubble3D val="0"/>
            <c:spPr>
              <a:solidFill>
                <a:srgbClr val="FF66CC"/>
              </a:solidFill>
              <a:ln>
                <a:noFill/>
              </a:ln>
              <a:effectLst/>
            </c:spPr>
            <c:extLst>
              <c:ext xmlns:c16="http://schemas.microsoft.com/office/drawing/2014/chart" uri="{C3380CC4-5D6E-409C-BE32-E72D297353CC}">
                <c16:uniqueId val="{00000015-AB45-4B43-B956-0165EFD2AC95}"/>
              </c:ext>
            </c:extLst>
          </c:dPt>
          <c:dPt>
            <c:idx val="22"/>
            <c:invertIfNegative val="0"/>
            <c:bubble3D val="0"/>
            <c:spPr>
              <a:solidFill>
                <a:schemeClr val="accent5"/>
              </a:solidFill>
              <a:ln>
                <a:noFill/>
              </a:ln>
              <a:effectLst/>
            </c:spPr>
            <c:extLst>
              <c:ext xmlns:c16="http://schemas.microsoft.com/office/drawing/2014/chart" uri="{C3380CC4-5D6E-409C-BE32-E72D297353CC}">
                <c16:uniqueId val="{00000017-AB45-4B43-B956-0165EFD2AC95}"/>
              </c:ext>
            </c:extLst>
          </c:dPt>
          <c:dPt>
            <c:idx val="25"/>
            <c:invertIfNegative val="0"/>
            <c:bubble3D val="0"/>
            <c:spPr>
              <a:solidFill>
                <a:srgbClr val="FF66CC"/>
              </a:solidFill>
              <a:ln>
                <a:noFill/>
              </a:ln>
              <a:effectLst/>
            </c:spPr>
            <c:extLst>
              <c:ext xmlns:c16="http://schemas.microsoft.com/office/drawing/2014/chart" uri="{C3380CC4-5D6E-409C-BE32-E72D297353CC}">
                <c16:uniqueId val="{00000019-AB45-4B43-B956-0165EFD2AC95}"/>
              </c:ext>
            </c:extLst>
          </c:dPt>
          <c:dPt>
            <c:idx val="26"/>
            <c:invertIfNegative val="0"/>
            <c:bubble3D val="0"/>
            <c:spPr>
              <a:solidFill>
                <a:schemeClr val="accent5"/>
              </a:solidFill>
              <a:ln>
                <a:noFill/>
              </a:ln>
              <a:effectLst/>
            </c:spPr>
            <c:extLst>
              <c:ext xmlns:c16="http://schemas.microsoft.com/office/drawing/2014/chart" uri="{C3380CC4-5D6E-409C-BE32-E72D297353CC}">
                <c16:uniqueId val="{0000001B-AB45-4B43-B956-0165EFD2AC95}"/>
              </c:ext>
            </c:extLst>
          </c:dPt>
          <c:dPt>
            <c:idx val="29"/>
            <c:invertIfNegative val="0"/>
            <c:bubble3D val="0"/>
            <c:spPr>
              <a:solidFill>
                <a:srgbClr val="FF66CC"/>
              </a:solidFill>
              <a:ln>
                <a:noFill/>
              </a:ln>
              <a:effectLst/>
            </c:spPr>
            <c:extLst>
              <c:ext xmlns:c16="http://schemas.microsoft.com/office/drawing/2014/chart" uri="{C3380CC4-5D6E-409C-BE32-E72D297353CC}">
                <c16:uniqueId val="{0000001D-AB45-4B43-B956-0165EFD2AC95}"/>
              </c:ext>
            </c:extLst>
          </c:dPt>
          <c:dPt>
            <c:idx val="30"/>
            <c:invertIfNegative val="0"/>
            <c:bubble3D val="0"/>
            <c:spPr>
              <a:solidFill>
                <a:schemeClr val="accent5"/>
              </a:solidFill>
              <a:ln>
                <a:noFill/>
              </a:ln>
              <a:effectLst/>
            </c:spPr>
            <c:extLst>
              <c:ext xmlns:c16="http://schemas.microsoft.com/office/drawing/2014/chart" uri="{C3380CC4-5D6E-409C-BE32-E72D297353CC}">
                <c16:uniqueId val="{0000001F-AB45-4B43-B956-0165EFD2AC95}"/>
              </c:ext>
            </c:extLst>
          </c:dPt>
          <c:dPt>
            <c:idx val="33"/>
            <c:invertIfNegative val="0"/>
            <c:bubble3D val="0"/>
            <c:spPr>
              <a:solidFill>
                <a:srgbClr val="FF66CC"/>
              </a:solidFill>
              <a:ln>
                <a:noFill/>
              </a:ln>
              <a:effectLst/>
            </c:spPr>
            <c:extLst>
              <c:ext xmlns:c16="http://schemas.microsoft.com/office/drawing/2014/chart" uri="{C3380CC4-5D6E-409C-BE32-E72D297353CC}">
                <c16:uniqueId val="{00000021-AB45-4B43-B956-0165EFD2AC95}"/>
              </c:ext>
            </c:extLst>
          </c:dPt>
          <c:dPt>
            <c:idx val="34"/>
            <c:invertIfNegative val="0"/>
            <c:bubble3D val="0"/>
            <c:spPr>
              <a:solidFill>
                <a:schemeClr val="accent5"/>
              </a:solidFill>
              <a:ln>
                <a:noFill/>
              </a:ln>
              <a:effectLst/>
            </c:spPr>
            <c:extLst>
              <c:ext xmlns:c16="http://schemas.microsoft.com/office/drawing/2014/chart" uri="{C3380CC4-5D6E-409C-BE32-E72D297353CC}">
                <c16:uniqueId val="{00000023-AB45-4B43-B956-0165EFD2AC95}"/>
              </c:ext>
            </c:extLst>
          </c:dPt>
          <c:dPt>
            <c:idx val="37"/>
            <c:invertIfNegative val="0"/>
            <c:bubble3D val="0"/>
            <c:spPr>
              <a:solidFill>
                <a:srgbClr val="FF66CC"/>
              </a:solidFill>
              <a:ln>
                <a:noFill/>
              </a:ln>
              <a:effectLst/>
            </c:spPr>
            <c:extLst>
              <c:ext xmlns:c16="http://schemas.microsoft.com/office/drawing/2014/chart" uri="{C3380CC4-5D6E-409C-BE32-E72D297353CC}">
                <c16:uniqueId val="{00000025-AB45-4B43-B956-0165EFD2AC95}"/>
              </c:ext>
            </c:extLst>
          </c:dPt>
          <c:dPt>
            <c:idx val="38"/>
            <c:invertIfNegative val="0"/>
            <c:bubble3D val="0"/>
            <c:spPr>
              <a:solidFill>
                <a:schemeClr val="accent5"/>
              </a:solidFill>
              <a:ln>
                <a:noFill/>
              </a:ln>
              <a:effectLst/>
            </c:spPr>
            <c:extLst>
              <c:ext xmlns:c16="http://schemas.microsoft.com/office/drawing/2014/chart" uri="{C3380CC4-5D6E-409C-BE32-E72D297353CC}">
                <c16:uniqueId val="{00000027-AB45-4B43-B956-0165EFD2AC95}"/>
              </c:ext>
            </c:extLst>
          </c:dPt>
          <c:dPt>
            <c:idx val="41"/>
            <c:invertIfNegative val="0"/>
            <c:bubble3D val="0"/>
            <c:spPr>
              <a:solidFill>
                <a:srgbClr val="FF66CC"/>
              </a:solidFill>
              <a:ln>
                <a:noFill/>
              </a:ln>
              <a:effectLst/>
            </c:spPr>
            <c:extLst>
              <c:ext xmlns:c16="http://schemas.microsoft.com/office/drawing/2014/chart" uri="{C3380CC4-5D6E-409C-BE32-E72D297353CC}">
                <c16:uniqueId val="{00000029-AB45-4B43-B956-0165EFD2AC95}"/>
              </c:ext>
            </c:extLst>
          </c:dPt>
          <c:dPt>
            <c:idx val="42"/>
            <c:invertIfNegative val="0"/>
            <c:bubble3D val="0"/>
            <c:spPr>
              <a:solidFill>
                <a:schemeClr val="accent5"/>
              </a:solidFill>
              <a:ln>
                <a:noFill/>
              </a:ln>
              <a:effectLst/>
            </c:spPr>
            <c:extLst>
              <c:ext xmlns:c16="http://schemas.microsoft.com/office/drawing/2014/chart" uri="{C3380CC4-5D6E-409C-BE32-E72D297353CC}">
                <c16:uniqueId val="{0000002B-AB45-4B43-B956-0165EFD2AC95}"/>
              </c:ext>
            </c:extLst>
          </c:dPt>
          <c:dPt>
            <c:idx val="45"/>
            <c:invertIfNegative val="0"/>
            <c:bubble3D val="0"/>
            <c:spPr>
              <a:solidFill>
                <a:srgbClr val="FF66CC"/>
              </a:solidFill>
              <a:ln>
                <a:noFill/>
              </a:ln>
              <a:effectLst/>
            </c:spPr>
            <c:extLst>
              <c:ext xmlns:c16="http://schemas.microsoft.com/office/drawing/2014/chart" uri="{C3380CC4-5D6E-409C-BE32-E72D297353CC}">
                <c16:uniqueId val="{0000002D-AB45-4B43-B956-0165EFD2AC95}"/>
              </c:ext>
            </c:extLst>
          </c:dPt>
          <c:dPt>
            <c:idx val="46"/>
            <c:invertIfNegative val="0"/>
            <c:bubble3D val="0"/>
            <c:spPr>
              <a:solidFill>
                <a:schemeClr val="accent5"/>
              </a:solidFill>
              <a:ln>
                <a:noFill/>
              </a:ln>
              <a:effectLst/>
            </c:spPr>
            <c:extLst>
              <c:ext xmlns:c16="http://schemas.microsoft.com/office/drawing/2014/chart" uri="{C3380CC4-5D6E-409C-BE32-E72D297353CC}">
                <c16:uniqueId val="{0000002F-AB45-4B43-B956-0165EFD2AC95}"/>
              </c:ext>
            </c:extLst>
          </c:dPt>
          <c:cat>
            <c:numRef>
              <c:f>Calculations!$D$55:$D$102</c:f>
              <c:numCache>
                <c:formatCode>mmm</c:formatCode>
                <c:ptCount val="48"/>
                <c:pt idx="0">
                  <c:v>44562</c:v>
                </c:pt>
                <c:pt idx="4">
                  <c:v>44593</c:v>
                </c:pt>
                <c:pt idx="8">
                  <c:v>44621</c:v>
                </c:pt>
                <c:pt idx="12">
                  <c:v>44652</c:v>
                </c:pt>
                <c:pt idx="16">
                  <c:v>44682</c:v>
                </c:pt>
                <c:pt idx="20">
                  <c:v>44713</c:v>
                </c:pt>
                <c:pt idx="24">
                  <c:v>44743</c:v>
                </c:pt>
                <c:pt idx="28">
                  <c:v>44774</c:v>
                </c:pt>
                <c:pt idx="32">
                  <c:v>44805</c:v>
                </c:pt>
                <c:pt idx="36">
                  <c:v>44835</c:v>
                </c:pt>
                <c:pt idx="40">
                  <c:v>44866</c:v>
                </c:pt>
                <c:pt idx="44">
                  <c:v>44896</c:v>
                </c:pt>
              </c:numCache>
            </c:numRef>
          </c:cat>
          <c:val>
            <c:numRef>
              <c:f>Calculations!$M$55:$M$102</c:f>
              <c:numCache>
                <c:formatCode>_-* #,##0_-;\-* #,##0_-;_-* "-"??_-;_-@_-</c:formatCode>
                <c:ptCount val="48"/>
                <c:pt idx="0">
                  <c:v>4650</c:v>
                </c:pt>
                <c:pt idx="1">
                  <c:v>2800</c:v>
                </c:pt>
                <c:pt idx="2">
                  <c:v>1750</c:v>
                </c:pt>
                <c:pt idx="4">
                  <c:v>4050</c:v>
                </c:pt>
                <c:pt idx="5">
                  <c:v>2900</c:v>
                </c:pt>
                <c:pt idx="6">
                  <c:v>1040</c:v>
                </c:pt>
                <c:pt idx="8">
                  <c:v>4600</c:v>
                </c:pt>
                <c:pt idx="9">
                  <c:v>2080</c:v>
                </c:pt>
                <c:pt idx="10">
                  <c:v>0</c:v>
                </c:pt>
                <c:pt idx="12">
                  <c:v>0</c:v>
                </c:pt>
                <c:pt idx="13">
                  <c:v>0</c:v>
                </c:pt>
                <c:pt idx="14">
                  <c:v>0</c:v>
                </c:pt>
                <c:pt idx="16">
                  <c:v>0</c:v>
                </c:pt>
                <c:pt idx="17">
                  <c:v>0</c:v>
                </c:pt>
                <c:pt idx="18">
                  <c:v>0</c:v>
                </c:pt>
                <c:pt idx="20">
                  <c:v>0</c:v>
                </c:pt>
                <c:pt idx="21">
                  <c:v>0</c:v>
                </c:pt>
                <c:pt idx="22">
                  <c:v>0</c:v>
                </c:pt>
                <c:pt idx="24">
                  <c:v>0</c:v>
                </c:pt>
                <c:pt idx="25">
                  <c:v>0</c:v>
                </c:pt>
                <c:pt idx="26">
                  <c:v>0</c:v>
                </c:pt>
                <c:pt idx="28">
                  <c:v>0</c:v>
                </c:pt>
                <c:pt idx="29">
                  <c:v>0</c:v>
                </c:pt>
                <c:pt idx="30">
                  <c:v>0</c:v>
                </c:pt>
                <c:pt idx="32">
                  <c:v>0</c:v>
                </c:pt>
                <c:pt idx="33">
                  <c:v>0</c:v>
                </c:pt>
                <c:pt idx="34">
                  <c:v>0</c:v>
                </c:pt>
                <c:pt idx="36">
                  <c:v>0</c:v>
                </c:pt>
                <c:pt idx="37">
                  <c:v>0</c:v>
                </c:pt>
                <c:pt idx="38">
                  <c:v>0</c:v>
                </c:pt>
                <c:pt idx="40">
                  <c:v>0</c:v>
                </c:pt>
                <c:pt idx="41">
                  <c:v>0</c:v>
                </c:pt>
                <c:pt idx="42">
                  <c:v>0</c:v>
                </c:pt>
                <c:pt idx="44">
                  <c:v>0</c:v>
                </c:pt>
                <c:pt idx="45">
                  <c:v>0</c:v>
                </c:pt>
                <c:pt idx="46">
                  <c:v>0</c:v>
                </c:pt>
              </c:numCache>
            </c:numRef>
          </c:val>
          <c:extLst>
            <c:ext xmlns:c16="http://schemas.microsoft.com/office/drawing/2014/chart" uri="{C3380CC4-5D6E-409C-BE32-E72D297353CC}">
              <c16:uniqueId val="{00000030-AB45-4B43-B956-0165EFD2AC95}"/>
            </c:ext>
          </c:extLst>
        </c:ser>
        <c:ser>
          <c:idx val="1"/>
          <c:order val="1"/>
          <c:spPr>
            <a:solidFill>
              <a:schemeClr val="accent6">
                <a:lumMod val="20000"/>
                <a:lumOff val="80000"/>
              </a:schemeClr>
            </a:solidFill>
            <a:ln>
              <a:noFill/>
            </a:ln>
            <a:effectLst/>
          </c:spPr>
          <c:invertIfNegative val="0"/>
          <c:dPt>
            <c:idx val="1"/>
            <c:invertIfNegative val="0"/>
            <c:bubble3D val="0"/>
            <c:spPr>
              <a:solidFill>
                <a:srgbClr val="FFCCFF"/>
              </a:solidFill>
              <a:ln>
                <a:noFill/>
              </a:ln>
              <a:effectLst/>
            </c:spPr>
            <c:extLst>
              <c:ext xmlns:c16="http://schemas.microsoft.com/office/drawing/2014/chart" uri="{C3380CC4-5D6E-409C-BE32-E72D297353CC}">
                <c16:uniqueId val="{00000032-AB45-4B43-B956-0165EFD2AC95}"/>
              </c:ext>
            </c:extLst>
          </c:dPt>
          <c:dPt>
            <c:idx val="2"/>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34-AB45-4B43-B956-0165EFD2AC95}"/>
              </c:ext>
            </c:extLst>
          </c:dPt>
          <c:dPt>
            <c:idx val="5"/>
            <c:invertIfNegative val="0"/>
            <c:bubble3D val="0"/>
            <c:spPr>
              <a:solidFill>
                <a:srgbClr val="FFCCFF"/>
              </a:solidFill>
              <a:ln>
                <a:noFill/>
              </a:ln>
              <a:effectLst/>
            </c:spPr>
            <c:extLst>
              <c:ext xmlns:c16="http://schemas.microsoft.com/office/drawing/2014/chart" uri="{C3380CC4-5D6E-409C-BE32-E72D297353CC}">
                <c16:uniqueId val="{00000036-AB45-4B43-B956-0165EFD2AC95}"/>
              </c:ext>
            </c:extLst>
          </c:dPt>
          <c:dPt>
            <c:idx val="9"/>
            <c:invertIfNegative val="0"/>
            <c:bubble3D val="0"/>
            <c:spPr>
              <a:solidFill>
                <a:srgbClr val="FFCCFF"/>
              </a:solidFill>
              <a:ln>
                <a:noFill/>
              </a:ln>
              <a:effectLst/>
            </c:spPr>
            <c:extLst>
              <c:ext xmlns:c16="http://schemas.microsoft.com/office/drawing/2014/chart" uri="{C3380CC4-5D6E-409C-BE32-E72D297353CC}">
                <c16:uniqueId val="{00000038-AB45-4B43-B956-0165EFD2AC95}"/>
              </c:ext>
            </c:extLst>
          </c:dPt>
          <c:dPt>
            <c:idx val="1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3A-AB45-4B43-B956-0165EFD2AC95}"/>
              </c:ext>
            </c:extLst>
          </c:dPt>
          <c:dPt>
            <c:idx val="13"/>
            <c:invertIfNegative val="0"/>
            <c:bubble3D val="0"/>
            <c:spPr>
              <a:solidFill>
                <a:srgbClr val="FFCCFF"/>
              </a:solidFill>
              <a:ln>
                <a:noFill/>
              </a:ln>
              <a:effectLst/>
            </c:spPr>
            <c:extLst>
              <c:ext xmlns:c16="http://schemas.microsoft.com/office/drawing/2014/chart" uri="{C3380CC4-5D6E-409C-BE32-E72D297353CC}">
                <c16:uniqueId val="{0000003C-AB45-4B43-B956-0165EFD2AC95}"/>
              </c:ext>
            </c:extLst>
          </c:dPt>
          <c:dPt>
            <c:idx val="1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3E-AB45-4B43-B956-0165EFD2AC95}"/>
              </c:ext>
            </c:extLst>
          </c:dPt>
          <c:dPt>
            <c:idx val="17"/>
            <c:invertIfNegative val="0"/>
            <c:bubble3D val="0"/>
            <c:spPr>
              <a:solidFill>
                <a:srgbClr val="FFCCFF"/>
              </a:solidFill>
              <a:ln>
                <a:noFill/>
              </a:ln>
              <a:effectLst/>
            </c:spPr>
            <c:extLst>
              <c:ext xmlns:c16="http://schemas.microsoft.com/office/drawing/2014/chart" uri="{C3380CC4-5D6E-409C-BE32-E72D297353CC}">
                <c16:uniqueId val="{00000040-AB45-4B43-B956-0165EFD2AC95}"/>
              </c:ext>
            </c:extLst>
          </c:dPt>
          <c:dPt>
            <c:idx val="1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42-AB45-4B43-B956-0165EFD2AC95}"/>
              </c:ext>
            </c:extLst>
          </c:dPt>
          <c:dPt>
            <c:idx val="21"/>
            <c:invertIfNegative val="0"/>
            <c:bubble3D val="0"/>
            <c:spPr>
              <a:solidFill>
                <a:srgbClr val="FFCCFF"/>
              </a:solidFill>
              <a:ln>
                <a:noFill/>
              </a:ln>
              <a:effectLst/>
            </c:spPr>
            <c:extLst>
              <c:ext xmlns:c16="http://schemas.microsoft.com/office/drawing/2014/chart" uri="{C3380CC4-5D6E-409C-BE32-E72D297353CC}">
                <c16:uniqueId val="{00000044-AB45-4B43-B956-0165EFD2AC95}"/>
              </c:ext>
            </c:extLst>
          </c:dPt>
          <c:dPt>
            <c:idx val="22"/>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46-AB45-4B43-B956-0165EFD2AC95}"/>
              </c:ext>
            </c:extLst>
          </c:dPt>
          <c:dPt>
            <c:idx val="25"/>
            <c:invertIfNegative val="0"/>
            <c:bubble3D val="0"/>
            <c:spPr>
              <a:solidFill>
                <a:srgbClr val="FFCCFF"/>
              </a:solidFill>
              <a:ln>
                <a:noFill/>
              </a:ln>
              <a:effectLst/>
            </c:spPr>
            <c:extLst>
              <c:ext xmlns:c16="http://schemas.microsoft.com/office/drawing/2014/chart" uri="{C3380CC4-5D6E-409C-BE32-E72D297353CC}">
                <c16:uniqueId val="{00000048-AB45-4B43-B956-0165EFD2AC95}"/>
              </c:ext>
            </c:extLst>
          </c:dPt>
          <c:dPt>
            <c:idx val="2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4A-AB45-4B43-B956-0165EFD2AC95}"/>
              </c:ext>
            </c:extLst>
          </c:dPt>
          <c:dPt>
            <c:idx val="29"/>
            <c:invertIfNegative val="0"/>
            <c:bubble3D val="0"/>
            <c:spPr>
              <a:solidFill>
                <a:srgbClr val="FFCCFF"/>
              </a:solidFill>
              <a:ln>
                <a:noFill/>
              </a:ln>
              <a:effectLst/>
            </c:spPr>
            <c:extLst>
              <c:ext xmlns:c16="http://schemas.microsoft.com/office/drawing/2014/chart" uri="{C3380CC4-5D6E-409C-BE32-E72D297353CC}">
                <c16:uniqueId val="{0000004C-AB45-4B43-B956-0165EFD2AC95}"/>
              </c:ext>
            </c:extLst>
          </c:dPt>
          <c:dPt>
            <c:idx val="3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4E-AB45-4B43-B956-0165EFD2AC95}"/>
              </c:ext>
            </c:extLst>
          </c:dPt>
          <c:dPt>
            <c:idx val="33"/>
            <c:invertIfNegative val="0"/>
            <c:bubble3D val="0"/>
            <c:spPr>
              <a:solidFill>
                <a:srgbClr val="FFCCFF"/>
              </a:solidFill>
              <a:ln>
                <a:noFill/>
              </a:ln>
              <a:effectLst/>
            </c:spPr>
            <c:extLst>
              <c:ext xmlns:c16="http://schemas.microsoft.com/office/drawing/2014/chart" uri="{C3380CC4-5D6E-409C-BE32-E72D297353CC}">
                <c16:uniqueId val="{00000050-AB45-4B43-B956-0165EFD2AC95}"/>
              </c:ext>
            </c:extLst>
          </c:dPt>
          <c:dPt>
            <c:idx val="3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52-AB45-4B43-B956-0165EFD2AC95}"/>
              </c:ext>
            </c:extLst>
          </c:dPt>
          <c:dPt>
            <c:idx val="37"/>
            <c:invertIfNegative val="0"/>
            <c:bubble3D val="0"/>
            <c:spPr>
              <a:solidFill>
                <a:srgbClr val="FFCCFF"/>
              </a:solidFill>
              <a:ln>
                <a:noFill/>
              </a:ln>
              <a:effectLst/>
            </c:spPr>
            <c:extLst>
              <c:ext xmlns:c16="http://schemas.microsoft.com/office/drawing/2014/chart" uri="{C3380CC4-5D6E-409C-BE32-E72D297353CC}">
                <c16:uniqueId val="{00000054-AB45-4B43-B956-0165EFD2AC95}"/>
              </c:ext>
            </c:extLst>
          </c:dPt>
          <c:dPt>
            <c:idx val="3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56-AB45-4B43-B956-0165EFD2AC95}"/>
              </c:ext>
            </c:extLst>
          </c:dPt>
          <c:dPt>
            <c:idx val="41"/>
            <c:invertIfNegative val="0"/>
            <c:bubble3D val="0"/>
            <c:spPr>
              <a:solidFill>
                <a:srgbClr val="FFCCFF"/>
              </a:solidFill>
              <a:ln>
                <a:noFill/>
              </a:ln>
              <a:effectLst/>
            </c:spPr>
            <c:extLst>
              <c:ext xmlns:c16="http://schemas.microsoft.com/office/drawing/2014/chart" uri="{C3380CC4-5D6E-409C-BE32-E72D297353CC}">
                <c16:uniqueId val="{00000058-AB45-4B43-B956-0165EFD2AC95}"/>
              </c:ext>
            </c:extLst>
          </c:dPt>
          <c:dPt>
            <c:idx val="42"/>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5A-AB45-4B43-B956-0165EFD2AC95}"/>
              </c:ext>
            </c:extLst>
          </c:dPt>
          <c:dPt>
            <c:idx val="45"/>
            <c:invertIfNegative val="0"/>
            <c:bubble3D val="0"/>
            <c:spPr>
              <a:solidFill>
                <a:srgbClr val="FFCCFF"/>
              </a:solidFill>
              <a:ln>
                <a:noFill/>
              </a:ln>
              <a:effectLst/>
            </c:spPr>
            <c:extLst>
              <c:ext xmlns:c16="http://schemas.microsoft.com/office/drawing/2014/chart" uri="{C3380CC4-5D6E-409C-BE32-E72D297353CC}">
                <c16:uniqueId val="{0000005C-AB45-4B43-B956-0165EFD2AC95}"/>
              </c:ext>
            </c:extLst>
          </c:dPt>
          <c:dPt>
            <c:idx val="4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5E-AB45-4B43-B956-0165EFD2AC95}"/>
              </c:ext>
            </c:extLst>
          </c:dPt>
          <c:cat>
            <c:numRef>
              <c:f>Calculations!$D$55:$D$102</c:f>
              <c:numCache>
                <c:formatCode>mmm</c:formatCode>
                <c:ptCount val="48"/>
                <c:pt idx="0">
                  <c:v>44562</c:v>
                </c:pt>
                <c:pt idx="4">
                  <c:v>44593</c:v>
                </c:pt>
                <c:pt idx="8">
                  <c:v>44621</c:v>
                </c:pt>
                <c:pt idx="12">
                  <c:v>44652</c:v>
                </c:pt>
                <c:pt idx="16">
                  <c:v>44682</c:v>
                </c:pt>
                <c:pt idx="20">
                  <c:v>44713</c:v>
                </c:pt>
                <c:pt idx="24">
                  <c:v>44743</c:v>
                </c:pt>
                <c:pt idx="28">
                  <c:v>44774</c:v>
                </c:pt>
                <c:pt idx="32">
                  <c:v>44805</c:v>
                </c:pt>
                <c:pt idx="36">
                  <c:v>44835</c:v>
                </c:pt>
                <c:pt idx="40">
                  <c:v>44866</c:v>
                </c:pt>
                <c:pt idx="44">
                  <c:v>44896</c:v>
                </c:pt>
              </c:numCache>
            </c:numRef>
          </c:cat>
          <c:val>
            <c:numRef>
              <c:f>Calculations!$N$55:$N$102</c:f>
              <c:numCache>
                <c:formatCode>_-* #,##0_-;\-* #,##0_-;_-* "-"??_-;_-@_-</c:formatCode>
                <c:ptCount val="48"/>
                <c:pt idx="0">
                  <c:v>0</c:v>
                </c:pt>
                <c:pt idx="1">
                  <c:v>100</c:v>
                </c:pt>
                <c:pt idx="2">
                  <c:v>0</c:v>
                </c:pt>
                <c:pt idx="4">
                  <c:v>500</c:v>
                </c:pt>
                <c:pt idx="5">
                  <c:v>0</c:v>
                </c:pt>
                <c:pt idx="6">
                  <c:v>610</c:v>
                </c:pt>
                <c:pt idx="8">
                  <c:v>0</c:v>
                </c:pt>
                <c:pt idx="9">
                  <c:v>970</c:v>
                </c:pt>
                <c:pt idx="10">
                  <c:v>1550</c:v>
                </c:pt>
                <c:pt idx="12">
                  <c:v>5650</c:v>
                </c:pt>
                <c:pt idx="13">
                  <c:v>3800</c:v>
                </c:pt>
                <c:pt idx="14">
                  <c:v>1850</c:v>
                </c:pt>
                <c:pt idx="16">
                  <c:v>5550</c:v>
                </c:pt>
                <c:pt idx="17">
                  <c:v>2900</c:v>
                </c:pt>
                <c:pt idx="18">
                  <c:v>2650</c:v>
                </c:pt>
                <c:pt idx="20">
                  <c:v>5600</c:v>
                </c:pt>
                <c:pt idx="21">
                  <c:v>3050</c:v>
                </c:pt>
                <c:pt idx="22">
                  <c:v>2550</c:v>
                </c:pt>
                <c:pt idx="24">
                  <c:v>5650</c:v>
                </c:pt>
                <c:pt idx="25">
                  <c:v>2900</c:v>
                </c:pt>
                <c:pt idx="26">
                  <c:v>2750</c:v>
                </c:pt>
                <c:pt idx="28">
                  <c:v>5550</c:v>
                </c:pt>
                <c:pt idx="29">
                  <c:v>4100</c:v>
                </c:pt>
                <c:pt idx="30">
                  <c:v>1450</c:v>
                </c:pt>
                <c:pt idx="32">
                  <c:v>5600</c:v>
                </c:pt>
                <c:pt idx="33">
                  <c:v>3050</c:v>
                </c:pt>
                <c:pt idx="34">
                  <c:v>2550</c:v>
                </c:pt>
                <c:pt idx="36">
                  <c:v>5650</c:v>
                </c:pt>
                <c:pt idx="37">
                  <c:v>2900</c:v>
                </c:pt>
                <c:pt idx="38">
                  <c:v>2750</c:v>
                </c:pt>
                <c:pt idx="40">
                  <c:v>5550</c:v>
                </c:pt>
                <c:pt idx="41">
                  <c:v>2900</c:v>
                </c:pt>
                <c:pt idx="42">
                  <c:v>2650</c:v>
                </c:pt>
                <c:pt idx="44">
                  <c:v>5600</c:v>
                </c:pt>
                <c:pt idx="45">
                  <c:v>3350</c:v>
                </c:pt>
                <c:pt idx="46">
                  <c:v>2250</c:v>
                </c:pt>
              </c:numCache>
            </c:numRef>
          </c:val>
          <c:extLst>
            <c:ext xmlns:c16="http://schemas.microsoft.com/office/drawing/2014/chart" uri="{C3380CC4-5D6E-409C-BE32-E72D297353CC}">
              <c16:uniqueId val="{0000005F-AB45-4B43-B956-0165EFD2AC95}"/>
            </c:ext>
          </c:extLst>
        </c:ser>
        <c:ser>
          <c:idx val="2"/>
          <c:order val="2"/>
          <c:spPr>
            <a:solidFill>
              <a:schemeClr val="accent6">
                <a:lumMod val="75000"/>
              </a:schemeClr>
            </a:solidFill>
            <a:ln>
              <a:noFill/>
            </a:ln>
            <a:effectLst/>
          </c:spPr>
          <c:invertIfNegative val="0"/>
          <c:dPt>
            <c:idx val="1"/>
            <c:invertIfNegative val="0"/>
            <c:bubble3D val="0"/>
            <c:spPr>
              <a:solidFill>
                <a:srgbClr val="FF0066"/>
              </a:solidFill>
              <a:ln>
                <a:noFill/>
              </a:ln>
              <a:effectLst/>
            </c:spPr>
            <c:extLst>
              <c:ext xmlns:c16="http://schemas.microsoft.com/office/drawing/2014/chart" uri="{C3380CC4-5D6E-409C-BE32-E72D297353CC}">
                <c16:uniqueId val="{00000061-AB45-4B43-B956-0165EFD2AC95}"/>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63-AB45-4B43-B956-0165EFD2AC95}"/>
              </c:ext>
            </c:extLst>
          </c:dPt>
          <c:dPt>
            <c:idx val="5"/>
            <c:invertIfNegative val="0"/>
            <c:bubble3D val="0"/>
            <c:spPr>
              <a:solidFill>
                <a:srgbClr val="FF0066"/>
              </a:solidFill>
              <a:ln>
                <a:noFill/>
              </a:ln>
              <a:effectLst/>
            </c:spPr>
            <c:extLst>
              <c:ext xmlns:c16="http://schemas.microsoft.com/office/drawing/2014/chart" uri="{C3380CC4-5D6E-409C-BE32-E72D297353CC}">
                <c16:uniqueId val="{00000065-AB45-4B43-B956-0165EFD2AC95}"/>
              </c:ext>
            </c:extLst>
          </c:dPt>
          <c:dPt>
            <c:idx val="6"/>
            <c:invertIfNegative val="0"/>
            <c:bubble3D val="0"/>
            <c:spPr>
              <a:solidFill>
                <a:schemeClr val="accent5">
                  <a:lumMod val="75000"/>
                </a:schemeClr>
              </a:solidFill>
              <a:ln>
                <a:noFill/>
              </a:ln>
              <a:effectLst/>
            </c:spPr>
            <c:extLst>
              <c:ext xmlns:c16="http://schemas.microsoft.com/office/drawing/2014/chart" uri="{C3380CC4-5D6E-409C-BE32-E72D297353CC}">
                <c16:uniqueId val="{00000067-AB45-4B43-B956-0165EFD2AC95}"/>
              </c:ext>
            </c:extLst>
          </c:dPt>
          <c:dPt>
            <c:idx val="9"/>
            <c:invertIfNegative val="0"/>
            <c:bubble3D val="0"/>
            <c:spPr>
              <a:solidFill>
                <a:srgbClr val="FF0066"/>
              </a:solidFill>
              <a:ln>
                <a:noFill/>
              </a:ln>
              <a:effectLst/>
            </c:spPr>
            <c:extLst>
              <c:ext xmlns:c16="http://schemas.microsoft.com/office/drawing/2014/chart" uri="{C3380CC4-5D6E-409C-BE32-E72D297353CC}">
                <c16:uniqueId val="{00000069-AB45-4B43-B956-0165EFD2AC95}"/>
              </c:ext>
            </c:extLst>
          </c:dPt>
          <c:dPt>
            <c:idx val="10"/>
            <c:invertIfNegative val="0"/>
            <c:bubble3D val="0"/>
            <c:spPr>
              <a:solidFill>
                <a:schemeClr val="accent5">
                  <a:lumMod val="75000"/>
                </a:schemeClr>
              </a:solidFill>
              <a:ln>
                <a:noFill/>
              </a:ln>
              <a:effectLst/>
            </c:spPr>
            <c:extLst>
              <c:ext xmlns:c16="http://schemas.microsoft.com/office/drawing/2014/chart" uri="{C3380CC4-5D6E-409C-BE32-E72D297353CC}">
                <c16:uniqueId val="{0000006B-AB45-4B43-B956-0165EFD2AC95}"/>
              </c:ext>
            </c:extLst>
          </c:dPt>
          <c:dPt>
            <c:idx val="13"/>
            <c:invertIfNegative val="0"/>
            <c:bubble3D val="0"/>
            <c:spPr>
              <a:solidFill>
                <a:srgbClr val="FF0066"/>
              </a:solidFill>
              <a:ln>
                <a:noFill/>
              </a:ln>
              <a:effectLst/>
            </c:spPr>
            <c:extLst>
              <c:ext xmlns:c16="http://schemas.microsoft.com/office/drawing/2014/chart" uri="{C3380CC4-5D6E-409C-BE32-E72D297353CC}">
                <c16:uniqueId val="{0000006D-AB45-4B43-B956-0165EFD2AC95}"/>
              </c:ext>
            </c:extLst>
          </c:dPt>
          <c:dPt>
            <c:idx val="14"/>
            <c:invertIfNegative val="0"/>
            <c:bubble3D val="0"/>
            <c:spPr>
              <a:solidFill>
                <a:schemeClr val="accent5">
                  <a:lumMod val="75000"/>
                </a:schemeClr>
              </a:solidFill>
              <a:ln>
                <a:noFill/>
              </a:ln>
              <a:effectLst/>
            </c:spPr>
            <c:extLst>
              <c:ext xmlns:c16="http://schemas.microsoft.com/office/drawing/2014/chart" uri="{C3380CC4-5D6E-409C-BE32-E72D297353CC}">
                <c16:uniqueId val="{0000006F-AB45-4B43-B956-0165EFD2AC95}"/>
              </c:ext>
            </c:extLst>
          </c:dPt>
          <c:dPt>
            <c:idx val="17"/>
            <c:invertIfNegative val="0"/>
            <c:bubble3D val="0"/>
            <c:spPr>
              <a:solidFill>
                <a:srgbClr val="FF0066"/>
              </a:solidFill>
              <a:ln>
                <a:noFill/>
              </a:ln>
              <a:effectLst/>
            </c:spPr>
            <c:extLst>
              <c:ext xmlns:c16="http://schemas.microsoft.com/office/drawing/2014/chart" uri="{C3380CC4-5D6E-409C-BE32-E72D297353CC}">
                <c16:uniqueId val="{00000071-AB45-4B43-B956-0165EFD2AC95}"/>
              </c:ext>
            </c:extLst>
          </c:dPt>
          <c:dPt>
            <c:idx val="18"/>
            <c:invertIfNegative val="0"/>
            <c:bubble3D val="0"/>
            <c:spPr>
              <a:solidFill>
                <a:schemeClr val="accent5">
                  <a:lumMod val="75000"/>
                </a:schemeClr>
              </a:solidFill>
              <a:ln>
                <a:noFill/>
              </a:ln>
              <a:effectLst/>
            </c:spPr>
            <c:extLst>
              <c:ext xmlns:c16="http://schemas.microsoft.com/office/drawing/2014/chart" uri="{C3380CC4-5D6E-409C-BE32-E72D297353CC}">
                <c16:uniqueId val="{00000073-AB45-4B43-B956-0165EFD2AC95}"/>
              </c:ext>
            </c:extLst>
          </c:dPt>
          <c:dPt>
            <c:idx val="21"/>
            <c:invertIfNegative val="0"/>
            <c:bubble3D val="0"/>
            <c:spPr>
              <a:solidFill>
                <a:srgbClr val="FF0066"/>
              </a:solidFill>
              <a:ln>
                <a:noFill/>
              </a:ln>
              <a:effectLst/>
            </c:spPr>
            <c:extLst>
              <c:ext xmlns:c16="http://schemas.microsoft.com/office/drawing/2014/chart" uri="{C3380CC4-5D6E-409C-BE32-E72D297353CC}">
                <c16:uniqueId val="{00000075-AB45-4B43-B956-0165EFD2AC95}"/>
              </c:ext>
            </c:extLst>
          </c:dPt>
          <c:dPt>
            <c:idx val="22"/>
            <c:invertIfNegative val="0"/>
            <c:bubble3D val="0"/>
            <c:spPr>
              <a:solidFill>
                <a:schemeClr val="accent5">
                  <a:lumMod val="75000"/>
                </a:schemeClr>
              </a:solidFill>
              <a:ln>
                <a:noFill/>
              </a:ln>
              <a:effectLst/>
            </c:spPr>
            <c:extLst>
              <c:ext xmlns:c16="http://schemas.microsoft.com/office/drawing/2014/chart" uri="{C3380CC4-5D6E-409C-BE32-E72D297353CC}">
                <c16:uniqueId val="{00000077-AB45-4B43-B956-0165EFD2AC95}"/>
              </c:ext>
            </c:extLst>
          </c:dPt>
          <c:dPt>
            <c:idx val="25"/>
            <c:invertIfNegative val="0"/>
            <c:bubble3D val="0"/>
            <c:spPr>
              <a:solidFill>
                <a:srgbClr val="FF0066"/>
              </a:solidFill>
              <a:ln>
                <a:noFill/>
              </a:ln>
              <a:effectLst/>
            </c:spPr>
            <c:extLst>
              <c:ext xmlns:c16="http://schemas.microsoft.com/office/drawing/2014/chart" uri="{C3380CC4-5D6E-409C-BE32-E72D297353CC}">
                <c16:uniqueId val="{00000079-AB45-4B43-B956-0165EFD2AC95}"/>
              </c:ext>
            </c:extLst>
          </c:dPt>
          <c:dPt>
            <c:idx val="26"/>
            <c:invertIfNegative val="0"/>
            <c:bubble3D val="0"/>
            <c:spPr>
              <a:solidFill>
                <a:schemeClr val="accent5">
                  <a:lumMod val="75000"/>
                </a:schemeClr>
              </a:solidFill>
              <a:ln>
                <a:noFill/>
              </a:ln>
              <a:effectLst/>
            </c:spPr>
            <c:extLst>
              <c:ext xmlns:c16="http://schemas.microsoft.com/office/drawing/2014/chart" uri="{C3380CC4-5D6E-409C-BE32-E72D297353CC}">
                <c16:uniqueId val="{0000007B-AB45-4B43-B956-0165EFD2AC95}"/>
              </c:ext>
            </c:extLst>
          </c:dPt>
          <c:dPt>
            <c:idx val="29"/>
            <c:invertIfNegative val="0"/>
            <c:bubble3D val="0"/>
            <c:spPr>
              <a:solidFill>
                <a:srgbClr val="FF0066"/>
              </a:solidFill>
              <a:ln>
                <a:noFill/>
              </a:ln>
              <a:effectLst/>
            </c:spPr>
            <c:extLst>
              <c:ext xmlns:c16="http://schemas.microsoft.com/office/drawing/2014/chart" uri="{C3380CC4-5D6E-409C-BE32-E72D297353CC}">
                <c16:uniqueId val="{0000007D-AB45-4B43-B956-0165EFD2AC95}"/>
              </c:ext>
            </c:extLst>
          </c:dPt>
          <c:dPt>
            <c:idx val="30"/>
            <c:invertIfNegative val="0"/>
            <c:bubble3D val="0"/>
            <c:spPr>
              <a:solidFill>
                <a:schemeClr val="accent5">
                  <a:lumMod val="75000"/>
                </a:schemeClr>
              </a:solidFill>
              <a:ln>
                <a:noFill/>
              </a:ln>
              <a:effectLst/>
            </c:spPr>
            <c:extLst>
              <c:ext xmlns:c16="http://schemas.microsoft.com/office/drawing/2014/chart" uri="{C3380CC4-5D6E-409C-BE32-E72D297353CC}">
                <c16:uniqueId val="{0000007F-AB45-4B43-B956-0165EFD2AC95}"/>
              </c:ext>
            </c:extLst>
          </c:dPt>
          <c:dPt>
            <c:idx val="33"/>
            <c:invertIfNegative val="0"/>
            <c:bubble3D val="0"/>
            <c:spPr>
              <a:solidFill>
                <a:srgbClr val="FF0066"/>
              </a:solidFill>
              <a:ln>
                <a:noFill/>
              </a:ln>
              <a:effectLst/>
            </c:spPr>
            <c:extLst>
              <c:ext xmlns:c16="http://schemas.microsoft.com/office/drawing/2014/chart" uri="{C3380CC4-5D6E-409C-BE32-E72D297353CC}">
                <c16:uniqueId val="{00000081-AB45-4B43-B956-0165EFD2AC95}"/>
              </c:ext>
            </c:extLst>
          </c:dPt>
          <c:dPt>
            <c:idx val="34"/>
            <c:invertIfNegative val="0"/>
            <c:bubble3D val="0"/>
            <c:spPr>
              <a:solidFill>
                <a:schemeClr val="accent5">
                  <a:lumMod val="75000"/>
                </a:schemeClr>
              </a:solidFill>
              <a:ln>
                <a:noFill/>
              </a:ln>
              <a:effectLst/>
            </c:spPr>
            <c:extLst>
              <c:ext xmlns:c16="http://schemas.microsoft.com/office/drawing/2014/chart" uri="{C3380CC4-5D6E-409C-BE32-E72D297353CC}">
                <c16:uniqueId val="{00000083-AB45-4B43-B956-0165EFD2AC95}"/>
              </c:ext>
            </c:extLst>
          </c:dPt>
          <c:dPt>
            <c:idx val="37"/>
            <c:invertIfNegative val="0"/>
            <c:bubble3D val="0"/>
            <c:spPr>
              <a:solidFill>
                <a:srgbClr val="FF0066"/>
              </a:solidFill>
              <a:ln>
                <a:noFill/>
              </a:ln>
              <a:effectLst/>
            </c:spPr>
            <c:extLst>
              <c:ext xmlns:c16="http://schemas.microsoft.com/office/drawing/2014/chart" uri="{C3380CC4-5D6E-409C-BE32-E72D297353CC}">
                <c16:uniqueId val="{00000085-AB45-4B43-B956-0165EFD2AC95}"/>
              </c:ext>
            </c:extLst>
          </c:dPt>
          <c:dPt>
            <c:idx val="38"/>
            <c:invertIfNegative val="0"/>
            <c:bubble3D val="0"/>
            <c:spPr>
              <a:solidFill>
                <a:schemeClr val="accent5">
                  <a:lumMod val="75000"/>
                </a:schemeClr>
              </a:solidFill>
              <a:ln>
                <a:noFill/>
              </a:ln>
              <a:effectLst/>
            </c:spPr>
            <c:extLst>
              <c:ext xmlns:c16="http://schemas.microsoft.com/office/drawing/2014/chart" uri="{C3380CC4-5D6E-409C-BE32-E72D297353CC}">
                <c16:uniqueId val="{00000087-AB45-4B43-B956-0165EFD2AC95}"/>
              </c:ext>
            </c:extLst>
          </c:dPt>
          <c:dPt>
            <c:idx val="41"/>
            <c:invertIfNegative val="0"/>
            <c:bubble3D val="0"/>
            <c:spPr>
              <a:solidFill>
                <a:srgbClr val="FF0066"/>
              </a:solidFill>
              <a:ln>
                <a:noFill/>
              </a:ln>
              <a:effectLst/>
            </c:spPr>
            <c:extLst>
              <c:ext xmlns:c16="http://schemas.microsoft.com/office/drawing/2014/chart" uri="{C3380CC4-5D6E-409C-BE32-E72D297353CC}">
                <c16:uniqueId val="{00000089-AB45-4B43-B956-0165EFD2AC95}"/>
              </c:ext>
            </c:extLst>
          </c:dPt>
          <c:dPt>
            <c:idx val="42"/>
            <c:invertIfNegative val="0"/>
            <c:bubble3D val="0"/>
            <c:spPr>
              <a:solidFill>
                <a:schemeClr val="accent5">
                  <a:lumMod val="75000"/>
                </a:schemeClr>
              </a:solidFill>
              <a:ln>
                <a:noFill/>
              </a:ln>
              <a:effectLst/>
            </c:spPr>
            <c:extLst>
              <c:ext xmlns:c16="http://schemas.microsoft.com/office/drawing/2014/chart" uri="{C3380CC4-5D6E-409C-BE32-E72D297353CC}">
                <c16:uniqueId val="{0000008B-AB45-4B43-B956-0165EFD2AC95}"/>
              </c:ext>
            </c:extLst>
          </c:dPt>
          <c:dPt>
            <c:idx val="45"/>
            <c:invertIfNegative val="0"/>
            <c:bubble3D val="0"/>
            <c:spPr>
              <a:solidFill>
                <a:srgbClr val="FF0066"/>
              </a:solidFill>
              <a:ln>
                <a:noFill/>
              </a:ln>
              <a:effectLst/>
            </c:spPr>
            <c:extLst>
              <c:ext xmlns:c16="http://schemas.microsoft.com/office/drawing/2014/chart" uri="{C3380CC4-5D6E-409C-BE32-E72D297353CC}">
                <c16:uniqueId val="{0000008D-AB45-4B43-B956-0165EFD2AC95}"/>
              </c:ext>
            </c:extLst>
          </c:dPt>
          <c:dPt>
            <c:idx val="46"/>
            <c:invertIfNegative val="0"/>
            <c:bubble3D val="0"/>
            <c:spPr>
              <a:solidFill>
                <a:schemeClr val="accent5">
                  <a:lumMod val="75000"/>
                </a:schemeClr>
              </a:solidFill>
              <a:ln>
                <a:noFill/>
              </a:ln>
              <a:effectLst/>
            </c:spPr>
            <c:extLst>
              <c:ext xmlns:c16="http://schemas.microsoft.com/office/drawing/2014/chart" uri="{C3380CC4-5D6E-409C-BE32-E72D297353CC}">
                <c16:uniqueId val="{0000008F-AB45-4B43-B956-0165EFD2AC95}"/>
              </c:ext>
            </c:extLst>
          </c:dPt>
          <c:cat>
            <c:numRef>
              <c:f>Calculations!$D$55:$D$102</c:f>
              <c:numCache>
                <c:formatCode>mmm</c:formatCode>
                <c:ptCount val="48"/>
                <c:pt idx="0">
                  <c:v>44562</c:v>
                </c:pt>
                <c:pt idx="4">
                  <c:v>44593</c:v>
                </c:pt>
                <c:pt idx="8">
                  <c:v>44621</c:v>
                </c:pt>
                <c:pt idx="12">
                  <c:v>44652</c:v>
                </c:pt>
                <c:pt idx="16">
                  <c:v>44682</c:v>
                </c:pt>
                <c:pt idx="20">
                  <c:v>44713</c:v>
                </c:pt>
                <c:pt idx="24">
                  <c:v>44743</c:v>
                </c:pt>
                <c:pt idx="28">
                  <c:v>44774</c:v>
                </c:pt>
                <c:pt idx="32">
                  <c:v>44805</c:v>
                </c:pt>
                <c:pt idx="36">
                  <c:v>44835</c:v>
                </c:pt>
                <c:pt idx="40">
                  <c:v>44866</c:v>
                </c:pt>
                <c:pt idx="44">
                  <c:v>44896</c:v>
                </c:pt>
              </c:numCache>
            </c:numRef>
          </c:cat>
          <c:val>
            <c:numRef>
              <c:f>Calculations!$O$55:$O$102</c:f>
              <c:numCache>
                <c:formatCode>_-* #,##0_-;\-* #,##0_-;_-* "-"??_-;_-@_-</c:formatCode>
                <c:ptCount val="48"/>
                <c:pt idx="0">
                  <c:v>200</c:v>
                </c:pt>
                <c:pt idx="1">
                  <c:v>0</c:v>
                </c:pt>
                <c:pt idx="2">
                  <c:v>300</c:v>
                </c:pt>
                <c:pt idx="4">
                  <c:v>0</c:v>
                </c:pt>
                <c:pt idx="5">
                  <c:v>110</c:v>
                </c:pt>
                <c:pt idx="6">
                  <c:v>0</c:v>
                </c:pt>
                <c:pt idx="8">
                  <c:v>100</c:v>
                </c:pt>
                <c:pt idx="9">
                  <c:v>0</c:v>
                </c:pt>
                <c:pt idx="10">
                  <c:v>0</c:v>
                </c:pt>
                <c:pt idx="12">
                  <c:v>0</c:v>
                </c:pt>
                <c:pt idx="13">
                  <c:v>0</c:v>
                </c:pt>
                <c:pt idx="14">
                  <c:v>0</c:v>
                </c:pt>
                <c:pt idx="16">
                  <c:v>0</c:v>
                </c:pt>
                <c:pt idx="17">
                  <c:v>0</c:v>
                </c:pt>
                <c:pt idx="18">
                  <c:v>0</c:v>
                </c:pt>
                <c:pt idx="20">
                  <c:v>0</c:v>
                </c:pt>
                <c:pt idx="21">
                  <c:v>0</c:v>
                </c:pt>
                <c:pt idx="22">
                  <c:v>0</c:v>
                </c:pt>
                <c:pt idx="24">
                  <c:v>0</c:v>
                </c:pt>
                <c:pt idx="25">
                  <c:v>0</c:v>
                </c:pt>
                <c:pt idx="26">
                  <c:v>0</c:v>
                </c:pt>
                <c:pt idx="28">
                  <c:v>0</c:v>
                </c:pt>
                <c:pt idx="29">
                  <c:v>0</c:v>
                </c:pt>
                <c:pt idx="30">
                  <c:v>0</c:v>
                </c:pt>
                <c:pt idx="32">
                  <c:v>0</c:v>
                </c:pt>
                <c:pt idx="33">
                  <c:v>0</c:v>
                </c:pt>
                <c:pt idx="34">
                  <c:v>0</c:v>
                </c:pt>
                <c:pt idx="36">
                  <c:v>0</c:v>
                </c:pt>
                <c:pt idx="37">
                  <c:v>0</c:v>
                </c:pt>
                <c:pt idx="38">
                  <c:v>0</c:v>
                </c:pt>
                <c:pt idx="40">
                  <c:v>0</c:v>
                </c:pt>
                <c:pt idx="41">
                  <c:v>0</c:v>
                </c:pt>
                <c:pt idx="42">
                  <c:v>0</c:v>
                </c:pt>
                <c:pt idx="44">
                  <c:v>0</c:v>
                </c:pt>
                <c:pt idx="45">
                  <c:v>0</c:v>
                </c:pt>
                <c:pt idx="46">
                  <c:v>0</c:v>
                </c:pt>
              </c:numCache>
            </c:numRef>
          </c:val>
          <c:extLst>
            <c:ext xmlns:c16="http://schemas.microsoft.com/office/drawing/2014/chart" uri="{C3380CC4-5D6E-409C-BE32-E72D297353CC}">
              <c16:uniqueId val="{00000090-AB45-4B43-B956-0165EFD2AC95}"/>
            </c:ext>
          </c:extLst>
        </c:ser>
        <c:ser>
          <c:idx val="3"/>
          <c:order val="3"/>
          <c:spPr>
            <a:solidFill>
              <a:srgbClr val="E2E2E2"/>
            </a:solidFill>
            <a:ln>
              <a:noFill/>
            </a:ln>
            <a:effectLst/>
          </c:spPr>
          <c:invertIfNegative val="0"/>
          <c:cat>
            <c:numRef>
              <c:f>Calculations!$D$55:$D$102</c:f>
              <c:numCache>
                <c:formatCode>mmm</c:formatCode>
                <c:ptCount val="48"/>
                <c:pt idx="0">
                  <c:v>44562</c:v>
                </c:pt>
                <c:pt idx="4">
                  <c:v>44593</c:v>
                </c:pt>
                <c:pt idx="8">
                  <c:v>44621</c:v>
                </c:pt>
                <c:pt idx="12">
                  <c:v>44652</c:v>
                </c:pt>
                <c:pt idx="16">
                  <c:v>44682</c:v>
                </c:pt>
                <c:pt idx="20">
                  <c:v>44713</c:v>
                </c:pt>
                <c:pt idx="24">
                  <c:v>44743</c:v>
                </c:pt>
                <c:pt idx="28">
                  <c:v>44774</c:v>
                </c:pt>
                <c:pt idx="32">
                  <c:v>44805</c:v>
                </c:pt>
                <c:pt idx="36">
                  <c:v>44835</c:v>
                </c:pt>
                <c:pt idx="40">
                  <c:v>44866</c:v>
                </c:pt>
                <c:pt idx="44">
                  <c:v>44896</c:v>
                </c:pt>
              </c:numCache>
            </c:numRef>
          </c:cat>
          <c:val>
            <c:numRef>
              <c:f>Calculations!$P$55:$P$102</c:f>
              <c:numCache>
                <c:formatCode>_-* #,##0_-;\-* #,##0_-;_-* "-"??_-;_-@_-</c:formatCode>
                <c:ptCount val="48"/>
                <c:pt idx="0">
                  <c:v>0</c:v>
                </c:pt>
                <c:pt idx="1">
                  <c:v>0</c:v>
                </c:pt>
                <c:pt idx="2">
                  <c:v>0</c:v>
                </c:pt>
                <c:pt idx="4">
                  <c:v>0</c:v>
                </c:pt>
                <c:pt idx="5">
                  <c:v>0</c:v>
                </c:pt>
                <c:pt idx="6">
                  <c:v>0</c:v>
                </c:pt>
                <c:pt idx="8">
                  <c:v>0</c:v>
                </c:pt>
                <c:pt idx="9">
                  <c:v>0</c:v>
                </c:pt>
                <c:pt idx="10">
                  <c:v>0</c:v>
                </c:pt>
                <c:pt idx="12">
                  <c:v>0</c:v>
                </c:pt>
                <c:pt idx="13">
                  <c:v>0</c:v>
                </c:pt>
                <c:pt idx="14">
                  <c:v>0</c:v>
                </c:pt>
                <c:pt idx="16">
                  <c:v>0</c:v>
                </c:pt>
                <c:pt idx="17">
                  <c:v>0</c:v>
                </c:pt>
                <c:pt idx="18">
                  <c:v>0</c:v>
                </c:pt>
                <c:pt idx="20">
                  <c:v>0</c:v>
                </c:pt>
                <c:pt idx="21">
                  <c:v>0</c:v>
                </c:pt>
                <c:pt idx="22">
                  <c:v>0</c:v>
                </c:pt>
                <c:pt idx="24">
                  <c:v>0</c:v>
                </c:pt>
                <c:pt idx="25">
                  <c:v>0</c:v>
                </c:pt>
                <c:pt idx="26">
                  <c:v>0</c:v>
                </c:pt>
                <c:pt idx="28">
                  <c:v>0</c:v>
                </c:pt>
                <c:pt idx="29">
                  <c:v>0</c:v>
                </c:pt>
                <c:pt idx="30">
                  <c:v>0</c:v>
                </c:pt>
                <c:pt idx="32">
                  <c:v>0</c:v>
                </c:pt>
                <c:pt idx="33">
                  <c:v>0</c:v>
                </c:pt>
                <c:pt idx="34">
                  <c:v>0</c:v>
                </c:pt>
                <c:pt idx="36">
                  <c:v>0</c:v>
                </c:pt>
                <c:pt idx="37">
                  <c:v>0</c:v>
                </c:pt>
                <c:pt idx="38">
                  <c:v>0</c:v>
                </c:pt>
                <c:pt idx="40">
                  <c:v>0</c:v>
                </c:pt>
                <c:pt idx="41">
                  <c:v>0</c:v>
                </c:pt>
                <c:pt idx="42">
                  <c:v>0</c:v>
                </c:pt>
                <c:pt idx="44">
                  <c:v>0</c:v>
                </c:pt>
                <c:pt idx="45">
                  <c:v>0</c:v>
                </c:pt>
                <c:pt idx="46">
                  <c:v>0</c:v>
                </c:pt>
              </c:numCache>
            </c:numRef>
          </c:val>
          <c:extLst>
            <c:ext xmlns:c16="http://schemas.microsoft.com/office/drawing/2014/chart" uri="{C3380CC4-5D6E-409C-BE32-E72D297353CC}">
              <c16:uniqueId val="{00000091-AB45-4B43-B956-0165EFD2AC95}"/>
            </c:ext>
          </c:extLst>
        </c:ser>
        <c:ser>
          <c:idx val="4"/>
          <c:order val="4"/>
          <c:spPr>
            <a:solidFill>
              <a:srgbClr val="EEEEEE"/>
            </a:solidFill>
            <a:ln>
              <a:noFill/>
            </a:ln>
            <a:effectLst/>
          </c:spPr>
          <c:invertIfNegative val="0"/>
          <c:cat>
            <c:numRef>
              <c:f>Calculations!$D$55:$D$102</c:f>
              <c:numCache>
                <c:formatCode>mmm</c:formatCode>
                <c:ptCount val="48"/>
                <c:pt idx="0">
                  <c:v>44562</c:v>
                </c:pt>
                <c:pt idx="4">
                  <c:v>44593</c:v>
                </c:pt>
                <c:pt idx="8">
                  <c:v>44621</c:v>
                </c:pt>
                <c:pt idx="12">
                  <c:v>44652</c:v>
                </c:pt>
                <c:pt idx="16">
                  <c:v>44682</c:v>
                </c:pt>
                <c:pt idx="20">
                  <c:v>44713</c:v>
                </c:pt>
                <c:pt idx="24">
                  <c:v>44743</c:v>
                </c:pt>
                <c:pt idx="28">
                  <c:v>44774</c:v>
                </c:pt>
                <c:pt idx="32">
                  <c:v>44805</c:v>
                </c:pt>
                <c:pt idx="36">
                  <c:v>44835</c:v>
                </c:pt>
                <c:pt idx="40">
                  <c:v>44866</c:v>
                </c:pt>
                <c:pt idx="44">
                  <c:v>44896</c:v>
                </c:pt>
              </c:numCache>
            </c:numRef>
          </c:cat>
          <c:val>
            <c:numRef>
              <c:f>Calculations!$Q$55:$Q$102</c:f>
              <c:numCache>
                <c:formatCode>_-* #,##0_-;\-* #,##0_-;_-* "-"??_-;_-@_-</c:formatCode>
                <c:ptCount val="48"/>
                <c:pt idx="0">
                  <c:v>0</c:v>
                </c:pt>
                <c:pt idx="1">
                  <c:v>0</c:v>
                </c:pt>
                <c:pt idx="2">
                  <c:v>0</c:v>
                </c:pt>
                <c:pt idx="4">
                  <c:v>0</c:v>
                </c:pt>
                <c:pt idx="5">
                  <c:v>0</c:v>
                </c:pt>
                <c:pt idx="6">
                  <c:v>0</c:v>
                </c:pt>
                <c:pt idx="8">
                  <c:v>0</c:v>
                </c:pt>
                <c:pt idx="9">
                  <c:v>0</c:v>
                </c:pt>
                <c:pt idx="10">
                  <c:v>0</c:v>
                </c:pt>
                <c:pt idx="12">
                  <c:v>0</c:v>
                </c:pt>
                <c:pt idx="13">
                  <c:v>0</c:v>
                </c:pt>
                <c:pt idx="14">
                  <c:v>0</c:v>
                </c:pt>
                <c:pt idx="16">
                  <c:v>0</c:v>
                </c:pt>
                <c:pt idx="17">
                  <c:v>0</c:v>
                </c:pt>
                <c:pt idx="18">
                  <c:v>0</c:v>
                </c:pt>
                <c:pt idx="20">
                  <c:v>0</c:v>
                </c:pt>
                <c:pt idx="21">
                  <c:v>0</c:v>
                </c:pt>
                <c:pt idx="22">
                  <c:v>0</c:v>
                </c:pt>
                <c:pt idx="24">
                  <c:v>0</c:v>
                </c:pt>
                <c:pt idx="25">
                  <c:v>0</c:v>
                </c:pt>
                <c:pt idx="26">
                  <c:v>0</c:v>
                </c:pt>
                <c:pt idx="28">
                  <c:v>0</c:v>
                </c:pt>
                <c:pt idx="29">
                  <c:v>0</c:v>
                </c:pt>
                <c:pt idx="30">
                  <c:v>0</c:v>
                </c:pt>
                <c:pt idx="32">
                  <c:v>0</c:v>
                </c:pt>
                <c:pt idx="33">
                  <c:v>0</c:v>
                </c:pt>
                <c:pt idx="34">
                  <c:v>0</c:v>
                </c:pt>
                <c:pt idx="36">
                  <c:v>0</c:v>
                </c:pt>
                <c:pt idx="37">
                  <c:v>0</c:v>
                </c:pt>
                <c:pt idx="38">
                  <c:v>0</c:v>
                </c:pt>
                <c:pt idx="40">
                  <c:v>0</c:v>
                </c:pt>
                <c:pt idx="41">
                  <c:v>0</c:v>
                </c:pt>
                <c:pt idx="42">
                  <c:v>0</c:v>
                </c:pt>
                <c:pt idx="44">
                  <c:v>0</c:v>
                </c:pt>
                <c:pt idx="45">
                  <c:v>0</c:v>
                </c:pt>
                <c:pt idx="46">
                  <c:v>0</c:v>
                </c:pt>
              </c:numCache>
            </c:numRef>
          </c:val>
          <c:extLst>
            <c:ext xmlns:c16="http://schemas.microsoft.com/office/drawing/2014/chart" uri="{C3380CC4-5D6E-409C-BE32-E72D297353CC}">
              <c16:uniqueId val="{00000092-AB45-4B43-B956-0165EFD2AC95}"/>
            </c:ext>
          </c:extLst>
        </c:ser>
        <c:ser>
          <c:idx val="5"/>
          <c:order val="5"/>
          <c:spPr>
            <a:solidFill>
              <a:srgbClr val="D9D9D9"/>
            </a:solidFill>
            <a:ln>
              <a:noFill/>
            </a:ln>
            <a:effectLst/>
          </c:spPr>
          <c:invertIfNegative val="0"/>
          <c:cat>
            <c:numRef>
              <c:f>Calculations!$D$55:$D$102</c:f>
              <c:numCache>
                <c:formatCode>mmm</c:formatCode>
                <c:ptCount val="48"/>
                <c:pt idx="0">
                  <c:v>44562</c:v>
                </c:pt>
                <c:pt idx="4">
                  <c:v>44593</c:v>
                </c:pt>
                <c:pt idx="8">
                  <c:v>44621</c:v>
                </c:pt>
                <c:pt idx="12">
                  <c:v>44652</c:v>
                </c:pt>
                <c:pt idx="16">
                  <c:v>44682</c:v>
                </c:pt>
                <c:pt idx="20">
                  <c:v>44713</c:v>
                </c:pt>
                <c:pt idx="24">
                  <c:v>44743</c:v>
                </c:pt>
                <c:pt idx="28">
                  <c:v>44774</c:v>
                </c:pt>
                <c:pt idx="32">
                  <c:v>44805</c:v>
                </c:pt>
                <c:pt idx="36">
                  <c:v>44835</c:v>
                </c:pt>
                <c:pt idx="40">
                  <c:v>44866</c:v>
                </c:pt>
                <c:pt idx="44">
                  <c:v>44896</c:v>
                </c:pt>
              </c:numCache>
            </c:numRef>
          </c:cat>
          <c:val>
            <c:numRef>
              <c:f>Calculations!$R$55:$R$102</c:f>
              <c:numCache>
                <c:formatCode>_-* #,##0_-;\-* #,##0_-;_-* "-"??_-;_-@_-</c:formatCode>
                <c:ptCount val="48"/>
                <c:pt idx="0">
                  <c:v>0</c:v>
                </c:pt>
                <c:pt idx="1">
                  <c:v>0</c:v>
                </c:pt>
                <c:pt idx="2">
                  <c:v>0</c:v>
                </c:pt>
                <c:pt idx="4">
                  <c:v>0</c:v>
                </c:pt>
                <c:pt idx="5">
                  <c:v>0</c:v>
                </c:pt>
                <c:pt idx="6">
                  <c:v>0</c:v>
                </c:pt>
                <c:pt idx="8">
                  <c:v>0</c:v>
                </c:pt>
                <c:pt idx="9">
                  <c:v>0</c:v>
                </c:pt>
                <c:pt idx="10">
                  <c:v>0</c:v>
                </c:pt>
                <c:pt idx="12">
                  <c:v>0</c:v>
                </c:pt>
                <c:pt idx="13">
                  <c:v>0</c:v>
                </c:pt>
                <c:pt idx="14">
                  <c:v>0</c:v>
                </c:pt>
                <c:pt idx="16">
                  <c:v>0</c:v>
                </c:pt>
                <c:pt idx="17">
                  <c:v>0</c:v>
                </c:pt>
                <c:pt idx="18">
                  <c:v>0</c:v>
                </c:pt>
                <c:pt idx="20">
                  <c:v>0</c:v>
                </c:pt>
                <c:pt idx="21">
                  <c:v>0</c:v>
                </c:pt>
                <c:pt idx="22">
                  <c:v>0</c:v>
                </c:pt>
                <c:pt idx="24">
                  <c:v>0</c:v>
                </c:pt>
                <c:pt idx="25">
                  <c:v>0</c:v>
                </c:pt>
                <c:pt idx="26">
                  <c:v>0</c:v>
                </c:pt>
                <c:pt idx="28">
                  <c:v>0</c:v>
                </c:pt>
                <c:pt idx="29">
                  <c:v>0</c:v>
                </c:pt>
                <c:pt idx="30">
                  <c:v>0</c:v>
                </c:pt>
                <c:pt idx="32">
                  <c:v>0</c:v>
                </c:pt>
                <c:pt idx="33">
                  <c:v>0</c:v>
                </c:pt>
                <c:pt idx="34">
                  <c:v>0</c:v>
                </c:pt>
                <c:pt idx="36">
                  <c:v>0</c:v>
                </c:pt>
                <c:pt idx="37">
                  <c:v>0</c:v>
                </c:pt>
                <c:pt idx="38">
                  <c:v>0</c:v>
                </c:pt>
                <c:pt idx="40">
                  <c:v>0</c:v>
                </c:pt>
                <c:pt idx="41">
                  <c:v>0</c:v>
                </c:pt>
                <c:pt idx="42">
                  <c:v>0</c:v>
                </c:pt>
                <c:pt idx="44">
                  <c:v>0</c:v>
                </c:pt>
                <c:pt idx="45">
                  <c:v>0</c:v>
                </c:pt>
                <c:pt idx="46">
                  <c:v>0</c:v>
                </c:pt>
              </c:numCache>
            </c:numRef>
          </c:val>
          <c:extLst>
            <c:ext xmlns:c16="http://schemas.microsoft.com/office/drawing/2014/chart" uri="{C3380CC4-5D6E-409C-BE32-E72D297353CC}">
              <c16:uniqueId val="{00000093-AB45-4B43-B956-0165EFD2AC95}"/>
            </c:ext>
          </c:extLst>
        </c:ser>
        <c:dLbls>
          <c:showLegendKey val="0"/>
          <c:showVal val="0"/>
          <c:showCatName val="0"/>
          <c:showSerName val="0"/>
          <c:showPercent val="0"/>
          <c:showBubbleSize val="0"/>
        </c:dLbls>
        <c:gapWidth val="15"/>
        <c:overlap val="100"/>
        <c:axId val="463102928"/>
        <c:axId val="463106208"/>
      </c:barChart>
      <c:catAx>
        <c:axId val="463102928"/>
        <c:scaling>
          <c:orientation val="minMax"/>
        </c:scaling>
        <c:delete val="0"/>
        <c:axPos val="b"/>
        <c:numFmt formatCode="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bg1">
                    <a:lumMod val="65000"/>
                  </a:schemeClr>
                </a:solidFill>
                <a:latin typeface="+mn-lt"/>
                <a:ea typeface="+mn-ea"/>
                <a:cs typeface="+mn-cs"/>
              </a:defRPr>
            </a:pPr>
            <a:endParaRPr lang="en-US"/>
          </a:p>
        </c:txPr>
        <c:crossAx val="463106208"/>
        <c:crosses val="autoZero"/>
        <c:auto val="0"/>
        <c:lblAlgn val="ctr"/>
        <c:lblOffset val="100"/>
        <c:noMultiLvlLbl val="0"/>
      </c:catAx>
      <c:valAx>
        <c:axId val="463106208"/>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lumMod val="65000"/>
                  </a:schemeClr>
                </a:solidFill>
                <a:latin typeface="+mn-lt"/>
                <a:ea typeface="+mn-ea"/>
                <a:cs typeface="+mn-cs"/>
              </a:defRPr>
            </a:pPr>
            <a:endParaRPr lang="en-US"/>
          </a:p>
        </c:txPr>
        <c:crossAx val="4631029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bg1">
                <a:lumMod val="85000"/>
              </a:schemeClr>
            </a:solidFill>
            <a:ln>
              <a:noFill/>
            </a:ln>
            <a:effectLst/>
          </c:spPr>
          <c:invertIfNegative val="0"/>
          <c:val>
            <c:numRef>
              <c:f>Calculations!$E$24</c:f>
              <c:numCache>
                <c:formatCode>0%</c:formatCode>
                <c:ptCount val="1"/>
                <c:pt idx="0">
                  <c:v>1</c:v>
                </c:pt>
              </c:numCache>
            </c:numRef>
          </c:val>
          <c:extLst>
            <c:ext xmlns:c16="http://schemas.microsoft.com/office/drawing/2014/chart" uri="{C3380CC4-5D6E-409C-BE32-E72D297353CC}">
              <c16:uniqueId val="{00000000-6913-4089-A68C-7BD35391DB77}"/>
            </c:ext>
          </c:extLst>
        </c:ser>
        <c:dLbls>
          <c:showLegendKey val="0"/>
          <c:showVal val="0"/>
          <c:showCatName val="0"/>
          <c:showSerName val="0"/>
          <c:showPercent val="0"/>
          <c:showBubbleSize val="0"/>
        </c:dLbls>
        <c:gapWidth val="0"/>
        <c:axId val="526351656"/>
        <c:axId val="526354608"/>
      </c:barChart>
      <c:catAx>
        <c:axId val="526351656"/>
        <c:scaling>
          <c:orientation val="minMax"/>
        </c:scaling>
        <c:delete val="1"/>
        <c:axPos val="l"/>
        <c:majorTickMark val="none"/>
        <c:minorTickMark val="none"/>
        <c:tickLblPos val="nextTo"/>
        <c:crossAx val="526354608"/>
        <c:crosses val="autoZero"/>
        <c:auto val="1"/>
        <c:lblAlgn val="ctr"/>
        <c:lblOffset val="100"/>
        <c:noMultiLvlLbl val="0"/>
      </c:catAx>
      <c:valAx>
        <c:axId val="526354608"/>
        <c:scaling>
          <c:orientation val="minMax"/>
          <c:max val="1"/>
        </c:scaling>
        <c:delete val="1"/>
        <c:axPos val="b"/>
        <c:numFmt formatCode="0%" sourceLinked="1"/>
        <c:majorTickMark val="none"/>
        <c:minorTickMark val="none"/>
        <c:tickLblPos val="nextTo"/>
        <c:crossAx val="5263516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Calculations!$E$49" lockText="1" noThreeD="1"/>
</file>

<file path=xl/ctrlProps/ctrlProp2.xml><?xml version="1.0" encoding="utf-8"?>
<formControlPr xmlns="http://schemas.microsoft.com/office/spreadsheetml/2009/9/main" objectType="CheckBox" checked="Checked" fmlaLink="Calculations!$E$50" lockText="1" noThreeD="1"/>
</file>

<file path=xl/ctrlProps/ctrlProp3.xml><?xml version="1.0" encoding="utf-8"?>
<formControlPr xmlns="http://schemas.microsoft.com/office/spreadsheetml/2009/9/main" objectType="CheckBox" checked="Checked" fmlaLink="Calculations!$E$51" lockText="1" noThreeD="1"/>
</file>

<file path=xl/ctrlProps/ctrlProp4.xml><?xml version="1.0" encoding="utf-8"?>
<formControlPr xmlns="http://schemas.microsoft.com/office/spreadsheetml/2009/9/main" objectType="CheckBox" checked="Checked" fmlaLink="Calculations!$E$52"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xdr:col>
      <xdr:colOff>593911</xdr:colOff>
      <xdr:row>4</xdr:row>
      <xdr:rowOff>155761</xdr:rowOff>
    </xdr:from>
    <xdr:to>
      <xdr:col>3</xdr:col>
      <xdr:colOff>464276</xdr:colOff>
      <xdr:row>9</xdr:row>
      <xdr:rowOff>27661</xdr:rowOff>
    </xdr:to>
    <xdr:grpSp>
      <xdr:nvGrpSpPr>
        <xdr:cNvPr id="17" name="Group 16"/>
        <xdr:cNvGrpSpPr/>
      </xdr:nvGrpSpPr>
      <xdr:grpSpPr>
        <a:xfrm>
          <a:off x="1189224" y="1227324"/>
          <a:ext cx="1441990" cy="824400"/>
          <a:chOff x="1199029" y="1210236"/>
          <a:chExt cx="1461600" cy="824400"/>
        </a:xfrm>
      </xdr:grpSpPr>
      <xdr:sp macro="" textlink="">
        <xdr:nvSpPr>
          <xdr:cNvPr id="2" name="Rounded Rectangle 1"/>
          <xdr:cNvSpPr/>
        </xdr:nvSpPr>
        <xdr:spPr>
          <a:xfrm>
            <a:off x="1199029" y="1210236"/>
            <a:ext cx="1461600" cy="824400"/>
          </a:xfrm>
          <a:prstGeom prst="roundRect">
            <a:avLst/>
          </a:prstGeom>
          <a:solidFill>
            <a:schemeClr val="bg1"/>
          </a:solidFill>
          <a:ln w="6350">
            <a:solidFill>
              <a:schemeClr val="bg1">
                <a:lumMod val="85000"/>
              </a:schemeClr>
            </a:solidFill>
          </a:ln>
          <a:effectLst>
            <a:outerShdw blurRad="825500" dist="127000" dir="5400000" sx="95000" sy="95000" algn="ctr"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TextBox 2"/>
          <xdr:cNvSpPr txBox="1"/>
        </xdr:nvSpPr>
        <xdr:spPr>
          <a:xfrm>
            <a:off x="1255058" y="1255059"/>
            <a:ext cx="1030942"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Date of Today</a:t>
            </a:r>
          </a:p>
        </xdr:txBody>
      </xdr:sp>
      <xdr:sp macro="" textlink="Calculations!E8">
        <xdr:nvSpPr>
          <xdr:cNvPr id="4" name="TextBox 3"/>
          <xdr:cNvSpPr txBox="1"/>
        </xdr:nvSpPr>
        <xdr:spPr>
          <a:xfrm>
            <a:off x="1255058" y="1508312"/>
            <a:ext cx="1030942"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0AC75D4-C3A3-4197-B921-85B51FBA667A}" type="TxLink">
              <a:rPr lang="en-US" sz="1200" b="1" i="0" u="none" strike="noStrike">
                <a:solidFill>
                  <a:srgbClr val="000000"/>
                </a:solidFill>
                <a:latin typeface="Calibri" panose="020F0502020204030204"/>
                <a:cs typeface="Calibri" panose="020F0502020204030204"/>
              </a:rPr>
              <a:pPr/>
              <a:t>30-Dec-23</a:t>
            </a:fld>
            <a:endParaRPr lang="en-US" sz="1200" b="1" i="0" u="none" strike="noStrike">
              <a:solidFill>
                <a:srgbClr val="000000"/>
              </a:solidFill>
              <a:latin typeface="Calibri" panose="020F0502020204030204"/>
              <a:cs typeface="Calibri" panose="020F0502020204030204"/>
            </a:endParaRPr>
          </a:p>
        </xdr:txBody>
      </xdr:sp>
    </xdr:grpSp>
    <xdr:clientData/>
  </xdr:twoCellAnchor>
  <xdr:twoCellAnchor>
    <xdr:from>
      <xdr:col>3</xdr:col>
      <xdr:colOff>858370</xdr:colOff>
      <xdr:row>4</xdr:row>
      <xdr:rowOff>155761</xdr:rowOff>
    </xdr:from>
    <xdr:to>
      <xdr:col>4</xdr:col>
      <xdr:colOff>1738312</xdr:colOff>
      <xdr:row>9</xdr:row>
      <xdr:rowOff>27661</xdr:rowOff>
    </xdr:to>
    <xdr:grpSp>
      <xdr:nvGrpSpPr>
        <xdr:cNvPr id="21" name="Group 20"/>
        <xdr:cNvGrpSpPr/>
      </xdr:nvGrpSpPr>
      <xdr:grpSpPr>
        <a:xfrm>
          <a:off x="3025308" y="1227324"/>
          <a:ext cx="1856254" cy="824400"/>
          <a:chOff x="3025308" y="1227324"/>
          <a:chExt cx="1856254" cy="824400"/>
        </a:xfrm>
      </xdr:grpSpPr>
      <xdr:sp macro="" textlink="">
        <xdr:nvSpPr>
          <xdr:cNvPr id="5" name="Rounded Rectangle 4"/>
          <xdr:cNvSpPr/>
        </xdr:nvSpPr>
        <xdr:spPr>
          <a:xfrm>
            <a:off x="3025308" y="1227324"/>
            <a:ext cx="1776412" cy="824400"/>
          </a:xfrm>
          <a:prstGeom prst="roundRect">
            <a:avLst/>
          </a:prstGeom>
          <a:solidFill>
            <a:schemeClr val="bg1"/>
          </a:solidFill>
          <a:ln w="6350">
            <a:solidFill>
              <a:schemeClr val="bg1">
                <a:lumMod val="85000"/>
              </a:schemeClr>
            </a:solidFill>
          </a:ln>
          <a:effectLst>
            <a:outerShdw blurRad="825500" dist="127000" dir="5400000" sx="95000" sy="95000" algn="ctr"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TextBox 5"/>
          <xdr:cNvSpPr txBox="1"/>
        </xdr:nvSpPr>
        <xdr:spPr>
          <a:xfrm>
            <a:off x="3081028" y="1272147"/>
            <a:ext cx="1308351"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Date of Last</a:t>
            </a:r>
            <a:r>
              <a:rPr lang="en-US" sz="1100" b="1" baseline="0"/>
              <a:t> Record</a:t>
            </a:r>
            <a:endParaRPr lang="en-US" sz="1100" b="1"/>
          </a:p>
        </xdr:txBody>
      </xdr:sp>
      <xdr:sp macro="" textlink="Calculations!E9">
        <xdr:nvSpPr>
          <xdr:cNvPr id="7" name="TextBox 6"/>
          <xdr:cNvSpPr txBox="1"/>
        </xdr:nvSpPr>
        <xdr:spPr>
          <a:xfrm>
            <a:off x="3081029" y="1525400"/>
            <a:ext cx="762276"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40A98A6-29ED-4439-8602-6639F7BED04E}" type="TxLink">
              <a:rPr lang="en-US" sz="1200" b="1" i="0" u="none" strike="noStrike">
                <a:solidFill>
                  <a:srgbClr val="000000"/>
                </a:solidFill>
                <a:latin typeface="Calibri" panose="020F0502020204030204"/>
                <a:cs typeface="Calibri" panose="020F0502020204030204"/>
              </a:rPr>
              <a:pPr/>
              <a:t>15-Mar-22</a:t>
            </a:fld>
            <a:endParaRPr lang="en-US" sz="1200" b="1" i="0" u="none" strike="noStrike">
              <a:solidFill>
                <a:srgbClr val="000000"/>
              </a:solidFill>
              <a:latin typeface="Calibri" panose="020F0502020204030204"/>
              <a:cs typeface="Calibri" panose="020F0502020204030204"/>
            </a:endParaRPr>
          </a:p>
        </xdr:txBody>
      </xdr:sp>
      <xdr:sp macro="" textlink="Calculations!E10">
        <xdr:nvSpPr>
          <xdr:cNvPr id="8" name="TextBox 7"/>
          <xdr:cNvSpPr txBox="1"/>
        </xdr:nvSpPr>
        <xdr:spPr>
          <a:xfrm>
            <a:off x="3767522" y="1532124"/>
            <a:ext cx="1114040"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B2FC59-BE90-40A9-95E9-BE3D75B565C5}" type="TxLink">
              <a:rPr lang="en-US" sz="1050" b="0" i="0" u="none" strike="noStrike">
                <a:solidFill>
                  <a:srgbClr val="000000"/>
                </a:solidFill>
                <a:latin typeface="Calibri" panose="020F0502020204030204"/>
                <a:cs typeface="Calibri" panose="020F0502020204030204"/>
              </a:rPr>
              <a:pPr/>
              <a:t>(655 days ago)</a:t>
            </a:fld>
            <a:endParaRPr lang="en-US" sz="1050" b="0" i="0" u="none" strike="noStrike">
              <a:solidFill>
                <a:srgbClr val="000000"/>
              </a:solidFill>
              <a:latin typeface="Calibri" panose="020F0502020204030204"/>
              <a:cs typeface="Calibri" panose="020F0502020204030204"/>
            </a:endParaRPr>
          </a:p>
        </xdr:txBody>
      </xdr:sp>
    </xdr:grpSp>
    <xdr:clientData/>
  </xdr:twoCellAnchor>
  <xdr:twoCellAnchor editAs="absolute">
    <xdr:from>
      <xdr:col>5</xdr:col>
      <xdr:colOff>147916</xdr:colOff>
      <xdr:row>4</xdr:row>
      <xdr:rowOff>155761</xdr:rowOff>
    </xdr:from>
    <xdr:to>
      <xdr:col>6</xdr:col>
      <xdr:colOff>672353</xdr:colOff>
      <xdr:row>9</xdr:row>
      <xdr:rowOff>27661</xdr:rowOff>
    </xdr:to>
    <xdr:grpSp>
      <xdr:nvGrpSpPr>
        <xdr:cNvPr id="19" name="Group 18"/>
        <xdr:cNvGrpSpPr/>
      </xdr:nvGrpSpPr>
      <xdr:grpSpPr>
        <a:xfrm>
          <a:off x="5077104" y="1227324"/>
          <a:ext cx="1667437" cy="824400"/>
          <a:chOff x="5123328" y="1246094"/>
          <a:chExt cx="1667437" cy="824400"/>
        </a:xfrm>
      </xdr:grpSpPr>
      <xdr:sp macro="" textlink="">
        <xdr:nvSpPr>
          <xdr:cNvPr id="9" name="Rounded Rectangle 8"/>
          <xdr:cNvSpPr/>
        </xdr:nvSpPr>
        <xdr:spPr>
          <a:xfrm>
            <a:off x="5123328" y="1246094"/>
            <a:ext cx="1600201" cy="824400"/>
          </a:xfrm>
          <a:prstGeom prst="roundRect">
            <a:avLst/>
          </a:prstGeom>
          <a:solidFill>
            <a:schemeClr val="bg1"/>
          </a:solidFill>
          <a:ln w="6350">
            <a:solidFill>
              <a:schemeClr val="bg1">
                <a:lumMod val="85000"/>
              </a:schemeClr>
            </a:solidFill>
          </a:ln>
          <a:effectLst>
            <a:outerShdw blurRad="825500" dist="127000" dir="5400000" sx="95000" sy="95000" algn="ctr"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TextBox 9"/>
          <xdr:cNvSpPr txBox="1"/>
        </xdr:nvSpPr>
        <xdr:spPr>
          <a:xfrm>
            <a:off x="5179356" y="1290917"/>
            <a:ext cx="1611409"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 of Tracked Records</a:t>
            </a:r>
          </a:p>
        </xdr:txBody>
      </xdr:sp>
      <xdr:sp macro="" textlink="Calculations!E11">
        <xdr:nvSpPr>
          <xdr:cNvPr id="11" name="TextBox 10"/>
          <xdr:cNvSpPr txBox="1"/>
        </xdr:nvSpPr>
        <xdr:spPr>
          <a:xfrm>
            <a:off x="5179357" y="1544170"/>
            <a:ext cx="569261"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CD024B5-6913-4703-A903-D81E4B2D8648}" type="TxLink">
              <a:rPr lang="en-US" sz="1200" b="1" i="0" u="none" strike="noStrike">
                <a:solidFill>
                  <a:srgbClr val="000000"/>
                </a:solidFill>
                <a:latin typeface="Calibri" panose="020F0502020204030204"/>
                <a:cs typeface="Calibri" panose="020F0502020204030204"/>
              </a:rPr>
              <a:pPr/>
              <a:t>59</a:t>
            </a:fld>
            <a:endParaRPr lang="en-US" sz="1200" b="1" i="0" u="none" strike="noStrike">
              <a:solidFill>
                <a:srgbClr val="000000"/>
              </a:solidFill>
              <a:latin typeface="Calibri" panose="020F0502020204030204"/>
              <a:cs typeface="Calibri" panose="020F0502020204030204"/>
            </a:endParaRPr>
          </a:p>
        </xdr:txBody>
      </xdr:sp>
      <xdr:sp macro="" textlink="Calculations!E12">
        <xdr:nvSpPr>
          <xdr:cNvPr id="12" name="TextBox 11"/>
          <xdr:cNvSpPr txBox="1"/>
        </xdr:nvSpPr>
        <xdr:spPr>
          <a:xfrm>
            <a:off x="5679139" y="1562100"/>
            <a:ext cx="961465"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E333554-9C9F-4139-8A82-D7B73A798B4F}" type="TxLink">
              <a:rPr lang="en-US" sz="1050" b="0" i="0" u="none" strike="noStrike">
                <a:solidFill>
                  <a:srgbClr val="000000"/>
                </a:solidFill>
                <a:latin typeface="Calibri" panose="020F0502020204030204"/>
                <a:cs typeface="Calibri" panose="020F0502020204030204"/>
              </a:rPr>
              <a:pPr/>
              <a:t>(0 this year)</a:t>
            </a:fld>
            <a:endParaRPr lang="en-US" sz="1050" b="0" i="0" u="none" strike="noStrike">
              <a:solidFill>
                <a:srgbClr val="000000"/>
              </a:solidFill>
              <a:latin typeface="Calibri" panose="020F0502020204030204"/>
              <a:cs typeface="Calibri" panose="020F0502020204030204"/>
            </a:endParaRPr>
          </a:p>
        </xdr:txBody>
      </xdr:sp>
    </xdr:grpSp>
    <xdr:clientData/>
  </xdr:twoCellAnchor>
  <xdr:twoCellAnchor editAs="absolute">
    <xdr:from>
      <xdr:col>7</xdr:col>
      <xdr:colOff>8964</xdr:colOff>
      <xdr:row>4</xdr:row>
      <xdr:rowOff>155761</xdr:rowOff>
    </xdr:from>
    <xdr:to>
      <xdr:col>10</xdr:col>
      <xdr:colOff>156881</xdr:colOff>
      <xdr:row>9</xdr:row>
      <xdr:rowOff>27661</xdr:rowOff>
    </xdr:to>
    <xdr:grpSp>
      <xdr:nvGrpSpPr>
        <xdr:cNvPr id="20" name="Group 19"/>
        <xdr:cNvGrpSpPr/>
      </xdr:nvGrpSpPr>
      <xdr:grpSpPr>
        <a:xfrm>
          <a:off x="6997933" y="1227324"/>
          <a:ext cx="3053042" cy="824400"/>
          <a:chOff x="7035052" y="1252817"/>
          <a:chExt cx="3061447" cy="824400"/>
        </a:xfrm>
      </xdr:grpSpPr>
      <xdr:sp macro="" textlink="">
        <xdr:nvSpPr>
          <xdr:cNvPr id="13" name="Rounded Rectangle 12"/>
          <xdr:cNvSpPr/>
        </xdr:nvSpPr>
        <xdr:spPr>
          <a:xfrm>
            <a:off x="7035052" y="1252817"/>
            <a:ext cx="3050242" cy="824400"/>
          </a:xfrm>
          <a:prstGeom prst="roundRect">
            <a:avLst/>
          </a:prstGeom>
          <a:solidFill>
            <a:schemeClr val="bg1"/>
          </a:solidFill>
          <a:ln w="6350">
            <a:solidFill>
              <a:schemeClr val="bg1">
                <a:lumMod val="85000"/>
              </a:schemeClr>
            </a:solidFill>
          </a:ln>
          <a:effectLst>
            <a:outerShdw blurRad="825500" dist="127000" dir="5400000" sx="95000" sy="95000" algn="ctr"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TextBox 13"/>
          <xdr:cNvSpPr txBox="1"/>
        </xdr:nvSpPr>
        <xdr:spPr>
          <a:xfrm>
            <a:off x="7091080" y="1297640"/>
            <a:ext cx="1611409"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Total Tracking Balance</a:t>
            </a:r>
          </a:p>
        </xdr:txBody>
      </xdr:sp>
      <xdr:sp macro="" textlink="Calculations!E13">
        <xdr:nvSpPr>
          <xdr:cNvPr id="15" name="TextBox 14"/>
          <xdr:cNvSpPr txBox="1"/>
        </xdr:nvSpPr>
        <xdr:spPr>
          <a:xfrm>
            <a:off x="7091081" y="1550893"/>
            <a:ext cx="786654"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236000-EB02-4522-A86C-00C518FE003B}" type="TxLink">
              <a:rPr lang="en-US" sz="1200" b="1" i="0" u="none" strike="noStrike">
                <a:solidFill>
                  <a:srgbClr val="000000"/>
                </a:solidFill>
                <a:latin typeface="Calibri" panose="020F0502020204030204"/>
                <a:cs typeface="Calibri" panose="020F0502020204030204"/>
              </a:rPr>
              <a:pPr/>
              <a:t> 2,620 </a:t>
            </a:fld>
            <a:endParaRPr lang="en-US" sz="1200" b="1" i="0" u="none" strike="noStrike">
              <a:solidFill>
                <a:srgbClr val="000000"/>
              </a:solidFill>
              <a:latin typeface="Calibri" panose="020F0502020204030204"/>
              <a:cs typeface="Calibri" panose="020F0502020204030204"/>
            </a:endParaRPr>
          </a:p>
        </xdr:txBody>
      </xdr:sp>
      <xdr:sp macro="" textlink="Calculations!E14">
        <xdr:nvSpPr>
          <xdr:cNvPr id="16" name="TextBox 15"/>
          <xdr:cNvSpPr txBox="1"/>
        </xdr:nvSpPr>
        <xdr:spPr>
          <a:xfrm>
            <a:off x="7613275" y="1568823"/>
            <a:ext cx="2483224"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4A7E78C-54CD-413C-9BD8-3112AF940DDB}" type="TxLink">
              <a:rPr lang="en-US" sz="1050" b="0" i="0" u="none" strike="noStrike">
                <a:solidFill>
                  <a:srgbClr val="000000"/>
                </a:solidFill>
                <a:latin typeface="Calibri" panose="020F0502020204030204"/>
                <a:cs typeface="Calibri" panose="020F0502020204030204"/>
              </a:rPr>
              <a:pPr/>
              <a:t>of tracked income left to be allocated</a:t>
            </a:fld>
            <a:endParaRPr lang="en-US" sz="1050" b="0" i="0" u="none" strike="noStrike">
              <a:solidFill>
                <a:srgbClr val="000000"/>
              </a:solidFill>
              <a:latin typeface="Calibri" panose="020F0502020204030204"/>
              <a:cs typeface="Calibri" panose="020F0502020204030204"/>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89649</xdr:colOff>
      <xdr:row>12</xdr:row>
      <xdr:rowOff>123264</xdr:rowOff>
    </xdr:from>
    <xdr:to>
      <xdr:col>34</xdr:col>
      <xdr:colOff>35747</xdr:colOff>
      <xdr:row>14</xdr:row>
      <xdr:rowOff>78441</xdr:rowOff>
    </xdr:to>
    <xdr:sp macro="" textlink="">
      <xdr:nvSpPr>
        <xdr:cNvPr id="2" name="TextBox 1"/>
        <xdr:cNvSpPr txBox="1"/>
      </xdr:nvSpPr>
      <xdr:spPr>
        <a:xfrm>
          <a:off x="6914031" y="2409264"/>
          <a:ext cx="2332951" cy="336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B050"/>
              </a:solidFill>
            </a:rPr>
            <a:t>Income</a:t>
          </a:r>
          <a:r>
            <a:rPr lang="en-US" sz="1100" b="1"/>
            <a:t> Categories</a:t>
          </a:r>
          <a:r>
            <a:rPr lang="en-US" sz="1100" b="1" baseline="0"/>
            <a:t> (Tracked)</a:t>
          </a:r>
          <a:endParaRPr lang="en-US" sz="1100" b="1"/>
        </a:p>
      </xdr:txBody>
    </xdr:sp>
    <xdr:clientData/>
  </xdr:twoCellAnchor>
  <xdr:twoCellAnchor editAs="oneCell">
    <xdr:from>
      <xdr:col>31</xdr:col>
      <xdr:colOff>97790</xdr:colOff>
      <xdr:row>13</xdr:row>
      <xdr:rowOff>177800</xdr:rowOff>
    </xdr:from>
    <xdr:to>
      <xdr:col>32</xdr:col>
      <xdr:colOff>621030</xdr:colOff>
      <xdr:row>22</xdr:row>
      <xdr:rowOff>119380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31</xdr:col>
      <xdr:colOff>89649</xdr:colOff>
      <xdr:row>25</xdr:row>
      <xdr:rowOff>123264</xdr:rowOff>
    </xdr:from>
    <xdr:to>
      <xdr:col>34</xdr:col>
      <xdr:colOff>35674</xdr:colOff>
      <xdr:row>27</xdr:row>
      <xdr:rowOff>78179</xdr:rowOff>
    </xdr:to>
    <xdr:sp macro="" textlink="">
      <xdr:nvSpPr>
        <xdr:cNvPr id="4" name="TextBox 1"/>
        <xdr:cNvSpPr txBox="1"/>
      </xdr:nvSpPr>
      <xdr:spPr>
        <a:xfrm>
          <a:off x="6903085" y="4885690"/>
          <a:ext cx="2332990" cy="33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US" sz="1100" b="1">
              <a:solidFill>
                <a:srgbClr val="F75FAF"/>
              </a:solidFill>
            </a:rPr>
            <a:t>Expenses</a:t>
          </a:r>
          <a:r>
            <a:rPr lang="en-US" sz="1100" b="1"/>
            <a:t> Categories</a:t>
          </a:r>
          <a:r>
            <a:rPr lang="en-US" sz="1100" b="1" baseline="0"/>
            <a:t> (Tracked)</a:t>
          </a:r>
          <a:endParaRPr lang="en-US" sz="1100" b="1"/>
        </a:p>
      </xdr:txBody>
    </xdr:sp>
    <xdr:clientData/>
  </xdr:twoCellAnchor>
  <xdr:twoCellAnchor editAs="oneCell">
    <xdr:from>
      <xdr:col>31</xdr:col>
      <xdr:colOff>97790</xdr:colOff>
      <xdr:row>26</xdr:row>
      <xdr:rowOff>177800</xdr:rowOff>
    </xdr:from>
    <xdr:to>
      <xdr:col>32</xdr:col>
      <xdr:colOff>621030</xdr:colOff>
      <xdr:row>35</xdr:row>
      <xdr:rowOff>119380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38</xdr:col>
      <xdr:colOff>89649</xdr:colOff>
      <xdr:row>25</xdr:row>
      <xdr:rowOff>123264</xdr:rowOff>
    </xdr:from>
    <xdr:ext cx="2327275" cy="335915"/>
    <xdr:sp macro="" textlink="">
      <xdr:nvSpPr>
        <xdr:cNvPr id="6" name="TextBox 1"/>
        <xdr:cNvSpPr txBox="1"/>
      </xdr:nvSpPr>
      <xdr:spPr>
        <a:xfrm>
          <a:off x="11508443" y="4885764"/>
          <a:ext cx="2327275" cy="33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US" sz="1100" b="1">
              <a:solidFill>
                <a:schemeClr val="accent5"/>
              </a:solidFill>
            </a:rPr>
            <a:t>Savings</a:t>
          </a:r>
          <a:r>
            <a:rPr lang="en-US" sz="1100" b="1"/>
            <a:t> Categories</a:t>
          </a:r>
          <a:r>
            <a:rPr lang="en-US" sz="1100" b="1" baseline="0"/>
            <a:t> (Tracked)</a:t>
          </a:r>
          <a:endParaRPr lang="en-US" sz="1100" b="1"/>
        </a:p>
      </xdr:txBody>
    </xdr:sp>
    <xdr:clientData/>
  </xdr:oneCellAnchor>
  <xdr:oneCellAnchor>
    <xdr:from>
      <xdr:col>38</xdr:col>
      <xdr:colOff>97790</xdr:colOff>
      <xdr:row>26</xdr:row>
      <xdr:rowOff>177800</xdr:rowOff>
    </xdr:from>
    <xdr:ext cx="1628140" cy="1656080"/>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twoCellAnchor editAs="oneCell">
    <xdr:from>
      <xdr:col>38</xdr:col>
      <xdr:colOff>89649</xdr:colOff>
      <xdr:row>12</xdr:row>
      <xdr:rowOff>123264</xdr:rowOff>
    </xdr:from>
    <xdr:to>
      <xdr:col>41</xdr:col>
      <xdr:colOff>35747</xdr:colOff>
      <xdr:row>14</xdr:row>
      <xdr:rowOff>78441</xdr:rowOff>
    </xdr:to>
    <xdr:sp macro="" textlink="">
      <xdr:nvSpPr>
        <xdr:cNvPr id="8" name="TextBox 7"/>
        <xdr:cNvSpPr txBox="1"/>
      </xdr:nvSpPr>
      <xdr:spPr>
        <a:xfrm>
          <a:off x="11508443" y="2409264"/>
          <a:ext cx="2332951" cy="336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Tracked (vs Budget)</a:t>
          </a:r>
          <a:endParaRPr lang="en-US" sz="1100" b="1"/>
        </a:p>
      </xdr:txBody>
    </xdr:sp>
    <xdr:clientData/>
  </xdr:twoCellAnchor>
  <xdr:twoCellAnchor>
    <xdr:from>
      <xdr:col>38</xdr:col>
      <xdr:colOff>111258</xdr:colOff>
      <xdr:row>13</xdr:row>
      <xdr:rowOff>163286</xdr:rowOff>
    </xdr:from>
    <xdr:to>
      <xdr:col>43</xdr:col>
      <xdr:colOff>340178</xdr:colOff>
      <xdr:row>23</xdr:row>
      <xdr:rowOff>176893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41</xdr:col>
          <xdr:colOff>1000125</xdr:colOff>
          <xdr:row>12</xdr:row>
          <xdr:rowOff>57150</xdr:rowOff>
        </xdr:from>
        <xdr:to>
          <xdr:col>43</xdr:col>
          <xdr:colOff>123825</xdr:colOff>
          <xdr:row>13</xdr:row>
          <xdr:rowOff>47625</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Income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41</xdr:col>
          <xdr:colOff>1000125</xdr:colOff>
          <xdr:row>13</xdr:row>
          <xdr:rowOff>19050</xdr:rowOff>
        </xdr:from>
        <xdr:to>
          <xdr:col>43</xdr:col>
          <xdr:colOff>123825</xdr:colOff>
          <xdr:row>14</xdr:row>
          <xdr:rowOff>9525</xdr:rowOff>
        </xdr:to>
        <xdr:sp macro="" textlink="">
          <xdr:nvSpPr>
            <xdr:cNvPr id="2056" name="Check Box 8" hidden="1">
              <a:extLst>
                <a:ext uri="{63B3BB69-23CF-44E3-9099-C40C66FF867C}">
                  <a14:compatExt spid="_x0000_s2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Expenses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41</xdr:col>
          <xdr:colOff>1000125</xdr:colOff>
          <xdr:row>13</xdr:row>
          <xdr:rowOff>171450</xdr:rowOff>
        </xdr:from>
        <xdr:to>
          <xdr:col>43</xdr:col>
          <xdr:colOff>123825</xdr:colOff>
          <xdr:row>14</xdr:row>
          <xdr:rowOff>161925</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Savings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41</xdr:col>
          <xdr:colOff>361950</xdr:colOff>
          <xdr:row>12</xdr:row>
          <xdr:rowOff>57150</xdr:rowOff>
        </xdr:from>
        <xdr:to>
          <xdr:col>42</xdr:col>
          <xdr:colOff>85725</xdr:colOff>
          <xdr:row>13</xdr:row>
          <xdr:rowOff>47625</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Budget</a:t>
              </a:r>
            </a:p>
          </xdr:txBody>
        </xdr:sp>
        <xdr:clientData/>
      </xdr:twoCellAnchor>
    </mc:Choice>
    <mc:Fallback/>
  </mc:AlternateContent>
  <xdr:twoCellAnchor>
    <xdr:from>
      <xdr:col>41</xdr:col>
      <xdr:colOff>326571</xdr:colOff>
      <xdr:row>12</xdr:row>
      <xdr:rowOff>40822</xdr:rowOff>
    </xdr:from>
    <xdr:to>
      <xdr:col>43</xdr:col>
      <xdr:colOff>183968</xdr:colOff>
      <xdr:row>14</xdr:row>
      <xdr:rowOff>162742</xdr:rowOff>
    </xdr:to>
    <xdr:sp macro="" textlink="">
      <xdr:nvSpPr>
        <xdr:cNvPr id="10" name="Rectangle 9"/>
        <xdr:cNvSpPr/>
      </xdr:nvSpPr>
      <xdr:spPr>
        <a:xfrm>
          <a:off x="14110607" y="2326822"/>
          <a:ext cx="1463040" cy="502920"/>
        </a:xfrm>
        <a:prstGeom prst="rect">
          <a:avLst/>
        </a:prstGeom>
        <a:noFill/>
        <a:ln w="63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66674</xdr:colOff>
      <xdr:row>5</xdr:row>
      <xdr:rowOff>20410</xdr:rowOff>
    </xdr:from>
    <xdr:to>
      <xdr:col>26</xdr:col>
      <xdr:colOff>352424</xdr:colOff>
      <xdr:row>9</xdr:row>
      <xdr:rowOff>82810</xdr:rowOff>
    </xdr:to>
    <xdr:grpSp>
      <xdr:nvGrpSpPr>
        <xdr:cNvPr id="12" name="Group 11"/>
        <xdr:cNvGrpSpPr/>
      </xdr:nvGrpSpPr>
      <xdr:grpSpPr>
        <a:xfrm>
          <a:off x="1257299" y="1282473"/>
          <a:ext cx="2678906" cy="824400"/>
          <a:chOff x="1257299" y="1282473"/>
          <a:chExt cx="2678906" cy="824400"/>
        </a:xfrm>
      </xdr:grpSpPr>
      <xdr:sp macro="" textlink="">
        <xdr:nvSpPr>
          <xdr:cNvPr id="16" name="Rounded Rectangle 15"/>
          <xdr:cNvSpPr/>
        </xdr:nvSpPr>
        <xdr:spPr>
          <a:xfrm>
            <a:off x="1257299" y="1282473"/>
            <a:ext cx="2678906" cy="824400"/>
          </a:xfrm>
          <a:prstGeom prst="roundRect">
            <a:avLst/>
          </a:prstGeom>
          <a:solidFill>
            <a:schemeClr val="bg1"/>
          </a:solidFill>
          <a:ln w="6350">
            <a:solidFill>
              <a:schemeClr val="bg1">
                <a:lumMod val="85000"/>
              </a:schemeClr>
            </a:solidFill>
          </a:ln>
          <a:effectLst>
            <a:outerShdw blurRad="825500" dist="127000" dir="5400000" sx="95000" sy="95000" algn="ctr"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extBox 16"/>
          <xdr:cNvSpPr txBox="1"/>
        </xdr:nvSpPr>
        <xdr:spPr>
          <a:xfrm>
            <a:off x="1313381" y="1327296"/>
            <a:ext cx="2175150"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Selected Year &amp; Period</a:t>
            </a:r>
          </a:p>
        </xdr:txBody>
      </xdr:sp>
      <xdr:sp macro="" textlink="selected_year">
        <xdr:nvSpPr>
          <xdr:cNvPr id="11" name="Rounded Rectangle 10"/>
          <xdr:cNvSpPr/>
        </xdr:nvSpPr>
        <xdr:spPr>
          <a:xfrm>
            <a:off x="1438275" y="1700213"/>
            <a:ext cx="640080" cy="228600"/>
          </a:xfrm>
          <a:prstGeom prst="roundRect">
            <a:avLst>
              <a:gd name="adj" fmla="val 50000"/>
            </a:avLst>
          </a:prstGeom>
          <a:solidFill>
            <a:schemeClr val="bg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24E22DD-016D-4AB7-8A46-761256FCA06C}" type="TxLink">
              <a:rPr lang="en-US" sz="1000" b="1" i="0" u="none" strike="noStrike">
                <a:solidFill>
                  <a:srgbClr val="000000"/>
                </a:solidFill>
                <a:latin typeface="Calibri"/>
                <a:cs typeface="Calibri"/>
              </a:rPr>
              <a:pPr algn="ctr"/>
              <a:t>2022</a:t>
            </a:fld>
            <a:endParaRPr lang="en-US" sz="1000" b="1"/>
          </a:p>
        </xdr:txBody>
      </xdr:sp>
      <xdr:sp macro="" textlink="selected_period_display">
        <xdr:nvSpPr>
          <xdr:cNvPr id="20" name="Rounded Rectangle 19"/>
          <xdr:cNvSpPr/>
        </xdr:nvSpPr>
        <xdr:spPr>
          <a:xfrm>
            <a:off x="2162175" y="1700213"/>
            <a:ext cx="916781" cy="228600"/>
          </a:xfrm>
          <a:prstGeom prst="roundRect">
            <a:avLst>
              <a:gd name="adj" fmla="val 50000"/>
            </a:avLst>
          </a:prstGeom>
          <a:solidFill>
            <a:schemeClr val="bg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02A93E6-7C0A-475A-8ABF-C2420A10D22D}" type="TxLink">
              <a:rPr lang="en-US" sz="1000" b="1" i="0" u="none" strike="noStrike">
                <a:solidFill>
                  <a:srgbClr val="000000"/>
                </a:solidFill>
                <a:latin typeface="Calibri"/>
                <a:cs typeface="Calibri"/>
              </a:rPr>
              <a:pPr algn="ctr"/>
              <a:t>Total Year</a:t>
            </a:fld>
            <a:endParaRPr lang="en-US" sz="1000" b="1"/>
          </a:p>
        </xdr:txBody>
      </xdr:sp>
    </xdr:grpSp>
    <xdr:clientData/>
  </xdr:twoCellAnchor>
  <xdr:twoCellAnchor>
    <xdr:from>
      <xdr:col>26</xdr:col>
      <xdr:colOff>500063</xdr:colOff>
      <xdr:row>5</xdr:row>
      <xdr:rowOff>20410</xdr:rowOff>
    </xdr:from>
    <xdr:to>
      <xdr:col>28</xdr:col>
      <xdr:colOff>309565</xdr:colOff>
      <xdr:row>9</xdr:row>
      <xdr:rowOff>82810</xdr:rowOff>
    </xdr:to>
    <xdr:grpSp>
      <xdr:nvGrpSpPr>
        <xdr:cNvPr id="13" name="Group 12"/>
        <xdr:cNvGrpSpPr/>
      </xdr:nvGrpSpPr>
      <xdr:grpSpPr>
        <a:xfrm>
          <a:off x="4083844" y="1282473"/>
          <a:ext cx="1226346" cy="824400"/>
          <a:chOff x="4190998" y="1282473"/>
          <a:chExt cx="1226346" cy="824400"/>
        </a:xfrm>
      </xdr:grpSpPr>
      <xdr:sp macro="" textlink="">
        <xdr:nvSpPr>
          <xdr:cNvPr id="23" name="Rounded Rectangle 22"/>
          <xdr:cNvSpPr/>
        </xdr:nvSpPr>
        <xdr:spPr>
          <a:xfrm>
            <a:off x="4190998" y="1282473"/>
            <a:ext cx="1226346" cy="824400"/>
          </a:xfrm>
          <a:prstGeom prst="roundRect">
            <a:avLst/>
          </a:prstGeom>
          <a:solidFill>
            <a:schemeClr val="bg1"/>
          </a:solidFill>
          <a:ln w="6350">
            <a:solidFill>
              <a:schemeClr val="bg1">
                <a:lumMod val="85000"/>
              </a:schemeClr>
            </a:solidFill>
          </a:ln>
          <a:effectLst>
            <a:outerShdw blurRad="825500" dist="127000" dir="5400000" sx="95000" sy="95000" algn="ctr"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TextBox 23"/>
          <xdr:cNvSpPr txBox="1"/>
        </xdr:nvSpPr>
        <xdr:spPr>
          <a:xfrm>
            <a:off x="4246275" y="1327296"/>
            <a:ext cx="1017110"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Period Compl.</a:t>
            </a:r>
          </a:p>
        </xdr:txBody>
      </xdr:sp>
      <xdr:graphicFrame macro="">
        <xdr:nvGraphicFramePr>
          <xdr:cNvPr id="26" name="Chart 25"/>
          <xdr:cNvGraphicFramePr>
            <a:graphicFrameLocks/>
          </xdr:cNvGraphicFramePr>
        </xdr:nvGraphicFramePr>
        <xdr:xfrm>
          <a:off x="4324111" y="1488281"/>
          <a:ext cx="960120" cy="475488"/>
        </xdr:xfrm>
        <a:graphic>
          <a:graphicData uri="http://schemas.openxmlformats.org/drawingml/2006/chart">
            <c:chart xmlns:c="http://schemas.openxmlformats.org/drawingml/2006/chart" xmlns:r="http://schemas.openxmlformats.org/officeDocument/2006/relationships" r:id="rId5"/>
          </a:graphicData>
        </a:graphic>
      </xdr:graphicFrame>
      <xdr:sp macro="" textlink="Calculations!E24">
        <xdr:nvSpPr>
          <xdr:cNvPr id="25" name="TextBox 24"/>
          <xdr:cNvSpPr txBox="1"/>
        </xdr:nvSpPr>
        <xdr:spPr>
          <a:xfrm>
            <a:off x="4516293" y="1580549"/>
            <a:ext cx="575756"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7117D69-A7FC-475D-83A5-FF14A1B0D471}" type="TxLink">
              <a:rPr lang="en-US" sz="1200" b="1" i="0" u="none" strike="noStrike">
                <a:solidFill>
                  <a:srgbClr val="000000"/>
                </a:solidFill>
                <a:latin typeface="Calibri"/>
                <a:cs typeface="Calibri"/>
              </a:rPr>
              <a:pPr algn="ctr"/>
              <a:t>100%</a:t>
            </a:fld>
            <a:endParaRPr lang="en-US" sz="1400" b="1" i="0" u="none" strike="noStrike">
              <a:solidFill>
                <a:srgbClr val="000000"/>
              </a:solidFill>
              <a:latin typeface="Calibri" panose="020F0502020204030204"/>
              <a:cs typeface="Calibri" panose="020F0502020204030204"/>
            </a:endParaRPr>
          </a:p>
        </xdr:txBody>
      </xdr:sp>
    </xdr:grpSp>
    <xdr:clientData/>
  </xdr:twoCellAnchor>
  <xdr:twoCellAnchor editAs="absolute">
    <xdr:from>
      <xdr:col>28</xdr:col>
      <xdr:colOff>511973</xdr:colOff>
      <xdr:row>5</xdr:row>
      <xdr:rowOff>20410</xdr:rowOff>
    </xdr:from>
    <xdr:to>
      <xdr:col>32</xdr:col>
      <xdr:colOff>648716</xdr:colOff>
      <xdr:row>9</xdr:row>
      <xdr:rowOff>82810</xdr:rowOff>
    </xdr:to>
    <xdr:grpSp>
      <xdr:nvGrpSpPr>
        <xdr:cNvPr id="28" name="Group 27"/>
        <xdr:cNvGrpSpPr/>
      </xdr:nvGrpSpPr>
      <xdr:grpSpPr>
        <a:xfrm>
          <a:off x="5512598" y="1282473"/>
          <a:ext cx="3041868" cy="824400"/>
          <a:chOff x="7035052" y="1252817"/>
          <a:chExt cx="3050242" cy="824400"/>
        </a:xfrm>
      </xdr:grpSpPr>
      <xdr:sp macro="" textlink="">
        <xdr:nvSpPr>
          <xdr:cNvPr id="29" name="Rounded Rectangle 28"/>
          <xdr:cNvSpPr/>
        </xdr:nvSpPr>
        <xdr:spPr>
          <a:xfrm>
            <a:off x="7035052" y="1252817"/>
            <a:ext cx="3050242" cy="824400"/>
          </a:xfrm>
          <a:prstGeom prst="roundRect">
            <a:avLst/>
          </a:prstGeom>
          <a:solidFill>
            <a:schemeClr val="bg1"/>
          </a:solidFill>
          <a:ln w="6350">
            <a:solidFill>
              <a:schemeClr val="bg1">
                <a:lumMod val="85000"/>
              </a:schemeClr>
            </a:solidFill>
          </a:ln>
          <a:effectLst>
            <a:outerShdw blurRad="825500" dist="127000" dir="5400000" sx="95000" sy="95000" algn="ctr"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TextBox 29"/>
          <xdr:cNvSpPr txBox="1"/>
        </xdr:nvSpPr>
        <xdr:spPr>
          <a:xfrm>
            <a:off x="7091080" y="1297640"/>
            <a:ext cx="1758704"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Period Tracking Balance</a:t>
            </a:r>
          </a:p>
        </xdr:txBody>
      </xdr:sp>
      <xdr:sp macro="" textlink="Calculations!E25">
        <xdr:nvSpPr>
          <xdr:cNvPr id="31" name="TextBox 30"/>
          <xdr:cNvSpPr txBox="1"/>
        </xdr:nvSpPr>
        <xdr:spPr>
          <a:xfrm>
            <a:off x="7091081" y="1550893"/>
            <a:ext cx="786654"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7A61FA-5A86-4F6E-A670-F1107E96B87C}" type="TxLink">
              <a:rPr lang="en-US" sz="1200" b="1" i="0" u="none" strike="noStrike">
                <a:solidFill>
                  <a:srgbClr val="000000"/>
                </a:solidFill>
                <a:latin typeface="Calibri"/>
                <a:cs typeface="Calibri"/>
              </a:rPr>
              <a:t> 2,620 </a:t>
            </a:fld>
            <a:endParaRPr lang="en-US" sz="1400" b="1" i="0" u="none" strike="noStrike">
              <a:solidFill>
                <a:srgbClr val="000000"/>
              </a:solidFill>
              <a:latin typeface="Calibri" panose="020F0502020204030204"/>
              <a:cs typeface="Calibri" panose="020F0502020204030204"/>
            </a:endParaRPr>
          </a:p>
        </xdr:txBody>
      </xdr:sp>
      <xdr:sp macro="" textlink="Calculations!E26">
        <xdr:nvSpPr>
          <xdr:cNvPr id="32" name="TextBox 31"/>
          <xdr:cNvSpPr txBox="1"/>
        </xdr:nvSpPr>
        <xdr:spPr>
          <a:xfrm>
            <a:off x="7613275" y="1568823"/>
            <a:ext cx="2263266"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BF3884-67D9-4AFE-96F1-BFBAADFCAC31}" type="TxLink">
              <a:rPr lang="en-US" sz="1050" b="0" i="0" u="none" strike="noStrike">
                <a:solidFill>
                  <a:srgbClr val="000000"/>
                </a:solidFill>
                <a:latin typeface="Calibri"/>
                <a:cs typeface="Calibri"/>
              </a:rPr>
              <a:t>of tracked income left to be allocated</a:t>
            </a:fld>
            <a:endParaRPr lang="en-US" sz="1050" b="0" i="0" u="none" strike="noStrike">
              <a:solidFill>
                <a:srgbClr val="000000"/>
              </a:solidFill>
              <a:latin typeface="Calibri" panose="020F0502020204030204"/>
              <a:cs typeface="Calibri" panose="020F0502020204030204"/>
            </a:endParaRPr>
          </a:p>
        </xdr:txBody>
      </xdr:sp>
    </xdr:grpSp>
    <xdr:clientData/>
  </xdr:twoCellAnchor>
  <xdr:twoCellAnchor>
    <xdr:from>
      <xdr:col>32</xdr:col>
      <xdr:colOff>842973</xdr:colOff>
      <xdr:row>5</xdr:row>
      <xdr:rowOff>20410</xdr:rowOff>
    </xdr:from>
    <xdr:to>
      <xdr:col>38</xdr:col>
      <xdr:colOff>83344</xdr:colOff>
      <xdr:row>9</xdr:row>
      <xdr:rowOff>82810</xdr:rowOff>
    </xdr:to>
    <xdr:grpSp>
      <xdr:nvGrpSpPr>
        <xdr:cNvPr id="14" name="Group 13"/>
        <xdr:cNvGrpSpPr/>
      </xdr:nvGrpSpPr>
      <xdr:grpSpPr>
        <a:xfrm>
          <a:off x="8748723" y="1282473"/>
          <a:ext cx="2716996" cy="824400"/>
          <a:chOff x="8748723" y="1282473"/>
          <a:chExt cx="2716996" cy="824400"/>
        </a:xfrm>
      </xdr:grpSpPr>
      <xdr:sp macro="" textlink="">
        <xdr:nvSpPr>
          <xdr:cNvPr id="34" name="Rounded Rectangle 33"/>
          <xdr:cNvSpPr/>
        </xdr:nvSpPr>
        <xdr:spPr>
          <a:xfrm>
            <a:off x="8748723" y="1282473"/>
            <a:ext cx="2716996" cy="824400"/>
          </a:xfrm>
          <a:prstGeom prst="roundRect">
            <a:avLst/>
          </a:prstGeom>
          <a:solidFill>
            <a:schemeClr val="bg1"/>
          </a:solidFill>
          <a:ln w="6350">
            <a:solidFill>
              <a:schemeClr val="bg1">
                <a:lumMod val="85000"/>
              </a:schemeClr>
            </a:solidFill>
          </a:ln>
          <a:effectLst>
            <a:outerShdw blurRad="825500" dist="127000" dir="5400000" sx="95000" sy="95000" algn="ctr"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TextBox 34"/>
          <xdr:cNvSpPr txBox="1"/>
        </xdr:nvSpPr>
        <xdr:spPr>
          <a:xfrm>
            <a:off x="8804597" y="1327296"/>
            <a:ext cx="1753876"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Period Savings Rate</a:t>
            </a:r>
          </a:p>
        </xdr:txBody>
      </xdr:sp>
      <xdr:sp macro="" textlink="Calculations!E27">
        <xdr:nvSpPr>
          <xdr:cNvPr id="36" name="TextBox 35"/>
          <xdr:cNvSpPr txBox="1"/>
        </xdr:nvSpPr>
        <xdr:spPr>
          <a:xfrm>
            <a:off x="9757101" y="1580549"/>
            <a:ext cx="577524"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8AE36A5-22B9-4A19-A1F9-A16F0E631FF9}" type="TxLink">
              <a:rPr lang="en-US" sz="1200" b="1" i="0" u="none" strike="noStrike">
                <a:solidFill>
                  <a:schemeClr val="accent5"/>
                </a:solidFill>
                <a:latin typeface="Calibri"/>
                <a:cs typeface="Calibri"/>
              </a:rPr>
              <a:pPr algn="ctr"/>
              <a:t>22.7%</a:t>
            </a:fld>
            <a:endParaRPr lang="en-US" sz="1600" b="1" i="0" u="none" strike="noStrike">
              <a:solidFill>
                <a:schemeClr val="accent5"/>
              </a:solidFill>
              <a:latin typeface="Calibri" panose="020F0502020204030204"/>
              <a:cs typeface="Calibri" panose="020F0502020204030204"/>
            </a:endParaRPr>
          </a:p>
        </xdr:txBody>
      </xdr:sp>
      <xdr:sp macro="" textlink="">
        <xdr:nvSpPr>
          <xdr:cNvPr id="37" name="TextBox 36"/>
          <xdr:cNvSpPr txBox="1"/>
        </xdr:nvSpPr>
        <xdr:spPr>
          <a:xfrm>
            <a:off x="8861024" y="1598479"/>
            <a:ext cx="997360"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i="0" u="none" strike="noStrike">
                <a:solidFill>
                  <a:srgbClr val="000000"/>
                </a:solidFill>
                <a:latin typeface="Calibri"/>
                <a:cs typeface="Calibri"/>
              </a:rPr>
              <a:t>You are saving</a:t>
            </a:r>
          </a:p>
        </xdr:txBody>
      </xdr:sp>
      <xdr:sp macro="" textlink="">
        <xdr:nvSpPr>
          <xdr:cNvPr id="38" name="TextBox 37"/>
          <xdr:cNvSpPr txBox="1"/>
        </xdr:nvSpPr>
        <xdr:spPr>
          <a:xfrm>
            <a:off x="10192142" y="1598479"/>
            <a:ext cx="1166420" cy="302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i="0" u="none" strike="noStrike">
                <a:solidFill>
                  <a:srgbClr val="000000"/>
                </a:solidFill>
                <a:latin typeface="Calibri"/>
                <a:cs typeface="Calibri"/>
              </a:rPr>
              <a:t>of your Income</a:t>
            </a:r>
          </a:p>
        </xdr:txBody>
      </xdr:sp>
    </xdr:grpSp>
    <xdr:clientData/>
  </xdr:twoCellAnchor>
</xdr:wsDr>
</file>

<file path=xl/tables/table1.xml><?xml version="1.0" encoding="utf-8"?>
<table xmlns="http://schemas.openxmlformats.org/spreadsheetml/2006/main" id="1" name="Income" displayName="Income" ref="C9:C12" totalsRowShown="0">
  <autoFilter ref="C9:C12">
    <filterColumn colId="0" hiddenButton="1"/>
  </autoFilter>
  <tableColumns count="1">
    <tableColumn id="1" name="Income" dataDxfId="44"/>
  </tableColumns>
  <tableStyleInfo name="Income Table Style" showFirstColumn="0" showLastColumn="0" showRowStripes="1" showColumnStripes="0"/>
</table>
</file>

<file path=xl/tables/table2.xml><?xml version="1.0" encoding="utf-8"?>
<table xmlns="http://schemas.openxmlformats.org/spreadsheetml/2006/main" id="2" name="Expenses" displayName="Expenses" ref="C22:C31" totalsRowShown="0">
  <autoFilter ref="C22:C31">
    <filterColumn colId="0" hiddenButton="1"/>
  </autoFilter>
  <tableColumns count="1">
    <tableColumn id="1" name="Expenses" dataDxfId="43"/>
  </tableColumns>
  <tableStyleInfo name="Expenses Table Style" showFirstColumn="0" showLastColumn="0" showRowStripes="1" showColumnStripes="0"/>
</table>
</file>

<file path=xl/tables/table3.xml><?xml version="1.0" encoding="utf-8"?>
<table xmlns="http://schemas.openxmlformats.org/spreadsheetml/2006/main" id="3" name="Savings" displayName="Savings" ref="C38:C43" totalsRowShown="0">
  <autoFilter ref="C38:C43">
    <filterColumn colId="0" hiddenButton="1"/>
  </autoFilter>
  <tableColumns count="1">
    <tableColumn id="1" name="Savings" dataDxfId="42"/>
  </tableColumns>
  <tableStyleInfo name="Savings Table Style" showFirstColumn="0" showLastColumn="0" showRowStripes="1" showColumnStripes="0"/>
</table>
</file>

<file path=xl/tables/table4.xml><?xml version="1.0" encoding="utf-8"?>
<table xmlns="http://schemas.openxmlformats.org/spreadsheetml/2006/main" id="4" name="Tracking" displayName="Tracking" ref="C11:I70" totalsRowShown="0">
  <autoFilter ref="C11:I70"/>
  <sortState ref="C11:I70">
    <sortCondition ref="C11:C70"/>
  </sortState>
  <tableColumns count="7">
    <tableColumn id="1" name="Date" dataDxfId="41"/>
    <tableColumn id="2" name="Type" dataDxfId="40"/>
    <tableColumn id="3" name="Category" dataDxfId="39"/>
    <tableColumn id="4" name="Amount" dataDxfId="38"/>
    <tableColumn id="5" name="Details" dataDxfId="37"/>
    <tableColumn id="6" name="Balance" dataDxfId="36">
      <calculatedColumnFormula>SUMPRODUCT(Tracking[Amount],--(Tracking[Date]&lt;=Tracking[[#This Row],[Date]]),(Tracking[Type]&lt;&gt;"income")*(-1)+(Tracking[Type]="income"))</calculatedColumnFormula>
    </tableColumn>
    <tableColumn id="7" name="Effective Date" dataDxfId="35">
      <calculatedColumnFormula>IF(AND(Tracking[[#This Row],[Type]]="income",shift_late_income_status="Active",DAY(Tracking[[#This Row],[Date]])&gt;=shift_late_income_starting_day),DATE(YEAR(Tracking[[#This Row],[Date]]),MONTH(Tracking[[#This Row],[Date]])+1,1),Tracking[[#This Row],[Date]])</calculatedColumnFormula>
    </tableColumn>
  </tableColumns>
  <tableStyleInfo name="Tracking Table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Y25"/>
  <sheetViews>
    <sheetView showGridLines="0" topLeftCell="A8" workbookViewId="0">
      <selection activeCell="E9" sqref="E9"/>
    </sheetView>
  </sheetViews>
  <sheetFormatPr defaultColWidth="9" defaultRowHeight="15"/>
  <cols>
    <col min="3" max="3" width="3.28515625" customWidth="1"/>
    <col min="4" max="4" width="29.28515625" customWidth="1"/>
    <col min="5" max="5" width="23.140625" customWidth="1"/>
    <col min="6" max="6" width="1.85546875" customWidth="1"/>
    <col min="7" max="7" width="80.85546875" customWidth="1"/>
    <col min="8" max="8" width="3.28515625" customWidth="1"/>
  </cols>
  <sheetData>
    <row r="1" spans="2:25" s="46" customFormat="1" ht="39.75" customHeight="1">
      <c r="B1" s="106" t="s">
        <v>108</v>
      </c>
      <c r="C1" s="47"/>
      <c r="Y1" s="106"/>
    </row>
    <row r="6" spans="2:25">
      <c r="C6" s="90" t="s">
        <v>0</v>
      </c>
      <c r="D6" s="90"/>
      <c r="E6" s="90"/>
      <c r="F6" s="90"/>
      <c r="G6" s="90"/>
      <c r="H6" s="90"/>
    </row>
    <row r="7" spans="2:25">
      <c r="C7" s="27"/>
      <c r="D7" s="29"/>
      <c r="E7" s="29"/>
      <c r="F7" s="29"/>
      <c r="G7" s="29"/>
      <c r="H7" s="28"/>
    </row>
    <row r="8" spans="2:25">
      <c r="C8" s="27"/>
      <c r="D8" s="74" t="s">
        <v>1</v>
      </c>
      <c r="E8" s="75">
        <v>2022</v>
      </c>
      <c r="F8" s="29"/>
      <c r="G8" s="76" t="s">
        <v>2</v>
      </c>
      <c r="H8" s="28"/>
    </row>
    <row r="9" spans="2:25">
      <c r="C9" s="38"/>
      <c r="D9" s="12"/>
      <c r="E9" s="12"/>
      <c r="F9" s="12"/>
      <c r="G9" s="12"/>
      <c r="H9" s="45"/>
    </row>
    <row r="12" spans="2:25">
      <c r="C12" s="90" t="s">
        <v>3</v>
      </c>
      <c r="D12" s="90"/>
      <c r="E12" s="90"/>
      <c r="F12" s="90"/>
      <c r="G12" s="90"/>
      <c r="H12" s="90"/>
    </row>
    <row r="13" spans="2:25">
      <c r="C13" s="27"/>
      <c r="D13" s="29"/>
      <c r="E13" s="29"/>
      <c r="F13" s="29"/>
      <c r="G13" s="29"/>
      <c r="H13" s="28"/>
    </row>
    <row r="14" spans="2:25" ht="15.75">
      <c r="C14" s="27"/>
      <c r="D14" s="77" t="s">
        <v>4</v>
      </c>
      <c r="E14" s="29"/>
      <c r="F14" s="29"/>
      <c r="G14" s="29"/>
      <c r="H14" s="28"/>
    </row>
    <row r="15" spans="2:25">
      <c r="C15" s="27"/>
      <c r="D15" s="29"/>
      <c r="E15" s="29"/>
      <c r="F15" s="29"/>
      <c r="G15" s="29"/>
      <c r="H15" s="28"/>
    </row>
    <row r="16" spans="2:25">
      <c r="C16" s="27"/>
      <c r="D16" s="78" t="s">
        <v>5</v>
      </c>
      <c r="E16" s="75" t="s">
        <v>6</v>
      </c>
      <c r="F16" s="29"/>
      <c r="G16" s="91" t="s">
        <v>7</v>
      </c>
      <c r="H16" s="28"/>
    </row>
    <row r="17" spans="3:8" ht="6" customHeight="1">
      <c r="C17" s="27"/>
      <c r="D17" s="29"/>
      <c r="E17" s="29"/>
      <c r="F17" s="29"/>
      <c r="G17" s="91"/>
      <c r="H17" s="28"/>
    </row>
    <row r="18" spans="3:8">
      <c r="C18" s="27"/>
      <c r="D18" s="78" t="s">
        <v>8</v>
      </c>
      <c r="E18" s="75">
        <v>20</v>
      </c>
      <c r="F18" s="29"/>
      <c r="G18" s="91"/>
      <c r="H18" s="28"/>
    </row>
    <row r="19" spans="3:8">
      <c r="C19" s="27"/>
      <c r="D19" s="29"/>
      <c r="E19" s="29"/>
      <c r="F19" s="29"/>
      <c r="G19" s="29"/>
      <c r="H19" s="28"/>
    </row>
    <row r="20" spans="3:8" ht="15.75">
      <c r="C20" s="27"/>
      <c r="D20" s="113" t="s">
        <v>114</v>
      </c>
      <c r="E20" s="29"/>
      <c r="F20" s="29"/>
      <c r="G20" s="29"/>
      <c r="H20" s="28"/>
    </row>
    <row r="21" spans="3:8">
      <c r="C21" s="27"/>
      <c r="D21" s="29"/>
      <c r="E21" s="29"/>
      <c r="F21" s="29"/>
      <c r="G21" s="29"/>
      <c r="H21" s="28"/>
    </row>
    <row r="22" spans="3:8">
      <c r="C22" s="27"/>
      <c r="D22" s="114" t="s">
        <v>115</v>
      </c>
      <c r="E22" s="75" t="s">
        <v>116</v>
      </c>
      <c r="F22" s="29"/>
      <c r="G22" s="116" t="s">
        <v>117</v>
      </c>
      <c r="H22" s="28"/>
    </row>
    <row r="23" spans="3:8">
      <c r="C23" s="27"/>
      <c r="D23" s="29"/>
      <c r="E23" s="29"/>
      <c r="F23" s="29"/>
      <c r="G23" s="115"/>
      <c r="H23" s="28"/>
    </row>
    <row r="24" spans="3:8">
      <c r="C24" s="27"/>
      <c r="D24" s="29"/>
      <c r="E24" s="29"/>
      <c r="F24" s="29"/>
      <c r="G24" s="115"/>
      <c r="H24" s="28"/>
    </row>
    <row r="25" spans="3:8">
      <c r="C25" s="38"/>
      <c r="D25" s="12"/>
      <c r="E25" s="12"/>
      <c r="F25" s="12"/>
      <c r="G25" s="12"/>
      <c r="H25" s="45"/>
    </row>
  </sheetData>
  <mergeCells count="4">
    <mergeCell ref="C6:H6"/>
    <mergeCell ref="C12:H12"/>
    <mergeCell ref="G16:G18"/>
    <mergeCell ref="G22:G24"/>
  </mergeCells>
  <conditionalFormatting sqref="E18">
    <cfRule type="expression" dxfId="34" priority="1">
      <formula>shift_late_income_status="inactive"</formula>
    </cfRule>
  </conditionalFormatting>
  <dataValidations count="2">
    <dataValidation type="list" allowBlank="1" showInputMessage="1" showErrorMessage="1" sqref="E16">
      <formula1>"Active, Inactive"</formula1>
    </dataValidation>
    <dataValidation type="list" allowBlank="1" showInputMessage="1" showErrorMessage="1" sqref="E22">
      <formula1>"% allocated to Savings, % not allocated to Expenses"</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1:EM49"/>
  <sheetViews>
    <sheetView showGridLines="0" tabSelected="1" topLeftCell="B1" zoomScale="80" zoomScaleNormal="80" workbookViewId="0">
      <pane xSplit="3" topLeftCell="E1" activePane="topRight" state="frozen"/>
      <selection pane="topRight" activeCell="C2" sqref="C2"/>
    </sheetView>
  </sheetViews>
  <sheetFormatPr defaultColWidth="9" defaultRowHeight="15" outlineLevelCol="1"/>
  <cols>
    <col min="3" max="3" width="26.5703125" customWidth="1"/>
    <col min="4" max="4" width="1.5703125" customWidth="1"/>
    <col min="5" max="16" width="10.7109375" customWidth="1" outlineLevel="1"/>
    <col min="17" max="17" width="10.42578125" customWidth="1"/>
    <col min="18" max="18" width="1.42578125" customWidth="1"/>
    <col min="19" max="30" width="10.7109375" customWidth="1" outlineLevel="1"/>
    <col min="31" max="31" width="10.42578125" customWidth="1"/>
    <col min="32" max="32" width="1.42578125" customWidth="1"/>
    <col min="33" max="44" width="10.7109375" hidden="1" customWidth="1" outlineLevel="1"/>
    <col min="45" max="45" width="10.42578125" customWidth="1" collapsed="1"/>
    <col min="46" max="46" width="1.42578125" customWidth="1"/>
    <col min="47" max="58" width="10.7109375" hidden="1" customWidth="1" outlineLevel="1"/>
    <col min="59" max="59" width="10.42578125" customWidth="1" collapsed="1"/>
    <col min="60" max="60" width="1.42578125" customWidth="1"/>
    <col min="61" max="72" width="10.7109375" hidden="1" customWidth="1" outlineLevel="1"/>
    <col min="73" max="73" width="10.42578125" customWidth="1" collapsed="1"/>
    <col min="74" max="74" width="1.42578125" customWidth="1"/>
    <col min="75" max="86" width="10.7109375" hidden="1" customWidth="1" outlineLevel="1"/>
    <col min="87" max="87" width="10.42578125" customWidth="1" collapsed="1"/>
    <col min="88" max="88" width="1.42578125" customWidth="1"/>
    <col min="89" max="100" width="10.7109375" hidden="1" customWidth="1" outlineLevel="1"/>
    <col min="101" max="101" width="10.42578125" customWidth="1" collapsed="1"/>
    <col min="102" max="102" width="1.42578125" customWidth="1"/>
    <col min="103" max="114" width="10.7109375" hidden="1" customWidth="1" outlineLevel="1"/>
    <col min="115" max="115" width="10.42578125" customWidth="1" collapsed="1"/>
    <col min="116" max="116" width="1.42578125" customWidth="1"/>
    <col min="117" max="128" width="10.7109375" hidden="1" customWidth="1" outlineLevel="1"/>
    <col min="129" max="129" width="10.42578125" customWidth="1" collapsed="1"/>
    <col min="130" max="130" width="1.42578125" customWidth="1"/>
    <col min="131" max="142" width="10.7109375" hidden="1" customWidth="1" outlineLevel="1"/>
    <col min="143" max="143" width="10.42578125" customWidth="1" collapsed="1"/>
    <col min="144" max="144" width="1.42578125" customWidth="1"/>
  </cols>
  <sheetData>
    <row r="1" spans="3:143" s="46" customFormat="1" ht="39.75" customHeight="1">
      <c r="C1" s="47" t="s">
        <v>9</v>
      </c>
      <c r="Y1" s="106"/>
    </row>
    <row r="5" spans="3:143" ht="20.25" customHeight="1">
      <c r="C5" s="57" t="s">
        <v>10</v>
      </c>
      <c r="E5" s="92">
        <f>starting_year</f>
        <v>2022</v>
      </c>
      <c r="F5" s="92"/>
      <c r="G5" s="92"/>
      <c r="H5" s="92"/>
      <c r="I5" s="92"/>
      <c r="J5" s="92"/>
      <c r="K5" s="92"/>
      <c r="L5" s="92"/>
      <c r="M5" s="92"/>
      <c r="N5" s="92"/>
      <c r="O5" s="92"/>
      <c r="P5" s="92"/>
      <c r="Q5" s="92"/>
      <c r="S5" s="92">
        <f>E5+1</f>
        <v>2023</v>
      </c>
      <c r="T5" s="92"/>
      <c r="U5" s="92"/>
      <c r="V5" s="92"/>
      <c r="W5" s="92"/>
      <c r="X5" s="92"/>
      <c r="Y5" s="92"/>
      <c r="Z5" s="92"/>
      <c r="AA5" s="92"/>
      <c r="AB5" s="92"/>
      <c r="AC5" s="92"/>
      <c r="AD5" s="92"/>
      <c r="AE5" s="92"/>
      <c r="AG5" s="92">
        <f t="shared" ref="AG5" si="0">S5+1</f>
        <v>2024</v>
      </c>
      <c r="AH5" s="92"/>
      <c r="AI5" s="92"/>
      <c r="AJ5" s="92"/>
      <c r="AK5" s="92"/>
      <c r="AL5" s="92"/>
      <c r="AM5" s="92"/>
      <c r="AN5" s="92"/>
      <c r="AO5" s="92"/>
      <c r="AP5" s="92"/>
      <c r="AQ5" s="92"/>
      <c r="AR5" s="92"/>
      <c r="AS5" s="92"/>
      <c r="AU5" s="92">
        <f t="shared" ref="AU5" si="1">AG5+1</f>
        <v>2025</v>
      </c>
      <c r="AV5" s="92"/>
      <c r="AW5" s="92"/>
      <c r="AX5" s="92"/>
      <c r="AY5" s="92"/>
      <c r="AZ5" s="92"/>
      <c r="BA5" s="92"/>
      <c r="BB5" s="92"/>
      <c r="BC5" s="92"/>
      <c r="BD5" s="92"/>
      <c r="BE5" s="92"/>
      <c r="BF5" s="92"/>
      <c r="BG5" s="92"/>
      <c r="BI5" s="92">
        <f t="shared" ref="BI5" si="2">AU5+1</f>
        <v>2026</v>
      </c>
      <c r="BJ5" s="92"/>
      <c r="BK5" s="92"/>
      <c r="BL5" s="92"/>
      <c r="BM5" s="92"/>
      <c r="BN5" s="92"/>
      <c r="BO5" s="92"/>
      <c r="BP5" s="92"/>
      <c r="BQ5" s="92"/>
      <c r="BR5" s="92"/>
      <c r="BS5" s="92"/>
      <c r="BT5" s="92"/>
      <c r="BU5" s="92"/>
      <c r="BW5" s="92">
        <f t="shared" ref="BW5" si="3">BI5+1</f>
        <v>2027</v>
      </c>
      <c r="BX5" s="92"/>
      <c r="BY5" s="92"/>
      <c r="BZ5" s="92"/>
      <c r="CA5" s="92"/>
      <c r="CB5" s="92"/>
      <c r="CC5" s="92"/>
      <c r="CD5" s="92"/>
      <c r="CE5" s="92"/>
      <c r="CF5" s="92"/>
      <c r="CG5" s="92"/>
      <c r="CH5" s="92"/>
      <c r="CI5" s="92"/>
      <c r="CK5" s="92">
        <f t="shared" ref="CK5" si="4">BW5+1</f>
        <v>2028</v>
      </c>
      <c r="CL5" s="92"/>
      <c r="CM5" s="92"/>
      <c r="CN5" s="92"/>
      <c r="CO5" s="92"/>
      <c r="CP5" s="92"/>
      <c r="CQ5" s="92"/>
      <c r="CR5" s="92"/>
      <c r="CS5" s="92"/>
      <c r="CT5" s="92"/>
      <c r="CU5" s="92"/>
      <c r="CV5" s="92"/>
      <c r="CW5" s="92"/>
      <c r="CY5" s="92">
        <f t="shared" ref="CY5" si="5">CK5+1</f>
        <v>2029</v>
      </c>
      <c r="CZ5" s="92"/>
      <c r="DA5" s="92"/>
      <c r="DB5" s="92"/>
      <c r="DC5" s="92"/>
      <c r="DD5" s="92"/>
      <c r="DE5" s="92"/>
      <c r="DF5" s="92"/>
      <c r="DG5" s="92"/>
      <c r="DH5" s="92"/>
      <c r="DI5" s="92"/>
      <c r="DJ5" s="92"/>
      <c r="DK5" s="92"/>
      <c r="DM5" s="92">
        <f t="shared" ref="DM5" si="6">CY5+1</f>
        <v>2030</v>
      </c>
      <c r="DN5" s="92"/>
      <c r="DO5" s="92"/>
      <c r="DP5" s="92"/>
      <c r="DQ5" s="92"/>
      <c r="DR5" s="92"/>
      <c r="DS5" s="92"/>
      <c r="DT5" s="92"/>
      <c r="DU5" s="92"/>
      <c r="DV5" s="92"/>
      <c r="DW5" s="92"/>
      <c r="DX5" s="92"/>
      <c r="DY5" s="92"/>
      <c r="EA5" s="92">
        <f t="shared" ref="EA5" si="7">DM5+1</f>
        <v>2031</v>
      </c>
      <c r="EB5" s="92"/>
      <c r="EC5" s="92"/>
      <c r="ED5" s="92"/>
      <c r="EE5" s="92"/>
      <c r="EF5" s="92"/>
      <c r="EG5" s="92"/>
      <c r="EH5" s="92"/>
      <c r="EI5" s="92"/>
      <c r="EJ5" s="92"/>
      <c r="EK5" s="92"/>
      <c r="EL5" s="92"/>
      <c r="EM5" s="92"/>
    </row>
    <row r="6" spans="3:143">
      <c r="E6" s="58" t="str">
        <f ca="1">IF(E7=0,"Jan✔","Jan")</f>
        <v>Jan✔</v>
      </c>
      <c r="F6" s="58" t="str">
        <f ca="1">IF(F7=0,"Feb✔","Feb")</f>
        <v>Feb✔</v>
      </c>
      <c r="G6" s="58" t="str">
        <f ca="1">IF(G7=0,"Mar✔","Mar")</f>
        <v>Mar✔</v>
      </c>
      <c r="H6" s="58" t="str">
        <f ca="1">IF(H7=0,"Apr✔","Apr")</f>
        <v>Apr✔</v>
      </c>
      <c r="I6" s="58" t="str">
        <f ca="1">IF(I7=0,"May✔","May")</f>
        <v>May✔</v>
      </c>
      <c r="J6" s="58" t="str">
        <f ca="1">IF(J7=0,"Jun✔","Jun")</f>
        <v>Jun✔</v>
      </c>
      <c r="K6" s="58" t="str">
        <f ca="1">IF(K7=0,"Jul✔","Jul")</f>
        <v>Jul✔</v>
      </c>
      <c r="L6" s="58" t="str">
        <f ca="1">IF(L7=0,"Aug✔","Aug")</f>
        <v>Aug✔</v>
      </c>
      <c r="M6" s="58" t="str">
        <f ca="1">IF(M7=0,"Sep✔","Sep")</f>
        <v>Sep✔</v>
      </c>
      <c r="N6" s="58" t="str">
        <f ca="1">IF(N7=0,"Oct✔","Oct")</f>
        <v>Oct✔</v>
      </c>
      <c r="O6" s="58" t="str">
        <f ca="1">IF(O7=0,"Nov✔","Nov")</f>
        <v>Nov✔</v>
      </c>
      <c r="P6" s="58" t="str">
        <f ca="1">IF(P7=0,"Dec✔","Dec")</f>
        <v>Dec✔</v>
      </c>
      <c r="Q6" s="58" t="str">
        <f ca="1">IF(Q7=0,"Total✔","Total")</f>
        <v>Total✔</v>
      </c>
      <c r="S6" s="58" t="str">
        <f ca="1">IF(S7=0,"Jan✔","Jan")</f>
        <v>Jan✔</v>
      </c>
      <c r="T6" s="58" t="str">
        <f ca="1">IF(T7=0,"Feb✔","Feb")</f>
        <v>Feb✔</v>
      </c>
      <c r="U6" s="58" t="str">
        <f ca="1">IF(U7=0,"Mar✔","Mar")</f>
        <v>Mar✔</v>
      </c>
      <c r="V6" s="58" t="str">
        <f ca="1">IF(V7=0,"Apr✔","Apr")</f>
        <v>Apr✔</v>
      </c>
      <c r="W6" s="58" t="str">
        <f ca="1">IF(W7=0,"May✔","May")</f>
        <v>May✔</v>
      </c>
      <c r="X6" s="58" t="str">
        <f ca="1">IF(X7=0,"Jun✔","Jun")</f>
        <v>Jun✔</v>
      </c>
      <c r="Y6" s="58" t="str">
        <f ca="1">IF(Y7=0,"Jul✔","Jul")</f>
        <v>Jul✔</v>
      </c>
      <c r="Z6" s="58" t="str">
        <f ca="1">IF(Z7=0,"Aug✔","Aug")</f>
        <v>Aug✔</v>
      </c>
      <c r="AA6" s="58" t="str">
        <f ca="1">IF(AA7=0,"Sep✔","Sep")</f>
        <v>Sep✔</v>
      </c>
      <c r="AB6" s="58" t="str">
        <f ca="1">IF(AB7=0,"Oct✔","Oct")</f>
        <v>Oct✔</v>
      </c>
      <c r="AC6" s="58" t="str">
        <f ca="1">IF(AC7=0,"Nov✔","Nov")</f>
        <v>Nov✔</v>
      </c>
      <c r="AD6" s="58" t="str">
        <f ca="1">IF(AD7=0,"Dec✔","Dec")</f>
        <v>Dec✔</v>
      </c>
      <c r="AE6" s="58" t="str">
        <f ca="1">IF(AE7=0,"Total✔","Total")</f>
        <v>Total✔</v>
      </c>
      <c r="AG6" s="58" t="str">
        <f t="shared" ref="AG6" ca="1" si="8">IF(AG7=0,"Jan✔","Jan")</f>
        <v>Jan✔</v>
      </c>
      <c r="AH6" s="58" t="str">
        <f t="shared" ref="AH6" ca="1" si="9">IF(AH7=0,"Feb✔","Feb")</f>
        <v>Feb✔</v>
      </c>
      <c r="AI6" s="58" t="str">
        <f t="shared" ref="AI6" ca="1" si="10">IF(AI7=0,"Mar✔","Mar")</f>
        <v>Mar✔</v>
      </c>
      <c r="AJ6" s="58" t="str">
        <f t="shared" ref="AJ6" ca="1" si="11">IF(AJ7=0,"Apr✔","Apr")</f>
        <v>Apr✔</v>
      </c>
      <c r="AK6" s="58" t="str">
        <f t="shared" ref="AK6" ca="1" si="12">IF(AK7=0,"May✔","May")</f>
        <v>May✔</v>
      </c>
      <c r="AL6" s="58" t="str">
        <f t="shared" ref="AL6" ca="1" si="13">IF(AL7=0,"Jun✔","Jun")</f>
        <v>Jun✔</v>
      </c>
      <c r="AM6" s="58" t="str">
        <f t="shared" ref="AM6" ca="1" si="14">IF(AM7=0,"Jul✔","Jul")</f>
        <v>Jul✔</v>
      </c>
      <c r="AN6" s="58" t="str">
        <f t="shared" ref="AN6" ca="1" si="15">IF(AN7=0,"Aug✔","Aug")</f>
        <v>Aug✔</v>
      </c>
      <c r="AO6" s="58" t="str">
        <f t="shared" ref="AO6" ca="1" si="16">IF(AO7=0,"Sep✔","Sep")</f>
        <v>Sep✔</v>
      </c>
      <c r="AP6" s="58" t="str">
        <f t="shared" ref="AP6" ca="1" si="17">IF(AP7=0,"Oct✔","Oct")</f>
        <v>Oct✔</v>
      </c>
      <c r="AQ6" s="58" t="str">
        <f t="shared" ref="AQ6" ca="1" si="18">IF(AQ7=0,"Nov✔","Nov")</f>
        <v>Nov✔</v>
      </c>
      <c r="AR6" s="58" t="str">
        <f t="shared" ref="AR6" ca="1" si="19">IF(AR7=0,"Dec✔","Dec")</f>
        <v>Dec✔</v>
      </c>
      <c r="AS6" s="58" t="str">
        <f t="shared" ref="AS6" ca="1" si="20">IF(AS7=0,"Total✔","Total")</f>
        <v>Total✔</v>
      </c>
      <c r="AU6" s="58" t="str">
        <f t="shared" ref="AU6" ca="1" si="21">IF(AU7=0,"Jan✔","Jan")</f>
        <v>Jan✔</v>
      </c>
      <c r="AV6" s="58" t="str">
        <f t="shared" ref="AV6" ca="1" si="22">IF(AV7=0,"Feb✔","Feb")</f>
        <v>Feb✔</v>
      </c>
      <c r="AW6" s="58" t="str">
        <f t="shared" ref="AW6" ca="1" si="23">IF(AW7=0,"Mar✔","Mar")</f>
        <v>Mar✔</v>
      </c>
      <c r="AX6" s="58" t="str">
        <f t="shared" ref="AX6" ca="1" si="24">IF(AX7=0,"Apr✔","Apr")</f>
        <v>Apr✔</v>
      </c>
      <c r="AY6" s="58" t="str">
        <f t="shared" ref="AY6" ca="1" si="25">IF(AY7=0,"May✔","May")</f>
        <v>May✔</v>
      </c>
      <c r="AZ6" s="58" t="str">
        <f t="shared" ref="AZ6" ca="1" si="26">IF(AZ7=0,"Jun✔","Jun")</f>
        <v>Jun✔</v>
      </c>
      <c r="BA6" s="58" t="str">
        <f t="shared" ref="BA6" ca="1" si="27">IF(BA7=0,"Jul✔","Jul")</f>
        <v>Jul✔</v>
      </c>
      <c r="BB6" s="58" t="str">
        <f t="shared" ref="BB6" ca="1" si="28">IF(BB7=0,"Aug✔","Aug")</f>
        <v>Aug✔</v>
      </c>
      <c r="BC6" s="58" t="str">
        <f t="shared" ref="BC6" ca="1" si="29">IF(BC7=0,"Sep✔","Sep")</f>
        <v>Sep✔</v>
      </c>
      <c r="BD6" s="58" t="str">
        <f t="shared" ref="BD6" ca="1" si="30">IF(BD7=0,"Oct✔","Oct")</f>
        <v>Oct✔</v>
      </c>
      <c r="BE6" s="58" t="str">
        <f t="shared" ref="BE6" ca="1" si="31">IF(BE7=0,"Nov✔","Nov")</f>
        <v>Nov✔</v>
      </c>
      <c r="BF6" s="58" t="str">
        <f t="shared" ref="BF6" ca="1" si="32">IF(BF7=0,"Dec✔","Dec")</f>
        <v>Dec✔</v>
      </c>
      <c r="BG6" s="58" t="str">
        <f t="shared" ref="BG6" ca="1" si="33">IF(BG7=0,"Total✔","Total")</f>
        <v>Total✔</v>
      </c>
      <c r="BI6" s="58" t="str">
        <f t="shared" ref="BI6" ca="1" si="34">IF(BI7=0,"Jan✔","Jan")</f>
        <v>Jan✔</v>
      </c>
      <c r="BJ6" s="58" t="str">
        <f t="shared" ref="BJ6" ca="1" si="35">IF(BJ7=0,"Feb✔","Feb")</f>
        <v>Feb✔</v>
      </c>
      <c r="BK6" s="58" t="str">
        <f t="shared" ref="BK6" ca="1" si="36">IF(BK7=0,"Mar✔","Mar")</f>
        <v>Mar✔</v>
      </c>
      <c r="BL6" s="58" t="str">
        <f t="shared" ref="BL6" ca="1" si="37">IF(BL7=0,"Apr✔","Apr")</f>
        <v>Apr✔</v>
      </c>
      <c r="BM6" s="58" t="str">
        <f t="shared" ref="BM6" ca="1" si="38">IF(BM7=0,"May✔","May")</f>
        <v>May✔</v>
      </c>
      <c r="BN6" s="58" t="str">
        <f t="shared" ref="BN6" ca="1" si="39">IF(BN7=0,"Jun✔","Jun")</f>
        <v>Jun✔</v>
      </c>
      <c r="BO6" s="58" t="str">
        <f t="shared" ref="BO6" ca="1" si="40">IF(BO7=0,"Jul✔","Jul")</f>
        <v>Jul✔</v>
      </c>
      <c r="BP6" s="58" t="str">
        <f t="shared" ref="BP6" ca="1" si="41">IF(BP7=0,"Aug✔","Aug")</f>
        <v>Aug✔</v>
      </c>
      <c r="BQ6" s="58" t="str">
        <f t="shared" ref="BQ6" ca="1" si="42">IF(BQ7=0,"Sep✔","Sep")</f>
        <v>Sep✔</v>
      </c>
      <c r="BR6" s="58" t="str">
        <f t="shared" ref="BR6" ca="1" si="43">IF(BR7=0,"Oct✔","Oct")</f>
        <v>Oct✔</v>
      </c>
      <c r="BS6" s="58" t="str">
        <f t="shared" ref="BS6" ca="1" si="44">IF(BS7=0,"Nov✔","Nov")</f>
        <v>Nov✔</v>
      </c>
      <c r="BT6" s="58" t="str">
        <f t="shared" ref="BT6" ca="1" si="45">IF(BT7=0,"Dec✔","Dec")</f>
        <v>Dec✔</v>
      </c>
      <c r="BU6" s="58" t="str">
        <f t="shared" ref="BU6" ca="1" si="46">IF(BU7=0,"Total✔","Total")</f>
        <v>Total✔</v>
      </c>
      <c r="BW6" s="58" t="str">
        <f t="shared" ref="BW6" ca="1" si="47">IF(BW7=0,"Jan✔","Jan")</f>
        <v>Jan✔</v>
      </c>
      <c r="BX6" s="58" t="str">
        <f t="shared" ref="BX6" ca="1" si="48">IF(BX7=0,"Feb✔","Feb")</f>
        <v>Feb✔</v>
      </c>
      <c r="BY6" s="58" t="str">
        <f t="shared" ref="BY6" ca="1" si="49">IF(BY7=0,"Mar✔","Mar")</f>
        <v>Mar✔</v>
      </c>
      <c r="BZ6" s="58" t="str">
        <f t="shared" ref="BZ6" ca="1" si="50">IF(BZ7=0,"Apr✔","Apr")</f>
        <v>Apr✔</v>
      </c>
      <c r="CA6" s="58" t="str">
        <f t="shared" ref="CA6" ca="1" si="51">IF(CA7=0,"May✔","May")</f>
        <v>May✔</v>
      </c>
      <c r="CB6" s="58" t="str">
        <f t="shared" ref="CB6" ca="1" si="52">IF(CB7=0,"Jun✔","Jun")</f>
        <v>Jun✔</v>
      </c>
      <c r="CC6" s="58" t="str">
        <f t="shared" ref="CC6" ca="1" si="53">IF(CC7=0,"Jul✔","Jul")</f>
        <v>Jul✔</v>
      </c>
      <c r="CD6" s="58" t="str">
        <f t="shared" ref="CD6" ca="1" si="54">IF(CD7=0,"Aug✔","Aug")</f>
        <v>Aug✔</v>
      </c>
      <c r="CE6" s="58" t="str">
        <f t="shared" ref="CE6" ca="1" si="55">IF(CE7=0,"Sep✔","Sep")</f>
        <v>Sep✔</v>
      </c>
      <c r="CF6" s="58" t="str">
        <f t="shared" ref="CF6" ca="1" si="56">IF(CF7=0,"Oct✔","Oct")</f>
        <v>Oct✔</v>
      </c>
      <c r="CG6" s="58" t="str">
        <f t="shared" ref="CG6" ca="1" si="57">IF(CG7=0,"Nov✔","Nov")</f>
        <v>Nov✔</v>
      </c>
      <c r="CH6" s="58" t="str">
        <f t="shared" ref="CH6" ca="1" si="58">IF(CH7=0,"Dec✔","Dec")</f>
        <v>Dec✔</v>
      </c>
      <c r="CI6" s="58" t="str">
        <f t="shared" ref="CI6" ca="1" si="59">IF(CI7=0,"Total✔","Total")</f>
        <v>Total✔</v>
      </c>
      <c r="CK6" s="58" t="str">
        <f t="shared" ref="CK6" ca="1" si="60">IF(CK7=0,"Jan✔","Jan")</f>
        <v>Jan✔</v>
      </c>
      <c r="CL6" s="58" t="str">
        <f t="shared" ref="CL6" ca="1" si="61">IF(CL7=0,"Feb✔","Feb")</f>
        <v>Feb✔</v>
      </c>
      <c r="CM6" s="58" t="str">
        <f t="shared" ref="CM6" ca="1" si="62">IF(CM7=0,"Mar✔","Mar")</f>
        <v>Mar✔</v>
      </c>
      <c r="CN6" s="58" t="str">
        <f t="shared" ref="CN6" ca="1" si="63">IF(CN7=0,"Apr✔","Apr")</f>
        <v>Apr✔</v>
      </c>
      <c r="CO6" s="58" t="str">
        <f t="shared" ref="CO6" ca="1" si="64">IF(CO7=0,"May✔","May")</f>
        <v>May✔</v>
      </c>
      <c r="CP6" s="58" t="str">
        <f t="shared" ref="CP6" ca="1" si="65">IF(CP7=0,"Jun✔","Jun")</f>
        <v>Jun✔</v>
      </c>
      <c r="CQ6" s="58" t="str">
        <f t="shared" ref="CQ6" ca="1" si="66">IF(CQ7=0,"Jul✔","Jul")</f>
        <v>Jul✔</v>
      </c>
      <c r="CR6" s="58" t="str">
        <f t="shared" ref="CR6" ca="1" si="67">IF(CR7=0,"Aug✔","Aug")</f>
        <v>Aug✔</v>
      </c>
      <c r="CS6" s="58" t="str">
        <f t="shared" ref="CS6" ca="1" si="68">IF(CS7=0,"Sep✔","Sep")</f>
        <v>Sep✔</v>
      </c>
      <c r="CT6" s="58" t="str">
        <f t="shared" ref="CT6" ca="1" si="69">IF(CT7=0,"Oct✔","Oct")</f>
        <v>Oct✔</v>
      </c>
      <c r="CU6" s="58" t="str">
        <f t="shared" ref="CU6" ca="1" si="70">IF(CU7=0,"Nov✔","Nov")</f>
        <v>Nov✔</v>
      </c>
      <c r="CV6" s="58" t="str">
        <f t="shared" ref="CV6" ca="1" si="71">IF(CV7=0,"Dec✔","Dec")</f>
        <v>Dec✔</v>
      </c>
      <c r="CW6" s="58" t="str">
        <f t="shared" ref="CW6" ca="1" si="72">IF(CW7=0,"Total✔","Total")</f>
        <v>Total✔</v>
      </c>
      <c r="CY6" s="58" t="str">
        <f t="shared" ref="CY6" ca="1" si="73">IF(CY7=0,"Jan✔","Jan")</f>
        <v>Jan✔</v>
      </c>
      <c r="CZ6" s="58" t="str">
        <f t="shared" ref="CZ6" ca="1" si="74">IF(CZ7=0,"Feb✔","Feb")</f>
        <v>Feb✔</v>
      </c>
      <c r="DA6" s="58" t="str">
        <f t="shared" ref="DA6" ca="1" si="75">IF(DA7=0,"Mar✔","Mar")</f>
        <v>Mar✔</v>
      </c>
      <c r="DB6" s="58" t="str">
        <f t="shared" ref="DB6" ca="1" si="76">IF(DB7=0,"Apr✔","Apr")</f>
        <v>Apr✔</v>
      </c>
      <c r="DC6" s="58" t="str">
        <f t="shared" ref="DC6" ca="1" si="77">IF(DC7=0,"May✔","May")</f>
        <v>May✔</v>
      </c>
      <c r="DD6" s="58" t="str">
        <f t="shared" ref="DD6" ca="1" si="78">IF(DD7=0,"Jun✔","Jun")</f>
        <v>Jun✔</v>
      </c>
      <c r="DE6" s="58" t="str">
        <f t="shared" ref="DE6" ca="1" si="79">IF(DE7=0,"Jul✔","Jul")</f>
        <v>Jul✔</v>
      </c>
      <c r="DF6" s="58" t="str">
        <f t="shared" ref="DF6" ca="1" si="80">IF(DF7=0,"Aug✔","Aug")</f>
        <v>Aug✔</v>
      </c>
      <c r="DG6" s="58" t="str">
        <f t="shared" ref="DG6" ca="1" si="81">IF(DG7=0,"Sep✔","Sep")</f>
        <v>Sep✔</v>
      </c>
      <c r="DH6" s="58" t="str">
        <f t="shared" ref="DH6" ca="1" si="82">IF(DH7=0,"Oct✔","Oct")</f>
        <v>Oct✔</v>
      </c>
      <c r="DI6" s="58" t="str">
        <f t="shared" ref="DI6" ca="1" si="83">IF(DI7=0,"Nov✔","Nov")</f>
        <v>Nov✔</v>
      </c>
      <c r="DJ6" s="58" t="str">
        <f t="shared" ref="DJ6" ca="1" si="84">IF(DJ7=0,"Dec✔","Dec")</f>
        <v>Dec✔</v>
      </c>
      <c r="DK6" s="58" t="str">
        <f t="shared" ref="DK6" ca="1" si="85">IF(DK7=0,"Total✔","Total")</f>
        <v>Total✔</v>
      </c>
      <c r="DM6" s="58" t="str">
        <f t="shared" ref="DM6" ca="1" si="86">IF(DM7=0,"Jan✔","Jan")</f>
        <v>Jan✔</v>
      </c>
      <c r="DN6" s="58" t="str">
        <f t="shared" ref="DN6" ca="1" si="87">IF(DN7=0,"Feb✔","Feb")</f>
        <v>Feb✔</v>
      </c>
      <c r="DO6" s="58" t="str">
        <f t="shared" ref="DO6" ca="1" si="88">IF(DO7=0,"Mar✔","Mar")</f>
        <v>Mar✔</v>
      </c>
      <c r="DP6" s="58" t="str">
        <f t="shared" ref="DP6" ca="1" si="89">IF(DP7=0,"Apr✔","Apr")</f>
        <v>Apr✔</v>
      </c>
      <c r="DQ6" s="58" t="str">
        <f t="shared" ref="DQ6" ca="1" si="90">IF(DQ7=0,"May✔","May")</f>
        <v>May✔</v>
      </c>
      <c r="DR6" s="58" t="str">
        <f t="shared" ref="DR6" ca="1" si="91">IF(DR7=0,"Jun✔","Jun")</f>
        <v>Jun✔</v>
      </c>
      <c r="DS6" s="58" t="str">
        <f t="shared" ref="DS6" ca="1" si="92">IF(DS7=0,"Jul✔","Jul")</f>
        <v>Jul✔</v>
      </c>
      <c r="DT6" s="58" t="str">
        <f t="shared" ref="DT6" ca="1" si="93">IF(DT7=0,"Aug✔","Aug")</f>
        <v>Aug✔</v>
      </c>
      <c r="DU6" s="58" t="str">
        <f t="shared" ref="DU6" ca="1" si="94">IF(DU7=0,"Sep✔","Sep")</f>
        <v>Sep✔</v>
      </c>
      <c r="DV6" s="58" t="str">
        <f t="shared" ref="DV6" ca="1" si="95">IF(DV7=0,"Oct✔","Oct")</f>
        <v>Oct✔</v>
      </c>
      <c r="DW6" s="58" t="str">
        <f t="shared" ref="DW6" ca="1" si="96">IF(DW7=0,"Nov✔","Nov")</f>
        <v>Nov✔</v>
      </c>
      <c r="DX6" s="58" t="str">
        <f t="shared" ref="DX6" ca="1" si="97">IF(DX7=0,"Dec✔","Dec")</f>
        <v>Dec✔</v>
      </c>
      <c r="DY6" s="58" t="str">
        <f t="shared" ref="DY6" ca="1" si="98">IF(DY7=0,"Total✔","Total")</f>
        <v>Total✔</v>
      </c>
      <c r="EA6" s="58" t="str">
        <f t="shared" ref="EA6" ca="1" si="99">IF(EA7=0,"Jan✔","Jan")</f>
        <v>Jan✔</v>
      </c>
      <c r="EB6" s="58" t="str">
        <f t="shared" ref="EB6" ca="1" si="100">IF(EB7=0,"Feb✔","Feb")</f>
        <v>Feb✔</v>
      </c>
      <c r="EC6" s="58" t="str">
        <f t="shared" ref="EC6" ca="1" si="101">IF(EC7=0,"Mar✔","Mar")</f>
        <v>Mar✔</v>
      </c>
      <c r="ED6" s="58" t="str">
        <f t="shared" ref="ED6" ca="1" si="102">IF(ED7=0,"Apr✔","Apr")</f>
        <v>Apr✔</v>
      </c>
      <c r="EE6" s="58" t="str">
        <f t="shared" ref="EE6" ca="1" si="103">IF(EE7=0,"May✔","May")</f>
        <v>May✔</v>
      </c>
      <c r="EF6" s="58" t="str">
        <f t="shared" ref="EF6" ca="1" si="104">IF(EF7=0,"Jun✔","Jun")</f>
        <v>Jun✔</v>
      </c>
      <c r="EG6" s="58" t="str">
        <f t="shared" ref="EG6" ca="1" si="105">IF(EG7=0,"Jul✔","Jul")</f>
        <v>Jul✔</v>
      </c>
      <c r="EH6" s="58" t="str">
        <f t="shared" ref="EH6" ca="1" si="106">IF(EH7=0,"Aug✔","Aug")</f>
        <v>Aug✔</v>
      </c>
      <c r="EI6" s="58" t="str">
        <f t="shared" ref="EI6" ca="1" si="107">IF(EI7=0,"Sep✔","Sep")</f>
        <v>Sep✔</v>
      </c>
      <c r="EJ6" s="58" t="str">
        <f t="shared" ref="EJ6" ca="1" si="108">IF(EJ7=0,"Oct✔","Oct")</f>
        <v>Oct✔</v>
      </c>
      <c r="EK6" s="58" t="str">
        <f t="shared" ref="EK6" ca="1" si="109">IF(EK7=0,"Nov✔","Nov")</f>
        <v>Nov✔</v>
      </c>
      <c r="EL6" s="58" t="str">
        <f t="shared" ref="EL6" ca="1" si="110">IF(EL7=0,"Dec✔","Dec")</f>
        <v>Dec✔</v>
      </c>
      <c r="EM6" s="58" t="str">
        <f t="shared" ref="EM6" ca="1" si="111">IF(EM7=0,"Total✔","Total")</f>
        <v>Total✔</v>
      </c>
    </row>
    <row r="7" spans="3:143">
      <c r="C7" s="59" t="s">
        <v>11</v>
      </c>
      <c r="E7" s="60">
        <f ca="1">E20-(E36+E49)</f>
        <v>0</v>
      </c>
      <c r="F7" s="60">
        <f t="shared" ref="F7:Q7" ca="1" si="112">F20-(F36+F49)</f>
        <v>0</v>
      </c>
      <c r="G7" s="60">
        <f t="shared" ca="1" si="112"/>
        <v>0</v>
      </c>
      <c r="H7" s="60">
        <f t="shared" ca="1" si="112"/>
        <v>0</v>
      </c>
      <c r="I7" s="60">
        <f t="shared" ca="1" si="112"/>
        <v>0</v>
      </c>
      <c r="J7" s="60">
        <f t="shared" ca="1" si="112"/>
        <v>0</v>
      </c>
      <c r="K7" s="60">
        <f t="shared" ca="1" si="112"/>
        <v>0</v>
      </c>
      <c r="L7" s="60">
        <f t="shared" ca="1" si="112"/>
        <v>0</v>
      </c>
      <c r="M7" s="60">
        <f t="shared" ca="1" si="112"/>
        <v>0</v>
      </c>
      <c r="N7" s="60">
        <f t="shared" ca="1" si="112"/>
        <v>0</v>
      </c>
      <c r="O7" s="60">
        <f t="shared" ca="1" si="112"/>
        <v>0</v>
      </c>
      <c r="P7" s="60">
        <f t="shared" ca="1" si="112"/>
        <v>0</v>
      </c>
      <c r="Q7" s="69">
        <f t="shared" ca="1" si="112"/>
        <v>0</v>
      </c>
      <c r="S7" s="60">
        <f ca="1">S20-(S36+S49)</f>
        <v>0</v>
      </c>
      <c r="T7" s="60">
        <f t="shared" ref="T7:AE7" ca="1" si="113">T20-(T36+T49)</f>
        <v>0</v>
      </c>
      <c r="U7" s="60">
        <f t="shared" ca="1" si="113"/>
        <v>0</v>
      </c>
      <c r="V7" s="60">
        <f t="shared" ca="1" si="113"/>
        <v>0</v>
      </c>
      <c r="W7" s="60">
        <f t="shared" ca="1" si="113"/>
        <v>0</v>
      </c>
      <c r="X7" s="60">
        <f t="shared" ca="1" si="113"/>
        <v>0</v>
      </c>
      <c r="Y7" s="60">
        <f t="shared" ca="1" si="113"/>
        <v>0</v>
      </c>
      <c r="Z7" s="60">
        <f t="shared" ca="1" si="113"/>
        <v>0</v>
      </c>
      <c r="AA7" s="60">
        <f t="shared" ca="1" si="113"/>
        <v>0</v>
      </c>
      <c r="AB7" s="60">
        <f t="shared" ca="1" si="113"/>
        <v>0</v>
      </c>
      <c r="AC7" s="60">
        <f t="shared" ca="1" si="113"/>
        <v>0</v>
      </c>
      <c r="AD7" s="60">
        <f t="shared" ca="1" si="113"/>
        <v>0</v>
      </c>
      <c r="AE7" s="69">
        <f t="shared" ca="1" si="113"/>
        <v>0</v>
      </c>
      <c r="AG7" s="60">
        <f t="shared" ref="AG7:AS7" ca="1" si="114">AG20-(AG36+AG49)</f>
        <v>0</v>
      </c>
      <c r="AH7" s="60">
        <f t="shared" ca="1" si="114"/>
        <v>0</v>
      </c>
      <c r="AI7" s="60">
        <f t="shared" ca="1" si="114"/>
        <v>0</v>
      </c>
      <c r="AJ7" s="60">
        <f t="shared" ca="1" si="114"/>
        <v>0</v>
      </c>
      <c r="AK7" s="60">
        <f t="shared" ca="1" si="114"/>
        <v>0</v>
      </c>
      <c r="AL7" s="60">
        <f t="shared" ca="1" si="114"/>
        <v>0</v>
      </c>
      <c r="AM7" s="60">
        <f t="shared" ca="1" si="114"/>
        <v>0</v>
      </c>
      <c r="AN7" s="60">
        <f t="shared" ca="1" si="114"/>
        <v>0</v>
      </c>
      <c r="AO7" s="60">
        <f t="shared" ca="1" si="114"/>
        <v>0</v>
      </c>
      <c r="AP7" s="60">
        <f t="shared" ca="1" si="114"/>
        <v>0</v>
      </c>
      <c r="AQ7" s="60">
        <f t="shared" ca="1" si="114"/>
        <v>0</v>
      </c>
      <c r="AR7" s="60">
        <f t="shared" ca="1" si="114"/>
        <v>0</v>
      </c>
      <c r="AS7" s="69">
        <f t="shared" ca="1" si="114"/>
        <v>0</v>
      </c>
      <c r="AU7" s="60">
        <f t="shared" ref="AU7:BG7" ca="1" si="115">AU20-(AU36+AU49)</f>
        <v>0</v>
      </c>
      <c r="AV7" s="60">
        <f t="shared" ca="1" si="115"/>
        <v>0</v>
      </c>
      <c r="AW7" s="60">
        <f t="shared" ca="1" si="115"/>
        <v>0</v>
      </c>
      <c r="AX7" s="60">
        <f t="shared" ca="1" si="115"/>
        <v>0</v>
      </c>
      <c r="AY7" s="60">
        <f t="shared" ca="1" si="115"/>
        <v>0</v>
      </c>
      <c r="AZ7" s="60">
        <f t="shared" ca="1" si="115"/>
        <v>0</v>
      </c>
      <c r="BA7" s="60">
        <f t="shared" ca="1" si="115"/>
        <v>0</v>
      </c>
      <c r="BB7" s="60">
        <f t="shared" ca="1" si="115"/>
        <v>0</v>
      </c>
      <c r="BC7" s="60">
        <f t="shared" ca="1" si="115"/>
        <v>0</v>
      </c>
      <c r="BD7" s="60">
        <f t="shared" ca="1" si="115"/>
        <v>0</v>
      </c>
      <c r="BE7" s="60">
        <f t="shared" ca="1" si="115"/>
        <v>0</v>
      </c>
      <c r="BF7" s="60">
        <f t="shared" ca="1" si="115"/>
        <v>0</v>
      </c>
      <c r="BG7" s="69">
        <f t="shared" ca="1" si="115"/>
        <v>0</v>
      </c>
      <c r="BI7" s="60">
        <f t="shared" ref="BI7:BU7" ca="1" si="116">BI20-(BI36+BI49)</f>
        <v>0</v>
      </c>
      <c r="BJ7" s="60">
        <f t="shared" ca="1" si="116"/>
        <v>0</v>
      </c>
      <c r="BK7" s="60">
        <f t="shared" ca="1" si="116"/>
        <v>0</v>
      </c>
      <c r="BL7" s="60">
        <f t="shared" ca="1" si="116"/>
        <v>0</v>
      </c>
      <c r="BM7" s="60">
        <f t="shared" ca="1" si="116"/>
        <v>0</v>
      </c>
      <c r="BN7" s="60">
        <f t="shared" ca="1" si="116"/>
        <v>0</v>
      </c>
      <c r="BO7" s="60">
        <f t="shared" ca="1" si="116"/>
        <v>0</v>
      </c>
      <c r="BP7" s="60">
        <f t="shared" ca="1" si="116"/>
        <v>0</v>
      </c>
      <c r="BQ7" s="60">
        <f t="shared" ca="1" si="116"/>
        <v>0</v>
      </c>
      <c r="BR7" s="60">
        <f t="shared" ca="1" si="116"/>
        <v>0</v>
      </c>
      <c r="BS7" s="60">
        <f t="shared" ca="1" si="116"/>
        <v>0</v>
      </c>
      <c r="BT7" s="60">
        <f t="shared" ca="1" si="116"/>
        <v>0</v>
      </c>
      <c r="BU7" s="69">
        <f t="shared" ca="1" si="116"/>
        <v>0</v>
      </c>
      <c r="BW7" s="60">
        <f t="shared" ref="BW7:CI7" ca="1" si="117">BW20-(BW36+BW49)</f>
        <v>0</v>
      </c>
      <c r="BX7" s="60">
        <f t="shared" ca="1" si="117"/>
        <v>0</v>
      </c>
      <c r="BY7" s="60">
        <f t="shared" ca="1" si="117"/>
        <v>0</v>
      </c>
      <c r="BZ7" s="60">
        <f t="shared" ca="1" si="117"/>
        <v>0</v>
      </c>
      <c r="CA7" s="60">
        <f t="shared" ca="1" si="117"/>
        <v>0</v>
      </c>
      <c r="CB7" s="60">
        <f t="shared" ca="1" si="117"/>
        <v>0</v>
      </c>
      <c r="CC7" s="60">
        <f t="shared" ca="1" si="117"/>
        <v>0</v>
      </c>
      <c r="CD7" s="60">
        <f t="shared" ca="1" si="117"/>
        <v>0</v>
      </c>
      <c r="CE7" s="60">
        <f t="shared" ca="1" si="117"/>
        <v>0</v>
      </c>
      <c r="CF7" s="60">
        <f t="shared" ca="1" si="117"/>
        <v>0</v>
      </c>
      <c r="CG7" s="60">
        <f t="shared" ca="1" si="117"/>
        <v>0</v>
      </c>
      <c r="CH7" s="60">
        <f t="shared" ca="1" si="117"/>
        <v>0</v>
      </c>
      <c r="CI7" s="69">
        <f t="shared" ca="1" si="117"/>
        <v>0</v>
      </c>
      <c r="CK7" s="60">
        <f t="shared" ref="CK7:CW7" ca="1" si="118">CK20-(CK36+CK49)</f>
        <v>0</v>
      </c>
      <c r="CL7" s="60">
        <f t="shared" ca="1" si="118"/>
        <v>0</v>
      </c>
      <c r="CM7" s="60">
        <f t="shared" ca="1" si="118"/>
        <v>0</v>
      </c>
      <c r="CN7" s="60">
        <f t="shared" ca="1" si="118"/>
        <v>0</v>
      </c>
      <c r="CO7" s="60">
        <f t="shared" ca="1" si="118"/>
        <v>0</v>
      </c>
      <c r="CP7" s="60">
        <f t="shared" ca="1" si="118"/>
        <v>0</v>
      </c>
      <c r="CQ7" s="60">
        <f t="shared" ca="1" si="118"/>
        <v>0</v>
      </c>
      <c r="CR7" s="60">
        <f t="shared" ca="1" si="118"/>
        <v>0</v>
      </c>
      <c r="CS7" s="60">
        <f t="shared" ca="1" si="118"/>
        <v>0</v>
      </c>
      <c r="CT7" s="60">
        <f t="shared" ca="1" si="118"/>
        <v>0</v>
      </c>
      <c r="CU7" s="60">
        <f t="shared" ca="1" si="118"/>
        <v>0</v>
      </c>
      <c r="CV7" s="60">
        <f t="shared" ca="1" si="118"/>
        <v>0</v>
      </c>
      <c r="CW7" s="69">
        <f t="shared" ca="1" si="118"/>
        <v>0</v>
      </c>
      <c r="CY7" s="60">
        <f t="shared" ref="CY7:DK7" ca="1" si="119">CY20-(CY36+CY49)</f>
        <v>0</v>
      </c>
      <c r="CZ7" s="60">
        <f t="shared" ca="1" si="119"/>
        <v>0</v>
      </c>
      <c r="DA7" s="60">
        <f t="shared" ca="1" si="119"/>
        <v>0</v>
      </c>
      <c r="DB7" s="60">
        <f t="shared" ca="1" si="119"/>
        <v>0</v>
      </c>
      <c r="DC7" s="60">
        <f t="shared" ca="1" si="119"/>
        <v>0</v>
      </c>
      <c r="DD7" s="60">
        <f t="shared" ca="1" si="119"/>
        <v>0</v>
      </c>
      <c r="DE7" s="60">
        <f t="shared" ca="1" si="119"/>
        <v>0</v>
      </c>
      <c r="DF7" s="60">
        <f t="shared" ca="1" si="119"/>
        <v>0</v>
      </c>
      <c r="DG7" s="60">
        <f t="shared" ca="1" si="119"/>
        <v>0</v>
      </c>
      <c r="DH7" s="60">
        <f t="shared" ca="1" si="119"/>
        <v>0</v>
      </c>
      <c r="DI7" s="60">
        <f t="shared" ca="1" si="119"/>
        <v>0</v>
      </c>
      <c r="DJ7" s="60">
        <f t="shared" ca="1" si="119"/>
        <v>0</v>
      </c>
      <c r="DK7" s="69">
        <f t="shared" ca="1" si="119"/>
        <v>0</v>
      </c>
      <c r="DM7" s="60">
        <f t="shared" ref="DM7:DY7" ca="1" si="120">DM20-(DM36+DM49)</f>
        <v>0</v>
      </c>
      <c r="DN7" s="60">
        <f t="shared" ca="1" si="120"/>
        <v>0</v>
      </c>
      <c r="DO7" s="60">
        <f t="shared" ca="1" si="120"/>
        <v>0</v>
      </c>
      <c r="DP7" s="60">
        <f t="shared" ca="1" si="120"/>
        <v>0</v>
      </c>
      <c r="DQ7" s="60">
        <f t="shared" ca="1" si="120"/>
        <v>0</v>
      </c>
      <c r="DR7" s="60">
        <f t="shared" ca="1" si="120"/>
        <v>0</v>
      </c>
      <c r="DS7" s="60">
        <f t="shared" ca="1" si="120"/>
        <v>0</v>
      </c>
      <c r="DT7" s="60">
        <f t="shared" ca="1" si="120"/>
        <v>0</v>
      </c>
      <c r="DU7" s="60">
        <f t="shared" ca="1" si="120"/>
        <v>0</v>
      </c>
      <c r="DV7" s="60">
        <f t="shared" ca="1" si="120"/>
        <v>0</v>
      </c>
      <c r="DW7" s="60">
        <f t="shared" ca="1" si="120"/>
        <v>0</v>
      </c>
      <c r="DX7" s="60">
        <f t="shared" ca="1" si="120"/>
        <v>0</v>
      </c>
      <c r="DY7" s="69">
        <f t="shared" ca="1" si="120"/>
        <v>0</v>
      </c>
      <c r="EA7" s="60">
        <f t="shared" ref="EA7:EM7" ca="1" si="121">EA20-(EA36+EA49)</f>
        <v>0</v>
      </c>
      <c r="EB7" s="60">
        <f t="shared" ca="1" si="121"/>
        <v>0</v>
      </c>
      <c r="EC7" s="60">
        <f t="shared" ca="1" si="121"/>
        <v>0</v>
      </c>
      <c r="ED7" s="60">
        <f t="shared" ca="1" si="121"/>
        <v>0</v>
      </c>
      <c r="EE7" s="60">
        <f t="shared" ca="1" si="121"/>
        <v>0</v>
      </c>
      <c r="EF7" s="60">
        <f t="shared" ca="1" si="121"/>
        <v>0</v>
      </c>
      <c r="EG7" s="60">
        <f t="shared" ca="1" si="121"/>
        <v>0</v>
      </c>
      <c r="EH7" s="60">
        <f t="shared" ca="1" si="121"/>
        <v>0</v>
      </c>
      <c r="EI7" s="60">
        <f t="shared" ca="1" si="121"/>
        <v>0</v>
      </c>
      <c r="EJ7" s="60">
        <f t="shared" ca="1" si="121"/>
        <v>0</v>
      </c>
      <c r="EK7" s="60">
        <f t="shared" ca="1" si="121"/>
        <v>0</v>
      </c>
      <c r="EL7" s="60">
        <f t="shared" ca="1" si="121"/>
        <v>0</v>
      </c>
      <c r="EM7" s="69">
        <f t="shared" ca="1" si="121"/>
        <v>0</v>
      </c>
    </row>
    <row r="9" spans="3:143">
      <c r="C9" s="61" t="s">
        <v>12</v>
      </c>
      <c r="E9" s="62">
        <f>DATE(E$5,1,1)</f>
        <v>44562</v>
      </c>
      <c r="F9" s="62">
        <f>DATE(E$5,2,1)</f>
        <v>44593</v>
      </c>
      <c r="G9" s="62">
        <f>DATE(E$5,3,1)</f>
        <v>44621</v>
      </c>
      <c r="H9" s="62">
        <f>DATE(E$5,4,1)</f>
        <v>44652</v>
      </c>
      <c r="I9" s="62">
        <f>DATE(E$5,5,1)</f>
        <v>44682</v>
      </c>
      <c r="J9" s="62">
        <f>DATE(E$5,6,1)</f>
        <v>44713</v>
      </c>
      <c r="K9" s="62">
        <f>DATE(E$5,7,1)</f>
        <v>44743</v>
      </c>
      <c r="L9" s="62">
        <f>DATE(E$5,8,1)</f>
        <v>44774</v>
      </c>
      <c r="M9" s="62">
        <f>DATE(E$5,9,1)</f>
        <v>44805</v>
      </c>
      <c r="N9" s="62">
        <f>DATE(E$5,10,1)</f>
        <v>44835</v>
      </c>
      <c r="O9" s="62">
        <f>DATE(E$5,11,1)</f>
        <v>44866</v>
      </c>
      <c r="P9" s="62">
        <f>DATE(E$5,12,1)</f>
        <v>44896</v>
      </c>
      <c r="Q9" s="70">
        <f>E$5</f>
        <v>2022</v>
      </c>
      <c r="S9" s="62">
        <f>DATE(S$5,1,1)</f>
        <v>44927</v>
      </c>
      <c r="T9" s="62">
        <f>DATE(S$5,2,1)</f>
        <v>44958</v>
      </c>
      <c r="U9" s="62">
        <f>DATE(S$5,3,1)</f>
        <v>44986</v>
      </c>
      <c r="V9" s="62">
        <f>DATE(S$5,4,1)</f>
        <v>45017</v>
      </c>
      <c r="W9" s="62">
        <f>DATE(S$5,5,1)</f>
        <v>45047</v>
      </c>
      <c r="X9" s="62">
        <f>DATE(S$5,6,1)</f>
        <v>45078</v>
      </c>
      <c r="Y9" s="62">
        <f>DATE(S$5,7,1)</f>
        <v>45108</v>
      </c>
      <c r="Z9" s="62">
        <f>DATE(S$5,8,1)</f>
        <v>45139</v>
      </c>
      <c r="AA9" s="62">
        <f>DATE(S$5,9,1)</f>
        <v>45170</v>
      </c>
      <c r="AB9" s="62">
        <f>DATE(S$5,10,1)</f>
        <v>45200</v>
      </c>
      <c r="AC9" s="62">
        <f>DATE(S$5,11,1)</f>
        <v>45231</v>
      </c>
      <c r="AD9" s="62">
        <f>DATE(S$5,12,1)</f>
        <v>45261</v>
      </c>
      <c r="AE9" s="70">
        <f>S$5</f>
        <v>2023</v>
      </c>
      <c r="AG9" s="62">
        <f t="shared" ref="AG9" si="122">DATE(AG$5,1,1)</f>
        <v>45292</v>
      </c>
      <c r="AH9" s="62">
        <f t="shared" ref="AH9" si="123">DATE(AG$5,2,1)</f>
        <v>45323</v>
      </c>
      <c r="AI9" s="62">
        <f t="shared" ref="AI9" si="124">DATE(AG$5,3,1)</f>
        <v>45352</v>
      </c>
      <c r="AJ9" s="62">
        <f t="shared" ref="AJ9" si="125">DATE(AG$5,4,1)</f>
        <v>45383</v>
      </c>
      <c r="AK9" s="62">
        <f t="shared" ref="AK9" si="126">DATE(AG$5,5,1)</f>
        <v>45413</v>
      </c>
      <c r="AL9" s="62">
        <f t="shared" ref="AL9" si="127">DATE(AG$5,6,1)</f>
        <v>45444</v>
      </c>
      <c r="AM9" s="62">
        <f t="shared" ref="AM9" si="128">DATE(AG$5,7,1)</f>
        <v>45474</v>
      </c>
      <c r="AN9" s="62">
        <f t="shared" ref="AN9" si="129">DATE(AG$5,8,1)</f>
        <v>45505</v>
      </c>
      <c r="AO9" s="62">
        <f t="shared" ref="AO9" si="130">DATE(AG$5,9,1)</f>
        <v>45536</v>
      </c>
      <c r="AP9" s="62">
        <f t="shared" ref="AP9" si="131">DATE(AG$5,10,1)</f>
        <v>45566</v>
      </c>
      <c r="AQ9" s="62">
        <f t="shared" ref="AQ9" si="132">DATE(AG$5,11,1)</f>
        <v>45597</v>
      </c>
      <c r="AR9" s="62">
        <f t="shared" ref="AR9" si="133">DATE(AG$5,12,1)</f>
        <v>45627</v>
      </c>
      <c r="AS9" s="70">
        <f t="shared" ref="AS9" si="134">AG$5</f>
        <v>2024</v>
      </c>
      <c r="AU9" s="62">
        <f t="shared" ref="AU9" si="135">DATE(AU$5,1,1)</f>
        <v>45658</v>
      </c>
      <c r="AV9" s="62">
        <f t="shared" ref="AV9" si="136">DATE(AU$5,2,1)</f>
        <v>45689</v>
      </c>
      <c r="AW9" s="62">
        <f t="shared" ref="AW9" si="137">DATE(AU$5,3,1)</f>
        <v>45717</v>
      </c>
      <c r="AX9" s="62">
        <f t="shared" ref="AX9" si="138">DATE(AU$5,4,1)</f>
        <v>45748</v>
      </c>
      <c r="AY9" s="62">
        <f t="shared" ref="AY9" si="139">DATE(AU$5,5,1)</f>
        <v>45778</v>
      </c>
      <c r="AZ9" s="62">
        <f t="shared" ref="AZ9" si="140">DATE(AU$5,6,1)</f>
        <v>45809</v>
      </c>
      <c r="BA9" s="62">
        <f t="shared" ref="BA9" si="141">DATE(AU$5,7,1)</f>
        <v>45839</v>
      </c>
      <c r="BB9" s="62">
        <f t="shared" ref="BB9" si="142">DATE(AU$5,8,1)</f>
        <v>45870</v>
      </c>
      <c r="BC9" s="62">
        <f t="shared" ref="BC9" si="143">DATE(AU$5,9,1)</f>
        <v>45901</v>
      </c>
      <c r="BD9" s="62">
        <f t="shared" ref="BD9" si="144">DATE(AU$5,10,1)</f>
        <v>45931</v>
      </c>
      <c r="BE9" s="62">
        <f t="shared" ref="BE9" si="145">DATE(AU$5,11,1)</f>
        <v>45962</v>
      </c>
      <c r="BF9" s="62">
        <f t="shared" ref="BF9" si="146">DATE(AU$5,12,1)</f>
        <v>45992</v>
      </c>
      <c r="BG9" s="70">
        <f t="shared" ref="BG9" si="147">AU$5</f>
        <v>2025</v>
      </c>
      <c r="BI9" s="62">
        <f t="shared" ref="BI9" si="148">DATE(BI$5,1,1)</f>
        <v>46023</v>
      </c>
      <c r="BJ9" s="62">
        <f t="shared" ref="BJ9" si="149">DATE(BI$5,2,1)</f>
        <v>46054</v>
      </c>
      <c r="BK9" s="62">
        <f t="shared" ref="BK9" si="150">DATE(BI$5,3,1)</f>
        <v>46082</v>
      </c>
      <c r="BL9" s="62">
        <f t="shared" ref="BL9" si="151">DATE(BI$5,4,1)</f>
        <v>46113</v>
      </c>
      <c r="BM9" s="62">
        <f t="shared" ref="BM9" si="152">DATE(BI$5,5,1)</f>
        <v>46143</v>
      </c>
      <c r="BN9" s="62">
        <f t="shared" ref="BN9" si="153">DATE(BI$5,6,1)</f>
        <v>46174</v>
      </c>
      <c r="BO9" s="62">
        <f t="shared" ref="BO9" si="154">DATE(BI$5,7,1)</f>
        <v>46204</v>
      </c>
      <c r="BP9" s="62">
        <f t="shared" ref="BP9" si="155">DATE(BI$5,8,1)</f>
        <v>46235</v>
      </c>
      <c r="BQ9" s="62">
        <f t="shared" ref="BQ9" si="156">DATE(BI$5,9,1)</f>
        <v>46266</v>
      </c>
      <c r="BR9" s="62">
        <f t="shared" ref="BR9" si="157">DATE(BI$5,10,1)</f>
        <v>46296</v>
      </c>
      <c r="BS9" s="62">
        <f t="shared" ref="BS9" si="158">DATE(BI$5,11,1)</f>
        <v>46327</v>
      </c>
      <c r="BT9" s="62">
        <f t="shared" ref="BT9" si="159">DATE(BI$5,12,1)</f>
        <v>46357</v>
      </c>
      <c r="BU9" s="70">
        <f t="shared" ref="BU9" si="160">BI$5</f>
        <v>2026</v>
      </c>
      <c r="BW9" s="62">
        <f t="shared" ref="BW9" si="161">DATE(BW$5,1,1)</f>
        <v>46388</v>
      </c>
      <c r="BX9" s="62">
        <f t="shared" ref="BX9" si="162">DATE(BW$5,2,1)</f>
        <v>46419</v>
      </c>
      <c r="BY9" s="62">
        <f t="shared" ref="BY9" si="163">DATE(BW$5,3,1)</f>
        <v>46447</v>
      </c>
      <c r="BZ9" s="62">
        <f t="shared" ref="BZ9" si="164">DATE(BW$5,4,1)</f>
        <v>46478</v>
      </c>
      <c r="CA9" s="62">
        <f t="shared" ref="CA9" si="165">DATE(BW$5,5,1)</f>
        <v>46508</v>
      </c>
      <c r="CB9" s="62">
        <f t="shared" ref="CB9" si="166">DATE(BW$5,6,1)</f>
        <v>46539</v>
      </c>
      <c r="CC9" s="62">
        <f t="shared" ref="CC9" si="167">DATE(BW$5,7,1)</f>
        <v>46569</v>
      </c>
      <c r="CD9" s="62">
        <f t="shared" ref="CD9" si="168">DATE(BW$5,8,1)</f>
        <v>46600</v>
      </c>
      <c r="CE9" s="62">
        <f t="shared" ref="CE9" si="169">DATE(BW$5,9,1)</f>
        <v>46631</v>
      </c>
      <c r="CF9" s="62">
        <f t="shared" ref="CF9" si="170">DATE(BW$5,10,1)</f>
        <v>46661</v>
      </c>
      <c r="CG9" s="62">
        <f t="shared" ref="CG9" si="171">DATE(BW$5,11,1)</f>
        <v>46692</v>
      </c>
      <c r="CH9" s="62">
        <f t="shared" ref="CH9" si="172">DATE(BW$5,12,1)</f>
        <v>46722</v>
      </c>
      <c r="CI9" s="70">
        <f t="shared" ref="CI9" si="173">BW$5</f>
        <v>2027</v>
      </c>
      <c r="CK9" s="62">
        <f t="shared" ref="CK9" si="174">DATE(CK$5,1,1)</f>
        <v>46753</v>
      </c>
      <c r="CL9" s="62">
        <f t="shared" ref="CL9" si="175">DATE(CK$5,2,1)</f>
        <v>46784</v>
      </c>
      <c r="CM9" s="62">
        <f t="shared" ref="CM9" si="176">DATE(CK$5,3,1)</f>
        <v>46813</v>
      </c>
      <c r="CN9" s="62">
        <f t="shared" ref="CN9" si="177">DATE(CK$5,4,1)</f>
        <v>46844</v>
      </c>
      <c r="CO9" s="62">
        <f t="shared" ref="CO9" si="178">DATE(CK$5,5,1)</f>
        <v>46874</v>
      </c>
      <c r="CP9" s="62">
        <f t="shared" ref="CP9" si="179">DATE(CK$5,6,1)</f>
        <v>46905</v>
      </c>
      <c r="CQ9" s="62">
        <f t="shared" ref="CQ9" si="180">DATE(CK$5,7,1)</f>
        <v>46935</v>
      </c>
      <c r="CR9" s="62">
        <f t="shared" ref="CR9" si="181">DATE(CK$5,8,1)</f>
        <v>46966</v>
      </c>
      <c r="CS9" s="62">
        <f t="shared" ref="CS9" si="182">DATE(CK$5,9,1)</f>
        <v>46997</v>
      </c>
      <c r="CT9" s="62">
        <f t="shared" ref="CT9" si="183">DATE(CK$5,10,1)</f>
        <v>47027</v>
      </c>
      <c r="CU9" s="62">
        <f t="shared" ref="CU9" si="184">DATE(CK$5,11,1)</f>
        <v>47058</v>
      </c>
      <c r="CV9" s="62">
        <f t="shared" ref="CV9" si="185">DATE(CK$5,12,1)</f>
        <v>47088</v>
      </c>
      <c r="CW9" s="70">
        <f t="shared" ref="CW9" si="186">CK$5</f>
        <v>2028</v>
      </c>
      <c r="CY9" s="62">
        <f t="shared" ref="CY9" si="187">DATE(CY$5,1,1)</f>
        <v>47119</v>
      </c>
      <c r="CZ9" s="62">
        <f t="shared" ref="CZ9" si="188">DATE(CY$5,2,1)</f>
        <v>47150</v>
      </c>
      <c r="DA9" s="62">
        <f t="shared" ref="DA9" si="189">DATE(CY$5,3,1)</f>
        <v>47178</v>
      </c>
      <c r="DB9" s="62">
        <f t="shared" ref="DB9" si="190">DATE(CY$5,4,1)</f>
        <v>47209</v>
      </c>
      <c r="DC9" s="62">
        <f t="shared" ref="DC9" si="191">DATE(CY$5,5,1)</f>
        <v>47239</v>
      </c>
      <c r="DD9" s="62">
        <f t="shared" ref="DD9" si="192">DATE(CY$5,6,1)</f>
        <v>47270</v>
      </c>
      <c r="DE9" s="62">
        <f t="shared" ref="DE9" si="193">DATE(CY$5,7,1)</f>
        <v>47300</v>
      </c>
      <c r="DF9" s="62">
        <f t="shared" ref="DF9" si="194">DATE(CY$5,8,1)</f>
        <v>47331</v>
      </c>
      <c r="DG9" s="62">
        <f t="shared" ref="DG9" si="195">DATE(CY$5,9,1)</f>
        <v>47362</v>
      </c>
      <c r="DH9" s="62">
        <f t="shared" ref="DH9" si="196">DATE(CY$5,10,1)</f>
        <v>47392</v>
      </c>
      <c r="DI9" s="62">
        <f t="shared" ref="DI9" si="197">DATE(CY$5,11,1)</f>
        <v>47423</v>
      </c>
      <c r="DJ9" s="62">
        <f t="shared" ref="DJ9" si="198">DATE(CY$5,12,1)</f>
        <v>47453</v>
      </c>
      <c r="DK9" s="70">
        <f t="shared" ref="DK9" si="199">CY$5</f>
        <v>2029</v>
      </c>
      <c r="DM9" s="62">
        <f t="shared" ref="DM9" si="200">DATE(DM$5,1,1)</f>
        <v>47484</v>
      </c>
      <c r="DN9" s="62">
        <f t="shared" ref="DN9" si="201">DATE(DM$5,2,1)</f>
        <v>47515</v>
      </c>
      <c r="DO9" s="62">
        <f t="shared" ref="DO9" si="202">DATE(DM$5,3,1)</f>
        <v>47543</v>
      </c>
      <c r="DP9" s="62">
        <f t="shared" ref="DP9" si="203">DATE(DM$5,4,1)</f>
        <v>47574</v>
      </c>
      <c r="DQ9" s="62">
        <f t="shared" ref="DQ9" si="204">DATE(DM$5,5,1)</f>
        <v>47604</v>
      </c>
      <c r="DR9" s="62">
        <f t="shared" ref="DR9" si="205">DATE(DM$5,6,1)</f>
        <v>47635</v>
      </c>
      <c r="DS9" s="62">
        <f t="shared" ref="DS9" si="206">DATE(DM$5,7,1)</f>
        <v>47665</v>
      </c>
      <c r="DT9" s="62">
        <f t="shared" ref="DT9" si="207">DATE(DM$5,8,1)</f>
        <v>47696</v>
      </c>
      <c r="DU9" s="62">
        <f t="shared" ref="DU9" si="208">DATE(DM$5,9,1)</f>
        <v>47727</v>
      </c>
      <c r="DV9" s="62">
        <f t="shared" ref="DV9" si="209">DATE(DM$5,10,1)</f>
        <v>47757</v>
      </c>
      <c r="DW9" s="62">
        <f t="shared" ref="DW9" si="210">DATE(DM$5,11,1)</f>
        <v>47788</v>
      </c>
      <c r="DX9" s="62">
        <f t="shared" ref="DX9" si="211">DATE(DM$5,12,1)</f>
        <v>47818</v>
      </c>
      <c r="DY9" s="70">
        <f t="shared" ref="DY9" si="212">DM$5</f>
        <v>2030</v>
      </c>
      <c r="EA9" s="62">
        <f t="shared" ref="EA9" si="213">DATE(EA$5,1,1)</f>
        <v>47849</v>
      </c>
      <c r="EB9" s="62">
        <f t="shared" ref="EB9" si="214">DATE(EA$5,2,1)</f>
        <v>47880</v>
      </c>
      <c r="EC9" s="62">
        <f t="shared" ref="EC9" si="215">DATE(EA$5,3,1)</f>
        <v>47908</v>
      </c>
      <c r="ED9" s="62">
        <f t="shared" ref="ED9" si="216">DATE(EA$5,4,1)</f>
        <v>47939</v>
      </c>
      <c r="EE9" s="62">
        <f t="shared" ref="EE9" si="217">DATE(EA$5,5,1)</f>
        <v>47969</v>
      </c>
      <c r="EF9" s="62">
        <f t="shared" ref="EF9" si="218">DATE(EA$5,6,1)</f>
        <v>48000</v>
      </c>
      <c r="EG9" s="62">
        <f t="shared" ref="EG9" si="219">DATE(EA$5,7,1)</f>
        <v>48030</v>
      </c>
      <c r="EH9" s="62">
        <f t="shared" ref="EH9" si="220">DATE(EA$5,8,1)</f>
        <v>48061</v>
      </c>
      <c r="EI9" s="62">
        <f t="shared" ref="EI9" si="221">DATE(EA$5,9,1)</f>
        <v>48092</v>
      </c>
      <c r="EJ9" s="62">
        <f t="shared" ref="EJ9" si="222">DATE(EA$5,10,1)</f>
        <v>48122</v>
      </c>
      <c r="EK9" s="62">
        <f t="shared" ref="EK9" si="223">DATE(EA$5,11,1)</f>
        <v>48153</v>
      </c>
      <c r="EL9" s="62">
        <f t="shared" ref="EL9" si="224">DATE(EA$5,12,1)</f>
        <v>48183</v>
      </c>
      <c r="EM9" s="70">
        <f t="shared" ref="EM9" si="225">EA$5</f>
        <v>2031</v>
      </c>
    </row>
    <row r="10" spans="3:143">
      <c r="C10" s="63" t="s">
        <v>13</v>
      </c>
      <c r="E10" s="64">
        <v>3500</v>
      </c>
      <c r="F10" s="64">
        <v>3500</v>
      </c>
      <c r="G10" s="64">
        <v>3500</v>
      </c>
      <c r="H10" s="64">
        <v>4500</v>
      </c>
      <c r="I10" s="64">
        <v>4500</v>
      </c>
      <c r="J10" s="64">
        <v>4500</v>
      </c>
      <c r="K10" s="64">
        <v>4500</v>
      </c>
      <c r="L10" s="64">
        <v>4500</v>
      </c>
      <c r="M10" s="64">
        <v>4500</v>
      </c>
      <c r="N10" s="64">
        <v>4500</v>
      </c>
      <c r="O10" s="64">
        <v>4500</v>
      </c>
      <c r="P10" s="64">
        <v>4500</v>
      </c>
      <c r="Q10" s="71">
        <f>SUM(E10:P10)</f>
        <v>51000</v>
      </c>
      <c r="S10" s="64"/>
      <c r="T10" s="64"/>
      <c r="U10" s="64"/>
      <c r="V10" s="64"/>
      <c r="W10" s="64"/>
      <c r="X10" s="64"/>
      <c r="Y10" s="64"/>
      <c r="Z10" s="64"/>
      <c r="AA10" s="64"/>
      <c r="AB10" s="64"/>
      <c r="AC10" s="64"/>
      <c r="AD10" s="64"/>
      <c r="AE10" s="71">
        <f>SUM(S10:AD10)</f>
        <v>0</v>
      </c>
      <c r="AG10" s="64"/>
      <c r="AH10" s="64"/>
      <c r="AI10" s="64"/>
      <c r="AJ10" s="64"/>
      <c r="AK10" s="64"/>
      <c r="AL10" s="64"/>
      <c r="AM10" s="64"/>
      <c r="AN10" s="64"/>
      <c r="AO10" s="64"/>
      <c r="AP10" s="64"/>
      <c r="AQ10" s="64"/>
      <c r="AR10" s="64"/>
      <c r="AS10" s="71">
        <f t="shared" ref="AS10:AS19" si="226">SUM(AG10:AR10)</f>
        <v>0</v>
      </c>
      <c r="AU10" s="64"/>
      <c r="AV10" s="64"/>
      <c r="AW10" s="64"/>
      <c r="AX10" s="64"/>
      <c r="AY10" s="64"/>
      <c r="AZ10" s="64"/>
      <c r="BA10" s="64"/>
      <c r="BB10" s="64"/>
      <c r="BC10" s="64"/>
      <c r="BD10" s="64"/>
      <c r="BE10" s="64"/>
      <c r="BF10" s="64"/>
      <c r="BG10" s="71">
        <f t="shared" ref="BG10:BG19" si="227">SUM(AU10:BF10)</f>
        <v>0</v>
      </c>
      <c r="BI10" s="64"/>
      <c r="BJ10" s="64"/>
      <c r="BK10" s="64"/>
      <c r="BL10" s="64"/>
      <c r="BM10" s="64"/>
      <c r="BN10" s="64"/>
      <c r="BO10" s="64"/>
      <c r="BP10" s="64"/>
      <c r="BQ10" s="64"/>
      <c r="BR10" s="64"/>
      <c r="BS10" s="64"/>
      <c r="BT10" s="64"/>
      <c r="BU10" s="71">
        <f t="shared" ref="BU10:BU19" si="228">SUM(BI10:BT10)</f>
        <v>0</v>
      </c>
      <c r="BW10" s="64"/>
      <c r="BX10" s="64"/>
      <c r="BY10" s="64"/>
      <c r="BZ10" s="64"/>
      <c r="CA10" s="64"/>
      <c r="CB10" s="64"/>
      <c r="CC10" s="64"/>
      <c r="CD10" s="64"/>
      <c r="CE10" s="64"/>
      <c r="CF10" s="64"/>
      <c r="CG10" s="64"/>
      <c r="CH10" s="64"/>
      <c r="CI10" s="71">
        <f t="shared" ref="CI10:CI19" si="229">SUM(BW10:CH10)</f>
        <v>0</v>
      </c>
      <c r="CK10" s="64"/>
      <c r="CL10" s="64"/>
      <c r="CM10" s="64"/>
      <c r="CN10" s="64"/>
      <c r="CO10" s="64"/>
      <c r="CP10" s="64"/>
      <c r="CQ10" s="64"/>
      <c r="CR10" s="64"/>
      <c r="CS10" s="64"/>
      <c r="CT10" s="64"/>
      <c r="CU10" s="64"/>
      <c r="CV10" s="64"/>
      <c r="CW10" s="71">
        <f t="shared" ref="CW10:CW19" si="230">SUM(CK10:CV10)</f>
        <v>0</v>
      </c>
      <c r="CY10" s="64"/>
      <c r="CZ10" s="64"/>
      <c r="DA10" s="64"/>
      <c r="DB10" s="64"/>
      <c r="DC10" s="64"/>
      <c r="DD10" s="64"/>
      <c r="DE10" s="64"/>
      <c r="DF10" s="64"/>
      <c r="DG10" s="64"/>
      <c r="DH10" s="64"/>
      <c r="DI10" s="64"/>
      <c r="DJ10" s="64"/>
      <c r="DK10" s="71">
        <f t="shared" ref="DK10:DK19" si="231">SUM(CY10:DJ10)</f>
        <v>0</v>
      </c>
      <c r="DM10" s="64"/>
      <c r="DN10" s="64"/>
      <c r="DO10" s="64"/>
      <c r="DP10" s="64"/>
      <c r="DQ10" s="64"/>
      <c r="DR10" s="64"/>
      <c r="DS10" s="64"/>
      <c r="DT10" s="64"/>
      <c r="DU10" s="64"/>
      <c r="DV10" s="64"/>
      <c r="DW10" s="64"/>
      <c r="DX10" s="64"/>
      <c r="DY10" s="71">
        <f t="shared" ref="DY10:DY19" si="232">SUM(DM10:DX10)</f>
        <v>0</v>
      </c>
      <c r="EA10" s="64"/>
      <c r="EB10" s="64"/>
      <c r="EC10" s="64"/>
      <c r="ED10" s="64"/>
      <c r="EE10" s="64"/>
      <c r="EF10" s="64"/>
      <c r="EG10" s="64"/>
      <c r="EH10" s="64"/>
      <c r="EI10" s="64"/>
      <c r="EJ10" s="64"/>
      <c r="EK10" s="64"/>
      <c r="EL10" s="64"/>
      <c r="EM10" s="71">
        <f t="shared" ref="EM10:EM19" si="233">SUM(EA10:EL10)</f>
        <v>0</v>
      </c>
    </row>
    <row r="11" spans="3:143">
      <c r="C11" s="63" t="s">
        <v>14</v>
      </c>
      <c r="E11" s="64">
        <v>1000</v>
      </c>
      <c r="F11" s="64">
        <v>1000</v>
      </c>
      <c r="G11" s="64">
        <v>1000</v>
      </c>
      <c r="H11" s="64">
        <v>1000</v>
      </c>
      <c r="I11" s="64">
        <v>1000</v>
      </c>
      <c r="J11" s="64">
        <v>1000</v>
      </c>
      <c r="K11" s="64">
        <v>1000</v>
      </c>
      <c r="L11" s="64">
        <v>1000</v>
      </c>
      <c r="M11" s="64">
        <v>1000</v>
      </c>
      <c r="N11" s="64">
        <v>1000</v>
      </c>
      <c r="O11" s="64">
        <v>1000</v>
      </c>
      <c r="P11" s="64">
        <v>1000</v>
      </c>
      <c r="Q11" s="71">
        <f t="shared" ref="Q11:Q19" si="234">SUM(E11:P11)</f>
        <v>12000</v>
      </c>
      <c r="S11" s="64"/>
      <c r="T11" s="64"/>
      <c r="U11" s="64"/>
      <c r="V11" s="64"/>
      <c r="W11" s="64"/>
      <c r="X11" s="64"/>
      <c r="Y11" s="64"/>
      <c r="Z11" s="64"/>
      <c r="AA11" s="64"/>
      <c r="AB11" s="64"/>
      <c r="AC11" s="64"/>
      <c r="AD11" s="64"/>
      <c r="AE11" s="71">
        <f t="shared" ref="AE11:AE19" si="235">SUM(S11:AD11)</f>
        <v>0</v>
      </c>
      <c r="AG11" s="64"/>
      <c r="AH11" s="64"/>
      <c r="AI11" s="64"/>
      <c r="AJ11" s="64"/>
      <c r="AK11" s="64"/>
      <c r="AL11" s="64"/>
      <c r="AM11" s="64"/>
      <c r="AN11" s="64"/>
      <c r="AO11" s="64"/>
      <c r="AP11" s="64"/>
      <c r="AQ11" s="64"/>
      <c r="AR11" s="64"/>
      <c r="AS11" s="71">
        <f t="shared" si="226"/>
        <v>0</v>
      </c>
      <c r="AU11" s="64"/>
      <c r="AV11" s="64"/>
      <c r="AW11" s="64"/>
      <c r="AX11" s="64"/>
      <c r="AY11" s="64"/>
      <c r="AZ11" s="64"/>
      <c r="BA11" s="64"/>
      <c r="BB11" s="64"/>
      <c r="BC11" s="64"/>
      <c r="BD11" s="64"/>
      <c r="BE11" s="64"/>
      <c r="BF11" s="64"/>
      <c r="BG11" s="71">
        <f t="shared" si="227"/>
        <v>0</v>
      </c>
      <c r="BI11" s="64"/>
      <c r="BJ11" s="64"/>
      <c r="BK11" s="64"/>
      <c r="BL11" s="64"/>
      <c r="BM11" s="64"/>
      <c r="BN11" s="64"/>
      <c r="BO11" s="64"/>
      <c r="BP11" s="64"/>
      <c r="BQ11" s="64"/>
      <c r="BR11" s="64"/>
      <c r="BS11" s="64"/>
      <c r="BT11" s="64"/>
      <c r="BU11" s="71">
        <f t="shared" si="228"/>
        <v>0</v>
      </c>
      <c r="BW11" s="64"/>
      <c r="BX11" s="64"/>
      <c r="BY11" s="64"/>
      <c r="BZ11" s="64"/>
      <c r="CA11" s="64"/>
      <c r="CB11" s="64"/>
      <c r="CC11" s="64"/>
      <c r="CD11" s="64"/>
      <c r="CE11" s="64"/>
      <c r="CF11" s="64"/>
      <c r="CG11" s="64"/>
      <c r="CH11" s="64"/>
      <c r="CI11" s="71">
        <f t="shared" si="229"/>
        <v>0</v>
      </c>
      <c r="CK11" s="64"/>
      <c r="CL11" s="64"/>
      <c r="CM11" s="64"/>
      <c r="CN11" s="64"/>
      <c r="CO11" s="64"/>
      <c r="CP11" s="64"/>
      <c r="CQ11" s="64"/>
      <c r="CR11" s="64"/>
      <c r="CS11" s="64"/>
      <c r="CT11" s="64"/>
      <c r="CU11" s="64"/>
      <c r="CV11" s="64"/>
      <c r="CW11" s="71">
        <f t="shared" si="230"/>
        <v>0</v>
      </c>
      <c r="CY11" s="64"/>
      <c r="CZ11" s="64"/>
      <c r="DA11" s="64"/>
      <c r="DB11" s="64"/>
      <c r="DC11" s="64"/>
      <c r="DD11" s="64"/>
      <c r="DE11" s="64"/>
      <c r="DF11" s="64"/>
      <c r="DG11" s="64"/>
      <c r="DH11" s="64"/>
      <c r="DI11" s="64"/>
      <c r="DJ11" s="64"/>
      <c r="DK11" s="71">
        <f t="shared" si="231"/>
        <v>0</v>
      </c>
      <c r="DM11" s="64"/>
      <c r="DN11" s="64"/>
      <c r="DO11" s="64"/>
      <c r="DP11" s="64"/>
      <c r="DQ11" s="64"/>
      <c r="DR11" s="64"/>
      <c r="DS11" s="64"/>
      <c r="DT11" s="64"/>
      <c r="DU11" s="64"/>
      <c r="DV11" s="64"/>
      <c r="DW11" s="64"/>
      <c r="DX11" s="64"/>
      <c r="DY11" s="71">
        <f t="shared" si="232"/>
        <v>0</v>
      </c>
      <c r="EA11" s="64"/>
      <c r="EB11" s="64"/>
      <c r="EC11" s="64"/>
      <c r="ED11" s="64"/>
      <c r="EE11" s="64"/>
      <c r="EF11" s="64"/>
      <c r="EG11" s="64"/>
      <c r="EH11" s="64"/>
      <c r="EI11" s="64"/>
      <c r="EJ11" s="64"/>
      <c r="EK11" s="64"/>
      <c r="EL11" s="64"/>
      <c r="EM11" s="71">
        <f t="shared" si="233"/>
        <v>0</v>
      </c>
    </row>
    <row r="12" spans="3:143">
      <c r="C12" s="63" t="s">
        <v>15</v>
      </c>
      <c r="E12" s="64">
        <v>150</v>
      </c>
      <c r="F12" s="64">
        <v>50</v>
      </c>
      <c r="G12" s="64">
        <v>100</v>
      </c>
      <c r="H12" s="64">
        <v>150</v>
      </c>
      <c r="I12" s="64">
        <v>50</v>
      </c>
      <c r="J12" s="64">
        <v>100</v>
      </c>
      <c r="K12" s="64">
        <v>150</v>
      </c>
      <c r="L12" s="64">
        <v>50</v>
      </c>
      <c r="M12" s="64">
        <v>100</v>
      </c>
      <c r="N12" s="64">
        <v>150</v>
      </c>
      <c r="O12" s="64">
        <v>50</v>
      </c>
      <c r="P12" s="64">
        <v>100</v>
      </c>
      <c r="Q12" s="71">
        <f t="shared" si="234"/>
        <v>1200</v>
      </c>
      <c r="S12" s="64"/>
      <c r="T12" s="64"/>
      <c r="U12" s="64"/>
      <c r="V12" s="64"/>
      <c r="W12" s="64"/>
      <c r="X12" s="64"/>
      <c r="Y12" s="64"/>
      <c r="Z12" s="64"/>
      <c r="AA12" s="64"/>
      <c r="AB12" s="64"/>
      <c r="AC12" s="64"/>
      <c r="AD12" s="64"/>
      <c r="AE12" s="71">
        <f t="shared" si="235"/>
        <v>0</v>
      </c>
      <c r="AG12" s="64"/>
      <c r="AH12" s="64"/>
      <c r="AI12" s="64"/>
      <c r="AJ12" s="64"/>
      <c r="AK12" s="64"/>
      <c r="AL12" s="64"/>
      <c r="AM12" s="64"/>
      <c r="AN12" s="64"/>
      <c r="AO12" s="64"/>
      <c r="AP12" s="64"/>
      <c r="AQ12" s="64"/>
      <c r="AR12" s="64"/>
      <c r="AS12" s="71">
        <f t="shared" si="226"/>
        <v>0</v>
      </c>
      <c r="AU12" s="64"/>
      <c r="AV12" s="64"/>
      <c r="AW12" s="64"/>
      <c r="AX12" s="64"/>
      <c r="AY12" s="64"/>
      <c r="AZ12" s="64"/>
      <c r="BA12" s="64"/>
      <c r="BB12" s="64"/>
      <c r="BC12" s="64"/>
      <c r="BD12" s="64"/>
      <c r="BE12" s="64"/>
      <c r="BF12" s="64"/>
      <c r="BG12" s="71">
        <f t="shared" si="227"/>
        <v>0</v>
      </c>
      <c r="BI12" s="64"/>
      <c r="BJ12" s="64"/>
      <c r="BK12" s="64"/>
      <c r="BL12" s="64"/>
      <c r="BM12" s="64"/>
      <c r="BN12" s="64"/>
      <c r="BO12" s="64"/>
      <c r="BP12" s="64"/>
      <c r="BQ12" s="64"/>
      <c r="BR12" s="64"/>
      <c r="BS12" s="64"/>
      <c r="BT12" s="64"/>
      <c r="BU12" s="71">
        <f t="shared" si="228"/>
        <v>0</v>
      </c>
      <c r="BW12" s="64"/>
      <c r="BX12" s="64"/>
      <c r="BY12" s="64"/>
      <c r="BZ12" s="64"/>
      <c r="CA12" s="64"/>
      <c r="CB12" s="64"/>
      <c r="CC12" s="64"/>
      <c r="CD12" s="64"/>
      <c r="CE12" s="64"/>
      <c r="CF12" s="64"/>
      <c r="CG12" s="64"/>
      <c r="CH12" s="64"/>
      <c r="CI12" s="71">
        <f t="shared" si="229"/>
        <v>0</v>
      </c>
      <c r="CK12" s="64"/>
      <c r="CL12" s="64"/>
      <c r="CM12" s="64"/>
      <c r="CN12" s="64"/>
      <c r="CO12" s="64"/>
      <c r="CP12" s="64"/>
      <c r="CQ12" s="64"/>
      <c r="CR12" s="64"/>
      <c r="CS12" s="64"/>
      <c r="CT12" s="64"/>
      <c r="CU12" s="64"/>
      <c r="CV12" s="64"/>
      <c r="CW12" s="71">
        <f t="shared" si="230"/>
        <v>0</v>
      </c>
      <c r="CY12" s="64"/>
      <c r="CZ12" s="64"/>
      <c r="DA12" s="64"/>
      <c r="DB12" s="64"/>
      <c r="DC12" s="64"/>
      <c r="DD12" s="64"/>
      <c r="DE12" s="64"/>
      <c r="DF12" s="64"/>
      <c r="DG12" s="64"/>
      <c r="DH12" s="64"/>
      <c r="DI12" s="64"/>
      <c r="DJ12" s="64"/>
      <c r="DK12" s="71">
        <f t="shared" si="231"/>
        <v>0</v>
      </c>
      <c r="DM12" s="64"/>
      <c r="DN12" s="64"/>
      <c r="DO12" s="64"/>
      <c r="DP12" s="64"/>
      <c r="DQ12" s="64"/>
      <c r="DR12" s="64"/>
      <c r="DS12" s="64"/>
      <c r="DT12" s="64"/>
      <c r="DU12" s="64"/>
      <c r="DV12" s="64"/>
      <c r="DW12" s="64"/>
      <c r="DX12" s="64"/>
      <c r="DY12" s="71">
        <f t="shared" si="232"/>
        <v>0</v>
      </c>
      <c r="EA12" s="64"/>
      <c r="EB12" s="64"/>
      <c r="EC12" s="64"/>
      <c r="ED12" s="64"/>
      <c r="EE12" s="64"/>
      <c r="EF12" s="64"/>
      <c r="EG12" s="64"/>
      <c r="EH12" s="64"/>
      <c r="EI12" s="64"/>
      <c r="EJ12" s="64"/>
      <c r="EK12" s="64"/>
      <c r="EL12" s="64"/>
      <c r="EM12" s="71">
        <f t="shared" si="233"/>
        <v>0</v>
      </c>
    </row>
    <row r="13" spans="3:143" hidden="1">
      <c r="C13" s="63" t="s">
        <v>16</v>
      </c>
      <c r="E13" s="64"/>
      <c r="F13" s="64"/>
      <c r="G13" s="64"/>
      <c r="H13" s="64"/>
      <c r="I13" s="64"/>
      <c r="J13" s="64"/>
      <c r="K13" s="64"/>
      <c r="L13" s="64"/>
      <c r="M13" s="64"/>
      <c r="N13" s="64"/>
      <c r="O13" s="64"/>
      <c r="P13" s="64"/>
      <c r="Q13" s="71">
        <f t="shared" si="234"/>
        <v>0</v>
      </c>
      <c r="S13" s="64"/>
      <c r="T13" s="64"/>
      <c r="U13" s="64"/>
      <c r="V13" s="64"/>
      <c r="W13" s="64"/>
      <c r="X13" s="64"/>
      <c r="Y13" s="64"/>
      <c r="Z13" s="64"/>
      <c r="AA13" s="64"/>
      <c r="AB13" s="64"/>
      <c r="AC13" s="64"/>
      <c r="AD13" s="64"/>
      <c r="AE13" s="71">
        <f t="shared" si="235"/>
        <v>0</v>
      </c>
      <c r="AG13" s="64"/>
      <c r="AH13" s="64"/>
      <c r="AI13" s="64"/>
      <c r="AJ13" s="64"/>
      <c r="AK13" s="64"/>
      <c r="AL13" s="64"/>
      <c r="AM13" s="64"/>
      <c r="AN13" s="64"/>
      <c r="AO13" s="64"/>
      <c r="AP13" s="64"/>
      <c r="AQ13" s="64"/>
      <c r="AR13" s="64"/>
      <c r="AS13" s="71">
        <f t="shared" si="226"/>
        <v>0</v>
      </c>
      <c r="AU13" s="64"/>
      <c r="AV13" s="64"/>
      <c r="AW13" s="64"/>
      <c r="AX13" s="64"/>
      <c r="AY13" s="64"/>
      <c r="AZ13" s="64"/>
      <c r="BA13" s="64"/>
      <c r="BB13" s="64"/>
      <c r="BC13" s="64"/>
      <c r="BD13" s="64"/>
      <c r="BE13" s="64"/>
      <c r="BF13" s="64"/>
      <c r="BG13" s="71">
        <f t="shared" si="227"/>
        <v>0</v>
      </c>
      <c r="BI13" s="64"/>
      <c r="BJ13" s="64"/>
      <c r="BK13" s="64"/>
      <c r="BL13" s="64"/>
      <c r="BM13" s="64"/>
      <c r="BN13" s="64"/>
      <c r="BO13" s="64"/>
      <c r="BP13" s="64"/>
      <c r="BQ13" s="64"/>
      <c r="BR13" s="64"/>
      <c r="BS13" s="64"/>
      <c r="BT13" s="64"/>
      <c r="BU13" s="71">
        <f t="shared" si="228"/>
        <v>0</v>
      </c>
      <c r="BW13" s="64"/>
      <c r="BX13" s="64"/>
      <c r="BY13" s="64"/>
      <c r="BZ13" s="64"/>
      <c r="CA13" s="64"/>
      <c r="CB13" s="64"/>
      <c r="CC13" s="64"/>
      <c r="CD13" s="64"/>
      <c r="CE13" s="64"/>
      <c r="CF13" s="64"/>
      <c r="CG13" s="64"/>
      <c r="CH13" s="64"/>
      <c r="CI13" s="71">
        <f t="shared" si="229"/>
        <v>0</v>
      </c>
      <c r="CK13" s="64"/>
      <c r="CL13" s="64"/>
      <c r="CM13" s="64"/>
      <c r="CN13" s="64"/>
      <c r="CO13" s="64"/>
      <c r="CP13" s="64"/>
      <c r="CQ13" s="64"/>
      <c r="CR13" s="64"/>
      <c r="CS13" s="64"/>
      <c r="CT13" s="64"/>
      <c r="CU13" s="64"/>
      <c r="CV13" s="64"/>
      <c r="CW13" s="71">
        <f t="shared" si="230"/>
        <v>0</v>
      </c>
      <c r="CY13" s="64"/>
      <c r="CZ13" s="64"/>
      <c r="DA13" s="64"/>
      <c r="DB13" s="64"/>
      <c r="DC13" s="64"/>
      <c r="DD13" s="64"/>
      <c r="DE13" s="64"/>
      <c r="DF13" s="64"/>
      <c r="DG13" s="64"/>
      <c r="DH13" s="64"/>
      <c r="DI13" s="64"/>
      <c r="DJ13" s="64"/>
      <c r="DK13" s="71">
        <f t="shared" si="231"/>
        <v>0</v>
      </c>
      <c r="DM13" s="64"/>
      <c r="DN13" s="64"/>
      <c r="DO13" s="64"/>
      <c r="DP13" s="64"/>
      <c r="DQ13" s="64"/>
      <c r="DR13" s="64"/>
      <c r="DS13" s="64"/>
      <c r="DT13" s="64"/>
      <c r="DU13" s="64"/>
      <c r="DV13" s="64"/>
      <c r="DW13" s="64"/>
      <c r="DX13" s="64"/>
      <c r="DY13" s="71">
        <f t="shared" si="232"/>
        <v>0</v>
      </c>
      <c r="EA13" s="64"/>
      <c r="EB13" s="64"/>
      <c r="EC13" s="64"/>
      <c r="ED13" s="64"/>
      <c r="EE13" s="64"/>
      <c r="EF13" s="64"/>
      <c r="EG13" s="64"/>
      <c r="EH13" s="64"/>
      <c r="EI13" s="64"/>
      <c r="EJ13" s="64"/>
      <c r="EK13" s="64"/>
      <c r="EL13" s="64"/>
      <c r="EM13" s="71">
        <f t="shared" si="233"/>
        <v>0</v>
      </c>
    </row>
    <row r="14" spans="3:143" hidden="1">
      <c r="C14" s="63" t="s">
        <v>16</v>
      </c>
      <c r="E14" s="64"/>
      <c r="F14" s="64"/>
      <c r="G14" s="64"/>
      <c r="H14" s="64"/>
      <c r="I14" s="64"/>
      <c r="J14" s="64"/>
      <c r="K14" s="64"/>
      <c r="L14" s="64"/>
      <c r="M14" s="64"/>
      <c r="N14" s="64"/>
      <c r="O14" s="64"/>
      <c r="P14" s="64"/>
      <c r="Q14" s="71">
        <f t="shared" si="234"/>
        <v>0</v>
      </c>
      <c r="S14" s="64"/>
      <c r="T14" s="64"/>
      <c r="U14" s="64"/>
      <c r="V14" s="64"/>
      <c r="W14" s="64"/>
      <c r="X14" s="64"/>
      <c r="Y14" s="64"/>
      <c r="Z14" s="64"/>
      <c r="AA14" s="64"/>
      <c r="AB14" s="64"/>
      <c r="AC14" s="64"/>
      <c r="AD14" s="64"/>
      <c r="AE14" s="71">
        <f t="shared" si="235"/>
        <v>0</v>
      </c>
      <c r="AG14" s="64"/>
      <c r="AH14" s="64"/>
      <c r="AI14" s="64"/>
      <c r="AJ14" s="64"/>
      <c r="AK14" s="64"/>
      <c r="AL14" s="64"/>
      <c r="AM14" s="64"/>
      <c r="AN14" s="64"/>
      <c r="AO14" s="64"/>
      <c r="AP14" s="64"/>
      <c r="AQ14" s="64"/>
      <c r="AR14" s="64"/>
      <c r="AS14" s="71">
        <f t="shared" si="226"/>
        <v>0</v>
      </c>
      <c r="AU14" s="64"/>
      <c r="AV14" s="64"/>
      <c r="AW14" s="64"/>
      <c r="AX14" s="64"/>
      <c r="AY14" s="64"/>
      <c r="AZ14" s="64"/>
      <c r="BA14" s="64"/>
      <c r="BB14" s="64"/>
      <c r="BC14" s="64"/>
      <c r="BD14" s="64"/>
      <c r="BE14" s="64"/>
      <c r="BF14" s="64"/>
      <c r="BG14" s="71">
        <f t="shared" si="227"/>
        <v>0</v>
      </c>
      <c r="BI14" s="64"/>
      <c r="BJ14" s="64"/>
      <c r="BK14" s="64"/>
      <c r="BL14" s="64"/>
      <c r="BM14" s="64"/>
      <c r="BN14" s="64"/>
      <c r="BO14" s="64"/>
      <c r="BP14" s="64"/>
      <c r="BQ14" s="64"/>
      <c r="BR14" s="64"/>
      <c r="BS14" s="64"/>
      <c r="BT14" s="64"/>
      <c r="BU14" s="71">
        <f t="shared" si="228"/>
        <v>0</v>
      </c>
      <c r="BW14" s="64"/>
      <c r="BX14" s="64"/>
      <c r="BY14" s="64"/>
      <c r="BZ14" s="64"/>
      <c r="CA14" s="64"/>
      <c r="CB14" s="64"/>
      <c r="CC14" s="64"/>
      <c r="CD14" s="64"/>
      <c r="CE14" s="64"/>
      <c r="CF14" s="64"/>
      <c r="CG14" s="64"/>
      <c r="CH14" s="64"/>
      <c r="CI14" s="71">
        <f t="shared" si="229"/>
        <v>0</v>
      </c>
      <c r="CK14" s="64"/>
      <c r="CL14" s="64"/>
      <c r="CM14" s="64"/>
      <c r="CN14" s="64"/>
      <c r="CO14" s="64"/>
      <c r="CP14" s="64"/>
      <c r="CQ14" s="64"/>
      <c r="CR14" s="64"/>
      <c r="CS14" s="64"/>
      <c r="CT14" s="64"/>
      <c r="CU14" s="64"/>
      <c r="CV14" s="64"/>
      <c r="CW14" s="71">
        <f t="shared" si="230"/>
        <v>0</v>
      </c>
      <c r="CY14" s="64"/>
      <c r="CZ14" s="64"/>
      <c r="DA14" s="64"/>
      <c r="DB14" s="64"/>
      <c r="DC14" s="64"/>
      <c r="DD14" s="64"/>
      <c r="DE14" s="64"/>
      <c r="DF14" s="64"/>
      <c r="DG14" s="64"/>
      <c r="DH14" s="64"/>
      <c r="DI14" s="64"/>
      <c r="DJ14" s="64"/>
      <c r="DK14" s="71">
        <f t="shared" si="231"/>
        <v>0</v>
      </c>
      <c r="DM14" s="64"/>
      <c r="DN14" s="64"/>
      <c r="DO14" s="64"/>
      <c r="DP14" s="64"/>
      <c r="DQ14" s="64"/>
      <c r="DR14" s="64"/>
      <c r="DS14" s="64"/>
      <c r="DT14" s="64"/>
      <c r="DU14" s="64"/>
      <c r="DV14" s="64"/>
      <c r="DW14" s="64"/>
      <c r="DX14" s="64"/>
      <c r="DY14" s="71">
        <f t="shared" si="232"/>
        <v>0</v>
      </c>
      <c r="EA14" s="64"/>
      <c r="EB14" s="64"/>
      <c r="EC14" s="64"/>
      <c r="ED14" s="64"/>
      <c r="EE14" s="64"/>
      <c r="EF14" s="64"/>
      <c r="EG14" s="64"/>
      <c r="EH14" s="64"/>
      <c r="EI14" s="64"/>
      <c r="EJ14" s="64"/>
      <c r="EK14" s="64"/>
      <c r="EL14" s="64"/>
      <c r="EM14" s="71">
        <f t="shared" si="233"/>
        <v>0</v>
      </c>
    </row>
    <row r="15" spans="3:143" hidden="1">
      <c r="C15" s="63" t="s">
        <v>16</v>
      </c>
      <c r="E15" s="64"/>
      <c r="F15" s="64"/>
      <c r="G15" s="64"/>
      <c r="H15" s="64"/>
      <c r="I15" s="64"/>
      <c r="J15" s="64"/>
      <c r="K15" s="64"/>
      <c r="L15" s="64"/>
      <c r="M15" s="64"/>
      <c r="N15" s="64"/>
      <c r="O15" s="64"/>
      <c r="P15" s="64"/>
      <c r="Q15" s="71">
        <f t="shared" si="234"/>
        <v>0</v>
      </c>
      <c r="S15" s="64"/>
      <c r="T15" s="64"/>
      <c r="U15" s="64"/>
      <c r="V15" s="64"/>
      <c r="W15" s="64"/>
      <c r="X15" s="64"/>
      <c r="Y15" s="64"/>
      <c r="Z15" s="64"/>
      <c r="AA15" s="64"/>
      <c r="AB15" s="64"/>
      <c r="AC15" s="64"/>
      <c r="AD15" s="64"/>
      <c r="AE15" s="71">
        <f t="shared" si="235"/>
        <v>0</v>
      </c>
      <c r="AG15" s="64"/>
      <c r="AH15" s="64"/>
      <c r="AI15" s="64"/>
      <c r="AJ15" s="64"/>
      <c r="AK15" s="64"/>
      <c r="AL15" s="64"/>
      <c r="AM15" s="64"/>
      <c r="AN15" s="64"/>
      <c r="AO15" s="64"/>
      <c r="AP15" s="64"/>
      <c r="AQ15" s="64"/>
      <c r="AR15" s="64"/>
      <c r="AS15" s="71">
        <f t="shared" si="226"/>
        <v>0</v>
      </c>
      <c r="AU15" s="64"/>
      <c r="AV15" s="64"/>
      <c r="AW15" s="64"/>
      <c r="AX15" s="64"/>
      <c r="AY15" s="64"/>
      <c r="AZ15" s="64"/>
      <c r="BA15" s="64"/>
      <c r="BB15" s="64"/>
      <c r="BC15" s="64"/>
      <c r="BD15" s="64"/>
      <c r="BE15" s="64"/>
      <c r="BF15" s="64"/>
      <c r="BG15" s="71">
        <f t="shared" si="227"/>
        <v>0</v>
      </c>
      <c r="BI15" s="64"/>
      <c r="BJ15" s="64"/>
      <c r="BK15" s="64"/>
      <c r="BL15" s="64"/>
      <c r="BM15" s="64"/>
      <c r="BN15" s="64"/>
      <c r="BO15" s="64"/>
      <c r="BP15" s="64"/>
      <c r="BQ15" s="64"/>
      <c r="BR15" s="64"/>
      <c r="BS15" s="64"/>
      <c r="BT15" s="64"/>
      <c r="BU15" s="71">
        <f t="shared" si="228"/>
        <v>0</v>
      </c>
      <c r="BW15" s="64"/>
      <c r="BX15" s="64"/>
      <c r="BY15" s="64"/>
      <c r="BZ15" s="64"/>
      <c r="CA15" s="64"/>
      <c r="CB15" s="64"/>
      <c r="CC15" s="64"/>
      <c r="CD15" s="64"/>
      <c r="CE15" s="64"/>
      <c r="CF15" s="64"/>
      <c r="CG15" s="64"/>
      <c r="CH15" s="64"/>
      <c r="CI15" s="71">
        <f t="shared" si="229"/>
        <v>0</v>
      </c>
      <c r="CK15" s="64"/>
      <c r="CL15" s="64"/>
      <c r="CM15" s="64"/>
      <c r="CN15" s="64"/>
      <c r="CO15" s="64"/>
      <c r="CP15" s="64"/>
      <c r="CQ15" s="64"/>
      <c r="CR15" s="64"/>
      <c r="CS15" s="64"/>
      <c r="CT15" s="64"/>
      <c r="CU15" s="64"/>
      <c r="CV15" s="64"/>
      <c r="CW15" s="71">
        <f t="shared" si="230"/>
        <v>0</v>
      </c>
      <c r="CY15" s="64"/>
      <c r="CZ15" s="64"/>
      <c r="DA15" s="64"/>
      <c r="DB15" s="64"/>
      <c r="DC15" s="64"/>
      <c r="DD15" s="64"/>
      <c r="DE15" s="64"/>
      <c r="DF15" s="64"/>
      <c r="DG15" s="64"/>
      <c r="DH15" s="64"/>
      <c r="DI15" s="64"/>
      <c r="DJ15" s="64"/>
      <c r="DK15" s="71">
        <f t="shared" si="231"/>
        <v>0</v>
      </c>
      <c r="DM15" s="64"/>
      <c r="DN15" s="64"/>
      <c r="DO15" s="64"/>
      <c r="DP15" s="64"/>
      <c r="DQ15" s="64"/>
      <c r="DR15" s="64"/>
      <c r="DS15" s="64"/>
      <c r="DT15" s="64"/>
      <c r="DU15" s="64"/>
      <c r="DV15" s="64"/>
      <c r="DW15" s="64"/>
      <c r="DX15" s="64"/>
      <c r="DY15" s="71">
        <f t="shared" si="232"/>
        <v>0</v>
      </c>
      <c r="EA15" s="64"/>
      <c r="EB15" s="64"/>
      <c r="EC15" s="64"/>
      <c r="ED15" s="64"/>
      <c r="EE15" s="64"/>
      <c r="EF15" s="64"/>
      <c r="EG15" s="64"/>
      <c r="EH15" s="64"/>
      <c r="EI15" s="64"/>
      <c r="EJ15" s="64"/>
      <c r="EK15" s="64"/>
      <c r="EL15" s="64"/>
      <c r="EM15" s="71">
        <f t="shared" si="233"/>
        <v>0</v>
      </c>
    </row>
    <row r="16" spans="3:143" hidden="1">
      <c r="C16" s="63" t="s">
        <v>16</v>
      </c>
      <c r="E16" s="64"/>
      <c r="F16" s="64"/>
      <c r="G16" s="64"/>
      <c r="H16" s="64"/>
      <c r="I16" s="64"/>
      <c r="J16" s="64"/>
      <c r="K16" s="64"/>
      <c r="L16" s="64"/>
      <c r="M16" s="64"/>
      <c r="N16" s="64"/>
      <c r="O16" s="64"/>
      <c r="P16" s="64"/>
      <c r="Q16" s="71">
        <f t="shared" si="234"/>
        <v>0</v>
      </c>
      <c r="S16" s="64"/>
      <c r="T16" s="64"/>
      <c r="U16" s="64"/>
      <c r="V16" s="64"/>
      <c r="W16" s="64"/>
      <c r="X16" s="64"/>
      <c r="Y16" s="64"/>
      <c r="Z16" s="64"/>
      <c r="AA16" s="64"/>
      <c r="AB16" s="64"/>
      <c r="AC16" s="64"/>
      <c r="AD16" s="64"/>
      <c r="AE16" s="71">
        <f t="shared" si="235"/>
        <v>0</v>
      </c>
      <c r="AG16" s="64"/>
      <c r="AH16" s="64"/>
      <c r="AI16" s="64"/>
      <c r="AJ16" s="64"/>
      <c r="AK16" s="64"/>
      <c r="AL16" s="64"/>
      <c r="AM16" s="64"/>
      <c r="AN16" s="64"/>
      <c r="AO16" s="64"/>
      <c r="AP16" s="64"/>
      <c r="AQ16" s="64"/>
      <c r="AR16" s="64"/>
      <c r="AS16" s="71">
        <f t="shared" si="226"/>
        <v>0</v>
      </c>
      <c r="AU16" s="64"/>
      <c r="AV16" s="64"/>
      <c r="AW16" s="64"/>
      <c r="AX16" s="64"/>
      <c r="AY16" s="64"/>
      <c r="AZ16" s="64"/>
      <c r="BA16" s="64"/>
      <c r="BB16" s="64"/>
      <c r="BC16" s="64"/>
      <c r="BD16" s="64"/>
      <c r="BE16" s="64"/>
      <c r="BF16" s="64"/>
      <c r="BG16" s="71">
        <f t="shared" si="227"/>
        <v>0</v>
      </c>
      <c r="BI16" s="64"/>
      <c r="BJ16" s="64"/>
      <c r="BK16" s="64"/>
      <c r="BL16" s="64"/>
      <c r="BM16" s="64"/>
      <c r="BN16" s="64"/>
      <c r="BO16" s="64"/>
      <c r="BP16" s="64"/>
      <c r="BQ16" s="64"/>
      <c r="BR16" s="64"/>
      <c r="BS16" s="64"/>
      <c r="BT16" s="64"/>
      <c r="BU16" s="71">
        <f t="shared" si="228"/>
        <v>0</v>
      </c>
      <c r="BW16" s="64"/>
      <c r="BX16" s="64"/>
      <c r="BY16" s="64"/>
      <c r="BZ16" s="64"/>
      <c r="CA16" s="64"/>
      <c r="CB16" s="64"/>
      <c r="CC16" s="64"/>
      <c r="CD16" s="64"/>
      <c r="CE16" s="64"/>
      <c r="CF16" s="64"/>
      <c r="CG16" s="64"/>
      <c r="CH16" s="64"/>
      <c r="CI16" s="71">
        <f t="shared" si="229"/>
        <v>0</v>
      </c>
      <c r="CK16" s="64"/>
      <c r="CL16" s="64"/>
      <c r="CM16" s="64"/>
      <c r="CN16" s="64"/>
      <c r="CO16" s="64"/>
      <c r="CP16" s="64"/>
      <c r="CQ16" s="64"/>
      <c r="CR16" s="64"/>
      <c r="CS16" s="64"/>
      <c r="CT16" s="64"/>
      <c r="CU16" s="64"/>
      <c r="CV16" s="64"/>
      <c r="CW16" s="71">
        <f t="shared" si="230"/>
        <v>0</v>
      </c>
      <c r="CY16" s="64"/>
      <c r="CZ16" s="64"/>
      <c r="DA16" s="64"/>
      <c r="DB16" s="64"/>
      <c r="DC16" s="64"/>
      <c r="DD16" s="64"/>
      <c r="DE16" s="64"/>
      <c r="DF16" s="64"/>
      <c r="DG16" s="64"/>
      <c r="DH16" s="64"/>
      <c r="DI16" s="64"/>
      <c r="DJ16" s="64"/>
      <c r="DK16" s="71">
        <f t="shared" si="231"/>
        <v>0</v>
      </c>
      <c r="DM16" s="64"/>
      <c r="DN16" s="64"/>
      <c r="DO16" s="64"/>
      <c r="DP16" s="64"/>
      <c r="DQ16" s="64"/>
      <c r="DR16" s="64"/>
      <c r="DS16" s="64"/>
      <c r="DT16" s="64"/>
      <c r="DU16" s="64"/>
      <c r="DV16" s="64"/>
      <c r="DW16" s="64"/>
      <c r="DX16" s="64"/>
      <c r="DY16" s="71">
        <f t="shared" si="232"/>
        <v>0</v>
      </c>
      <c r="EA16" s="64"/>
      <c r="EB16" s="64"/>
      <c r="EC16" s="64"/>
      <c r="ED16" s="64"/>
      <c r="EE16" s="64"/>
      <c r="EF16" s="64"/>
      <c r="EG16" s="64"/>
      <c r="EH16" s="64"/>
      <c r="EI16" s="64"/>
      <c r="EJ16" s="64"/>
      <c r="EK16" s="64"/>
      <c r="EL16" s="64"/>
      <c r="EM16" s="71">
        <f t="shared" si="233"/>
        <v>0</v>
      </c>
    </row>
    <row r="17" spans="3:143" hidden="1">
      <c r="C17" s="63" t="s">
        <v>16</v>
      </c>
      <c r="E17" s="64"/>
      <c r="F17" s="64"/>
      <c r="G17" s="64"/>
      <c r="H17" s="64"/>
      <c r="I17" s="64"/>
      <c r="J17" s="64"/>
      <c r="K17" s="64"/>
      <c r="L17" s="64"/>
      <c r="M17" s="64"/>
      <c r="N17" s="64"/>
      <c r="O17" s="64"/>
      <c r="P17" s="64"/>
      <c r="Q17" s="71">
        <f t="shared" si="234"/>
        <v>0</v>
      </c>
      <c r="S17" s="64"/>
      <c r="T17" s="64"/>
      <c r="U17" s="64"/>
      <c r="V17" s="64"/>
      <c r="W17" s="64"/>
      <c r="X17" s="64"/>
      <c r="Y17" s="64"/>
      <c r="Z17" s="64"/>
      <c r="AA17" s="64"/>
      <c r="AB17" s="64"/>
      <c r="AC17" s="64"/>
      <c r="AD17" s="64"/>
      <c r="AE17" s="71">
        <f t="shared" si="235"/>
        <v>0</v>
      </c>
      <c r="AG17" s="64"/>
      <c r="AH17" s="64"/>
      <c r="AI17" s="64"/>
      <c r="AJ17" s="64"/>
      <c r="AK17" s="64"/>
      <c r="AL17" s="64"/>
      <c r="AM17" s="64"/>
      <c r="AN17" s="64"/>
      <c r="AO17" s="64"/>
      <c r="AP17" s="64"/>
      <c r="AQ17" s="64"/>
      <c r="AR17" s="64"/>
      <c r="AS17" s="71">
        <f t="shared" si="226"/>
        <v>0</v>
      </c>
      <c r="AU17" s="64"/>
      <c r="AV17" s="64"/>
      <c r="AW17" s="64"/>
      <c r="AX17" s="64"/>
      <c r="AY17" s="64"/>
      <c r="AZ17" s="64"/>
      <c r="BA17" s="64"/>
      <c r="BB17" s="64"/>
      <c r="BC17" s="64"/>
      <c r="BD17" s="64"/>
      <c r="BE17" s="64"/>
      <c r="BF17" s="64"/>
      <c r="BG17" s="71">
        <f t="shared" si="227"/>
        <v>0</v>
      </c>
      <c r="BI17" s="64"/>
      <c r="BJ17" s="64"/>
      <c r="BK17" s="64"/>
      <c r="BL17" s="64"/>
      <c r="BM17" s="64"/>
      <c r="BN17" s="64"/>
      <c r="BO17" s="64"/>
      <c r="BP17" s="64"/>
      <c r="BQ17" s="64"/>
      <c r="BR17" s="64"/>
      <c r="BS17" s="64"/>
      <c r="BT17" s="64"/>
      <c r="BU17" s="71">
        <f t="shared" si="228"/>
        <v>0</v>
      </c>
      <c r="BW17" s="64"/>
      <c r="BX17" s="64"/>
      <c r="BY17" s="64"/>
      <c r="BZ17" s="64"/>
      <c r="CA17" s="64"/>
      <c r="CB17" s="64"/>
      <c r="CC17" s="64"/>
      <c r="CD17" s="64"/>
      <c r="CE17" s="64"/>
      <c r="CF17" s="64"/>
      <c r="CG17" s="64"/>
      <c r="CH17" s="64"/>
      <c r="CI17" s="71">
        <f t="shared" si="229"/>
        <v>0</v>
      </c>
      <c r="CK17" s="64"/>
      <c r="CL17" s="64"/>
      <c r="CM17" s="64"/>
      <c r="CN17" s="64"/>
      <c r="CO17" s="64"/>
      <c r="CP17" s="64"/>
      <c r="CQ17" s="64"/>
      <c r="CR17" s="64"/>
      <c r="CS17" s="64"/>
      <c r="CT17" s="64"/>
      <c r="CU17" s="64"/>
      <c r="CV17" s="64"/>
      <c r="CW17" s="71">
        <f t="shared" si="230"/>
        <v>0</v>
      </c>
      <c r="CY17" s="64"/>
      <c r="CZ17" s="64"/>
      <c r="DA17" s="64"/>
      <c r="DB17" s="64"/>
      <c r="DC17" s="64"/>
      <c r="DD17" s="64"/>
      <c r="DE17" s="64"/>
      <c r="DF17" s="64"/>
      <c r="DG17" s="64"/>
      <c r="DH17" s="64"/>
      <c r="DI17" s="64"/>
      <c r="DJ17" s="64"/>
      <c r="DK17" s="71">
        <f t="shared" si="231"/>
        <v>0</v>
      </c>
      <c r="DM17" s="64"/>
      <c r="DN17" s="64"/>
      <c r="DO17" s="64"/>
      <c r="DP17" s="64"/>
      <c r="DQ17" s="64"/>
      <c r="DR17" s="64"/>
      <c r="DS17" s="64"/>
      <c r="DT17" s="64"/>
      <c r="DU17" s="64"/>
      <c r="DV17" s="64"/>
      <c r="DW17" s="64"/>
      <c r="DX17" s="64"/>
      <c r="DY17" s="71">
        <f t="shared" si="232"/>
        <v>0</v>
      </c>
      <c r="EA17" s="64"/>
      <c r="EB17" s="64"/>
      <c r="EC17" s="64"/>
      <c r="ED17" s="64"/>
      <c r="EE17" s="64"/>
      <c r="EF17" s="64"/>
      <c r="EG17" s="64"/>
      <c r="EH17" s="64"/>
      <c r="EI17" s="64"/>
      <c r="EJ17" s="64"/>
      <c r="EK17" s="64"/>
      <c r="EL17" s="64"/>
      <c r="EM17" s="71">
        <f t="shared" si="233"/>
        <v>0</v>
      </c>
    </row>
    <row r="18" spans="3:143" hidden="1">
      <c r="C18" s="63" t="s">
        <v>16</v>
      </c>
      <c r="E18" s="64"/>
      <c r="F18" s="64"/>
      <c r="G18" s="64"/>
      <c r="H18" s="64"/>
      <c r="I18" s="64"/>
      <c r="J18" s="64"/>
      <c r="K18" s="64"/>
      <c r="L18" s="64"/>
      <c r="M18" s="64"/>
      <c r="N18" s="64"/>
      <c r="O18" s="64"/>
      <c r="P18" s="64"/>
      <c r="Q18" s="71">
        <f t="shared" si="234"/>
        <v>0</v>
      </c>
      <c r="S18" s="64"/>
      <c r="T18" s="64"/>
      <c r="U18" s="64"/>
      <c r="V18" s="64"/>
      <c r="W18" s="64"/>
      <c r="X18" s="64"/>
      <c r="Y18" s="64"/>
      <c r="Z18" s="64"/>
      <c r="AA18" s="64"/>
      <c r="AB18" s="64"/>
      <c r="AC18" s="64"/>
      <c r="AD18" s="64"/>
      <c r="AE18" s="71">
        <f t="shared" si="235"/>
        <v>0</v>
      </c>
      <c r="AG18" s="64"/>
      <c r="AH18" s="64"/>
      <c r="AI18" s="64"/>
      <c r="AJ18" s="64"/>
      <c r="AK18" s="64"/>
      <c r="AL18" s="64"/>
      <c r="AM18" s="64"/>
      <c r="AN18" s="64"/>
      <c r="AO18" s="64"/>
      <c r="AP18" s="64"/>
      <c r="AQ18" s="64"/>
      <c r="AR18" s="64"/>
      <c r="AS18" s="71">
        <f t="shared" si="226"/>
        <v>0</v>
      </c>
      <c r="AU18" s="64"/>
      <c r="AV18" s="64"/>
      <c r="AW18" s="64"/>
      <c r="AX18" s="64"/>
      <c r="AY18" s="64"/>
      <c r="AZ18" s="64"/>
      <c r="BA18" s="64"/>
      <c r="BB18" s="64"/>
      <c r="BC18" s="64"/>
      <c r="BD18" s="64"/>
      <c r="BE18" s="64"/>
      <c r="BF18" s="64"/>
      <c r="BG18" s="71">
        <f t="shared" si="227"/>
        <v>0</v>
      </c>
      <c r="BI18" s="64"/>
      <c r="BJ18" s="64"/>
      <c r="BK18" s="64"/>
      <c r="BL18" s="64"/>
      <c r="BM18" s="64"/>
      <c r="BN18" s="64"/>
      <c r="BO18" s="64"/>
      <c r="BP18" s="64"/>
      <c r="BQ18" s="64"/>
      <c r="BR18" s="64"/>
      <c r="BS18" s="64"/>
      <c r="BT18" s="64"/>
      <c r="BU18" s="71">
        <f t="shared" si="228"/>
        <v>0</v>
      </c>
      <c r="BW18" s="64"/>
      <c r="BX18" s="64"/>
      <c r="BY18" s="64"/>
      <c r="BZ18" s="64"/>
      <c r="CA18" s="64"/>
      <c r="CB18" s="64"/>
      <c r="CC18" s="64"/>
      <c r="CD18" s="64"/>
      <c r="CE18" s="64"/>
      <c r="CF18" s="64"/>
      <c r="CG18" s="64"/>
      <c r="CH18" s="64"/>
      <c r="CI18" s="71">
        <f t="shared" si="229"/>
        <v>0</v>
      </c>
      <c r="CK18" s="64"/>
      <c r="CL18" s="64"/>
      <c r="CM18" s="64"/>
      <c r="CN18" s="64"/>
      <c r="CO18" s="64"/>
      <c r="CP18" s="64"/>
      <c r="CQ18" s="64"/>
      <c r="CR18" s="64"/>
      <c r="CS18" s="64"/>
      <c r="CT18" s="64"/>
      <c r="CU18" s="64"/>
      <c r="CV18" s="64"/>
      <c r="CW18" s="71">
        <f t="shared" si="230"/>
        <v>0</v>
      </c>
      <c r="CY18" s="64"/>
      <c r="CZ18" s="64"/>
      <c r="DA18" s="64"/>
      <c r="DB18" s="64"/>
      <c r="DC18" s="64"/>
      <c r="DD18" s="64"/>
      <c r="DE18" s="64"/>
      <c r="DF18" s="64"/>
      <c r="DG18" s="64"/>
      <c r="DH18" s="64"/>
      <c r="DI18" s="64"/>
      <c r="DJ18" s="64"/>
      <c r="DK18" s="71">
        <f t="shared" si="231"/>
        <v>0</v>
      </c>
      <c r="DM18" s="64"/>
      <c r="DN18" s="64"/>
      <c r="DO18" s="64"/>
      <c r="DP18" s="64"/>
      <c r="DQ18" s="64"/>
      <c r="DR18" s="64"/>
      <c r="DS18" s="64"/>
      <c r="DT18" s="64"/>
      <c r="DU18" s="64"/>
      <c r="DV18" s="64"/>
      <c r="DW18" s="64"/>
      <c r="DX18" s="64"/>
      <c r="DY18" s="71">
        <f t="shared" si="232"/>
        <v>0</v>
      </c>
      <c r="EA18" s="64"/>
      <c r="EB18" s="64"/>
      <c r="EC18" s="64"/>
      <c r="ED18" s="64"/>
      <c r="EE18" s="64"/>
      <c r="EF18" s="64"/>
      <c r="EG18" s="64"/>
      <c r="EH18" s="64"/>
      <c r="EI18" s="64"/>
      <c r="EJ18" s="64"/>
      <c r="EK18" s="64"/>
      <c r="EL18" s="64"/>
      <c r="EM18" s="71">
        <f t="shared" si="233"/>
        <v>0</v>
      </c>
    </row>
    <row r="19" spans="3:143" hidden="1">
      <c r="C19" s="63" t="s">
        <v>16</v>
      </c>
      <c r="E19" s="64"/>
      <c r="F19" s="64"/>
      <c r="G19" s="64"/>
      <c r="H19" s="64"/>
      <c r="I19" s="64"/>
      <c r="J19" s="64"/>
      <c r="K19" s="64"/>
      <c r="L19" s="64"/>
      <c r="M19" s="64"/>
      <c r="N19" s="64"/>
      <c r="O19" s="64"/>
      <c r="P19" s="64"/>
      <c r="Q19" s="71">
        <f t="shared" si="234"/>
        <v>0</v>
      </c>
      <c r="S19" s="64"/>
      <c r="T19" s="64"/>
      <c r="U19" s="64"/>
      <c r="V19" s="64"/>
      <c r="W19" s="64"/>
      <c r="X19" s="64"/>
      <c r="Y19" s="64"/>
      <c r="Z19" s="64"/>
      <c r="AA19" s="64"/>
      <c r="AB19" s="64"/>
      <c r="AC19" s="64"/>
      <c r="AD19" s="64"/>
      <c r="AE19" s="71">
        <f t="shared" si="235"/>
        <v>0</v>
      </c>
      <c r="AG19" s="64"/>
      <c r="AH19" s="64"/>
      <c r="AI19" s="64"/>
      <c r="AJ19" s="64"/>
      <c r="AK19" s="64"/>
      <c r="AL19" s="64"/>
      <c r="AM19" s="64"/>
      <c r="AN19" s="64"/>
      <c r="AO19" s="64"/>
      <c r="AP19" s="64"/>
      <c r="AQ19" s="64"/>
      <c r="AR19" s="64"/>
      <c r="AS19" s="71">
        <f t="shared" si="226"/>
        <v>0</v>
      </c>
      <c r="AU19" s="64"/>
      <c r="AV19" s="64"/>
      <c r="AW19" s="64"/>
      <c r="AX19" s="64"/>
      <c r="AY19" s="64"/>
      <c r="AZ19" s="64"/>
      <c r="BA19" s="64"/>
      <c r="BB19" s="64"/>
      <c r="BC19" s="64"/>
      <c r="BD19" s="64"/>
      <c r="BE19" s="64"/>
      <c r="BF19" s="64"/>
      <c r="BG19" s="71">
        <f t="shared" si="227"/>
        <v>0</v>
      </c>
      <c r="BI19" s="64"/>
      <c r="BJ19" s="64"/>
      <c r="BK19" s="64"/>
      <c r="BL19" s="64"/>
      <c r="BM19" s="64"/>
      <c r="BN19" s="64"/>
      <c r="BO19" s="64"/>
      <c r="BP19" s="64"/>
      <c r="BQ19" s="64"/>
      <c r="BR19" s="64"/>
      <c r="BS19" s="64"/>
      <c r="BT19" s="64"/>
      <c r="BU19" s="71">
        <f t="shared" si="228"/>
        <v>0</v>
      </c>
      <c r="BW19" s="64"/>
      <c r="BX19" s="64"/>
      <c r="BY19" s="64"/>
      <c r="BZ19" s="64"/>
      <c r="CA19" s="64"/>
      <c r="CB19" s="64"/>
      <c r="CC19" s="64"/>
      <c r="CD19" s="64"/>
      <c r="CE19" s="64"/>
      <c r="CF19" s="64"/>
      <c r="CG19" s="64"/>
      <c r="CH19" s="64"/>
      <c r="CI19" s="71">
        <f t="shared" si="229"/>
        <v>0</v>
      </c>
      <c r="CK19" s="64"/>
      <c r="CL19" s="64"/>
      <c r="CM19" s="64"/>
      <c r="CN19" s="64"/>
      <c r="CO19" s="64"/>
      <c r="CP19" s="64"/>
      <c r="CQ19" s="64"/>
      <c r="CR19" s="64"/>
      <c r="CS19" s="64"/>
      <c r="CT19" s="64"/>
      <c r="CU19" s="64"/>
      <c r="CV19" s="64"/>
      <c r="CW19" s="71">
        <f t="shared" si="230"/>
        <v>0</v>
      </c>
      <c r="CY19" s="64"/>
      <c r="CZ19" s="64"/>
      <c r="DA19" s="64"/>
      <c r="DB19" s="64"/>
      <c r="DC19" s="64"/>
      <c r="DD19" s="64"/>
      <c r="DE19" s="64"/>
      <c r="DF19" s="64"/>
      <c r="DG19" s="64"/>
      <c r="DH19" s="64"/>
      <c r="DI19" s="64"/>
      <c r="DJ19" s="64"/>
      <c r="DK19" s="71">
        <f t="shared" si="231"/>
        <v>0</v>
      </c>
      <c r="DM19" s="64"/>
      <c r="DN19" s="64"/>
      <c r="DO19" s="64"/>
      <c r="DP19" s="64"/>
      <c r="DQ19" s="64"/>
      <c r="DR19" s="64"/>
      <c r="DS19" s="64"/>
      <c r="DT19" s="64"/>
      <c r="DU19" s="64"/>
      <c r="DV19" s="64"/>
      <c r="DW19" s="64"/>
      <c r="DX19" s="64"/>
      <c r="DY19" s="71">
        <f t="shared" si="232"/>
        <v>0</v>
      </c>
      <c r="EA19" s="64"/>
      <c r="EB19" s="64"/>
      <c r="EC19" s="64"/>
      <c r="ED19" s="64"/>
      <c r="EE19" s="64"/>
      <c r="EF19" s="64"/>
      <c r="EG19" s="64"/>
      <c r="EH19" s="64"/>
      <c r="EI19" s="64"/>
      <c r="EJ19" s="64"/>
      <c r="EK19" s="64"/>
      <c r="EL19" s="64"/>
      <c r="EM19" s="71">
        <f t="shared" si="233"/>
        <v>0</v>
      </c>
    </row>
    <row r="20" spans="3:143">
      <c r="C20" s="65" t="s">
        <v>17</v>
      </c>
      <c r="E20" s="66">
        <f t="shared" ref="E20:BP20" ca="1" si="236">SUM(INDIRECT(ADDRESS(income_min_row,COLUMN())&amp;":"&amp;ADDRESS(income_max_row,COLUMN())))</f>
        <v>4650</v>
      </c>
      <c r="F20" s="66">
        <f t="shared" ca="1" si="236"/>
        <v>4550</v>
      </c>
      <c r="G20" s="66">
        <f t="shared" ca="1" si="236"/>
        <v>4600</v>
      </c>
      <c r="H20" s="66">
        <f t="shared" ca="1" si="236"/>
        <v>5650</v>
      </c>
      <c r="I20" s="66">
        <f t="shared" ca="1" si="236"/>
        <v>5550</v>
      </c>
      <c r="J20" s="66">
        <f t="shared" ca="1" si="236"/>
        <v>5600</v>
      </c>
      <c r="K20" s="66">
        <f t="shared" ca="1" si="236"/>
        <v>5650</v>
      </c>
      <c r="L20" s="66">
        <f t="shared" ca="1" si="236"/>
        <v>5550</v>
      </c>
      <c r="M20" s="66">
        <f t="shared" ca="1" si="236"/>
        <v>5600</v>
      </c>
      <c r="N20" s="66">
        <f t="shared" ca="1" si="236"/>
        <v>5650</v>
      </c>
      <c r="O20" s="66">
        <f t="shared" ca="1" si="236"/>
        <v>5550</v>
      </c>
      <c r="P20" s="66">
        <f t="shared" ca="1" si="236"/>
        <v>5600</v>
      </c>
      <c r="Q20" s="66">
        <f t="shared" ca="1" si="236"/>
        <v>64200</v>
      </c>
      <c r="S20" s="66">
        <f t="shared" ca="1" si="236"/>
        <v>0</v>
      </c>
      <c r="T20" s="66">
        <f t="shared" ca="1" si="236"/>
        <v>0</v>
      </c>
      <c r="U20" s="66">
        <f t="shared" ca="1" si="236"/>
        <v>0</v>
      </c>
      <c r="V20" s="66">
        <f t="shared" ca="1" si="236"/>
        <v>0</v>
      </c>
      <c r="W20" s="66">
        <f t="shared" ca="1" si="236"/>
        <v>0</v>
      </c>
      <c r="X20" s="66">
        <f t="shared" ca="1" si="236"/>
        <v>0</v>
      </c>
      <c r="Y20" s="66">
        <f t="shared" ca="1" si="236"/>
        <v>0</v>
      </c>
      <c r="Z20" s="66">
        <f t="shared" ca="1" si="236"/>
        <v>0</v>
      </c>
      <c r="AA20" s="66">
        <f t="shared" ca="1" si="236"/>
        <v>0</v>
      </c>
      <c r="AB20" s="66">
        <f t="shared" ca="1" si="236"/>
        <v>0</v>
      </c>
      <c r="AC20" s="66">
        <f t="shared" ca="1" si="236"/>
        <v>0</v>
      </c>
      <c r="AD20" s="66">
        <f t="shared" ca="1" si="236"/>
        <v>0</v>
      </c>
      <c r="AE20" s="66">
        <f t="shared" ca="1" si="236"/>
        <v>0</v>
      </c>
      <c r="AG20" s="66">
        <f t="shared" ca="1" si="236"/>
        <v>0</v>
      </c>
      <c r="AH20" s="66">
        <f t="shared" ca="1" si="236"/>
        <v>0</v>
      </c>
      <c r="AI20" s="66">
        <f t="shared" ca="1" si="236"/>
        <v>0</v>
      </c>
      <c r="AJ20" s="66">
        <f t="shared" ca="1" si="236"/>
        <v>0</v>
      </c>
      <c r="AK20" s="66">
        <f t="shared" ca="1" si="236"/>
        <v>0</v>
      </c>
      <c r="AL20" s="66">
        <f t="shared" ca="1" si="236"/>
        <v>0</v>
      </c>
      <c r="AM20" s="66">
        <f t="shared" ca="1" si="236"/>
        <v>0</v>
      </c>
      <c r="AN20" s="66">
        <f t="shared" ca="1" si="236"/>
        <v>0</v>
      </c>
      <c r="AO20" s="66">
        <f t="shared" ca="1" si="236"/>
        <v>0</v>
      </c>
      <c r="AP20" s="66">
        <f t="shared" ca="1" si="236"/>
        <v>0</v>
      </c>
      <c r="AQ20" s="66">
        <f t="shared" ca="1" si="236"/>
        <v>0</v>
      </c>
      <c r="AR20" s="66">
        <f t="shared" ca="1" si="236"/>
        <v>0</v>
      </c>
      <c r="AS20" s="66">
        <f t="shared" ca="1" si="236"/>
        <v>0</v>
      </c>
      <c r="AU20" s="66">
        <f t="shared" ca="1" si="236"/>
        <v>0</v>
      </c>
      <c r="AV20" s="66">
        <f t="shared" ca="1" si="236"/>
        <v>0</v>
      </c>
      <c r="AW20" s="66">
        <f t="shared" ca="1" si="236"/>
        <v>0</v>
      </c>
      <c r="AX20" s="66">
        <f t="shared" ca="1" si="236"/>
        <v>0</v>
      </c>
      <c r="AY20" s="66">
        <f t="shared" ca="1" si="236"/>
        <v>0</v>
      </c>
      <c r="AZ20" s="66">
        <f t="shared" ca="1" si="236"/>
        <v>0</v>
      </c>
      <c r="BA20" s="66">
        <f t="shared" ca="1" si="236"/>
        <v>0</v>
      </c>
      <c r="BB20" s="66">
        <f t="shared" ca="1" si="236"/>
        <v>0</v>
      </c>
      <c r="BC20" s="66">
        <f t="shared" ca="1" si="236"/>
        <v>0</v>
      </c>
      <c r="BD20" s="66">
        <f t="shared" ca="1" si="236"/>
        <v>0</v>
      </c>
      <c r="BE20" s="66">
        <f t="shared" ca="1" si="236"/>
        <v>0</v>
      </c>
      <c r="BF20" s="66">
        <f t="shared" ca="1" si="236"/>
        <v>0</v>
      </c>
      <c r="BG20" s="66">
        <f t="shared" ca="1" si="236"/>
        <v>0</v>
      </c>
      <c r="BI20" s="66">
        <f t="shared" ca="1" si="236"/>
        <v>0</v>
      </c>
      <c r="BJ20" s="66">
        <f t="shared" ca="1" si="236"/>
        <v>0</v>
      </c>
      <c r="BK20" s="66">
        <f t="shared" ca="1" si="236"/>
        <v>0</v>
      </c>
      <c r="BL20" s="66">
        <f t="shared" ca="1" si="236"/>
        <v>0</v>
      </c>
      <c r="BM20" s="66">
        <f t="shared" ca="1" si="236"/>
        <v>0</v>
      </c>
      <c r="BN20" s="66">
        <f t="shared" ca="1" si="236"/>
        <v>0</v>
      </c>
      <c r="BO20" s="66">
        <f t="shared" ca="1" si="236"/>
        <v>0</v>
      </c>
      <c r="BP20" s="66">
        <f t="shared" ca="1" si="236"/>
        <v>0</v>
      </c>
      <c r="BQ20" s="66">
        <f t="shared" ref="BQ20:EB20" ca="1" si="237">SUM(INDIRECT(ADDRESS(income_min_row,COLUMN())&amp;":"&amp;ADDRESS(income_max_row,COLUMN())))</f>
        <v>0</v>
      </c>
      <c r="BR20" s="66">
        <f t="shared" ca="1" si="237"/>
        <v>0</v>
      </c>
      <c r="BS20" s="66">
        <f t="shared" ca="1" si="237"/>
        <v>0</v>
      </c>
      <c r="BT20" s="66">
        <f t="shared" ca="1" si="237"/>
        <v>0</v>
      </c>
      <c r="BU20" s="66">
        <f t="shared" ca="1" si="237"/>
        <v>0</v>
      </c>
      <c r="BW20" s="66">
        <f t="shared" ca="1" si="237"/>
        <v>0</v>
      </c>
      <c r="BX20" s="66">
        <f t="shared" ca="1" si="237"/>
        <v>0</v>
      </c>
      <c r="BY20" s="66">
        <f t="shared" ca="1" si="237"/>
        <v>0</v>
      </c>
      <c r="BZ20" s="66">
        <f t="shared" ca="1" si="237"/>
        <v>0</v>
      </c>
      <c r="CA20" s="66">
        <f t="shared" ca="1" si="237"/>
        <v>0</v>
      </c>
      <c r="CB20" s="66">
        <f t="shared" ca="1" si="237"/>
        <v>0</v>
      </c>
      <c r="CC20" s="66">
        <f t="shared" ca="1" si="237"/>
        <v>0</v>
      </c>
      <c r="CD20" s="66">
        <f t="shared" ca="1" si="237"/>
        <v>0</v>
      </c>
      <c r="CE20" s="66">
        <f t="shared" ca="1" si="237"/>
        <v>0</v>
      </c>
      <c r="CF20" s="66">
        <f t="shared" ca="1" si="237"/>
        <v>0</v>
      </c>
      <c r="CG20" s="66">
        <f t="shared" ca="1" si="237"/>
        <v>0</v>
      </c>
      <c r="CH20" s="66">
        <f t="shared" ca="1" si="237"/>
        <v>0</v>
      </c>
      <c r="CI20" s="66">
        <f t="shared" ca="1" si="237"/>
        <v>0</v>
      </c>
      <c r="CK20" s="66">
        <f t="shared" ca="1" si="237"/>
        <v>0</v>
      </c>
      <c r="CL20" s="66">
        <f t="shared" ca="1" si="237"/>
        <v>0</v>
      </c>
      <c r="CM20" s="66">
        <f t="shared" ca="1" si="237"/>
        <v>0</v>
      </c>
      <c r="CN20" s="66">
        <f t="shared" ca="1" si="237"/>
        <v>0</v>
      </c>
      <c r="CO20" s="66">
        <f t="shared" ca="1" si="237"/>
        <v>0</v>
      </c>
      <c r="CP20" s="66">
        <f t="shared" ca="1" si="237"/>
        <v>0</v>
      </c>
      <c r="CQ20" s="66">
        <f t="shared" ca="1" si="237"/>
        <v>0</v>
      </c>
      <c r="CR20" s="66">
        <f t="shared" ca="1" si="237"/>
        <v>0</v>
      </c>
      <c r="CS20" s="66">
        <f t="shared" ca="1" si="237"/>
        <v>0</v>
      </c>
      <c r="CT20" s="66">
        <f t="shared" ca="1" si="237"/>
        <v>0</v>
      </c>
      <c r="CU20" s="66">
        <f t="shared" ca="1" si="237"/>
        <v>0</v>
      </c>
      <c r="CV20" s="66">
        <f t="shared" ca="1" si="237"/>
        <v>0</v>
      </c>
      <c r="CW20" s="66">
        <f t="shared" ca="1" si="237"/>
        <v>0</v>
      </c>
      <c r="CY20" s="66">
        <f t="shared" ca="1" si="237"/>
        <v>0</v>
      </c>
      <c r="CZ20" s="66">
        <f t="shared" ca="1" si="237"/>
        <v>0</v>
      </c>
      <c r="DA20" s="66">
        <f t="shared" ca="1" si="237"/>
        <v>0</v>
      </c>
      <c r="DB20" s="66">
        <f t="shared" ca="1" si="237"/>
        <v>0</v>
      </c>
      <c r="DC20" s="66">
        <f t="shared" ca="1" si="237"/>
        <v>0</v>
      </c>
      <c r="DD20" s="66">
        <f t="shared" ca="1" si="237"/>
        <v>0</v>
      </c>
      <c r="DE20" s="66">
        <f t="shared" ca="1" si="237"/>
        <v>0</v>
      </c>
      <c r="DF20" s="66">
        <f t="shared" ca="1" si="237"/>
        <v>0</v>
      </c>
      <c r="DG20" s="66">
        <f t="shared" ca="1" si="237"/>
        <v>0</v>
      </c>
      <c r="DH20" s="66">
        <f t="shared" ca="1" si="237"/>
        <v>0</v>
      </c>
      <c r="DI20" s="66">
        <f t="shared" ca="1" si="237"/>
        <v>0</v>
      </c>
      <c r="DJ20" s="66">
        <f t="shared" ca="1" si="237"/>
        <v>0</v>
      </c>
      <c r="DK20" s="66">
        <f t="shared" ca="1" si="237"/>
        <v>0</v>
      </c>
      <c r="DM20" s="66">
        <f t="shared" ca="1" si="237"/>
        <v>0</v>
      </c>
      <c r="DN20" s="66">
        <f t="shared" ca="1" si="237"/>
        <v>0</v>
      </c>
      <c r="DO20" s="66">
        <f t="shared" ca="1" si="237"/>
        <v>0</v>
      </c>
      <c r="DP20" s="66">
        <f t="shared" ca="1" si="237"/>
        <v>0</v>
      </c>
      <c r="DQ20" s="66">
        <f t="shared" ca="1" si="237"/>
        <v>0</v>
      </c>
      <c r="DR20" s="66">
        <f t="shared" ca="1" si="237"/>
        <v>0</v>
      </c>
      <c r="DS20" s="66">
        <f t="shared" ca="1" si="237"/>
        <v>0</v>
      </c>
      <c r="DT20" s="66">
        <f t="shared" ca="1" si="237"/>
        <v>0</v>
      </c>
      <c r="DU20" s="66">
        <f t="shared" ca="1" si="237"/>
        <v>0</v>
      </c>
      <c r="DV20" s="66">
        <f t="shared" ca="1" si="237"/>
        <v>0</v>
      </c>
      <c r="DW20" s="66">
        <f t="shared" ca="1" si="237"/>
        <v>0</v>
      </c>
      <c r="DX20" s="66">
        <f t="shared" ca="1" si="237"/>
        <v>0</v>
      </c>
      <c r="DY20" s="66">
        <f t="shared" ca="1" si="237"/>
        <v>0</v>
      </c>
      <c r="EA20" s="66">
        <f t="shared" ca="1" si="237"/>
        <v>0</v>
      </c>
      <c r="EB20" s="66">
        <f t="shared" ca="1" si="237"/>
        <v>0</v>
      </c>
      <c r="EC20" s="66">
        <f t="shared" ref="EC20:EM20" ca="1" si="238">SUM(INDIRECT(ADDRESS(income_min_row,COLUMN())&amp;":"&amp;ADDRESS(income_max_row,COLUMN())))</f>
        <v>0</v>
      </c>
      <c r="ED20" s="66">
        <f t="shared" ca="1" si="238"/>
        <v>0</v>
      </c>
      <c r="EE20" s="66">
        <f t="shared" ca="1" si="238"/>
        <v>0</v>
      </c>
      <c r="EF20" s="66">
        <f t="shared" ca="1" si="238"/>
        <v>0</v>
      </c>
      <c r="EG20" s="66">
        <f t="shared" ca="1" si="238"/>
        <v>0</v>
      </c>
      <c r="EH20" s="66">
        <f t="shared" ca="1" si="238"/>
        <v>0</v>
      </c>
      <c r="EI20" s="66">
        <f t="shared" ca="1" si="238"/>
        <v>0</v>
      </c>
      <c r="EJ20" s="66">
        <f t="shared" ca="1" si="238"/>
        <v>0</v>
      </c>
      <c r="EK20" s="66">
        <f t="shared" ca="1" si="238"/>
        <v>0</v>
      </c>
      <c r="EL20" s="66">
        <f t="shared" ca="1" si="238"/>
        <v>0</v>
      </c>
      <c r="EM20" s="66">
        <f t="shared" ca="1" si="238"/>
        <v>0</v>
      </c>
    </row>
    <row r="22" spans="3:143">
      <c r="C22" s="61" t="s">
        <v>18</v>
      </c>
      <c r="E22" s="67">
        <f>DATE(E$5,1,1)</f>
        <v>44562</v>
      </c>
      <c r="F22" s="67">
        <f>DATE(E$5,2,1)</f>
        <v>44593</v>
      </c>
      <c r="G22" s="67">
        <f>DATE(E$5,3,1)</f>
        <v>44621</v>
      </c>
      <c r="H22" s="67">
        <f>DATE(E$5,4,1)</f>
        <v>44652</v>
      </c>
      <c r="I22" s="67">
        <f>DATE(E$5,5,1)</f>
        <v>44682</v>
      </c>
      <c r="J22" s="67">
        <f>DATE(E$5,6,1)</f>
        <v>44713</v>
      </c>
      <c r="K22" s="67">
        <f>DATE(E$5,7,1)</f>
        <v>44743</v>
      </c>
      <c r="L22" s="67">
        <f>DATE(E$5,8,1)</f>
        <v>44774</v>
      </c>
      <c r="M22" s="67">
        <f>DATE(E$5,9,1)</f>
        <v>44805</v>
      </c>
      <c r="N22" s="67">
        <f>DATE(E$5,10,1)</f>
        <v>44835</v>
      </c>
      <c r="O22" s="67">
        <f>DATE(E$5,11,1)</f>
        <v>44866</v>
      </c>
      <c r="P22" s="67">
        <f>DATE(E$5,12,1)</f>
        <v>44896</v>
      </c>
      <c r="Q22" s="72">
        <f>E$5</f>
        <v>2022</v>
      </c>
      <c r="S22" s="67">
        <f>DATE(S$5,1,1)</f>
        <v>44927</v>
      </c>
      <c r="T22" s="67">
        <f>DATE(S$5,2,1)</f>
        <v>44958</v>
      </c>
      <c r="U22" s="67">
        <f>DATE(S$5,3,1)</f>
        <v>44986</v>
      </c>
      <c r="V22" s="67">
        <f>DATE(S$5,4,1)</f>
        <v>45017</v>
      </c>
      <c r="W22" s="67">
        <f>DATE(S$5,5,1)</f>
        <v>45047</v>
      </c>
      <c r="X22" s="67">
        <f>DATE(S$5,6,1)</f>
        <v>45078</v>
      </c>
      <c r="Y22" s="67">
        <f>DATE(S$5,7,1)</f>
        <v>45108</v>
      </c>
      <c r="Z22" s="67">
        <f>DATE(S$5,8,1)</f>
        <v>45139</v>
      </c>
      <c r="AA22" s="67">
        <f>DATE(S$5,9,1)</f>
        <v>45170</v>
      </c>
      <c r="AB22" s="67">
        <f>DATE(S$5,10,1)</f>
        <v>45200</v>
      </c>
      <c r="AC22" s="67">
        <f>DATE(S$5,11,1)</f>
        <v>45231</v>
      </c>
      <c r="AD22" s="67">
        <f>DATE(S$5,12,1)</f>
        <v>45261</v>
      </c>
      <c r="AE22" s="72">
        <f>S$5</f>
        <v>2023</v>
      </c>
      <c r="AG22" s="67">
        <f t="shared" ref="AG22" si="239">DATE(AG$5,1,1)</f>
        <v>45292</v>
      </c>
      <c r="AH22" s="67">
        <f t="shared" ref="AH22" si="240">DATE(AG$5,2,1)</f>
        <v>45323</v>
      </c>
      <c r="AI22" s="67">
        <f t="shared" ref="AI22" si="241">DATE(AG$5,3,1)</f>
        <v>45352</v>
      </c>
      <c r="AJ22" s="67">
        <f t="shared" ref="AJ22" si="242">DATE(AG$5,4,1)</f>
        <v>45383</v>
      </c>
      <c r="AK22" s="67">
        <f t="shared" ref="AK22" si="243">DATE(AG$5,5,1)</f>
        <v>45413</v>
      </c>
      <c r="AL22" s="67">
        <f t="shared" ref="AL22" si="244">DATE(AG$5,6,1)</f>
        <v>45444</v>
      </c>
      <c r="AM22" s="67">
        <f t="shared" ref="AM22" si="245">DATE(AG$5,7,1)</f>
        <v>45474</v>
      </c>
      <c r="AN22" s="67">
        <f t="shared" ref="AN22" si="246">DATE(AG$5,8,1)</f>
        <v>45505</v>
      </c>
      <c r="AO22" s="67">
        <f t="shared" ref="AO22" si="247">DATE(AG$5,9,1)</f>
        <v>45536</v>
      </c>
      <c r="AP22" s="67">
        <f t="shared" ref="AP22" si="248">DATE(AG$5,10,1)</f>
        <v>45566</v>
      </c>
      <c r="AQ22" s="67">
        <f t="shared" ref="AQ22" si="249">DATE(AG$5,11,1)</f>
        <v>45597</v>
      </c>
      <c r="AR22" s="67">
        <f t="shared" ref="AR22" si="250">DATE(AG$5,12,1)</f>
        <v>45627</v>
      </c>
      <c r="AS22" s="72">
        <f t="shared" ref="AS22" si="251">AG$5</f>
        <v>2024</v>
      </c>
      <c r="AU22" s="67">
        <f t="shared" ref="AU22" si="252">DATE(AU$5,1,1)</f>
        <v>45658</v>
      </c>
      <c r="AV22" s="67">
        <f t="shared" ref="AV22" si="253">DATE(AU$5,2,1)</f>
        <v>45689</v>
      </c>
      <c r="AW22" s="67">
        <f t="shared" ref="AW22" si="254">DATE(AU$5,3,1)</f>
        <v>45717</v>
      </c>
      <c r="AX22" s="67">
        <f t="shared" ref="AX22" si="255">DATE(AU$5,4,1)</f>
        <v>45748</v>
      </c>
      <c r="AY22" s="67">
        <f t="shared" ref="AY22" si="256">DATE(AU$5,5,1)</f>
        <v>45778</v>
      </c>
      <c r="AZ22" s="67">
        <f t="shared" ref="AZ22" si="257">DATE(AU$5,6,1)</f>
        <v>45809</v>
      </c>
      <c r="BA22" s="67">
        <f t="shared" ref="BA22" si="258">DATE(AU$5,7,1)</f>
        <v>45839</v>
      </c>
      <c r="BB22" s="67">
        <f t="shared" ref="BB22" si="259">DATE(AU$5,8,1)</f>
        <v>45870</v>
      </c>
      <c r="BC22" s="67">
        <f t="shared" ref="BC22" si="260">DATE(AU$5,9,1)</f>
        <v>45901</v>
      </c>
      <c r="BD22" s="67">
        <f t="shared" ref="BD22" si="261">DATE(AU$5,10,1)</f>
        <v>45931</v>
      </c>
      <c r="BE22" s="67">
        <f t="shared" ref="BE22" si="262">DATE(AU$5,11,1)</f>
        <v>45962</v>
      </c>
      <c r="BF22" s="67">
        <f t="shared" ref="BF22" si="263">DATE(AU$5,12,1)</f>
        <v>45992</v>
      </c>
      <c r="BG22" s="72">
        <f t="shared" ref="BG22" si="264">AU$5</f>
        <v>2025</v>
      </c>
      <c r="BI22" s="67">
        <f t="shared" ref="BI22" si="265">DATE(BI$5,1,1)</f>
        <v>46023</v>
      </c>
      <c r="BJ22" s="67">
        <f t="shared" ref="BJ22" si="266">DATE(BI$5,2,1)</f>
        <v>46054</v>
      </c>
      <c r="BK22" s="67">
        <f t="shared" ref="BK22" si="267">DATE(BI$5,3,1)</f>
        <v>46082</v>
      </c>
      <c r="BL22" s="67">
        <f t="shared" ref="BL22" si="268">DATE(BI$5,4,1)</f>
        <v>46113</v>
      </c>
      <c r="BM22" s="67">
        <f t="shared" ref="BM22" si="269">DATE(BI$5,5,1)</f>
        <v>46143</v>
      </c>
      <c r="BN22" s="67">
        <f t="shared" ref="BN22" si="270">DATE(BI$5,6,1)</f>
        <v>46174</v>
      </c>
      <c r="BO22" s="67">
        <f t="shared" ref="BO22" si="271">DATE(BI$5,7,1)</f>
        <v>46204</v>
      </c>
      <c r="BP22" s="67">
        <f t="shared" ref="BP22" si="272">DATE(BI$5,8,1)</f>
        <v>46235</v>
      </c>
      <c r="BQ22" s="67">
        <f t="shared" ref="BQ22" si="273">DATE(BI$5,9,1)</f>
        <v>46266</v>
      </c>
      <c r="BR22" s="67">
        <f t="shared" ref="BR22" si="274">DATE(BI$5,10,1)</f>
        <v>46296</v>
      </c>
      <c r="BS22" s="67">
        <f t="shared" ref="BS22" si="275">DATE(BI$5,11,1)</f>
        <v>46327</v>
      </c>
      <c r="BT22" s="67">
        <f t="shared" ref="BT22" si="276">DATE(BI$5,12,1)</f>
        <v>46357</v>
      </c>
      <c r="BU22" s="72">
        <f t="shared" ref="BU22" si="277">BI$5</f>
        <v>2026</v>
      </c>
      <c r="BW22" s="67">
        <f t="shared" ref="BW22" si="278">DATE(BW$5,1,1)</f>
        <v>46388</v>
      </c>
      <c r="BX22" s="67">
        <f t="shared" ref="BX22" si="279">DATE(BW$5,2,1)</f>
        <v>46419</v>
      </c>
      <c r="BY22" s="67">
        <f t="shared" ref="BY22" si="280">DATE(BW$5,3,1)</f>
        <v>46447</v>
      </c>
      <c r="BZ22" s="67">
        <f t="shared" ref="BZ22" si="281">DATE(BW$5,4,1)</f>
        <v>46478</v>
      </c>
      <c r="CA22" s="67">
        <f t="shared" ref="CA22" si="282">DATE(BW$5,5,1)</f>
        <v>46508</v>
      </c>
      <c r="CB22" s="67">
        <f t="shared" ref="CB22" si="283">DATE(BW$5,6,1)</f>
        <v>46539</v>
      </c>
      <c r="CC22" s="67">
        <f t="shared" ref="CC22" si="284">DATE(BW$5,7,1)</f>
        <v>46569</v>
      </c>
      <c r="CD22" s="67">
        <f t="shared" ref="CD22" si="285">DATE(BW$5,8,1)</f>
        <v>46600</v>
      </c>
      <c r="CE22" s="67">
        <f t="shared" ref="CE22" si="286">DATE(BW$5,9,1)</f>
        <v>46631</v>
      </c>
      <c r="CF22" s="67">
        <f t="shared" ref="CF22" si="287">DATE(BW$5,10,1)</f>
        <v>46661</v>
      </c>
      <c r="CG22" s="67">
        <f t="shared" ref="CG22" si="288">DATE(BW$5,11,1)</f>
        <v>46692</v>
      </c>
      <c r="CH22" s="67">
        <f t="shared" ref="CH22" si="289">DATE(BW$5,12,1)</f>
        <v>46722</v>
      </c>
      <c r="CI22" s="72">
        <f t="shared" ref="CI22" si="290">BW$5</f>
        <v>2027</v>
      </c>
      <c r="CK22" s="67">
        <f t="shared" ref="CK22" si="291">DATE(CK$5,1,1)</f>
        <v>46753</v>
      </c>
      <c r="CL22" s="67">
        <f t="shared" ref="CL22" si="292">DATE(CK$5,2,1)</f>
        <v>46784</v>
      </c>
      <c r="CM22" s="67">
        <f t="shared" ref="CM22" si="293">DATE(CK$5,3,1)</f>
        <v>46813</v>
      </c>
      <c r="CN22" s="67">
        <f t="shared" ref="CN22" si="294">DATE(CK$5,4,1)</f>
        <v>46844</v>
      </c>
      <c r="CO22" s="67">
        <f t="shared" ref="CO22" si="295">DATE(CK$5,5,1)</f>
        <v>46874</v>
      </c>
      <c r="CP22" s="67">
        <f t="shared" ref="CP22" si="296">DATE(CK$5,6,1)</f>
        <v>46905</v>
      </c>
      <c r="CQ22" s="67">
        <f t="shared" ref="CQ22" si="297">DATE(CK$5,7,1)</f>
        <v>46935</v>
      </c>
      <c r="CR22" s="67">
        <f t="shared" ref="CR22" si="298">DATE(CK$5,8,1)</f>
        <v>46966</v>
      </c>
      <c r="CS22" s="67">
        <f t="shared" ref="CS22" si="299">DATE(CK$5,9,1)</f>
        <v>46997</v>
      </c>
      <c r="CT22" s="67">
        <f t="shared" ref="CT22" si="300">DATE(CK$5,10,1)</f>
        <v>47027</v>
      </c>
      <c r="CU22" s="67">
        <f t="shared" ref="CU22" si="301">DATE(CK$5,11,1)</f>
        <v>47058</v>
      </c>
      <c r="CV22" s="67">
        <f t="shared" ref="CV22" si="302">DATE(CK$5,12,1)</f>
        <v>47088</v>
      </c>
      <c r="CW22" s="72">
        <f t="shared" ref="CW22" si="303">CK$5</f>
        <v>2028</v>
      </c>
      <c r="CY22" s="67">
        <f t="shared" ref="CY22" si="304">DATE(CY$5,1,1)</f>
        <v>47119</v>
      </c>
      <c r="CZ22" s="67">
        <f t="shared" ref="CZ22" si="305">DATE(CY$5,2,1)</f>
        <v>47150</v>
      </c>
      <c r="DA22" s="67">
        <f t="shared" ref="DA22" si="306">DATE(CY$5,3,1)</f>
        <v>47178</v>
      </c>
      <c r="DB22" s="67">
        <f t="shared" ref="DB22" si="307">DATE(CY$5,4,1)</f>
        <v>47209</v>
      </c>
      <c r="DC22" s="67">
        <f t="shared" ref="DC22" si="308">DATE(CY$5,5,1)</f>
        <v>47239</v>
      </c>
      <c r="DD22" s="67">
        <f t="shared" ref="DD22" si="309">DATE(CY$5,6,1)</f>
        <v>47270</v>
      </c>
      <c r="DE22" s="67">
        <f t="shared" ref="DE22" si="310">DATE(CY$5,7,1)</f>
        <v>47300</v>
      </c>
      <c r="DF22" s="67">
        <f t="shared" ref="DF22" si="311">DATE(CY$5,8,1)</f>
        <v>47331</v>
      </c>
      <c r="DG22" s="67">
        <f t="shared" ref="DG22" si="312">DATE(CY$5,9,1)</f>
        <v>47362</v>
      </c>
      <c r="DH22" s="67">
        <f t="shared" ref="DH22" si="313">DATE(CY$5,10,1)</f>
        <v>47392</v>
      </c>
      <c r="DI22" s="67">
        <f t="shared" ref="DI22" si="314">DATE(CY$5,11,1)</f>
        <v>47423</v>
      </c>
      <c r="DJ22" s="67">
        <f t="shared" ref="DJ22" si="315">DATE(CY$5,12,1)</f>
        <v>47453</v>
      </c>
      <c r="DK22" s="72">
        <f t="shared" ref="DK22" si="316">CY$5</f>
        <v>2029</v>
      </c>
      <c r="DM22" s="67">
        <f t="shared" ref="DM22" si="317">DATE(DM$5,1,1)</f>
        <v>47484</v>
      </c>
      <c r="DN22" s="67">
        <f t="shared" ref="DN22" si="318">DATE(DM$5,2,1)</f>
        <v>47515</v>
      </c>
      <c r="DO22" s="67">
        <f t="shared" ref="DO22" si="319">DATE(DM$5,3,1)</f>
        <v>47543</v>
      </c>
      <c r="DP22" s="67">
        <f t="shared" ref="DP22" si="320">DATE(DM$5,4,1)</f>
        <v>47574</v>
      </c>
      <c r="DQ22" s="67">
        <f t="shared" ref="DQ22" si="321">DATE(DM$5,5,1)</f>
        <v>47604</v>
      </c>
      <c r="DR22" s="67">
        <f t="shared" ref="DR22" si="322">DATE(DM$5,6,1)</f>
        <v>47635</v>
      </c>
      <c r="DS22" s="67">
        <f t="shared" ref="DS22" si="323">DATE(DM$5,7,1)</f>
        <v>47665</v>
      </c>
      <c r="DT22" s="67">
        <f t="shared" ref="DT22" si="324">DATE(DM$5,8,1)</f>
        <v>47696</v>
      </c>
      <c r="DU22" s="67">
        <f t="shared" ref="DU22" si="325">DATE(DM$5,9,1)</f>
        <v>47727</v>
      </c>
      <c r="DV22" s="67">
        <f t="shared" ref="DV22" si="326">DATE(DM$5,10,1)</f>
        <v>47757</v>
      </c>
      <c r="DW22" s="67">
        <f t="shared" ref="DW22" si="327">DATE(DM$5,11,1)</f>
        <v>47788</v>
      </c>
      <c r="DX22" s="67">
        <f t="shared" ref="DX22" si="328">DATE(DM$5,12,1)</f>
        <v>47818</v>
      </c>
      <c r="DY22" s="72">
        <f t="shared" ref="DY22" si="329">DM$5</f>
        <v>2030</v>
      </c>
      <c r="EA22" s="67">
        <f t="shared" ref="EA22" si="330">DATE(EA$5,1,1)</f>
        <v>47849</v>
      </c>
      <c r="EB22" s="67">
        <f t="shared" ref="EB22" si="331">DATE(EA$5,2,1)</f>
        <v>47880</v>
      </c>
      <c r="EC22" s="67">
        <f t="shared" ref="EC22" si="332">DATE(EA$5,3,1)</f>
        <v>47908</v>
      </c>
      <c r="ED22" s="67">
        <f t="shared" ref="ED22" si="333">DATE(EA$5,4,1)</f>
        <v>47939</v>
      </c>
      <c r="EE22" s="67">
        <f t="shared" ref="EE22" si="334">DATE(EA$5,5,1)</f>
        <v>47969</v>
      </c>
      <c r="EF22" s="67">
        <f t="shared" ref="EF22" si="335">DATE(EA$5,6,1)</f>
        <v>48000</v>
      </c>
      <c r="EG22" s="67">
        <f t="shared" ref="EG22" si="336">DATE(EA$5,7,1)</f>
        <v>48030</v>
      </c>
      <c r="EH22" s="67">
        <f t="shared" ref="EH22" si="337">DATE(EA$5,8,1)</f>
        <v>48061</v>
      </c>
      <c r="EI22" s="67">
        <f t="shared" ref="EI22" si="338">DATE(EA$5,9,1)</f>
        <v>48092</v>
      </c>
      <c r="EJ22" s="67">
        <f t="shared" ref="EJ22" si="339">DATE(EA$5,10,1)</f>
        <v>48122</v>
      </c>
      <c r="EK22" s="67">
        <f t="shared" ref="EK22" si="340">DATE(EA$5,11,1)</f>
        <v>48153</v>
      </c>
      <c r="EL22" s="67">
        <f t="shared" ref="EL22" si="341">DATE(EA$5,12,1)</f>
        <v>48183</v>
      </c>
      <c r="EM22" s="72">
        <f t="shared" ref="EM22" si="342">EA$5</f>
        <v>2031</v>
      </c>
    </row>
    <row r="23" spans="3:143">
      <c r="C23" s="63" t="s">
        <v>19</v>
      </c>
      <c r="E23" s="64">
        <v>1200</v>
      </c>
      <c r="F23" s="64">
        <v>1200</v>
      </c>
      <c r="G23" s="64">
        <v>1200</v>
      </c>
      <c r="H23" s="64">
        <v>1200</v>
      </c>
      <c r="I23" s="64">
        <v>1200</v>
      </c>
      <c r="J23" s="64">
        <v>1200</v>
      </c>
      <c r="K23" s="64">
        <v>1200</v>
      </c>
      <c r="L23" s="64">
        <v>1200</v>
      </c>
      <c r="M23" s="64">
        <v>1200</v>
      </c>
      <c r="N23" s="64">
        <v>1200</v>
      </c>
      <c r="O23" s="64">
        <v>1200</v>
      </c>
      <c r="P23" s="64">
        <v>1200</v>
      </c>
      <c r="Q23" s="71">
        <f>SUM(E23:P23)</f>
        <v>14400</v>
      </c>
      <c r="S23" s="64"/>
      <c r="T23" s="64"/>
      <c r="U23" s="64"/>
      <c r="V23" s="64"/>
      <c r="W23" s="64"/>
      <c r="X23" s="64"/>
      <c r="Y23" s="64"/>
      <c r="Z23" s="64"/>
      <c r="AA23" s="64"/>
      <c r="AB23" s="64"/>
      <c r="AC23" s="64"/>
      <c r="AD23" s="64"/>
      <c r="AE23" s="71">
        <f>SUM(S23:AD23)</f>
        <v>0</v>
      </c>
      <c r="AG23" s="64"/>
      <c r="AH23" s="64"/>
      <c r="AI23" s="64"/>
      <c r="AJ23" s="64"/>
      <c r="AK23" s="64"/>
      <c r="AL23" s="64"/>
      <c r="AM23" s="64"/>
      <c r="AN23" s="64"/>
      <c r="AO23" s="64"/>
      <c r="AP23" s="64"/>
      <c r="AQ23" s="64"/>
      <c r="AR23" s="64"/>
      <c r="AS23" s="71">
        <f t="shared" ref="AS23" si="343">SUM(AG23:AR23)</f>
        <v>0</v>
      </c>
      <c r="AU23" s="64"/>
      <c r="AV23" s="64"/>
      <c r="AW23" s="64"/>
      <c r="AX23" s="64"/>
      <c r="AY23" s="64"/>
      <c r="AZ23" s="64"/>
      <c r="BA23" s="64"/>
      <c r="BB23" s="64"/>
      <c r="BC23" s="64"/>
      <c r="BD23" s="64"/>
      <c r="BE23" s="64"/>
      <c r="BF23" s="64"/>
      <c r="BG23" s="71">
        <f t="shared" ref="BG23" si="344">SUM(AU23:BF23)</f>
        <v>0</v>
      </c>
      <c r="BI23" s="64"/>
      <c r="BJ23" s="64"/>
      <c r="BK23" s="64"/>
      <c r="BL23" s="64"/>
      <c r="BM23" s="64"/>
      <c r="BN23" s="64"/>
      <c r="BO23" s="64"/>
      <c r="BP23" s="64"/>
      <c r="BQ23" s="64"/>
      <c r="BR23" s="64"/>
      <c r="BS23" s="64"/>
      <c r="BT23" s="64"/>
      <c r="BU23" s="71">
        <f t="shared" ref="BU23" si="345">SUM(BI23:BT23)</f>
        <v>0</v>
      </c>
      <c r="BW23" s="64"/>
      <c r="BX23" s="64"/>
      <c r="BY23" s="64"/>
      <c r="BZ23" s="64"/>
      <c r="CA23" s="64"/>
      <c r="CB23" s="64"/>
      <c r="CC23" s="64"/>
      <c r="CD23" s="64"/>
      <c r="CE23" s="64"/>
      <c r="CF23" s="64"/>
      <c r="CG23" s="64"/>
      <c r="CH23" s="64"/>
      <c r="CI23" s="71">
        <f t="shared" ref="CI23" si="346">SUM(BW23:CH23)</f>
        <v>0</v>
      </c>
      <c r="CK23" s="64"/>
      <c r="CL23" s="64"/>
      <c r="CM23" s="64"/>
      <c r="CN23" s="64"/>
      <c r="CO23" s="64"/>
      <c r="CP23" s="64"/>
      <c r="CQ23" s="64"/>
      <c r="CR23" s="64"/>
      <c r="CS23" s="64"/>
      <c r="CT23" s="64"/>
      <c r="CU23" s="64"/>
      <c r="CV23" s="64"/>
      <c r="CW23" s="71">
        <f t="shared" ref="CW23" si="347">SUM(CK23:CV23)</f>
        <v>0</v>
      </c>
      <c r="CY23" s="64"/>
      <c r="CZ23" s="64"/>
      <c r="DA23" s="64"/>
      <c r="DB23" s="64"/>
      <c r="DC23" s="64"/>
      <c r="DD23" s="64"/>
      <c r="DE23" s="64"/>
      <c r="DF23" s="64"/>
      <c r="DG23" s="64"/>
      <c r="DH23" s="64"/>
      <c r="DI23" s="64"/>
      <c r="DJ23" s="64"/>
      <c r="DK23" s="71">
        <f t="shared" ref="DK23" si="348">SUM(CY23:DJ23)</f>
        <v>0</v>
      </c>
      <c r="DM23" s="64"/>
      <c r="DN23" s="64"/>
      <c r="DO23" s="64"/>
      <c r="DP23" s="64"/>
      <c r="DQ23" s="64"/>
      <c r="DR23" s="64"/>
      <c r="DS23" s="64"/>
      <c r="DT23" s="64"/>
      <c r="DU23" s="64"/>
      <c r="DV23" s="64"/>
      <c r="DW23" s="64"/>
      <c r="DX23" s="64"/>
      <c r="DY23" s="71">
        <f t="shared" ref="DY23" si="349">SUM(DM23:DX23)</f>
        <v>0</v>
      </c>
      <c r="EA23" s="64"/>
      <c r="EB23" s="64"/>
      <c r="EC23" s="64"/>
      <c r="ED23" s="64"/>
      <c r="EE23" s="64"/>
      <c r="EF23" s="64"/>
      <c r="EG23" s="64"/>
      <c r="EH23" s="64"/>
      <c r="EI23" s="64"/>
      <c r="EJ23" s="64"/>
      <c r="EK23" s="64"/>
      <c r="EL23" s="64"/>
      <c r="EM23" s="71">
        <f t="shared" ref="EM23" si="350">SUM(EA23:EL23)</f>
        <v>0</v>
      </c>
    </row>
    <row r="24" spans="3:143">
      <c r="C24" s="63" t="s">
        <v>20</v>
      </c>
      <c r="E24" s="64">
        <v>300</v>
      </c>
      <c r="F24" s="64">
        <v>300</v>
      </c>
      <c r="G24" s="64">
        <v>300</v>
      </c>
      <c r="H24" s="64">
        <v>300</v>
      </c>
      <c r="I24" s="64">
        <v>300</v>
      </c>
      <c r="J24" s="64">
        <v>300</v>
      </c>
      <c r="K24" s="64">
        <v>300</v>
      </c>
      <c r="L24" s="64">
        <v>300</v>
      </c>
      <c r="M24" s="64">
        <v>300</v>
      </c>
      <c r="N24" s="64">
        <v>300</v>
      </c>
      <c r="O24" s="64">
        <v>300</v>
      </c>
      <c r="P24" s="64">
        <v>300</v>
      </c>
      <c r="Q24" s="71">
        <f t="shared" ref="Q24:Q35" si="351">SUM(E24:P24)</f>
        <v>3600</v>
      </c>
      <c r="S24" s="64"/>
      <c r="T24" s="64"/>
      <c r="U24" s="64"/>
      <c r="V24" s="64"/>
      <c r="W24" s="64"/>
      <c r="X24" s="64"/>
      <c r="Y24" s="64"/>
      <c r="Z24" s="64"/>
      <c r="AA24" s="64"/>
      <c r="AB24" s="64"/>
      <c r="AC24" s="64"/>
      <c r="AD24" s="64"/>
      <c r="AE24" s="71">
        <f t="shared" ref="AE24:AE35" si="352">SUM(S24:AD24)</f>
        <v>0</v>
      </c>
      <c r="AG24" s="64"/>
      <c r="AH24" s="64"/>
      <c r="AI24" s="64"/>
      <c r="AJ24" s="64"/>
      <c r="AK24" s="64"/>
      <c r="AL24" s="64"/>
      <c r="AM24" s="64"/>
      <c r="AN24" s="64"/>
      <c r="AO24" s="64"/>
      <c r="AP24" s="64"/>
      <c r="AQ24" s="64"/>
      <c r="AR24" s="64"/>
      <c r="AS24" s="71">
        <f t="shared" ref="AS24:AS35" si="353">SUM(AG24:AR24)</f>
        <v>0</v>
      </c>
      <c r="AU24" s="64"/>
      <c r="AV24" s="64"/>
      <c r="AW24" s="64"/>
      <c r="AX24" s="64"/>
      <c r="AY24" s="64"/>
      <c r="AZ24" s="64"/>
      <c r="BA24" s="64"/>
      <c r="BB24" s="64"/>
      <c r="BC24" s="64"/>
      <c r="BD24" s="64"/>
      <c r="BE24" s="64"/>
      <c r="BF24" s="64"/>
      <c r="BG24" s="71">
        <f t="shared" ref="BG24:BG35" si="354">SUM(AU24:BF24)</f>
        <v>0</v>
      </c>
      <c r="BI24" s="64"/>
      <c r="BJ24" s="64"/>
      <c r="BK24" s="64"/>
      <c r="BL24" s="64"/>
      <c r="BM24" s="64"/>
      <c r="BN24" s="64"/>
      <c r="BO24" s="64"/>
      <c r="BP24" s="64"/>
      <c r="BQ24" s="64"/>
      <c r="BR24" s="64"/>
      <c r="BS24" s="64"/>
      <c r="BT24" s="64"/>
      <c r="BU24" s="71">
        <f t="shared" ref="BU24:BU35" si="355">SUM(BI24:BT24)</f>
        <v>0</v>
      </c>
      <c r="BW24" s="64"/>
      <c r="BX24" s="64"/>
      <c r="BY24" s="64"/>
      <c r="BZ24" s="64"/>
      <c r="CA24" s="64"/>
      <c r="CB24" s="64"/>
      <c r="CC24" s="64"/>
      <c r="CD24" s="64"/>
      <c r="CE24" s="64"/>
      <c r="CF24" s="64"/>
      <c r="CG24" s="64"/>
      <c r="CH24" s="64"/>
      <c r="CI24" s="71">
        <f t="shared" ref="CI24:CI35" si="356">SUM(BW24:CH24)</f>
        <v>0</v>
      </c>
      <c r="CK24" s="64"/>
      <c r="CL24" s="64"/>
      <c r="CM24" s="64"/>
      <c r="CN24" s="64"/>
      <c r="CO24" s="64"/>
      <c r="CP24" s="64"/>
      <c r="CQ24" s="64"/>
      <c r="CR24" s="64"/>
      <c r="CS24" s="64"/>
      <c r="CT24" s="64"/>
      <c r="CU24" s="64"/>
      <c r="CV24" s="64"/>
      <c r="CW24" s="71">
        <f t="shared" ref="CW24:CW35" si="357">SUM(CK24:CV24)</f>
        <v>0</v>
      </c>
      <c r="CY24" s="64"/>
      <c r="CZ24" s="64"/>
      <c r="DA24" s="64"/>
      <c r="DB24" s="64"/>
      <c r="DC24" s="64"/>
      <c r="DD24" s="64"/>
      <c r="DE24" s="64"/>
      <c r="DF24" s="64"/>
      <c r="DG24" s="64"/>
      <c r="DH24" s="64"/>
      <c r="DI24" s="64"/>
      <c r="DJ24" s="64"/>
      <c r="DK24" s="71">
        <f t="shared" ref="DK24:DK35" si="358">SUM(CY24:DJ24)</f>
        <v>0</v>
      </c>
      <c r="DM24" s="64"/>
      <c r="DN24" s="64"/>
      <c r="DO24" s="64"/>
      <c r="DP24" s="64"/>
      <c r="DQ24" s="64"/>
      <c r="DR24" s="64"/>
      <c r="DS24" s="64"/>
      <c r="DT24" s="64"/>
      <c r="DU24" s="64"/>
      <c r="DV24" s="64"/>
      <c r="DW24" s="64"/>
      <c r="DX24" s="64"/>
      <c r="DY24" s="71">
        <f t="shared" ref="DY24:DY35" si="359">SUM(DM24:DX24)</f>
        <v>0</v>
      </c>
      <c r="EA24" s="64"/>
      <c r="EB24" s="64"/>
      <c r="EC24" s="64"/>
      <c r="ED24" s="64"/>
      <c r="EE24" s="64"/>
      <c r="EF24" s="64"/>
      <c r="EG24" s="64"/>
      <c r="EH24" s="64"/>
      <c r="EI24" s="64"/>
      <c r="EJ24" s="64"/>
      <c r="EK24" s="64"/>
      <c r="EL24" s="64"/>
      <c r="EM24" s="71">
        <f t="shared" ref="EM24:EM35" si="360">SUM(EA24:EL24)</f>
        <v>0</v>
      </c>
    </row>
    <row r="25" spans="3:143">
      <c r="C25" s="63" t="s">
        <v>21</v>
      </c>
      <c r="E25" s="64">
        <v>350</v>
      </c>
      <c r="F25" s="64">
        <v>350</v>
      </c>
      <c r="G25" s="64">
        <v>350</v>
      </c>
      <c r="H25" s="64">
        <v>350</v>
      </c>
      <c r="I25" s="64">
        <v>350</v>
      </c>
      <c r="J25" s="64">
        <v>350</v>
      </c>
      <c r="K25" s="64">
        <v>350</v>
      </c>
      <c r="L25" s="64">
        <v>350</v>
      </c>
      <c r="M25" s="64">
        <v>350</v>
      </c>
      <c r="N25" s="64">
        <v>350</v>
      </c>
      <c r="O25" s="64">
        <v>350</v>
      </c>
      <c r="P25" s="64">
        <v>350</v>
      </c>
      <c r="Q25" s="71">
        <f t="shared" si="351"/>
        <v>4200</v>
      </c>
      <c r="S25" s="64"/>
      <c r="T25" s="64"/>
      <c r="U25" s="64"/>
      <c r="V25" s="64"/>
      <c r="W25" s="64"/>
      <c r="X25" s="64"/>
      <c r="Y25" s="64"/>
      <c r="Z25" s="64"/>
      <c r="AA25" s="64"/>
      <c r="AB25" s="64"/>
      <c r="AC25" s="64"/>
      <c r="AD25" s="64"/>
      <c r="AE25" s="71">
        <f t="shared" si="352"/>
        <v>0</v>
      </c>
      <c r="AG25" s="64"/>
      <c r="AH25" s="64"/>
      <c r="AI25" s="64"/>
      <c r="AJ25" s="64"/>
      <c r="AK25" s="64"/>
      <c r="AL25" s="64"/>
      <c r="AM25" s="64"/>
      <c r="AN25" s="64"/>
      <c r="AO25" s="64"/>
      <c r="AP25" s="64"/>
      <c r="AQ25" s="64"/>
      <c r="AR25" s="64"/>
      <c r="AS25" s="71">
        <f t="shared" si="353"/>
        <v>0</v>
      </c>
      <c r="AU25" s="64"/>
      <c r="AV25" s="64"/>
      <c r="AW25" s="64"/>
      <c r="AX25" s="64"/>
      <c r="AY25" s="64"/>
      <c r="AZ25" s="64"/>
      <c r="BA25" s="64"/>
      <c r="BB25" s="64"/>
      <c r="BC25" s="64"/>
      <c r="BD25" s="64"/>
      <c r="BE25" s="64"/>
      <c r="BF25" s="64"/>
      <c r="BG25" s="71">
        <f t="shared" si="354"/>
        <v>0</v>
      </c>
      <c r="BI25" s="64"/>
      <c r="BJ25" s="64"/>
      <c r="BK25" s="64"/>
      <c r="BL25" s="64"/>
      <c r="BM25" s="64"/>
      <c r="BN25" s="64"/>
      <c r="BO25" s="64"/>
      <c r="BP25" s="64"/>
      <c r="BQ25" s="64"/>
      <c r="BR25" s="64"/>
      <c r="BS25" s="64"/>
      <c r="BT25" s="64"/>
      <c r="BU25" s="71">
        <f t="shared" si="355"/>
        <v>0</v>
      </c>
      <c r="BW25" s="64"/>
      <c r="BX25" s="64"/>
      <c r="BY25" s="64"/>
      <c r="BZ25" s="64"/>
      <c r="CA25" s="64"/>
      <c r="CB25" s="64"/>
      <c r="CC25" s="64"/>
      <c r="CD25" s="64"/>
      <c r="CE25" s="64"/>
      <c r="CF25" s="64"/>
      <c r="CG25" s="64"/>
      <c r="CH25" s="64"/>
      <c r="CI25" s="71">
        <f t="shared" si="356"/>
        <v>0</v>
      </c>
      <c r="CK25" s="64"/>
      <c r="CL25" s="64"/>
      <c r="CM25" s="64"/>
      <c r="CN25" s="64"/>
      <c r="CO25" s="64"/>
      <c r="CP25" s="64"/>
      <c r="CQ25" s="64"/>
      <c r="CR25" s="64"/>
      <c r="CS25" s="64"/>
      <c r="CT25" s="64"/>
      <c r="CU25" s="64"/>
      <c r="CV25" s="64"/>
      <c r="CW25" s="71">
        <f t="shared" si="357"/>
        <v>0</v>
      </c>
      <c r="CY25" s="64"/>
      <c r="CZ25" s="64"/>
      <c r="DA25" s="64"/>
      <c r="DB25" s="64"/>
      <c r="DC25" s="64"/>
      <c r="DD25" s="64"/>
      <c r="DE25" s="64"/>
      <c r="DF25" s="64"/>
      <c r="DG25" s="64"/>
      <c r="DH25" s="64"/>
      <c r="DI25" s="64"/>
      <c r="DJ25" s="64"/>
      <c r="DK25" s="71">
        <f t="shared" si="358"/>
        <v>0</v>
      </c>
      <c r="DM25" s="64"/>
      <c r="DN25" s="64"/>
      <c r="DO25" s="64"/>
      <c r="DP25" s="64"/>
      <c r="DQ25" s="64"/>
      <c r="DR25" s="64"/>
      <c r="DS25" s="64"/>
      <c r="DT25" s="64"/>
      <c r="DU25" s="64"/>
      <c r="DV25" s="64"/>
      <c r="DW25" s="64"/>
      <c r="DX25" s="64"/>
      <c r="DY25" s="71">
        <f t="shared" si="359"/>
        <v>0</v>
      </c>
      <c r="EA25" s="64"/>
      <c r="EB25" s="64"/>
      <c r="EC25" s="64"/>
      <c r="ED25" s="64"/>
      <c r="EE25" s="64"/>
      <c r="EF25" s="64"/>
      <c r="EG25" s="64"/>
      <c r="EH25" s="64"/>
      <c r="EI25" s="64"/>
      <c r="EJ25" s="64"/>
      <c r="EK25" s="64"/>
      <c r="EL25" s="64"/>
      <c r="EM25" s="71">
        <f t="shared" si="360"/>
        <v>0</v>
      </c>
    </row>
    <row r="26" spans="3:143">
      <c r="C26" s="63" t="s">
        <v>22</v>
      </c>
      <c r="E26" s="64">
        <v>300</v>
      </c>
      <c r="F26" s="64">
        <v>300</v>
      </c>
      <c r="G26" s="64">
        <v>300</v>
      </c>
      <c r="H26" s="64">
        <v>300</v>
      </c>
      <c r="I26" s="64">
        <v>300</v>
      </c>
      <c r="J26" s="64">
        <v>300</v>
      </c>
      <c r="K26" s="64">
        <v>300</v>
      </c>
      <c r="L26" s="64">
        <v>300</v>
      </c>
      <c r="M26" s="64">
        <v>300</v>
      </c>
      <c r="N26" s="64">
        <v>300</v>
      </c>
      <c r="O26" s="64">
        <v>300</v>
      </c>
      <c r="P26" s="64">
        <v>300</v>
      </c>
      <c r="Q26" s="71">
        <f t="shared" si="351"/>
        <v>3600</v>
      </c>
      <c r="S26" s="64"/>
      <c r="T26" s="64"/>
      <c r="U26" s="64"/>
      <c r="V26" s="64"/>
      <c r="W26" s="64"/>
      <c r="X26" s="64"/>
      <c r="Y26" s="64"/>
      <c r="Z26" s="64"/>
      <c r="AA26" s="64"/>
      <c r="AB26" s="64"/>
      <c r="AC26" s="64"/>
      <c r="AD26" s="64"/>
      <c r="AE26" s="71">
        <f t="shared" si="352"/>
        <v>0</v>
      </c>
      <c r="AG26" s="64"/>
      <c r="AH26" s="64"/>
      <c r="AI26" s="64"/>
      <c r="AJ26" s="64"/>
      <c r="AK26" s="64"/>
      <c r="AL26" s="64"/>
      <c r="AM26" s="64"/>
      <c r="AN26" s="64"/>
      <c r="AO26" s="64"/>
      <c r="AP26" s="64"/>
      <c r="AQ26" s="64"/>
      <c r="AR26" s="64"/>
      <c r="AS26" s="71">
        <f t="shared" si="353"/>
        <v>0</v>
      </c>
      <c r="AU26" s="64"/>
      <c r="AV26" s="64"/>
      <c r="AW26" s="64"/>
      <c r="AX26" s="64"/>
      <c r="AY26" s="64"/>
      <c r="AZ26" s="64"/>
      <c r="BA26" s="64"/>
      <c r="BB26" s="64"/>
      <c r="BC26" s="64"/>
      <c r="BD26" s="64"/>
      <c r="BE26" s="64"/>
      <c r="BF26" s="64"/>
      <c r="BG26" s="71">
        <f t="shared" si="354"/>
        <v>0</v>
      </c>
      <c r="BI26" s="64"/>
      <c r="BJ26" s="64"/>
      <c r="BK26" s="64"/>
      <c r="BL26" s="64"/>
      <c r="BM26" s="64"/>
      <c r="BN26" s="64"/>
      <c r="BO26" s="64"/>
      <c r="BP26" s="64"/>
      <c r="BQ26" s="64"/>
      <c r="BR26" s="64"/>
      <c r="BS26" s="64"/>
      <c r="BT26" s="64"/>
      <c r="BU26" s="71">
        <f t="shared" si="355"/>
        <v>0</v>
      </c>
      <c r="BW26" s="64"/>
      <c r="BX26" s="64"/>
      <c r="BY26" s="64"/>
      <c r="BZ26" s="64"/>
      <c r="CA26" s="64"/>
      <c r="CB26" s="64"/>
      <c r="CC26" s="64"/>
      <c r="CD26" s="64"/>
      <c r="CE26" s="64"/>
      <c r="CF26" s="64"/>
      <c r="CG26" s="64"/>
      <c r="CH26" s="64"/>
      <c r="CI26" s="71">
        <f t="shared" si="356"/>
        <v>0</v>
      </c>
      <c r="CK26" s="64"/>
      <c r="CL26" s="64"/>
      <c r="CM26" s="64"/>
      <c r="CN26" s="64"/>
      <c r="CO26" s="64"/>
      <c r="CP26" s="64"/>
      <c r="CQ26" s="64"/>
      <c r="CR26" s="64"/>
      <c r="CS26" s="64"/>
      <c r="CT26" s="64"/>
      <c r="CU26" s="64"/>
      <c r="CV26" s="64"/>
      <c r="CW26" s="71">
        <f t="shared" si="357"/>
        <v>0</v>
      </c>
      <c r="CY26" s="64"/>
      <c r="CZ26" s="64"/>
      <c r="DA26" s="64"/>
      <c r="DB26" s="64"/>
      <c r="DC26" s="64"/>
      <c r="DD26" s="64"/>
      <c r="DE26" s="64"/>
      <c r="DF26" s="64"/>
      <c r="DG26" s="64"/>
      <c r="DH26" s="64"/>
      <c r="DI26" s="64"/>
      <c r="DJ26" s="64"/>
      <c r="DK26" s="71">
        <f t="shared" si="358"/>
        <v>0</v>
      </c>
      <c r="DM26" s="64"/>
      <c r="DN26" s="64"/>
      <c r="DO26" s="64"/>
      <c r="DP26" s="64"/>
      <c r="DQ26" s="64"/>
      <c r="DR26" s="64"/>
      <c r="DS26" s="64"/>
      <c r="DT26" s="64"/>
      <c r="DU26" s="64"/>
      <c r="DV26" s="64"/>
      <c r="DW26" s="64"/>
      <c r="DX26" s="64"/>
      <c r="DY26" s="71">
        <f t="shared" si="359"/>
        <v>0</v>
      </c>
      <c r="EA26" s="64"/>
      <c r="EB26" s="64"/>
      <c r="EC26" s="64"/>
      <c r="ED26" s="64"/>
      <c r="EE26" s="64"/>
      <c r="EF26" s="64"/>
      <c r="EG26" s="64"/>
      <c r="EH26" s="64"/>
      <c r="EI26" s="64"/>
      <c r="EJ26" s="64"/>
      <c r="EK26" s="64"/>
      <c r="EL26" s="64"/>
      <c r="EM26" s="71">
        <f t="shared" si="360"/>
        <v>0</v>
      </c>
    </row>
    <row r="27" spans="3:143">
      <c r="C27" s="63" t="s">
        <v>23</v>
      </c>
      <c r="E27" s="64">
        <v>300</v>
      </c>
      <c r="F27" s="64">
        <v>300</v>
      </c>
      <c r="G27" s="64">
        <v>300</v>
      </c>
      <c r="H27" s="64">
        <v>1200</v>
      </c>
      <c r="I27" s="64">
        <v>300</v>
      </c>
      <c r="J27" s="64">
        <v>300</v>
      </c>
      <c r="K27" s="64">
        <v>300</v>
      </c>
      <c r="L27" s="64">
        <v>1500</v>
      </c>
      <c r="M27" s="64">
        <v>300</v>
      </c>
      <c r="N27" s="64">
        <v>300</v>
      </c>
      <c r="O27" s="64">
        <v>300</v>
      </c>
      <c r="P27" s="64">
        <v>600</v>
      </c>
      <c r="Q27" s="71">
        <f t="shared" si="351"/>
        <v>6000</v>
      </c>
      <c r="S27" s="64"/>
      <c r="T27" s="64"/>
      <c r="U27" s="64"/>
      <c r="V27" s="64"/>
      <c r="W27" s="64"/>
      <c r="X27" s="64"/>
      <c r="Y27" s="64"/>
      <c r="Z27" s="64"/>
      <c r="AA27" s="64"/>
      <c r="AB27" s="64"/>
      <c r="AC27" s="64"/>
      <c r="AD27" s="64"/>
      <c r="AE27" s="71">
        <f t="shared" si="352"/>
        <v>0</v>
      </c>
      <c r="AG27" s="64"/>
      <c r="AH27" s="64"/>
      <c r="AI27" s="64"/>
      <c r="AJ27" s="64"/>
      <c r="AK27" s="64"/>
      <c r="AL27" s="64"/>
      <c r="AM27" s="64"/>
      <c r="AN27" s="64"/>
      <c r="AO27" s="64"/>
      <c r="AP27" s="64"/>
      <c r="AQ27" s="64"/>
      <c r="AR27" s="64"/>
      <c r="AS27" s="71">
        <f t="shared" si="353"/>
        <v>0</v>
      </c>
      <c r="AU27" s="64"/>
      <c r="AV27" s="64"/>
      <c r="AW27" s="64"/>
      <c r="AX27" s="64"/>
      <c r="AY27" s="64"/>
      <c r="AZ27" s="64"/>
      <c r="BA27" s="64"/>
      <c r="BB27" s="64"/>
      <c r="BC27" s="64"/>
      <c r="BD27" s="64"/>
      <c r="BE27" s="64"/>
      <c r="BF27" s="64"/>
      <c r="BG27" s="71">
        <f t="shared" si="354"/>
        <v>0</v>
      </c>
      <c r="BI27" s="64"/>
      <c r="BJ27" s="64"/>
      <c r="BK27" s="64"/>
      <c r="BL27" s="64"/>
      <c r="BM27" s="64"/>
      <c r="BN27" s="64"/>
      <c r="BO27" s="64"/>
      <c r="BP27" s="64"/>
      <c r="BQ27" s="64"/>
      <c r="BR27" s="64"/>
      <c r="BS27" s="64"/>
      <c r="BT27" s="64"/>
      <c r="BU27" s="71">
        <f t="shared" si="355"/>
        <v>0</v>
      </c>
      <c r="BW27" s="64"/>
      <c r="BX27" s="64"/>
      <c r="BY27" s="64"/>
      <c r="BZ27" s="64"/>
      <c r="CA27" s="64"/>
      <c r="CB27" s="64"/>
      <c r="CC27" s="64"/>
      <c r="CD27" s="64"/>
      <c r="CE27" s="64"/>
      <c r="CF27" s="64"/>
      <c r="CG27" s="64"/>
      <c r="CH27" s="64"/>
      <c r="CI27" s="71">
        <f t="shared" si="356"/>
        <v>0</v>
      </c>
      <c r="CK27" s="64"/>
      <c r="CL27" s="64"/>
      <c r="CM27" s="64"/>
      <c r="CN27" s="64"/>
      <c r="CO27" s="64"/>
      <c r="CP27" s="64"/>
      <c r="CQ27" s="64"/>
      <c r="CR27" s="64"/>
      <c r="CS27" s="64"/>
      <c r="CT27" s="64"/>
      <c r="CU27" s="64"/>
      <c r="CV27" s="64"/>
      <c r="CW27" s="71">
        <f t="shared" si="357"/>
        <v>0</v>
      </c>
      <c r="CY27" s="64"/>
      <c r="CZ27" s="64"/>
      <c r="DA27" s="64"/>
      <c r="DB27" s="64"/>
      <c r="DC27" s="64"/>
      <c r="DD27" s="64"/>
      <c r="DE27" s="64"/>
      <c r="DF27" s="64"/>
      <c r="DG27" s="64"/>
      <c r="DH27" s="64"/>
      <c r="DI27" s="64"/>
      <c r="DJ27" s="64"/>
      <c r="DK27" s="71">
        <f t="shared" si="358"/>
        <v>0</v>
      </c>
      <c r="DM27" s="64"/>
      <c r="DN27" s="64"/>
      <c r="DO27" s="64"/>
      <c r="DP27" s="64"/>
      <c r="DQ27" s="64"/>
      <c r="DR27" s="64"/>
      <c r="DS27" s="64"/>
      <c r="DT27" s="64"/>
      <c r="DU27" s="64"/>
      <c r="DV27" s="64"/>
      <c r="DW27" s="64"/>
      <c r="DX27" s="64"/>
      <c r="DY27" s="71">
        <f t="shared" si="359"/>
        <v>0</v>
      </c>
      <c r="EA27" s="64"/>
      <c r="EB27" s="64"/>
      <c r="EC27" s="64"/>
      <c r="ED27" s="64"/>
      <c r="EE27" s="64"/>
      <c r="EF27" s="64"/>
      <c r="EG27" s="64"/>
      <c r="EH27" s="64"/>
      <c r="EI27" s="64"/>
      <c r="EJ27" s="64"/>
      <c r="EK27" s="64"/>
      <c r="EL27" s="64"/>
      <c r="EM27" s="71">
        <f t="shared" si="360"/>
        <v>0</v>
      </c>
    </row>
    <row r="28" spans="3:143">
      <c r="C28" s="63" t="s">
        <v>24</v>
      </c>
      <c r="E28" s="64">
        <v>200</v>
      </c>
      <c r="F28" s="64">
        <v>200</v>
      </c>
      <c r="G28" s="64">
        <v>200</v>
      </c>
      <c r="H28" s="64">
        <v>200</v>
      </c>
      <c r="I28" s="64">
        <v>200</v>
      </c>
      <c r="J28" s="64">
        <v>200</v>
      </c>
      <c r="K28" s="64">
        <v>200</v>
      </c>
      <c r="L28" s="64">
        <v>200</v>
      </c>
      <c r="M28" s="64">
        <v>200</v>
      </c>
      <c r="N28" s="64">
        <v>200</v>
      </c>
      <c r="O28" s="64">
        <v>200</v>
      </c>
      <c r="P28" s="64">
        <v>200</v>
      </c>
      <c r="Q28" s="71">
        <f t="shared" si="351"/>
        <v>2400</v>
      </c>
      <c r="S28" s="64"/>
      <c r="T28" s="64"/>
      <c r="U28" s="64"/>
      <c r="V28" s="64"/>
      <c r="W28" s="64"/>
      <c r="X28" s="64"/>
      <c r="Y28" s="64"/>
      <c r="Z28" s="64"/>
      <c r="AA28" s="64"/>
      <c r="AB28" s="64"/>
      <c r="AC28" s="64"/>
      <c r="AD28" s="64"/>
      <c r="AE28" s="71">
        <f t="shared" si="352"/>
        <v>0</v>
      </c>
      <c r="AG28" s="64"/>
      <c r="AH28" s="64"/>
      <c r="AI28" s="64"/>
      <c r="AJ28" s="64"/>
      <c r="AK28" s="64"/>
      <c r="AL28" s="64"/>
      <c r="AM28" s="64"/>
      <c r="AN28" s="64"/>
      <c r="AO28" s="64"/>
      <c r="AP28" s="64"/>
      <c r="AQ28" s="64"/>
      <c r="AR28" s="64"/>
      <c r="AS28" s="71">
        <f t="shared" si="353"/>
        <v>0</v>
      </c>
      <c r="AU28" s="64"/>
      <c r="AV28" s="64"/>
      <c r="AW28" s="64"/>
      <c r="AX28" s="64"/>
      <c r="AY28" s="64"/>
      <c r="AZ28" s="64"/>
      <c r="BA28" s="64"/>
      <c r="BB28" s="64"/>
      <c r="BC28" s="64"/>
      <c r="BD28" s="64"/>
      <c r="BE28" s="64"/>
      <c r="BF28" s="64"/>
      <c r="BG28" s="71">
        <f t="shared" si="354"/>
        <v>0</v>
      </c>
      <c r="BI28" s="64"/>
      <c r="BJ28" s="64"/>
      <c r="BK28" s="64"/>
      <c r="BL28" s="64"/>
      <c r="BM28" s="64"/>
      <c r="BN28" s="64"/>
      <c r="BO28" s="64"/>
      <c r="BP28" s="64"/>
      <c r="BQ28" s="64"/>
      <c r="BR28" s="64"/>
      <c r="BS28" s="64"/>
      <c r="BT28" s="64"/>
      <c r="BU28" s="71">
        <f t="shared" si="355"/>
        <v>0</v>
      </c>
      <c r="BW28" s="64"/>
      <c r="BX28" s="64"/>
      <c r="BY28" s="64"/>
      <c r="BZ28" s="64"/>
      <c r="CA28" s="64"/>
      <c r="CB28" s="64"/>
      <c r="CC28" s="64"/>
      <c r="CD28" s="64"/>
      <c r="CE28" s="64"/>
      <c r="CF28" s="64"/>
      <c r="CG28" s="64"/>
      <c r="CH28" s="64"/>
      <c r="CI28" s="71">
        <f t="shared" si="356"/>
        <v>0</v>
      </c>
      <c r="CK28" s="64"/>
      <c r="CL28" s="64"/>
      <c r="CM28" s="64"/>
      <c r="CN28" s="64"/>
      <c r="CO28" s="64"/>
      <c r="CP28" s="64"/>
      <c r="CQ28" s="64"/>
      <c r="CR28" s="64"/>
      <c r="CS28" s="64"/>
      <c r="CT28" s="64"/>
      <c r="CU28" s="64"/>
      <c r="CV28" s="64"/>
      <c r="CW28" s="71">
        <f t="shared" si="357"/>
        <v>0</v>
      </c>
      <c r="CY28" s="64"/>
      <c r="CZ28" s="64"/>
      <c r="DA28" s="64"/>
      <c r="DB28" s="64"/>
      <c r="DC28" s="64"/>
      <c r="DD28" s="64"/>
      <c r="DE28" s="64"/>
      <c r="DF28" s="64"/>
      <c r="DG28" s="64"/>
      <c r="DH28" s="64"/>
      <c r="DI28" s="64"/>
      <c r="DJ28" s="64"/>
      <c r="DK28" s="71">
        <f t="shared" si="358"/>
        <v>0</v>
      </c>
      <c r="DM28" s="64"/>
      <c r="DN28" s="64"/>
      <c r="DO28" s="64"/>
      <c r="DP28" s="64"/>
      <c r="DQ28" s="64"/>
      <c r="DR28" s="64"/>
      <c r="DS28" s="64"/>
      <c r="DT28" s="64"/>
      <c r="DU28" s="64"/>
      <c r="DV28" s="64"/>
      <c r="DW28" s="64"/>
      <c r="DX28" s="64"/>
      <c r="DY28" s="71">
        <f t="shared" si="359"/>
        <v>0</v>
      </c>
      <c r="EA28" s="64"/>
      <c r="EB28" s="64"/>
      <c r="EC28" s="64"/>
      <c r="ED28" s="64"/>
      <c r="EE28" s="64"/>
      <c r="EF28" s="64"/>
      <c r="EG28" s="64"/>
      <c r="EH28" s="64"/>
      <c r="EI28" s="64"/>
      <c r="EJ28" s="64"/>
      <c r="EK28" s="64"/>
      <c r="EL28" s="64"/>
      <c r="EM28" s="71">
        <f t="shared" si="360"/>
        <v>0</v>
      </c>
    </row>
    <row r="29" spans="3:143">
      <c r="C29" s="63" t="s">
        <v>25</v>
      </c>
      <c r="E29" s="64">
        <v>200</v>
      </c>
      <c r="F29" s="64">
        <v>200</v>
      </c>
      <c r="G29" s="64">
        <v>200</v>
      </c>
      <c r="H29" s="64">
        <v>200</v>
      </c>
      <c r="I29" s="64">
        <v>200</v>
      </c>
      <c r="J29" s="64">
        <v>200</v>
      </c>
      <c r="K29" s="64">
        <v>200</v>
      </c>
      <c r="L29" s="64">
        <v>200</v>
      </c>
      <c r="M29" s="64">
        <v>200</v>
      </c>
      <c r="N29" s="64">
        <v>200</v>
      </c>
      <c r="O29" s="64">
        <v>200</v>
      </c>
      <c r="P29" s="64">
        <v>200</v>
      </c>
      <c r="Q29" s="71">
        <f t="shared" si="351"/>
        <v>2400</v>
      </c>
      <c r="S29" s="64"/>
      <c r="T29" s="64"/>
      <c r="U29" s="64"/>
      <c r="V29" s="64"/>
      <c r="W29" s="64"/>
      <c r="X29" s="64"/>
      <c r="Y29" s="64"/>
      <c r="Z29" s="64"/>
      <c r="AA29" s="64"/>
      <c r="AB29" s="64"/>
      <c r="AC29" s="64"/>
      <c r="AD29" s="64"/>
      <c r="AE29" s="71">
        <f t="shared" si="352"/>
        <v>0</v>
      </c>
      <c r="AG29" s="64"/>
      <c r="AH29" s="64"/>
      <c r="AI29" s="64"/>
      <c r="AJ29" s="64"/>
      <c r="AK29" s="64"/>
      <c r="AL29" s="64"/>
      <c r="AM29" s="64"/>
      <c r="AN29" s="64"/>
      <c r="AO29" s="64"/>
      <c r="AP29" s="64"/>
      <c r="AQ29" s="64"/>
      <c r="AR29" s="64"/>
      <c r="AS29" s="71">
        <f t="shared" si="353"/>
        <v>0</v>
      </c>
      <c r="AU29" s="64"/>
      <c r="AV29" s="64"/>
      <c r="AW29" s="64"/>
      <c r="AX29" s="64"/>
      <c r="AY29" s="64"/>
      <c r="AZ29" s="64"/>
      <c r="BA29" s="64"/>
      <c r="BB29" s="64"/>
      <c r="BC29" s="64"/>
      <c r="BD29" s="64"/>
      <c r="BE29" s="64"/>
      <c r="BF29" s="64"/>
      <c r="BG29" s="71">
        <f t="shared" si="354"/>
        <v>0</v>
      </c>
      <c r="BI29" s="64"/>
      <c r="BJ29" s="64"/>
      <c r="BK29" s="64"/>
      <c r="BL29" s="64"/>
      <c r="BM29" s="64"/>
      <c r="BN29" s="64"/>
      <c r="BO29" s="64"/>
      <c r="BP29" s="64"/>
      <c r="BQ29" s="64"/>
      <c r="BR29" s="64"/>
      <c r="BS29" s="64"/>
      <c r="BT29" s="64"/>
      <c r="BU29" s="71">
        <f t="shared" si="355"/>
        <v>0</v>
      </c>
      <c r="BW29" s="64"/>
      <c r="BX29" s="64"/>
      <c r="BY29" s="64"/>
      <c r="BZ29" s="64"/>
      <c r="CA29" s="64"/>
      <c r="CB29" s="64"/>
      <c r="CC29" s="64"/>
      <c r="CD29" s="64"/>
      <c r="CE29" s="64"/>
      <c r="CF29" s="64"/>
      <c r="CG29" s="64"/>
      <c r="CH29" s="64"/>
      <c r="CI29" s="71">
        <f t="shared" si="356"/>
        <v>0</v>
      </c>
      <c r="CK29" s="64"/>
      <c r="CL29" s="64"/>
      <c r="CM29" s="64"/>
      <c r="CN29" s="64"/>
      <c r="CO29" s="64"/>
      <c r="CP29" s="64"/>
      <c r="CQ29" s="64"/>
      <c r="CR29" s="64"/>
      <c r="CS29" s="64"/>
      <c r="CT29" s="64"/>
      <c r="CU29" s="64"/>
      <c r="CV29" s="64"/>
      <c r="CW29" s="71">
        <f t="shared" si="357"/>
        <v>0</v>
      </c>
      <c r="CY29" s="64"/>
      <c r="CZ29" s="64"/>
      <c r="DA29" s="64"/>
      <c r="DB29" s="64"/>
      <c r="DC29" s="64"/>
      <c r="DD29" s="64"/>
      <c r="DE29" s="64"/>
      <c r="DF29" s="64"/>
      <c r="DG29" s="64"/>
      <c r="DH29" s="64"/>
      <c r="DI29" s="64"/>
      <c r="DJ29" s="64"/>
      <c r="DK29" s="71">
        <f t="shared" si="358"/>
        <v>0</v>
      </c>
      <c r="DM29" s="64"/>
      <c r="DN29" s="64"/>
      <c r="DO29" s="64"/>
      <c r="DP29" s="64"/>
      <c r="DQ29" s="64"/>
      <c r="DR29" s="64"/>
      <c r="DS29" s="64"/>
      <c r="DT29" s="64"/>
      <c r="DU29" s="64"/>
      <c r="DV29" s="64"/>
      <c r="DW29" s="64"/>
      <c r="DX29" s="64"/>
      <c r="DY29" s="71">
        <f t="shared" si="359"/>
        <v>0</v>
      </c>
      <c r="EA29" s="64"/>
      <c r="EB29" s="64"/>
      <c r="EC29" s="64"/>
      <c r="ED29" s="64"/>
      <c r="EE29" s="64"/>
      <c r="EF29" s="64"/>
      <c r="EG29" s="64"/>
      <c r="EH29" s="64"/>
      <c r="EI29" s="64"/>
      <c r="EJ29" s="64"/>
      <c r="EK29" s="64"/>
      <c r="EL29" s="64"/>
      <c r="EM29" s="71">
        <f t="shared" si="360"/>
        <v>0</v>
      </c>
    </row>
    <row r="30" spans="3:143">
      <c r="C30" s="63" t="s">
        <v>26</v>
      </c>
      <c r="E30" s="64">
        <v>50</v>
      </c>
      <c r="F30" s="64">
        <v>50</v>
      </c>
      <c r="G30" s="64">
        <v>50</v>
      </c>
      <c r="H30" s="64">
        <v>50</v>
      </c>
      <c r="I30" s="64">
        <v>50</v>
      </c>
      <c r="J30" s="64">
        <v>50</v>
      </c>
      <c r="K30" s="64">
        <v>50</v>
      </c>
      <c r="L30" s="64">
        <v>50</v>
      </c>
      <c r="M30" s="64">
        <v>50</v>
      </c>
      <c r="N30" s="64">
        <v>50</v>
      </c>
      <c r="O30" s="64">
        <v>50</v>
      </c>
      <c r="P30" s="64">
        <v>50</v>
      </c>
      <c r="Q30" s="71">
        <f t="shared" si="351"/>
        <v>600</v>
      </c>
      <c r="S30" s="64"/>
      <c r="T30" s="64"/>
      <c r="U30" s="64"/>
      <c r="V30" s="64"/>
      <c r="W30" s="64"/>
      <c r="X30" s="64"/>
      <c r="Y30" s="64"/>
      <c r="Z30" s="64"/>
      <c r="AA30" s="64"/>
      <c r="AB30" s="64"/>
      <c r="AC30" s="64"/>
      <c r="AD30" s="64"/>
      <c r="AE30" s="71">
        <f t="shared" si="352"/>
        <v>0</v>
      </c>
      <c r="AG30" s="64"/>
      <c r="AH30" s="64"/>
      <c r="AI30" s="64"/>
      <c r="AJ30" s="64"/>
      <c r="AK30" s="64"/>
      <c r="AL30" s="64"/>
      <c r="AM30" s="64"/>
      <c r="AN30" s="64"/>
      <c r="AO30" s="64"/>
      <c r="AP30" s="64"/>
      <c r="AQ30" s="64"/>
      <c r="AR30" s="64"/>
      <c r="AS30" s="71">
        <f t="shared" si="353"/>
        <v>0</v>
      </c>
      <c r="AU30" s="64"/>
      <c r="AV30" s="64"/>
      <c r="AW30" s="64"/>
      <c r="AX30" s="64"/>
      <c r="AY30" s="64"/>
      <c r="AZ30" s="64"/>
      <c r="BA30" s="64"/>
      <c r="BB30" s="64"/>
      <c r="BC30" s="64"/>
      <c r="BD30" s="64"/>
      <c r="BE30" s="64"/>
      <c r="BF30" s="64"/>
      <c r="BG30" s="71">
        <f t="shared" si="354"/>
        <v>0</v>
      </c>
      <c r="BI30" s="64"/>
      <c r="BJ30" s="64"/>
      <c r="BK30" s="64"/>
      <c r="BL30" s="64"/>
      <c r="BM30" s="64"/>
      <c r="BN30" s="64"/>
      <c r="BO30" s="64"/>
      <c r="BP30" s="64"/>
      <c r="BQ30" s="64"/>
      <c r="BR30" s="64"/>
      <c r="BS30" s="64"/>
      <c r="BT30" s="64"/>
      <c r="BU30" s="71">
        <f t="shared" si="355"/>
        <v>0</v>
      </c>
      <c r="BW30" s="64"/>
      <c r="BX30" s="64"/>
      <c r="BY30" s="64"/>
      <c r="BZ30" s="64"/>
      <c r="CA30" s="64"/>
      <c r="CB30" s="64"/>
      <c r="CC30" s="64"/>
      <c r="CD30" s="64"/>
      <c r="CE30" s="64"/>
      <c r="CF30" s="64"/>
      <c r="CG30" s="64"/>
      <c r="CH30" s="64"/>
      <c r="CI30" s="71">
        <f t="shared" si="356"/>
        <v>0</v>
      </c>
      <c r="CK30" s="64"/>
      <c r="CL30" s="64"/>
      <c r="CM30" s="64"/>
      <c r="CN30" s="64"/>
      <c r="CO30" s="64"/>
      <c r="CP30" s="64"/>
      <c r="CQ30" s="64"/>
      <c r="CR30" s="64"/>
      <c r="CS30" s="64"/>
      <c r="CT30" s="64"/>
      <c r="CU30" s="64"/>
      <c r="CV30" s="64"/>
      <c r="CW30" s="71">
        <f t="shared" si="357"/>
        <v>0</v>
      </c>
      <c r="CY30" s="64"/>
      <c r="CZ30" s="64"/>
      <c r="DA30" s="64"/>
      <c r="DB30" s="64"/>
      <c r="DC30" s="64"/>
      <c r="DD30" s="64"/>
      <c r="DE30" s="64"/>
      <c r="DF30" s="64"/>
      <c r="DG30" s="64"/>
      <c r="DH30" s="64"/>
      <c r="DI30" s="64"/>
      <c r="DJ30" s="64"/>
      <c r="DK30" s="71">
        <f t="shared" si="358"/>
        <v>0</v>
      </c>
      <c r="DM30" s="64"/>
      <c r="DN30" s="64"/>
      <c r="DO30" s="64"/>
      <c r="DP30" s="64"/>
      <c r="DQ30" s="64"/>
      <c r="DR30" s="64"/>
      <c r="DS30" s="64"/>
      <c r="DT30" s="64"/>
      <c r="DU30" s="64"/>
      <c r="DV30" s="64"/>
      <c r="DW30" s="64"/>
      <c r="DX30" s="64"/>
      <c r="DY30" s="71">
        <f t="shared" si="359"/>
        <v>0</v>
      </c>
      <c r="EA30" s="64"/>
      <c r="EB30" s="64"/>
      <c r="EC30" s="64"/>
      <c r="ED30" s="64"/>
      <c r="EE30" s="64"/>
      <c r="EF30" s="64"/>
      <c r="EG30" s="64"/>
      <c r="EH30" s="64"/>
      <c r="EI30" s="64"/>
      <c r="EJ30" s="64"/>
      <c r="EK30" s="64"/>
      <c r="EL30" s="64"/>
      <c r="EM30" s="71">
        <f t="shared" si="360"/>
        <v>0</v>
      </c>
    </row>
    <row r="31" spans="3:143">
      <c r="C31" s="63" t="s">
        <v>27</v>
      </c>
      <c r="E31" s="64">
        <v>0</v>
      </c>
      <c r="F31" s="64">
        <v>0</v>
      </c>
      <c r="G31" s="64">
        <v>150</v>
      </c>
      <c r="H31" s="64">
        <v>0</v>
      </c>
      <c r="I31" s="64">
        <v>0</v>
      </c>
      <c r="J31" s="64">
        <v>150</v>
      </c>
      <c r="K31" s="64">
        <v>0</v>
      </c>
      <c r="L31" s="64">
        <v>0</v>
      </c>
      <c r="M31" s="64">
        <v>150</v>
      </c>
      <c r="N31" s="64">
        <v>0</v>
      </c>
      <c r="O31" s="64">
        <v>0</v>
      </c>
      <c r="P31" s="64">
        <v>150</v>
      </c>
      <c r="Q31" s="71">
        <f t="shared" si="351"/>
        <v>600</v>
      </c>
      <c r="S31" s="64"/>
      <c r="T31" s="64"/>
      <c r="U31" s="64"/>
      <c r="V31" s="64"/>
      <c r="W31" s="64"/>
      <c r="X31" s="64"/>
      <c r="Y31" s="64"/>
      <c r="Z31" s="64"/>
      <c r="AA31" s="64"/>
      <c r="AB31" s="64"/>
      <c r="AC31" s="64"/>
      <c r="AD31" s="64"/>
      <c r="AE31" s="71">
        <f t="shared" si="352"/>
        <v>0</v>
      </c>
      <c r="AG31" s="64"/>
      <c r="AH31" s="64"/>
      <c r="AI31" s="64"/>
      <c r="AJ31" s="64"/>
      <c r="AK31" s="64"/>
      <c r="AL31" s="64"/>
      <c r="AM31" s="64"/>
      <c r="AN31" s="64"/>
      <c r="AO31" s="64"/>
      <c r="AP31" s="64"/>
      <c r="AQ31" s="64"/>
      <c r="AR31" s="64"/>
      <c r="AS31" s="71">
        <f t="shared" si="353"/>
        <v>0</v>
      </c>
      <c r="AU31" s="64"/>
      <c r="AV31" s="64"/>
      <c r="AW31" s="64"/>
      <c r="AX31" s="64"/>
      <c r="AY31" s="64"/>
      <c r="AZ31" s="64"/>
      <c r="BA31" s="64"/>
      <c r="BB31" s="64"/>
      <c r="BC31" s="64"/>
      <c r="BD31" s="64"/>
      <c r="BE31" s="64"/>
      <c r="BF31" s="64"/>
      <c r="BG31" s="71">
        <f t="shared" si="354"/>
        <v>0</v>
      </c>
      <c r="BI31" s="64"/>
      <c r="BJ31" s="64"/>
      <c r="BK31" s="64"/>
      <c r="BL31" s="64"/>
      <c r="BM31" s="64"/>
      <c r="BN31" s="64"/>
      <c r="BO31" s="64"/>
      <c r="BP31" s="64"/>
      <c r="BQ31" s="64"/>
      <c r="BR31" s="64"/>
      <c r="BS31" s="64"/>
      <c r="BT31" s="64"/>
      <c r="BU31" s="71">
        <f t="shared" si="355"/>
        <v>0</v>
      </c>
      <c r="BW31" s="64"/>
      <c r="BX31" s="64"/>
      <c r="BY31" s="64"/>
      <c r="BZ31" s="64"/>
      <c r="CA31" s="64"/>
      <c r="CB31" s="64"/>
      <c r="CC31" s="64"/>
      <c r="CD31" s="64"/>
      <c r="CE31" s="64"/>
      <c r="CF31" s="64"/>
      <c r="CG31" s="64"/>
      <c r="CH31" s="64"/>
      <c r="CI31" s="71">
        <f t="shared" si="356"/>
        <v>0</v>
      </c>
      <c r="CK31" s="64"/>
      <c r="CL31" s="64"/>
      <c r="CM31" s="64"/>
      <c r="CN31" s="64"/>
      <c r="CO31" s="64"/>
      <c r="CP31" s="64"/>
      <c r="CQ31" s="64"/>
      <c r="CR31" s="64"/>
      <c r="CS31" s="64"/>
      <c r="CT31" s="64"/>
      <c r="CU31" s="64"/>
      <c r="CV31" s="64"/>
      <c r="CW31" s="71">
        <f t="shared" si="357"/>
        <v>0</v>
      </c>
      <c r="CY31" s="64"/>
      <c r="CZ31" s="64"/>
      <c r="DA31" s="64"/>
      <c r="DB31" s="64"/>
      <c r="DC31" s="64"/>
      <c r="DD31" s="64"/>
      <c r="DE31" s="64"/>
      <c r="DF31" s="64"/>
      <c r="DG31" s="64"/>
      <c r="DH31" s="64"/>
      <c r="DI31" s="64"/>
      <c r="DJ31" s="64"/>
      <c r="DK31" s="71">
        <f t="shared" si="358"/>
        <v>0</v>
      </c>
      <c r="DM31" s="64"/>
      <c r="DN31" s="64"/>
      <c r="DO31" s="64"/>
      <c r="DP31" s="64"/>
      <c r="DQ31" s="64"/>
      <c r="DR31" s="64"/>
      <c r="DS31" s="64"/>
      <c r="DT31" s="64"/>
      <c r="DU31" s="64"/>
      <c r="DV31" s="64"/>
      <c r="DW31" s="64"/>
      <c r="DX31" s="64"/>
      <c r="DY31" s="71">
        <f t="shared" si="359"/>
        <v>0</v>
      </c>
      <c r="EA31" s="64"/>
      <c r="EB31" s="64"/>
      <c r="EC31" s="64"/>
      <c r="ED31" s="64"/>
      <c r="EE31" s="64"/>
      <c r="EF31" s="64"/>
      <c r="EG31" s="64"/>
      <c r="EH31" s="64"/>
      <c r="EI31" s="64"/>
      <c r="EJ31" s="64"/>
      <c r="EK31" s="64"/>
      <c r="EL31" s="64"/>
      <c r="EM31" s="71">
        <f t="shared" si="360"/>
        <v>0</v>
      </c>
    </row>
    <row r="32" spans="3:143" hidden="1">
      <c r="C32" s="63" t="s">
        <v>28</v>
      </c>
      <c r="E32" s="64"/>
      <c r="F32" s="64"/>
      <c r="G32" s="64"/>
      <c r="H32" s="64"/>
      <c r="I32" s="64"/>
      <c r="J32" s="64"/>
      <c r="K32" s="64"/>
      <c r="L32" s="64"/>
      <c r="M32" s="64"/>
      <c r="N32" s="64"/>
      <c r="O32" s="64"/>
      <c r="P32" s="64"/>
      <c r="Q32" s="71">
        <f t="shared" si="351"/>
        <v>0</v>
      </c>
      <c r="S32" s="64"/>
      <c r="T32" s="64"/>
      <c r="U32" s="64"/>
      <c r="V32" s="64"/>
      <c r="W32" s="64"/>
      <c r="X32" s="64"/>
      <c r="Y32" s="64"/>
      <c r="Z32" s="64"/>
      <c r="AA32" s="64"/>
      <c r="AB32" s="64"/>
      <c r="AC32" s="64"/>
      <c r="AD32" s="64"/>
      <c r="AE32" s="71">
        <f t="shared" si="352"/>
        <v>0</v>
      </c>
      <c r="AG32" s="64"/>
      <c r="AH32" s="64"/>
      <c r="AI32" s="64"/>
      <c r="AJ32" s="64"/>
      <c r="AK32" s="64"/>
      <c r="AL32" s="64"/>
      <c r="AM32" s="64"/>
      <c r="AN32" s="64"/>
      <c r="AO32" s="64"/>
      <c r="AP32" s="64"/>
      <c r="AQ32" s="64"/>
      <c r="AR32" s="64"/>
      <c r="AS32" s="71">
        <f t="shared" si="353"/>
        <v>0</v>
      </c>
      <c r="AU32" s="64"/>
      <c r="AV32" s="64"/>
      <c r="AW32" s="64"/>
      <c r="AX32" s="64"/>
      <c r="AY32" s="64"/>
      <c r="AZ32" s="64"/>
      <c r="BA32" s="64"/>
      <c r="BB32" s="64"/>
      <c r="BC32" s="64"/>
      <c r="BD32" s="64"/>
      <c r="BE32" s="64"/>
      <c r="BF32" s="64"/>
      <c r="BG32" s="71">
        <f t="shared" si="354"/>
        <v>0</v>
      </c>
      <c r="BI32" s="64"/>
      <c r="BJ32" s="64"/>
      <c r="BK32" s="64"/>
      <c r="BL32" s="64"/>
      <c r="BM32" s="64"/>
      <c r="BN32" s="64"/>
      <c r="BO32" s="64"/>
      <c r="BP32" s="64"/>
      <c r="BQ32" s="64"/>
      <c r="BR32" s="64"/>
      <c r="BS32" s="64"/>
      <c r="BT32" s="64"/>
      <c r="BU32" s="71">
        <f t="shared" si="355"/>
        <v>0</v>
      </c>
      <c r="BW32" s="64"/>
      <c r="BX32" s="64"/>
      <c r="BY32" s="64"/>
      <c r="BZ32" s="64"/>
      <c r="CA32" s="64"/>
      <c r="CB32" s="64"/>
      <c r="CC32" s="64"/>
      <c r="CD32" s="64"/>
      <c r="CE32" s="64"/>
      <c r="CF32" s="64"/>
      <c r="CG32" s="64"/>
      <c r="CH32" s="64"/>
      <c r="CI32" s="71">
        <f t="shared" si="356"/>
        <v>0</v>
      </c>
      <c r="CK32" s="64"/>
      <c r="CL32" s="64"/>
      <c r="CM32" s="64"/>
      <c r="CN32" s="64"/>
      <c r="CO32" s="64"/>
      <c r="CP32" s="64"/>
      <c r="CQ32" s="64"/>
      <c r="CR32" s="64"/>
      <c r="CS32" s="64"/>
      <c r="CT32" s="64"/>
      <c r="CU32" s="64"/>
      <c r="CV32" s="64"/>
      <c r="CW32" s="71">
        <f t="shared" si="357"/>
        <v>0</v>
      </c>
      <c r="CY32" s="64"/>
      <c r="CZ32" s="64"/>
      <c r="DA32" s="64"/>
      <c r="DB32" s="64"/>
      <c r="DC32" s="64"/>
      <c r="DD32" s="64"/>
      <c r="DE32" s="64"/>
      <c r="DF32" s="64"/>
      <c r="DG32" s="64"/>
      <c r="DH32" s="64"/>
      <c r="DI32" s="64"/>
      <c r="DJ32" s="64"/>
      <c r="DK32" s="71">
        <f t="shared" si="358"/>
        <v>0</v>
      </c>
      <c r="DM32" s="64"/>
      <c r="DN32" s="64"/>
      <c r="DO32" s="64"/>
      <c r="DP32" s="64"/>
      <c r="DQ32" s="64"/>
      <c r="DR32" s="64"/>
      <c r="DS32" s="64"/>
      <c r="DT32" s="64"/>
      <c r="DU32" s="64"/>
      <c r="DV32" s="64"/>
      <c r="DW32" s="64"/>
      <c r="DX32" s="64"/>
      <c r="DY32" s="71">
        <f t="shared" si="359"/>
        <v>0</v>
      </c>
      <c r="EA32" s="64"/>
      <c r="EB32" s="64"/>
      <c r="EC32" s="64"/>
      <c r="ED32" s="64"/>
      <c r="EE32" s="64"/>
      <c r="EF32" s="64"/>
      <c r="EG32" s="64"/>
      <c r="EH32" s="64"/>
      <c r="EI32" s="64"/>
      <c r="EJ32" s="64"/>
      <c r="EK32" s="64"/>
      <c r="EL32" s="64"/>
      <c r="EM32" s="71">
        <f t="shared" si="360"/>
        <v>0</v>
      </c>
    </row>
    <row r="33" spans="3:143" hidden="1">
      <c r="C33" s="63" t="s">
        <v>28</v>
      </c>
      <c r="E33" s="64"/>
      <c r="F33" s="64"/>
      <c r="G33" s="64"/>
      <c r="H33" s="64"/>
      <c r="I33" s="64"/>
      <c r="J33" s="64"/>
      <c r="K33" s="64"/>
      <c r="L33" s="64"/>
      <c r="M33" s="64"/>
      <c r="N33" s="64"/>
      <c r="O33" s="64"/>
      <c r="P33" s="64"/>
      <c r="Q33" s="71">
        <f t="shared" si="351"/>
        <v>0</v>
      </c>
      <c r="S33" s="64"/>
      <c r="T33" s="64"/>
      <c r="U33" s="64"/>
      <c r="V33" s="64"/>
      <c r="W33" s="64"/>
      <c r="X33" s="64"/>
      <c r="Y33" s="64"/>
      <c r="Z33" s="64"/>
      <c r="AA33" s="64"/>
      <c r="AB33" s="64"/>
      <c r="AC33" s="64"/>
      <c r="AD33" s="64"/>
      <c r="AE33" s="71">
        <f t="shared" si="352"/>
        <v>0</v>
      </c>
      <c r="AG33" s="64"/>
      <c r="AH33" s="64"/>
      <c r="AI33" s="64"/>
      <c r="AJ33" s="64"/>
      <c r="AK33" s="64"/>
      <c r="AL33" s="64"/>
      <c r="AM33" s="64"/>
      <c r="AN33" s="64"/>
      <c r="AO33" s="64"/>
      <c r="AP33" s="64"/>
      <c r="AQ33" s="64"/>
      <c r="AR33" s="64"/>
      <c r="AS33" s="71">
        <f t="shared" si="353"/>
        <v>0</v>
      </c>
      <c r="AU33" s="64"/>
      <c r="AV33" s="64"/>
      <c r="AW33" s="64"/>
      <c r="AX33" s="64"/>
      <c r="AY33" s="64"/>
      <c r="AZ33" s="64"/>
      <c r="BA33" s="64"/>
      <c r="BB33" s="64"/>
      <c r="BC33" s="64"/>
      <c r="BD33" s="64"/>
      <c r="BE33" s="64"/>
      <c r="BF33" s="64"/>
      <c r="BG33" s="71">
        <f t="shared" si="354"/>
        <v>0</v>
      </c>
      <c r="BI33" s="64"/>
      <c r="BJ33" s="64"/>
      <c r="BK33" s="64"/>
      <c r="BL33" s="64"/>
      <c r="BM33" s="64"/>
      <c r="BN33" s="64"/>
      <c r="BO33" s="64"/>
      <c r="BP33" s="64"/>
      <c r="BQ33" s="64"/>
      <c r="BR33" s="64"/>
      <c r="BS33" s="64"/>
      <c r="BT33" s="64"/>
      <c r="BU33" s="71">
        <f t="shared" si="355"/>
        <v>0</v>
      </c>
      <c r="BW33" s="64"/>
      <c r="BX33" s="64"/>
      <c r="BY33" s="64"/>
      <c r="BZ33" s="64"/>
      <c r="CA33" s="64"/>
      <c r="CB33" s="64"/>
      <c r="CC33" s="64"/>
      <c r="CD33" s="64"/>
      <c r="CE33" s="64"/>
      <c r="CF33" s="64"/>
      <c r="CG33" s="64"/>
      <c r="CH33" s="64"/>
      <c r="CI33" s="71">
        <f t="shared" si="356"/>
        <v>0</v>
      </c>
      <c r="CK33" s="64"/>
      <c r="CL33" s="64"/>
      <c r="CM33" s="64"/>
      <c r="CN33" s="64"/>
      <c r="CO33" s="64"/>
      <c r="CP33" s="64"/>
      <c r="CQ33" s="64"/>
      <c r="CR33" s="64"/>
      <c r="CS33" s="64"/>
      <c r="CT33" s="64"/>
      <c r="CU33" s="64"/>
      <c r="CV33" s="64"/>
      <c r="CW33" s="71">
        <f t="shared" si="357"/>
        <v>0</v>
      </c>
      <c r="CY33" s="64"/>
      <c r="CZ33" s="64"/>
      <c r="DA33" s="64"/>
      <c r="DB33" s="64"/>
      <c r="DC33" s="64"/>
      <c r="DD33" s="64"/>
      <c r="DE33" s="64"/>
      <c r="DF33" s="64"/>
      <c r="DG33" s="64"/>
      <c r="DH33" s="64"/>
      <c r="DI33" s="64"/>
      <c r="DJ33" s="64"/>
      <c r="DK33" s="71">
        <f t="shared" si="358"/>
        <v>0</v>
      </c>
      <c r="DM33" s="64"/>
      <c r="DN33" s="64"/>
      <c r="DO33" s="64"/>
      <c r="DP33" s="64"/>
      <c r="DQ33" s="64"/>
      <c r="DR33" s="64"/>
      <c r="DS33" s="64"/>
      <c r="DT33" s="64"/>
      <c r="DU33" s="64"/>
      <c r="DV33" s="64"/>
      <c r="DW33" s="64"/>
      <c r="DX33" s="64"/>
      <c r="DY33" s="71">
        <f t="shared" si="359"/>
        <v>0</v>
      </c>
      <c r="EA33" s="64"/>
      <c r="EB33" s="64"/>
      <c r="EC33" s="64"/>
      <c r="ED33" s="64"/>
      <c r="EE33" s="64"/>
      <c r="EF33" s="64"/>
      <c r="EG33" s="64"/>
      <c r="EH33" s="64"/>
      <c r="EI33" s="64"/>
      <c r="EJ33" s="64"/>
      <c r="EK33" s="64"/>
      <c r="EL33" s="64"/>
      <c r="EM33" s="71">
        <f t="shared" si="360"/>
        <v>0</v>
      </c>
    </row>
    <row r="34" spans="3:143" hidden="1">
      <c r="C34" s="63" t="s">
        <v>28</v>
      </c>
      <c r="E34" s="64"/>
      <c r="F34" s="64"/>
      <c r="G34" s="64"/>
      <c r="H34" s="64"/>
      <c r="I34" s="64"/>
      <c r="J34" s="64"/>
      <c r="K34" s="64"/>
      <c r="L34" s="64"/>
      <c r="M34" s="64"/>
      <c r="N34" s="64"/>
      <c r="O34" s="64"/>
      <c r="P34" s="64"/>
      <c r="Q34" s="71">
        <f t="shared" si="351"/>
        <v>0</v>
      </c>
      <c r="S34" s="64"/>
      <c r="T34" s="64"/>
      <c r="U34" s="64"/>
      <c r="V34" s="64"/>
      <c r="W34" s="64"/>
      <c r="X34" s="64"/>
      <c r="Y34" s="64"/>
      <c r="Z34" s="64"/>
      <c r="AA34" s="64"/>
      <c r="AB34" s="64"/>
      <c r="AC34" s="64"/>
      <c r="AD34" s="64"/>
      <c r="AE34" s="71">
        <f t="shared" si="352"/>
        <v>0</v>
      </c>
      <c r="AG34" s="64"/>
      <c r="AH34" s="64"/>
      <c r="AI34" s="64"/>
      <c r="AJ34" s="64"/>
      <c r="AK34" s="64"/>
      <c r="AL34" s="64"/>
      <c r="AM34" s="64"/>
      <c r="AN34" s="64"/>
      <c r="AO34" s="64"/>
      <c r="AP34" s="64"/>
      <c r="AQ34" s="64"/>
      <c r="AR34" s="64"/>
      <c r="AS34" s="71">
        <f t="shared" si="353"/>
        <v>0</v>
      </c>
      <c r="AU34" s="64"/>
      <c r="AV34" s="64"/>
      <c r="AW34" s="64"/>
      <c r="AX34" s="64"/>
      <c r="AY34" s="64"/>
      <c r="AZ34" s="64"/>
      <c r="BA34" s="64"/>
      <c r="BB34" s="64"/>
      <c r="BC34" s="64"/>
      <c r="BD34" s="64"/>
      <c r="BE34" s="64"/>
      <c r="BF34" s="64"/>
      <c r="BG34" s="71">
        <f t="shared" si="354"/>
        <v>0</v>
      </c>
      <c r="BI34" s="64"/>
      <c r="BJ34" s="64"/>
      <c r="BK34" s="64"/>
      <c r="BL34" s="64"/>
      <c r="BM34" s="64"/>
      <c r="BN34" s="64"/>
      <c r="BO34" s="64"/>
      <c r="BP34" s="64"/>
      <c r="BQ34" s="64"/>
      <c r="BR34" s="64"/>
      <c r="BS34" s="64"/>
      <c r="BT34" s="64"/>
      <c r="BU34" s="71">
        <f t="shared" si="355"/>
        <v>0</v>
      </c>
      <c r="BW34" s="64"/>
      <c r="BX34" s="64"/>
      <c r="BY34" s="64"/>
      <c r="BZ34" s="64"/>
      <c r="CA34" s="64"/>
      <c r="CB34" s="64"/>
      <c r="CC34" s="64"/>
      <c r="CD34" s="64"/>
      <c r="CE34" s="64"/>
      <c r="CF34" s="64"/>
      <c r="CG34" s="64"/>
      <c r="CH34" s="64"/>
      <c r="CI34" s="71">
        <f t="shared" si="356"/>
        <v>0</v>
      </c>
      <c r="CK34" s="64"/>
      <c r="CL34" s="64"/>
      <c r="CM34" s="64"/>
      <c r="CN34" s="64"/>
      <c r="CO34" s="64"/>
      <c r="CP34" s="64"/>
      <c r="CQ34" s="64"/>
      <c r="CR34" s="64"/>
      <c r="CS34" s="64"/>
      <c r="CT34" s="64"/>
      <c r="CU34" s="64"/>
      <c r="CV34" s="64"/>
      <c r="CW34" s="71">
        <f t="shared" si="357"/>
        <v>0</v>
      </c>
      <c r="CY34" s="64"/>
      <c r="CZ34" s="64"/>
      <c r="DA34" s="64"/>
      <c r="DB34" s="64"/>
      <c r="DC34" s="64"/>
      <c r="DD34" s="64"/>
      <c r="DE34" s="64"/>
      <c r="DF34" s="64"/>
      <c r="DG34" s="64"/>
      <c r="DH34" s="64"/>
      <c r="DI34" s="64"/>
      <c r="DJ34" s="64"/>
      <c r="DK34" s="71">
        <f t="shared" si="358"/>
        <v>0</v>
      </c>
      <c r="DM34" s="64"/>
      <c r="DN34" s="64"/>
      <c r="DO34" s="64"/>
      <c r="DP34" s="64"/>
      <c r="DQ34" s="64"/>
      <c r="DR34" s="64"/>
      <c r="DS34" s="64"/>
      <c r="DT34" s="64"/>
      <c r="DU34" s="64"/>
      <c r="DV34" s="64"/>
      <c r="DW34" s="64"/>
      <c r="DX34" s="64"/>
      <c r="DY34" s="71">
        <f t="shared" si="359"/>
        <v>0</v>
      </c>
      <c r="EA34" s="64"/>
      <c r="EB34" s="64"/>
      <c r="EC34" s="64"/>
      <c r="ED34" s="64"/>
      <c r="EE34" s="64"/>
      <c r="EF34" s="64"/>
      <c r="EG34" s="64"/>
      <c r="EH34" s="64"/>
      <c r="EI34" s="64"/>
      <c r="EJ34" s="64"/>
      <c r="EK34" s="64"/>
      <c r="EL34" s="64"/>
      <c r="EM34" s="71">
        <f t="shared" si="360"/>
        <v>0</v>
      </c>
    </row>
    <row r="35" spans="3:143" hidden="1">
      <c r="C35" s="63" t="s">
        <v>28</v>
      </c>
      <c r="E35" s="64"/>
      <c r="F35" s="64"/>
      <c r="G35" s="64"/>
      <c r="H35" s="64"/>
      <c r="I35" s="64"/>
      <c r="J35" s="64"/>
      <c r="K35" s="64"/>
      <c r="L35" s="64"/>
      <c r="M35" s="64"/>
      <c r="N35" s="64"/>
      <c r="O35" s="64"/>
      <c r="P35" s="64"/>
      <c r="Q35" s="71">
        <f t="shared" si="351"/>
        <v>0</v>
      </c>
      <c r="S35" s="64"/>
      <c r="T35" s="64"/>
      <c r="U35" s="64"/>
      <c r="V35" s="64"/>
      <c r="W35" s="64"/>
      <c r="X35" s="64"/>
      <c r="Y35" s="64"/>
      <c r="Z35" s="64"/>
      <c r="AA35" s="64"/>
      <c r="AB35" s="64"/>
      <c r="AC35" s="64"/>
      <c r="AD35" s="64"/>
      <c r="AE35" s="71">
        <f t="shared" si="352"/>
        <v>0</v>
      </c>
      <c r="AG35" s="64"/>
      <c r="AH35" s="64"/>
      <c r="AI35" s="64"/>
      <c r="AJ35" s="64"/>
      <c r="AK35" s="64"/>
      <c r="AL35" s="64"/>
      <c r="AM35" s="64"/>
      <c r="AN35" s="64"/>
      <c r="AO35" s="64"/>
      <c r="AP35" s="64"/>
      <c r="AQ35" s="64"/>
      <c r="AR35" s="64"/>
      <c r="AS35" s="71">
        <f t="shared" si="353"/>
        <v>0</v>
      </c>
      <c r="AU35" s="64"/>
      <c r="AV35" s="64"/>
      <c r="AW35" s="64"/>
      <c r="AX35" s="64"/>
      <c r="AY35" s="64"/>
      <c r="AZ35" s="64"/>
      <c r="BA35" s="64"/>
      <c r="BB35" s="64"/>
      <c r="BC35" s="64"/>
      <c r="BD35" s="64"/>
      <c r="BE35" s="64"/>
      <c r="BF35" s="64"/>
      <c r="BG35" s="71">
        <f t="shared" si="354"/>
        <v>0</v>
      </c>
      <c r="BI35" s="64"/>
      <c r="BJ35" s="64"/>
      <c r="BK35" s="64"/>
      <c r="BL35" s="64"/>
      <c r="BM35" s="64"/>
      <c r="BN35" s="64"/>
      <c r="BO35" s="64"/>
      <c r="BP35" s="64"/>
      <c r="BQ35" s="64"/>
      <c r="BR35" s="64"/>
      <c r="BS35" s="64"/>
      <c r="BT35" s="64"/>
      <c r="BU35" s="71">
        <f t="shared" si="355"/>
        <v>0</v>
      </c>
      <c r="BW35" s="64"/>
      <c r="BX35" s="64"/>
      <c r="BY35" s="64"/>
      <c r="BZ35" s="64"/>
      <c r="CA35" s="64"/>
      <c r="CB35" s="64"/>
      <c r="CC35" s="64"/>
      <c r="CD35" s="64"/>
      <c r="CE35" s="64"/>
      <c r="CF35" s="64"/>
      <c r="CG35" s="64"/>
      <c r="CH35" s="64"/>
      <c r="CI35" s="71">
        <f t="shared" si="356"/>
        <v>0</v>
      </c>
      <c r="CK35" s="64"/>
      <c r="CL35" s="64"/>
      <c r="CM35" s="64"/>
      <c r="CN35" s="64"/>
      <c r="CO35" s="64"/>
      <c r="CP35" s="64"/>
      <c r="CQ35" s="64"/>
      <c r="CR35" s="64"/>
      <c r="CS35" s="64"/>
      <c r="CT35" s="64"/>
      <c r="CU35" s="64"/>
      <c r="CV35" s="64"/>
      <c r="CW35" s="71">
        <f t="shared" si="357"/>
        <v>0</v>
      </c>
      <c r="CY35" s="64"/>
      <c r="CZ35" s="64"/>
      <c r="DA35" s="64"/>
      <c r="DB35" s="64"/>
      <c r="DC35" s="64"/>
      <c r="DD35" s="64"/>
      <c r="DE35" s="64"/>
      <c r="DF35" s="64"/>
      <c r="DG35" s="64"/>
      <c r="DH35" s="64"/>
      <c r="DI35" s="64"/>
      <c r="DJ35" s="64"/>
      <c r="DK35" s="71">
        <f t="shared" si="358"/>
        <v>0</v>
      </c>
      <c r="DM35" s="64"/>
      <c r="DN35" s="64"/>
      <c r="DO35" s="64"/>
      <c r="DP35" s="64"/>
      <c r="DQ35" s="64"/>
      <c r="DR35" s="64"/>
      <c r="DS35" s="64"/>
      <c r="DT35" s="64"/>
      <c r="DU35" s="64"/>
      <c r="DV35" s="64"/>
      <c r="DW35" s="64"/>
      <c r="DX35" s="64"/>
      <c r="DY35" s="71">
        <f t="shared" si="359"/>
        <v>0</v>
      </c>
      <c r="EA35" s="64"/>
      <c r="EB35" s="64"/>
      <c r="EC35" s="64"/>
      <c r="ED35" s="64"/>
      <c r="EE35" s="64"/>
      <c r="EF35" s="64"/>
      <c r="EG35" s="64"/>
      <c r="EH35" s="64"/>
      <c r="EI35" s="64"/>
      <c r="EJ35" s="64"/>
      <c r="EK35" s="64"/>
      <c r="EL35" s="64"/>
      <c r="EM35" s="71">
        <f t="shared" si="360"/>
        <v>0</v>
      </c>
    </row>
    <row r="36" spans="3:143">
      <c r="C36" s="65" t="s">
        <v>17</v>
      </c>
      <c r="E36" s="66">
        <f t="shared" ref="E36:Q36" ca="1" si="361">SUM(INDIRECT(ADDRESS(expenses_min_row,COLUMN())&amp;":"&amp;ADDRESS(expenses_max_row,COLUMN())))</f>
        <v>2900</v>
      </c>
      <c r="F36" s="66">
        <f t="shared" ca="1" si="361"/>
        <v>2900</v>
      </c>
      <c r="G36" s="66">
        <f t="shared" ca="1" si="361"/>
        <v>3050</v>
      </c>
      <c r="H36" s="66">
        <f t="shared" ca="1" si="361"/>
        <v>3800</v>
      </c>
      <c r="I36" s="66">
        <f t="shared" ca="1" si="361"/>
        <v>2900</v>
      </c>
      <c r="J36" s="66">
        <f t="shared" ca="1" si="361"/>
        <v>3050</v>
      </c>
      <c r="K36" s="66">
        <f t="shared" ca="1" si="361"/>
        <v>2900</v>
      </c>
      <c r="L36" s="66">
        <f t="shared" ca="1" si="361"/>
        <v>4100</v>
      </c>
      <c r="M36" s="66">
        <f t="shared" ca="1" si="361"/>
        <v>3050</v>
      </c>
      <c r="N36" s="66">
        <f t="shared" ca="1" si="361"/>
        <v>2900</v>
      </c>
      <c r="O36" s="66">
        <f t="shared" ca="1" si="361"/>
        <v>2900</v>
      </c>
      <c r="P36" s="66">
        <f t="shared" ca="1" si="361"/>
        <v>3350</v>
      </c>
      <c r="Q36" s="66">
        <f t="shared" ca="1" si="361"/>
        <v>37800</v>
      </c>
      <c r="S36" s="66">
        <f t="shared" ref="S36:AE36" ca="1" si="362">SUM(INDIRECT(ADDRESS(expenses_min_row,COLUMN())&amp;":"&amp;ADDRESS(expenses_max_row,COLUMN())))</f>
        <v>0</v>
      </c>
      <c r="T36" s="66">
        <f t="shared" ca="1" si="362"/>
        <v>0</v>
      </c>
      <c r="U36" s="66">
        <f t="shared" ca="1" si="362"/>
        <v>0</v>
      </c>
      <c r="V36" s="66">
        <f t="shared" ca="1" si="362"/>
        <v>0</v>
      </c>
      <c r="W36" s="66">
        <f t="shared" ca="1" si="362"/>
        <v>0</v>
      </c>
      <c r="X36" s="66">
        <f t="shared" ca="1" si="362"/>
        <v>0</v>
      </c>
      <c r="Y36" s="66">
        <f t="shared" ca="1" si="362"/>
        <v>0</v>
      </c>
      <c r="Z36" s="66">
        <f t="shared" ca="1" si="362"/>
        <v>0</v>
      </c>
      <c r="AA36" s="66">
        <f t="shared" ca="1" si="362"/>
        <v>0</v>
      </c>
      <c r="AB36" s="66">
        <f t="shared" ca="1" si="362"/>
        <v>0</v>
      </c>
      <c r="AC36" s="66">
        <f t="shared" ca="1" si="362"/>
        <v>0</v>
      </c>
      <c r="AD36" s="66">
        <f t="shared" ca="1" si="362"/>
        <v>0</v>
      </c>
      <c r="AE36" s="66">
        <f t="shared" ca="1" si="362"/>
        <v>0</v>
      </c>
      <c r="AG36" s="66">
        <f t="shared" ref="AG36:AS36" ca="1" si="363">SUM(INDIRECT(ADDRESS(expenses_min_row,COLUMN())&amp;":"&amp;ADDRESS(expenses_max_row,COLUMN())))</f>
        <v>0</v>
      </c>
      <c r="AH36" s="66">
        <f t="shared" ca="1" si="363"/>
        <v>0</v>
      </c>
      <c r="AI36" s="66">
        <f t="shared" ca="1" si="363"/>
        <v>0</v>
      </c>
      <c r="AJ36" s="66">
        <f t="shared" ca="1" si="363"/>
        <v>0</v>
      </c>
      <c r="AK36" s="66">
        <f t="shared" ca="1" si="363"/>
        <v>0</v>
      </c>
      <c r="AL36" s="66">
        <f t="shared" ca="1" si="363"/>
        <v>0</v>
      </c>
      <c r="AM36" s="66">
        <f t="shared" ca="1" si="363"/>
        <v>0</v>
      </c>
      <c r="AN36" s="66">
        <f t="shared" ca="1" si="363"/>
        <v>0</v>
      </c>
      <c r="AO36" s="66">
        <f t="shared" ca="1" si="363"/>
        <v>0</v>
      </c>
      <c r="AP36" s="66">
        <f t="shared" ca="1" si="363"/>
        <v>0</v>
      </c>
      <c r="AQ36" s="66">
        <f t="shared" ca="1" si="363"/>
        <v>0</v>
      </c>
      <c r="AR36" s="66">
        <f t="shared" ca="1" si="363"/>
        <v>0</v>
      </c>
      <c r="AS36" s="66">
        <f t="shared" ca="1" si="363"/>
        <v>0</v>
      </c>
      <c r="AU36" s="66">
        <f t="shared" ref="AU36:BG36" ca="1" si="364">SUM(INDIRECT(ADDRESS(expenses_min_row,COLUMN())&amp;":"&amp;ADDRESS(expenses_max_row,COLUMN())))</f>
        <v>0</v>
      </c>
      <c r="AV36" s="66">
        <f t="shared" ca="1" si="364"/>
        <v>0</v>
      </c>
      <c r="AW36" s="66">
        <f t="shared" ca="1" si="364"/>
        <v>0</v>
      </c>
      <c r="AX36" s="66">
        <f t="shared" ca="1" si="364"/>
        <v>0</v>
      </c>
      <c r="AY36" s="66">
        <f t="shared" ca="1" si="364"/>
        <v>0</v>
      </c>
      <c r="AZ36" s="66">
        <f t="shared" ca="1" si="364"/>
        <v>0</v>
      </c>
      <c r="BA36" s="66">
        <f t="shared" ca="1" si="364"/>
        <v>0</v>
      </c>
      <c r="BB36" s="66">
        <f t="shared" ca="1" si="364"/>
        <v>0</v>
      </c>
      <c r="BC36" s="66">
        <f t="shared" ca="1" si="364"/>
        <v>0</v>
      </c>
      <c r="BD36" s="66">
        <f t="shared" ca="1" si="364"/>
        <v>0</v>
      </c>
      <c r="BE36" s="66">
        <f t="shared" ca="1" si="364"/>
        <v>0</v>
      </c>
      <c r="BF36" s="66">
        <f t="shared" ca="1" si="364"/>
        <v>0</v>
      </c>
      <c r="BG36" s="66">
        <f t="shared" ca="1" si="364"/>
        <v>0</v>
      </c>
      <c r="BI36" s="66">
        <f t="shared" ref="BI36:BU36" ca="1" si="365">SUM(INDIRECT(ADDRESS(expenses_min_row,COLUMN())&amp;":"&amp;ADDRESS(expenses_max_row,COLUMN())))</f>
        <v>0</v>
      </c>
      <c r="BJ36" s="66">
        <f t="shared" ca="1" si="365"/>
        <v>0</v>
      </c>
      <c r="BK36" s="66">
        <f t="shared" ca="1" si="365"/>
        <v>0</v>
      </c>
      <c r="BL36" s="66">
        <f t="shared" ca="1" si="365"/>
        <v>0</v>
      </c>
      <c r="BM36" s="66">
        <f t="shared" ca="1" si="365"/>
        <v>0</v>
      </c>
      <c r="BN36" s="66">
        <f t="shared" ca="1" si="365"/>
        <v>0</v>
      </c>
      <c r="BO36" s="66">
        <f t="shared" ca="1" si="365"/>
        <v>0</v>
      </c>
      <c r="BP36" s="66">
        <f t="shared" ca="1" si="365"/>
        <v>0</v>
      </c>
      <c r="BQ36" s="66">
        <f t="shared" ca="1" si="365"/>
        <v>0</v>
      </c>
      <c r="BR36" s="66">
        <f t="shared" ca="1" si="365"/>
        <v>0</v>
      </c>
      <c r="BS36" s="66">
        <f t="shared" ca="1" si="365"/>
        <v>0</v>
      </c>
      <c r="BT36" s="66">
        <f t="shared" ca="1" si="365"/>
        <v>0</v>
      </c>
      <c r="BU36" s="66">
        <f t="shared" ca="1" si="365"/>
        <v>0</v>
      </c>
      <c r="BW36" s="66">
        <f t="shared" ref="BW36:CI36" ca="1" si="366">SUM(INDIRECT(ADDRESS(expenses_min_row,COLUMN())&amp;":"&amp;ADDRESS(expenses_max_row,COLUMN())))</f>
        <v>0</v>
      </c>
      <c r="BX36" s="66">
        <f t="shared" ca="1" si="366"/>
        <v>0</v>
      </c>
      <c r="BY36" s="66">
        <f t="shared" ca="1" si="366"/>
        <v>0</v>
      </c>
      <c r="BZ36" s="66">
        <f t="shared" ca="1" si="366"/>
        <v>0</v>
      </c>
      <c r="CA36" s="66">
        <f t="shared" ca="1" si="366"/>
        <v>0</v>
      </c>
      <c r="CB36" s="66">
        <f t="shared" ca="1" si="366"/>
        <v>0</v>
      </c>
      <c r="CC36" s="66">
        <f t="shared" ca="1" si="366"/>
        <v>0</v>
      </c>
      <c r="CD36" s="66">
        <f t="shared" ca="1" si="366"/>
        <v>0</v>
      </c>
      <c r="CE36" s="66">
        <f t="shared" ca="1" si="366"/>
        <v>0</v>
      </c>
      <c r="CF36" s="66">
        <f t="shared" ca="1" si="366"/>
        <v>0</v>
      </c>
      <c r="CG36" s="66">
        <f t="shared" ca="1" si="366"/>
        <v>0</v>
      </c>
      <c r="CH36" s="66">
        <f t="shared" ca="1" si="366"/>
        <v>0</v>
      </c>
      <c r="CI36" s="66">
        <f t="shared" ca="1" si="366"/>
        <v>0</v>
      </c>
      <c r="CK36" s="66">
        <f t="shared" ref="CK36:CW36" ca="1" si="367">SUM(INDIRECT(ADDRESS(expenses_min_row,COLUMN())&amp;":"&amp;ADDRESS(expenses_max_row,COLUMN())))</f>
        <v>0</v>
      </c>
      <c r="CL36" s="66">
        <f t="shared" ca="1" si="367"/>
        <v>0</v>
      </c>
      <c r="CM36" s="66">
        <f t="shared" ca="1" si="367"/>
        <v>0</v>
      </c>
      <c r="CN36" s="66">
        <f t="shared" ca="1" si="367"/>
        <v>0</v>
      </c>
      <c r="CO36" s="66">
        <f t="shared" ca="1" si="367"/>
        <v>0</v>
      </c>
      <c r="CP36" s="66">
        <f t="shared" ca="1" si="367"/>
        <v>0</v>
      </c>
      <c r="CQ36" s="66">
        <f t="shared" ca="1" si="367"/>
        <v>0</v>
      </c>
      <c r="CR36" s="66">
        <f t="shared" ca="1" si="367"/>
        <v>0</v>
      </c>
      <c r="CS36" s="66">
        <f t="shared" ca="1" si="367"/>
        <v>0</v>
      </c>
      <c r="CT36" s="66">
        <f t="shared" ca="1" si="367"/>
        <v>0</v>
      </c>
      <c r="CU36" s="66">
        <f t="shared" ca="1" si="367"/>
        <v>0</v>
      </c>
      <c r="CV36" s="66">
        <f t="shared" ca="1" si="367"/>
        <v>0</v>
      </c>
      <c r="CW36" s="66">
        <f t="shared" ca="1" si="367"/>
        <v>0</v>
      </c>
      <c r="CY36" s="66">
        <f t="shared" ref="CY36:DK36" ca="1" si="368">SUM(INDIRECT(ADDRESS(expenses_min_row,COLUMN())&amp;":"&amp;ADDRESS(expenses_max_row,COLUMN())))</f>
        <v>0</v>
      </c>
      <c r="CZ36" s="66">
        <f t="shared" ca="1" si="368"/>
        <v>0</v>
      </c>
      <c r="DA36" s="66">
        <f t="shared" ca="1" si="368"/>
        <v>0</v>
      </c>
      <c r="DB36" s="66">
        <f t="shared" ca="1" si="368"/>
        <v>0</v>
      </c>
      <c r="DC36" s="66">
        <f t="shared" ca="1" si="368"/>
        <v>0</v>
      </c>
      <c r="DD36" s="66">
        <f t="shared" ca="1" si="368"/>
        <v>0</v>
      </c>
      <c r="DE36" s="66">
        <f t="shared" ca="1" si="368"/>
        <v>0</v>
      </c>
      <c r="DF36" s="66">
        <f t="shared" ca="1" si="368"/>
        <v>0</v>
      </c>
      <c r="DG36" s="66">
        <f t="shared" ca="1" si="368"/>
        <v>0</v>
      </c>
      <c r="DH36" s="66">
        <f t="shared" ca="1" si="368"/>
        <v>0</v>
      </c>
      <c r="DI36" s="66">
        <f t="shared" ca="1" si="368"/>
        <v>0</v>
      </c>
      <c r="DJ36" s="66">
        <f t="shared" ca="1" si="368"/>
        <v>0</v>
      </c>
      <c r="DK36" s="66">
        <f t="shared" ca="1" si="368"/>
        <v>0</v>
      </c>
      <c r="DM36" s="66">
        <f t="shared" ref="DM36:DY36" ca="1" si="369">SUM(INDIRECT(ADDRESS(expenses_min_row,COLUMN())&amp;":"&amp;ADDRESS(expenses_max_row,COLUMN())))</f>
        <v>0</v>
      </c>
      <c r="DN36" s="66">
        <f t="shared" ca="1" si="369"/>
        <v>0</v>
      </c>
      <c r="DO36" s="66">
        <f t="shared" ca="1" si="369"/>
        <v>0</v>
      </c>
      <c r="DP36" s="66">
        <f t="shared" ca="1" si="369"/>
        <v>0</v>
      </c>
      <c r="DQ36" s="66">
        <f t="shared" ca="1" si="369"/>
        <v>0</v>
      </c>
      <c r="DR36" s="66">
        <f t="shared" ca="1" si="369"/>
        <v>0</v>
      </c>
      <c r="DS36" s="66">
        <f t="shared" ca="1" si="369"/>
        <v>0</v>
      </c>
      <c r="DT36" s="66">
        <f t="shared" ca="1" si="369"/>
        <v>0</v>
      </c>
      <c r="DU36" s="66">
        <f t="shared" ca="1" si="369"/>
        <v>0</v>
      </c>
      <c r="DV36" s="66">
        <f t="shared" ca="1" si="369"/>
        <v>0</v>
      </c>
      <c r="DW36" s="66">
        <f t="shared" ca="1" si="369"/>
        <v>0</v>
      </c>
      <c r="DX36" s="66">
        <f t="shared" ca="1" si="369"/>
        <v>0</v>
      </c>
      <c r="DY36" s="66">
        <f t="shared" ca="1" si="369"/>
        <v>0</v>
      </c>
      <c r="EA36" s="66">
        <f t="shared" ref="EA36:EM36" ca="1" si="370">SUM(INDIRECT(ADDRESS(expenses_min_row,COLUMN())&amp;":"&amp;ADDRESS(expenses_max_row,COLUMN())))</f>
        <v>0</v>
      </c>
      <c r="EB36" s="66">
        <f t="shared" ca="1" si="370"/>
        <v>0</v>
      </c>
      <c r="EC36" s="66">
        <f t="shared" ca="1" si="370"/>
        <v>0</v>
      </c>
      <c r="ED36" s="66">
        <f t="shared" ca="1" si="370"/>
        <v>0</v>
      </c>
      <c r="EE36" s="66">
        <f t="shared" ca="1" si="370"/>
        <v>0</v>
      </c>
      <c r="EF36" s="66">
        <f t="shared" ca="1" si="370"/>
        <v>0</v>
      </c>
      <c r="EG36" s="66">
        <f t="shared" ca="1" si="370"/>
        <v>0</v>
      </c>
      <c r="EH36" s="66">
        <f t="shared" ca="1" si="370"/>
        <v>0</v>
      </c>
      <c r="EI36" s="66">
        <f t="shared" ca="1" si="370"/>
        <v>0</v>
      </c>
      <c r="EJ36" s="66">
        <f t="shared" ca="1" si="370"/>
        <v>0</v>
      </c>
      <c r="EK36" s="66">
        <f t="shared" ca="1" si="370"/>
        <v>0</v>
      </c>
      <c r="EL36" s="66">
        <f t="shared" ca="1" si="370"/>
        <v>0</v>
      </c>
      <c r="EM36" s="66">
        <f t="shared" ca="1" si="370"/>
        <v>0</v>
      </c>
    </row>
    <row r="38" spans="3:143">
      <c r="C38" s="61" t="s">
        <v>29</v>
      </c>
      <c r="E38" s="68">
        <f>DATE(E$5,1,1)</f>
        <v>44562</v>
      </c>
      <c r="F38" s="68">
        <f>DATE(E$5,2,1)</f>
        <v>44593</v>
      </c>
      <c r="G38" s="68">
        <f>DATE(E$5,3,1)</f>
        <v>44621</v>
      </c>
      <c r="H38" s="68">
        <f>DATE(E$5,4,1)</f>
        <v>44652</v>
      </c>
      <c r="I38" s="68">
        <f>DATE(E$5,5,1)</f>
        <v>44682</v>
      </c>
      <c r="J38" s="68">
        <f>DATE(E$5,6,1)</f>
        <v>44713</v>
      </c>
      <c r="K38" s="68">
        <f>DATE(E$5,7,1)</f>
        <v>44743</v>
      </c>
      <c r="L38" s="68">
        <f>DATE(E$5,8,1)</f>
        <v>44774</v>
      </c>
      <c r="M38" s="68">
        <f>DATE(E$5,9,1)</f>
        <v>44805</v>
      </c>
      <c r="N38" s="68">
        <f>DATE(E$5,10,1)</f>
        <v>44835</v>
      </c>
      <c r="O38" s="68">
        <f>DATE(E$5,11,1)</f>
        <v>44866</v>
      </c>
      <c r="P38" s="68">
        <f>DATE(E$5,12,1)</f>
        <v>44896</v>
      </c>
      <c r="Q38" s="73">
        <f>E$5</f>
        <v>2022</v>
      </c>
      <c r="S38" s="68">
        <f>DATE(S$5,1,1)</f>
        <v>44927</v>
      </c>
      <c r="T38" s="68">
        <f>DATE(S$5,2,1)</f>
        <v>44958</v>
      </c>
      <c r="U38" s="68">
        <f>DATE(S$5,3,1)</f>
        <v>44986</v>
      </c>
      <c r="V38" s="68">
        <f>DATE(S$5,4,1)</f>
        <v>45017</v>
      </c>
      <c r="W38" s="68">
        <f>DATE(S$5,5,1)</f>
        <v>45047</v>
      </c>
      <c r="X38" s="68">
        <f>DATE(S$5,6,1)</f>
        <v>45078</v>
      </c>
      <c r="Y38" s="68">
        <f>DATE(S$5,7,1)</f>
        <v>45108</v>
      </c>
      <c r="Z38" s="68">
        <f>DATE(S$5,8,1)</f>
        <v>45139</v>
      </c>
      <c r="AA38" s="68">
        <f>DATE(S$5,9,1)</f>
        <v>45170</v>
      </c>
      <c r="AB38" s="68">
        <f>DATE(S$5,10,1)</f>
        <v>45200</v>
      </c>
      <c r="AC38" s="68">
        <f>DATE(S$5,11,1)</f>
        <v>45231</v>
      </c>
      <c r="AD38" s="68">
        <f>DATE(S$5,12,1)</f>
        <v>45261</v>
      </c>
      <c r="AE38" s="73">
        <f>S$5</f>
        <v>2023</v>
      </c>
      <c r="AG38" s="68">
        <f t="shared" ref="AG38" si="371">DATE(AG$5,1,1)</f>
        <v>45292</v>
      </c>
      <c r="AH38" s="68">
        <f t="shared" ref="AH38" si="372">DATE(AG$5,2,1)</f>
        <v>45323</v>
      </c>
      <c r="AI38" s="68">
        <f t="shared" ref="AI38" si="373">DATE(AG$5,3,1)</f>
        <v>45352</v>
      </c>
      <c r="AJ38" s="68">
        <f t="shared" ref="AJ38" si="374">DATE(AG$5,4,1)</f>
        <v>45383</v>
      </c>
      <c r="AK38" s="68">
        <f t="shared" ref="AK38" si="375">DATE(AG$5,5,1)</f>
        <v>45413</v>
      </c>
      <c r="AL38" s="68">
        <f t="shared" ref="AL38" si="376">DATE(AG$5,6,1)</f>
        <v>45444</v>
      </c>
      <c r="AM38" s="68">
        <f t="shared" ref="AM38" si="377">DATE(AG$5,7,1)</f>
        <v>45474</v>
      </c>
      <c r="AN38" s="68">
        <f t="shared" ref="AN38" si="378">DATE(AG$5,8,1)</f>
        <v>45505</v>
      </c>
      <c r="AO38" s="68">
        <f t="shared" ref="AO38" si="379">DATE(AG$5,9,1)</f>
        <v>45536</v>
      </c>
      <c r="AP38" s="68">
        <f t="shared" ref="AP38" si="380">DATE(AG$5,10,1)</f>
        <v>45566</v>
      </c>
      <c r="AQ38" s="68">
        <f t="shared" ref="AQ38" si="381">DATE(AG$5,11,1)</f>
        <v>45597</v>
      </c>
      <c r="AR38" s="68">
        <f t="shared" ref="AR38" si="382">DATE(AG$5,12,1)</f>
        <v>45627</v>
      </c>
      <c r="AS38" s="73">
        <f t="shared" ref="AS38" si="383">AG$5</f>
        <v>2024</v>
      </c>
      <c r="AU38" s="68">
        <f t="shared" ref="AU38" si="384">DATE(AU$5,1,1)</f>
        <v>45658</v>
      </c>
      <c r="AV38" s="68">
        <f t="shared" ref="AV38" si="385">DATE(AU$5,2,1)</f>
        <v>45689</v>
      </c>
      <c r="AW38" s="68">
        <f t="shared" ref="AW38" si="386">DATE(AU$5,3,1)</f>
        <v>45717</v>
      </c>
      <c r="AX38" s="68">
        <f t="shared" ref="AX38" si="387">DATE(AU$5,4,1)</f>
        <v>45748</v>
      </c>
      <c r="AY38" s="68">
        <f t="shared" ref="AY38" si="388">DATE(AU$5,5,1)</f>
        <v>45778</v>
      </c>
      <c r="AZ38" s="68">
        <f t="shared" ref="AZ38" si="389">DATE(AU$5,6,1)</f>
        <v>45809</v>
      </c>
      <c r="BA38" s="68">
        <f t="shared" ref="BA38" si="390">DATE(AU$5,7,1)</f>
        <v>45839</v>
      </c>
      <c r="BB38" s="68">
        <f t="shared" ref="BB38" si="391">DATE(AU$5,8,1)</f>
        <v>45870</v>
      </c>
      <c r="BC38" s="68">
        <f t="shared" ref="BC38" si="392">DATE(AU$5,9,1)</f>
        <v>45901</v>
      </c>
      <c r="BD38" s="68">
        <f t="shared" ref="BD38" si="393">DATE(AU$5,10,1)</f>
        <v>45931</v>
      </c>
      <c r="BE38" s="68">
        <f t="shared" ref="BE38" si="394">DATE(AU$5,11,1)</f>
        <v>45962</v>
      </c>
      <c r="BF38" s="68">
        <f t="shared" ref="BF38" si="395">DATE(AU$5,12,1)</f>
        <v>45992</v>
      </c>
      <c r="BG38" s="73">
        <f t="shared" ref="BG38" si="396">AU$5</f>
        <v>2025</v>
      </c>
      <c r="BI38" s="68">
        <f t="shared" ref="BI38" si="397">DATE(BI$5,1,1)</f>
        <v>46023</v>
      </c>
      <c r="BJ38" s="68">
        <f t="shared" ref="BJ38" si="398">DATE(BI$5,2,1)</f>
        <v>46054</v>
      </c>
      <c r="BK38" s="68">
        <f t="shared" ref="BK38" si="399">DATE(BI$5,3,1)</f>
        <v>46082</v>
      </c>
      <c r="BL38" s="68">
        <f t="shared" ref="BL38" si="400">DATE(BI$5,4,1)</f>
        <v>46113</v>
      </c>
      <c r="BM38" s="68">
        <f t="shared" ref="BM38" si="401">DATE(BI$5,5,1)</f>
        <v>46143</v>
      </c>
      <c r="BN38" s="68">
        <f t="shared" ref="BN38" si="402">DATE(BI$5,6,1)</f>
        <v>46174</v>
      </c>
      <c r="BO38" s="68">
        <f t="shared" ref="BO38" si="403">DATE(BI$5,7,1)</f>
        <v>46204</v>
      </c>
      <c r="BP38" s="68">
        <f t="shared" ref="BP38" si="404">DATE(BI$5,8,1)</f>
        <v>46235</v>
      </c>
      <c r="BQ38" s="68">
        <f t="shared" ref="BQ38" si="405">DATE(BI$5,9,1)</f>
        <v>46266</v>
      </c>
      <c r="BR38" s="68">
        <f t="shared" ref="BR38" si="406">DATE(BI$5,10,1)</f>
        <v>46296</v>
      </c>
      <c r="BS38" s="68">
        <f t="shared" ref="BS38" si="407">DATE(BI$5,11,1)</f>
        <v>46327</v>
      </c>
      <c r="BT38" s="68">
        <f t="shared" ref="BT38" si="408">DATE(BI$5,12,1)</f>
        <v>46357</v>
      </c>
      <c r="BU38" s="73">
        <f t="shared" ref="BU38" si="409">BI$5</f>
        <v>2026</v>
      </c>
      <c r="BW38" s="68">
        <f t="shared" ref="BW38" si="410">DATE(BW$5,1,1)</f>
        <v>46388</v>
      </c>
      <c r="BX38" s="68">
        <f t="shared" ref="BX38" si="411">DATE(BW$5,2,1)</f>
        <v>46419</v>
      </c>
      <c r="BY38" s="68">
        <f t="shared" ref="BY38" si="412">DATE(BW$5,3,1)</f>
        <v>46447</v>
      </c>
      <c r="BZ38" s="68">
        <f t="shared" ref="BZ38" si="413">DATE(BW$5,4,1)</f>
        <v>46478</v>
      </c>
      <c r="CA38" s="68">
        <f t="shared" ref="CA38" si="414">DATE(BW$5,5,1)</f>
        <v>46508</v>
      </c>
      <c r="CB38" s="68">
        <f t="shared" ref="CB38" si="415">DATE(BW$5,6,1)</f>
        <v>46539</v>
      </c>
      <c r="CC38" s="68">
        <f t="shared" ref="CC38" si="416">DATE(BW$5,7,1)</f>
        <v>46569</v>
      </c>
      <c r="CD38" s="68">
        <f t="shared" ref="CD38" si="417">DATE(BW$5,8,1)</f>
        <v>46600</v>
      </c>
      <c r="CE38" s="68">
        <f t="shared" ref="CE38" si="418">DATE(BW$5,9,1)</f>
        <v>46631</v>
      </c>
      <c r="CF38" s="68">
        <f t="shared" ref="CF38" si="419">DATE(BW$5,10,1)</f>
        <v>46661</v>
      </c>
      <c r="CG38" s="68">
        <f t="shared" ref="CG38" si="420">DATE(BW$5,11,1)</f>
        <v>46692</v>
      </c>
      <c r="CH38" s="68">
        <f t="shared" ref="CH38" si="421">DATE(BW$5,12,1)</f>
        <v>46722</v>
      </c>
      <c r="CI38" s="73">
        <f t="shared" ref="CI38" si="422">BW$5</f>
        <v>2027</v>
      </c>
      <c r="CK38" s="68">
        <f t="shared" ref="CK38" si="423">DATE(CK$5,1,1)</f>
        <v>46753</v>
      </c>
      <c r="CL38" s="68">
        <f t="shared" ref="CL38" si="424">DATE(CK$5,2,1)</f>
        <v>46784</v>
      </c>
      <c r="CM38" s="68">
        <f t="shared" ref="CM38" si="425">DATE(CK$5,3,1)</f>
        <v>46813</v>
      </c>
      <c r="CN38" s="68">
        <f t="shared" ref="CN38" si="426">DATE(CK$5,4,1)</f>
        <v>46844</v>
      </c>
      <c r="CO38" s="68">
        <f t="shared" ref="CO38" si="427">DATE(CK$5,5,1)</f>
        <v>46874</v>
      </c>
      <c r="CP38" s="68">
        <f t="shared" ref="CP38" si="428">DATE(CK$5,6,1)</f>
        <v>46905</v>
      </c>
      <c r="CQ38" s="68">
        <f t="shared" ref="CQ38" si="429">DATE(CK$5,7,1)</f>
        <v>46935</v>
      </c>
      <c r="CR38" s="68">
        <f t="shared" ref="CR38" si="430">DATE(CK$5,8,1)</f>
        <v>46966</v>
      </c>
      <c r="CS38" s="68">
        <f t="shared" ref="CS38" si="431">DATE(CK$5,9,1)</f>
        <v>46997</v>
      </c>
      <c r="CT38" s="68">
        <f t="shared" ref="CT38" si="432">DATE(CK$5,10,1)</f>
        <v>47027</v>
      </c>
      <c r="CU38" s="68">
        <f t="shared" ref="CU38" si="433">DATE(CK$5,11,1)</f>
        <v>47058</v>
      </c>
      <c r="CV38" s="68">
        <f t="shared" ref="CV38" si="434">DATE(CK$5,12,1)</f>
        <v>47088</v>
      </c>
      <c r="CW38" s="73">
        <f t="shared" ref="CW38" si="435">CK$5</f>
        <v>2028</v>
      </c>
      <c r="CY38" s="68">
        <f t="shared" ref="CY38" si="436">DATE(CY$5,1,1)</f>
        <v>47119</v>
      </c>
      <c r="CZ38" s="68">
        <f t="shared" ref="CZ38" si="437">DATE(CY$5,2,1)</f>
        <v>47150</v>
      </c>
      <c r="DA38" s="68">
        <f t="shared" ref="DA38" si="438">DATE(CY$5,3,1)</f>
        <v>47178</v>
      </c>
      <c r="DB38" s="68">
        <f t="shared" ref="DB38" si="439">DATE(CY$5,4,1)</f>
        <v>47209</v>
      </c>
      <c r="DC38" s="68">
        <f t="shared" ref="DC38" si="440">DATE(CY$5,5,1)</f>
        <v>47239</v>
      </c>
      <c r="DD38" s="68">
        <f t="shared" ref="DD38" si="441">DATE(CY$5,6,1)</f>
        <v>47270</v>
      </c>
      <c r="DE38" s="68">
        <f t="shared" ref="DE38" si="442">DATE(CY$5,7,1)</f>
        <v>47300</v>
      </c>
      <c r="DF38" s="68">
        <f t="shared" ref="DF38" si="443">DATE(CY$5,8,1)</f>
        <v>47331</v>
      </c>
      <c r="DG38" s="68">
        <f t="shared" ref="DG38" si="444">DATE(CY$5,9,1)</f>
        <v>47362</v>
      </c>
      <c r="DH38" s="68">
        <f t="shared" ref="DH38" si="445">DATE(CY$5,10,1)</f>
        <v>47392</v>
      </c>
      <c r="DI38" s="68">
        <f t="shared" ref="DI38" si="446">DATE(CY$5,11,1)</f>
        <v>47423</v>
      </c>
      <c r="DJ38" s="68">
        <f t="shared" ref="DJ38" si="447">DATE(CY$5,12,1)</f>
        <v>47453</v>
      </c>
      <c r="DK38" s="73">
        <f t="shared" ref="DK38" si="448">CY$5</f>
        <v>2029</v>
      </c>
      <c r="DM38" s="68">
        <f t="shared" ref="DM38" si="449">DATE(DM$5,1,1)</f>
        <v>47484</v>
      </c>
      <c r="DN38" s="68">
        <f t="shared" ref="DN38" si="450">DATE(DM$5,2,1)</f>
        <v>47515</v>
      </c>
      <c r="DO38" s="68">
        <f t="shared" ref="DO38" si="451">DATE(DM$5,3,1)</f>
        <v>47543</v>
      </c>
      <c r="DP38" s="68">
        <f t="shared" ref="DP38" si="452">DATE(DM$5,4,1)</f>
        <v>47574</v>
      </c>
      <c r="DQ38" s="68">
        <f t="shared" ref="DQ38" si="453">DATE(DM$5,5,1)</f>
        <v>47604</v>
      </c>
      <c r="DR38" s="68">
        <f t="shared" ref="DR38" si="454">DATE(DM$5,6,1)</f>
        <v>47635</v>
      </c>
      <c r="DS38" s="68">
        <f t="shared" ref="DS38" si="455">DATE(DM$5,7,1)</f>
        <v>47665</v>
      </c>
      <c r="DT38" s="68">
        <f t="shared" ref="DT38" si="456">DATE(DM$5,8,1)</f>
        <v>47696</v>
      </c>
      <c r="DU38" s="68">
        <f t="shared" ref="DU38" si="457">DATE(DM$5,9,1)</f>
        <v>47727</v>
      </c>
      <c r="DV38" s="68">
        <f t="shared" ref="DV38" si="458">DATE(DM$5,10,1)</f>
        <v>47757</v>
      </c>
      <c r="DW38" s="68">
        <f t="shared" ref="DW38" si="459">DATE(DM$5,11,1)</f>
        <v>47788</v>
      </c>
      <c r="DX38" s="68">
        <f t="shared" ref="DX38" si="460">DATE(DM$5,12,1)</f>
        <v>47818</v>
      </c>
      <c r="DY38" s="73">
        <f t="shared" ref="DY38" si="461">DM$5</f>
        <v>2030</v>
      </c>
      <c r="EA38" s="68">
        <f t="shared" ref="EA38" si="462">DATE(EA$5,1,1)</f>
        <v>47849</v>
      </c>
      <c r="EB38" s="68">
        <f t="shared" ref="EB38" si="463">DATE(EA$5,2,1)</f>
        <v>47880</v>
      </c>
      <c r="EC38" s="68">
        <f t="shared" ref="EC38" si="464">DATE(EA$5,3,1)</f>
        <v>47908</v>
      </c>
      <c r="ED38" s="68">
        <f t="shared" ref="ED38" si="465">DATE(EA$5,4,1)</f>
        <v>47939</v>
      </c>
      <c r="EE38" s="68">
        <f t="shared" ref="EE38" si="466">DATE(EA$5,5,1)</f>
        <v>47969</v>
      </c>
      <c r="EF38" s="68">
        <f t="shared" ref="EF38" si="467">DATE(EA$5,6,1)</f>
        <v>48000</v>
      </c>
      <c r="EG38" s="68">
        <f t="shared" ref="EG38" si="468">DATE(EA$5,7,1)</f>
        <v>48030</v>
      </c>
      <c r="EH38" s="68">
        <f t="shared" ref="EH38" si="469">DATE(EA$5,8,1)</f>
        <v>48061</v>
      </c>
      <c r="EI38" s="68">
        <f t="shared" ref="EI38" si="470">DATE(EA$5,9,1)</f>
        <v>48092</v>
      </c>
      <c r="EJ38" s="68">
        <f t="shared" ref="EJ38" si="471">DATE(EA$5,10,1)</f>
        <v>48122</v>
      </c>
      <c r="EK38" s="68">
        <f t="shared" ref="EK38" si="472">DATE(EA$5,11,1)</f>
        <v>48153</v>
      </c>
      <c r="EL38" s="68">
        <f t="shared" ref="EL38" si="473">DATE(EA$5,12,1)</f>
        <v>48183</v>
      </c>
      <c r="EM38" s="73">
        <f t="shared" ref="EM38" si="474">EA$5</f>
        <v>2031</v>
      </c>
    </row>
    <row r="39" spans="3:143">
      <c r="C39" s="63" t="s">
        <v>30</v>
      </c>
      <c r="E39" s="64">
        <v>1000</v>
      </c>
      <c r="F39" s="64">
        <v>1000</v>
      </c>
      <c r="G39" s="64">
        <v>1000</v>
      </c>
      <c r="H39" s="64">
        <v>0</v>
      </c>
      <c r="I39" s="64">
        <v>0</v>
      </c>
      <c r="J39" s="64">
        <v>0</v>
      </c>
      <c r="K39" s="64">
        <v>0</v>
      </c>
      <c r="L39" s="64">
        <v>0</v>
      </c>
      <c r="M39" s="64">
        <v>0</v>
      </c>
      <c r="N39" s="64">
        <v>0</v>
      </c>
      <c r="O39" s="64">
        <v>0</v>
      </c>
      <c r="P39" s="64">
        <v>0</v>
      </c>
      <c r="Q39" s="71">
        <f>SUM(E39:P39)</f>
        <v>3000</v>
      </c>
      <c r="S39" s="64"/>
      <c r="T39" s="64"/>
      <c r="U39" s="64"/>
      <c r="V39" s="64"/>
      <c r="W39" s="64"/>
      <c r="X39" s="64"/>
      <c r="Y39" s="64"/>
      <c r="Z39" s="64"/>
      <c r="AA39" s="64"/>
      <c r="AB39" s="64"/>
      <c r="AC39" s="64"/>
      <c r="AD39" s="64"/>
      <c r="AE39" s="71">
        <f>SUM(S39:AD39)</f>
        <v>0</v>
      </c>
      <c r="AG39" s="64"/>
      <c r="AH39" s="64"/>
      <c r="AI39" s="64"/>
      <c r="AJ39" s="64"/>
      <c r="AK39" s="64"/>
      <c r="AL39" s="64"/>
      <c r="AM39" s="64"/>
      <c r="AN39" s="64"/>
      <c r="AO39" s="64"/>
      <c r="AP39" s="64"/>
      <c r="AQ39" s="64"/>
      <c r="AR39" s="64"/>
      <c r="AS39" s="71">
        <f t="shared" ref="AS39" si="475">SUM(AG39:AR39)</f>
        <v>0</v>
      </c>
      <c r="AU39" s="64"/>
      <c r="AV39" s="64"/>
      <c r="AW39" s="64"/>
      <c r="AX39" s="64"/>
      <c r="AY39" s="64"/>
      <c r="AZ39" s="64"/>
      <c r="BA39" s="64"/>
      <c r="BB39" s="64"/>
      <c r="BC39" s="64"/>
      <c r="BD39" s="64"/>
      <c r="BE39" s="64"/>
      <c r="BF39" s="64"/>
      <c r="BG39" s="71">
        <f t="shared" ref="BG39" si="476">SUM(AU39:BF39)</f>
        <v>0</v>
      </c>
      <c r="BI39" s="64"/>
      <c r="BJ39" s="64"/>
      <c r="BK39" s="64"/>
      <c r="BL39" s="64"/>
      <c r="BM39" s="64"/>
      <c r="BN39" s="64"/>
      <c r="BO39" s="64"/>
      <c r="BP39" s="64"/>
      <c r="BQ39" s="64"/>
      <c r="BR39" s="64"/>
      <c r="BS39" s="64"/>
      <c r="BT39" s="64"/>
      <c r="BU39" s="71">
        <f t="shared" ref="BU39" si="477">SUM(BI39:BT39)</f>
        <v>0</v>
      </c>
      <c r="BW39" s="64"/>
      <c r="BX39" s="64"/>
      <c r="BY39" s="64"/>
      <c r="BZ39" s="64"/>
      <c r="CA39" s="64"/>
      <c r="CB39" s="64"/>
      <c r="CC39" s="64"/>
      <c r="CD39" s="64"/>
      <c r="CE39" s="64"/>
      <c r="CF39" s="64"/>
      <c r="CG39" s="64"/>
      <c r="CH39" s="64"/>
      <c r="CI39" s="71">
        <f t="shared" ref="CI39" si="478">SUM(BW39:CH39)</f>
        <v>0</v>
      </c>
      <c r="CK39" s="64"/>
      <c r="CL39" s="64"/>
      <c r="CM39" s="64"/>
      <c r="CN39" s="64"/>
      <c r="CO39" s="64"/>
      <c r="CP39" s="64"/>
      <c r="CQ39" s="64"/>
      <c r="CR39" s="64"/>
      <c r="CS39" s="64"/>
      <c r="CT39" s="64"/>
      <c r="CU39" s="64"/>
      <c r="CV39" s="64"/>
      <c r="CW39" s="71">
        <f t="shared" ref="CW39" si="479">SUM(CK39:CV39)</f>
        <v>0</v>
      </c>
      <c r="CY39" s="64"/>
      <c r="CZ39" s="64"/>
      <c r="DA39" s="64"/>
      <c r="DB39" s="64"/>
      <c r="DC39" s="64"/>
      <c r="DD39" s="64"/>
      <c r="DE39" s="64"/>
      <c r="DF39" s="64"/>
      <c r="DG39" s="64"/>
      <c r="DH39" s="64"/>
      <c r="DI39" s="64"/>
      <c r="DJ39" s="64"/>
      <c r="DK39" s="71">
        <f t="shared" ref="DK39" si="480">SUM(CY39:DJ39)</f>
        <v>0</v>
      </c>
      <c r="DM39" s="64"/>
      <c r="DN39" s="64"/>
      <c r="DO39" s="64"/>
      <c r="DP39" s="64"/>
      <c r="DQ39" s="64"/>
      <c r="DR39" s="64"/>
      <c r="DS39" s="64"/>
      <c r="DT39" s="64"/>
      <c r="DU39" s="64"/>
      <c r="DV39" s="64"/>
      <c r="DW39" s="64"/>
      <c r="DX39" s="64"/>
      <c r="DY39" s="71">
        <f t="shared" ref="DY39" si="481">SUM(DM39:DX39)</f>
        <v>0</v>
      </c>
      <c r="EA39" s="64"/>
      <c r="EB39" s="64"/>
      <c r="EC39" s="64"/>
      <c r="ED39" s="64"/>
      <c r="EE39" s="64"/>
      <c r="EF39" s="64"/>
      <c r="EG39" s="64"/>
      <c r="EH39" s="64"/>
      <c r="EI39" s="64"/>
      <c r="EJ39" s="64"/>
      <c r="EK39" s="64"/>
      <c r="EL39" s="64"/>
      <c r="EM39" s="71">
        <f t="shared" ref="EM39" si="482">SUM(EA39:EL39)</f>
        <v>0</v>
      </c>
    </row>
    <row r="40" spans="3:143">
      <c r="C40" s="63" t="s">
        <v>31</v>
      </c>
      <c r="E40" s="64">
        <v>400</v>
      </c>
      <c r="F40" s="64">
        <v>400</v>
      </c>
      <c r="G40" s="64">
        <v>400</v>
      </c>
      <c r="H40" s="64">
        <v>400</v>
      </c>
      <c r="I40" s="64">
        <v>400</v>
      </c>
      <c r="J40" s="64">
        <v>400</v>
      </c>
      <c r="K40" s="64">
        <v>400</v>
      </c>
      <c r="L40" s="64">
        <v>400</v>
      </c>
      <c r="M40" s="64">
        <v>400</v>
      </c>
      <c r="N40" s="64">
        <v>400</v>
      </c>
      <c r="O40" s="64">
        <v>400</v>
      </c>
      <c r="P40" s="64">
        <v>400</v>
      </c>
      <c r="Q40" s="71">
        <f t="shared" ref="Q40:Q48" si="483">SUM(E40:P40)</f>
        <v>4800</v>
      </c>
      <c r="S40" s="64"/>
      <c r="T40" s="64"/>
      <c r="U40" s="64"/>
      <c r="V40" s="64"/>
      <c r="W40" s="64"/>
      <c r="X40" s="64"/>
      <c r="Y40" s="64"/>
      <c r="Z40" s="64"/>
      <c r="AA40" s="64"/>
      <c r="AB40" s="64"/>
      <c r="AC40" s="64"/>
      <c r="AD40" s="64"/>
      <c r="AE40" s="71">
        <f t="shared" ref="AE40:AE48" si="484">SUM(S40:AD40)</f>
        <v>0</v>
      </c>
      <c r="AG40" s="64"/>
      <c r="AH40" s="64"/>
      <c r="AI40" s="64"/>
      <c r="AJ40" s="64"/>
      <c r="AK40" s="64"/>
      <c r="AL40" s="64"/>
      <c r="AM40" s="64"/>
      <c r="AN40" s="64"/>
      <c r="AO40" s="64"/>
      <c r="AP40" s="64"/>
      <c r="AQ40" s="64"/>
      <c r="AR40" s="64"/>
      <c r="AS40" s="71">
        <f t="shared" ref="AS40:AS48" si="485">SUM(AG40:AR40)</f>
        <v>0</v>
      </c>
      <c r="AU40" s="64"/>
      <c r="AV40" s="64"/>
      <c r="AW40" s="64"/>
      <c r="AX40" s="64"/>
      <c r="AY40" s="64"/>
      <c r="AZ40" s="64"/>
      <c r="BA40" s="64"/>
      <c r="BB40" s="64"/>
      <c r="BC40" s="64"/>
      <c r="BD40" s="64"/>
      <c r="BE40" s="64"/>
      <c r="BF40" s="64"/>
      <c r="BG40" s="71">
        <f t="shared" ref="BG40:BG48" si="486">SUM(AU40:BF40)</f>
        <v>0</v>
      </c>
      <c r="BI40" s="64"/>
      <c r="BJ40" s="64"/>
      <c r="BK40" s="64"/>
      <c r="BL40" s="64"/>
      <c r="BM40" s="64"/>
      <c r="BN40" s="64"/>
      <c r="BO40" s="64"/>
      <c r="BP40" s="64"/>
      <c r="BQ40" s="64"/>
      <c r="BR40" s="64"/>
      <c r="BS40" s="64"/>
      <c r="BT40" s="64"/>
      <c r="BU40" s="71">
        <f t="shared" ref="BU40:BU48" si="487">SUM(BI40:BT40)</f>
        <v>0</v>
      </c>
      <c r="BW40" s="64"/>
      <c r="BX40" s="64"/>
      <c r="BY40" s="64"/>
      <c r="BZ40" s="64"/>
      <c r="CA40" s="64"/>
      <c r="CB40" s="64"/>
      <c r="CC40" s="64"/>
      <c r="CD40" s="64"/>
      <c r="CE40" s="64"/>
      <c r="CF40" s="64"/>
      <c r="CG40" s="64"/>
      <c r="CH40" s="64"/>
      <c r="CI40" s="71">
        <f t="shared" ref="CI40:CI48" si="488">SUM(BW40:CH40)</f>
        <v>0</v>
      </c>
      <c r="CK40" s="64"/>
      <c r="CL40" s="64"/>
      <c r="CM40" s="64"/>
      <c r="CN40" s="64"/>
      <c r="CO40" s="64"/>
      <c r="CP40" s="64"/>
      <c r="CQ40" s="64"/>
      <c r="CR40" s="64"/>
      <c r="CS40" s="64"/>
      <c r="CT40" s="64"/>
      <c r="CU40" s="64"/>
      <c r="CV40" s="64"/>
      <c r="CW40" s="71">
        <f t="shared" ref="CW40:CW48" si="489">SUM(CK40:CV40)</f>
        <v>0</v>
      </c>
      <c r="CY40" s="64"/>
      <c r="CZ40" s="64"/>
      <c r="DA40" s="64"/>
      <c r="DB40" s="64"/>
      <c r="DC40" s="64"/>
      <c r="DD40" s="64"/>
      <c r="DE40" s="64"/>
      <c r="DF40" s="64"/>
      <c r="DG40" s="64"/>
      <c r="DH40" s="64"/>
      <c r="DI40" s="64"/>
      <c r="DJ40" s="64"/>
      <c r="DK40" s="71">
        <f t="shared" ref="DK40:DK48" si="490">SUM(CY40:DJ40)</f>
        <v>0</v>
      </c>
      <c r="DM40" s="64"/>
      <c r="DN40" s="64"/>
      <c r="DO40" s="64"/>
      <c r="DP40" s="64"/>
      <c r="DQ40" s="64"/>
      <c r="DR40" s="64"/>
      <c r="DS40" s="64"/>
      <c r="DT40" s="64"/>
      <c r="DU40" s="64"/>
      <c r="DV40" s="64"/>
      <c r="DW40" s="64"/>
      <c r="DX40" s="64"/>
      <c r="DY40" s="71">
        <f t="shared" ref="DY40:DY48" si="491">SUM(DM40:DX40)</f>
        <v>0</v>
      </c>
      <c r="EA40" s="64"/>
      <c r="EB40" s="64"/>
      <c r="EC40" s="64"/>
      <c r="ED40" s="64"/>
      <c r="EE40" s="64"/>
      <c r="EF40" s="64"/>
      <c r="EG40" s="64"/>
      <c r="EH40" s="64"/>
      <c r="EI40" s="64"/>
      <c r="EJ40" s="64"/>
      <c r="EK40" s="64"/>
      <c r="EL40" s="64"/>
      <c r="EM40" s="71">
        <f t="shared" ref="EM40:EM48" si="492">SUM(EA40:EL40)</f>
        <v>0</v>
      </c>
    </row>
    <row r="41" spans="3:143">
      <c r="C41" s="63" t="s">
        <v>32</v>
      </c>
      <c r="E41" s="64">
        <v>150</v>
      </c>
      <c r="F41" s="64">
        <v>150</v>
      </c>
      <c r="G41" s="64">
        <v>150</v>
      </c>
      <c r="H41" s="64">
        <v>750</v>
      </c>
      <c r="I41" s="64">
        <v>750</v>
      </c>
      <c r="J41" s="64">
        <v>750</v>
      </c>
      <c r="K41" s="64">
        <v>750</v>
      </c>
      <c r="L41" s="64">
        <v>750</v>
      </c>
      <c r="M41" s="64">
        <v>750</v>
      </c>
      <c r="N41" s="64">
        <v>750</v>
      </c>
      <c r="O41" s="64">
        <v>750</v>
      </c>
      <c r="P41" s="64">
        <v>750</v>
      </c>
      <c r="Q41" s="71">
        <f t="shared" si="483"/>
        <v>7200</v>
      </c>
      <c r="S41" s="64"/>
      <c r="T41" s="64"/>
      <c r="U41" s="64"/>
      <c r="V41" s="64"/>
      <c r="W41" s="64"/>
      <c r="X41" s="64"/>
      <c r="Y41" s="64"/>
      <c r="Z41" s="64"/>
      <c r="AA41" s="64"/>
      <c r="AB41" s="64"/>
      <c r="AC41" s="64"/>
      <c r="AD41" s="64"/>
      <c r="AE41" s="71">
        <f t="shared" si="484"/>
        <v>0</v>
      </c>
      <c r="AG41" s="64"/>
      <c r="AH41" s="64"/>
      <c r="AI41" s="64"/>
      <c r="AJ41" s="64"/>
      <c r="AK41" s="64"/>
      <c r="AL41" s="64"/>
      <c r="AM41" s="64"/>
      <c r="AN41" s="64"/>
      <c r="AO41" s="64"/>
      <c r="AP41" s="64"/>
      <c r="AQ41" s="64"/>
      <c r="AR41" s="64"/>
      <c r="AS41" s="71">
        <f t="shared" si="485"/>
        <v>0</v>
      </c>
      <c r="AU41" s="64"/>
      <c r="AV41" s="64"/>
      <c r="AW41" s="64"/>
      <c r="AX41" s="64"/>
      <c r="AY41" s="64"/>
      <c r="AZ41" s="64"/>
      <c r="BA41" s="64"/>
      <c r="BB41" s="64"/>
      <c r="BC41" s="64"/>
      <c r="BD41" s="64"/>
      <c r="BE41" s="64"/>
      <c r="BF41" s="64"/>
      <c r="BG41" s="71">
        <f t="shared" si="486"/>
        <v>0</v>
      </c>
      <c r="BI41" s="64"/>
      <c r="BJ41" s="64"/>
      <c r="BK41" s="64"/>
      <c r="BL41" s="64"/>
      <c r="BM41" s="64"/>
      <c r="BN41" s="64"/>
      <c r="BO41" s="64"/>
      <c r="BP41" s="64"/>
      <c r="BQ41" s="64"/>
      <c r="BR41" s="64"/>
      <c r="BS41" s="64"/>
      <c r="BT41" s="64"/>
      <c r="BU41" s="71">
        <f t="shared" si="487"/>
        <v>0</v>
      </c>
      <c r="BW41" s="64"/>
      <c r="BX41" s="64"/>
      <c r="BY41" s="64"/>
      <c r="BZ41" s="64"/>
      <c r="CA41" s="64"/>
      <c r="CB41" s="64"/>
      <c r="CC41" s="64"/>
      <c r="CD41" s="64"/>
      <c r="CE41" s="64"/>
      <c r="CF41" s="64"/>
      <c r="CG41" s="64"/>
      <c r="CH41" s="64"/>
      <c r="CI41" s="71">
        <f t="shared" si="488"/>
        <v>0</v>
      </c>
      <c r="CK41" s="64"/>
      <c r="CL41" s="64"/>
      <c r="CM41" s="64"/>
      <c r="CN41" s="64"/>
      <c r="CO41" s="64"/>
      <c r="CP41" s="64"/>
      <c r="CQ41" s="64"/>
      <c r="CR41" s="64"/>
      <c r="CS41" s="64"/>
      <c r="CT41" s="64"/>
      <c r="CU41" s="64"/>
      <c r="CV41" s="64"/>
      <c r="CW41" s="71">
        <f t="shared" si="489"/>
        <v>0</v>
      </c>
      <c r="CY41" s="64"/>
      <c r="CZ41" s="64"/>
      <c r="DA41" s="64"/>
      <c r="DB41" s="64"/>
      <c r="DC41" s="64"/>
      <c r="DD41" s="64"/>
      <c r="DE41" s="64"/>
      <c r="DF41" s="64"/>
      <c r="DG41" s="64"/>
      <c r="DH41" s="64"/>
      <c r="DI41" s="64"/>
      <c r="DJ41" s="64"/>
      <c r="DK41" s="71">
        <f t="shared" si="490"/>
        <v>0</v>
      </c>
      <c r="DM41" s="64"/>
      <c r="DN41" s="64"/>
      <c r="DO41" s="64"/>
      <c r="DP41" s="64"/>
      <c r="DQ41" s="64"/>
      <c r="DR41" s="64"/>
      <c r="DS41" s="64"/>
      <c r="DT41" s="64"/>
      <c r="DU41" s="64"/>
      <c r="DV41" s="64"/>
      <c r="DW41" s="64"/>
      <c r="DX41" s="64"/>
      <c r="DY41" s="71">
        <f t="shared" si="491"/>
        <v>0</v>
      </c>
      <c r="EA41" s="64"/>
      <c r="EB41" s="64"/>
      <c r="EC41" s="64"/>
      <c r="ED41" s="64"/>
      <c r="EE41" s="64"/>
      <c r="EF41" s="64"/>
      <c r="EG41" s="64"/>
      <c r="EH41" s="64"/>
      <c r="EI41" s="64"/>
      <c r="EJ41" s="64"/>
      <c r="EK41" s="64"/>
      <c r="EL41" s="64"/>
      <c r="EM41" s="71">
        <f t="shared" si="492"/>
        <v>0</v>
      </c>
    </row>
    <row r="42" spans="3:143">
      <c r="C42" s="63" t="s">
        <v>33</v>
      </c>
      <c r="E42" s="64">
        <v>0</v>
      </c>
      <c r="F42" s="64">
        <v>0</v>
      </c>
      <c r="G42" s="64">
        <v>0</v>
      </c>
      <c r="H42" s="64">
        <v>600</v>
      </c>
      <c r="I42" s="64">
        <v>1400</v>
      </c>
      <c r="J42" s="64">
        <v>1300</v>
      </c>
      <c r="K42" s="64">
        <v>1500</v>
      </c>
      <c r="L42" s="64">
        <v>200</v>
      </c>
      <c r="M42" s="64">
        <v>1300</v>
      </c>
      <c r="N42" s="64">
        <v>1500</v>
      </c>
      <c r="O42" s="64">
        <v>1400</v>
      </c>
      <c r="P42" s="64">
        <v>1000</v>
      </c>
      <c r="Q42" s="71">
        <f t="shared" si="483"/>
        <v>10200</v>
      </c>
      <c r="S42" s="64"/>
      <c r="T42" s="64"/>
      <c r="U42" s="64"/>
      <c r="V42" s="64"/>
      <c r="W42" s="64"/>
      <c r="X42" s="64"/>
      <c r="Y42" s="64"/>
      <c r="Z42" s="64"/>
      <c r="AA42" s="64"/>
      <c r="AB42" s="64"/>
      <c r="AC42" s="64"/>
      <c r="AD42" s="64"/>
      <c r="AE42" s="71">
        <f t="shared" si="484"/>
        <v>0</v>
      </c>
      <c r="AG42" s="64"/>
      <c r="AH42" s="64"/>
      <c r="AI42" s="64"/>
      <c r="AJ42" s="64"/>
      <c r="AK42" s="64"/>
      <c r="AL42" s="64"/>
      <c r="AM42" s="64"/>
      <c r="AN42" s="64"/>
      <c r="AO42" s="64"/>
      <c r="AP42" s="64"/>
      <c r="AQ42" s="64"/>
      <c r="AR42" s="64"/>
      <c r="AS42" s="71">
        <f t="shared" si="485"/>
        <v>0</v>
      </c>
      <c r="AU42" s="64"/>
      <c r="AV42" s="64"/>
      <c r="AW42" s="64"/>
      <c r="AX42" s="64"/>
      <c r="AY42" s="64"/>
      <c r="AZ42" s="64"/>
      <c r="BA42" s="64"/>
      <c r="BB42" s="64"/>
      <c r="BC42" s="64"/>
      <c r="BD42" s="64"/>
      <c r="BE42" s="64"/>
      <c r="BF42" s="64"/>
      <c r="BG42" s="71">
        <f t="shared" si="486"/>
        <v>0</v>
      </c>
      <c r="BI42" s="64"/>
      <c r="BJ42" s="64"/>
      <c r="BK42" s="64"/>
      <c r="BL42" s="64"/>
      <c r="BM42" s="64"/>
      <c r="BN42" s="64"/>
      <c r="BO42" s="64"/>
      <c r="BP42" s="64"/>
      <c r="BQ42" s="64"/>
      <c r="BR42" s="64"/>
      <c r="BS42" s="64"/>
      <c r="BT42" s="64"/>
      <c r="BU42" s="71">
        <f t="shared" si="487"/>
        <v>0</v>
      </c>
      <c r="BW42" s="64"/>
      <c r="BX42" s="64"/>
      <c r="BY42" s="64"/>
      <c r="BZ42" s="64"/>
      <c r="CA42" s="64"/>
      <c r="CB42" s="64"/>
      <c r="CC42" s="64"/>
      <c r="CD42" s="64"/>
      <c r="CE42" s="64"/>
      <c r="CF42" s="64"/>
      <c r="CG42" s="64"/>
      <c r="CH42" s="64"/>
      <c r="CI42" s="71">
        <f t="shared" si="488"/>
        <v>0</v>
      </c>
      <c r="CK42" s="64"/>
      <c r="CL42" s="64"/>
      <c r="CM42" s="64"/>
      <c r="CN42" s="64"/>
      <c r="CO42" s="64"/>
      <c r="CP42" s="64"/>
      <c r="CQ42" s="64"/>
      <c r="CR42" s="64"/>
      <c r="CS42" s="64"/>
      <c r="CT42" s="64"/>
      <c r="CU42" s="64"/>
      <c r="CV42" s="64"/>
      <c r="CW42" s="71">
        <f t="shared" si="489"/>
        <v>0</v>
      </c>
      <c r="CY42" s="64"/>
      <c r="CZ42" s="64"/>
      <c r="DA42" s="64"/>
      <c r="DB42" s="64"/>
      <c r="DC42" s="64"/>
      <c r="DD42" s="64"/>
      <c r="DE42" s="64"/>
      <c r="DF42" s="64"/>
      <c r="DG42" s="64"/>
      <c r="DH42" s="64"/>
      <c r="DI42" s="64"/>
      <c r="DJ42" s="64"/>
      <c r="DK42" s="71">
        <f t="shared" si="490"/>
        <v>0</v>
      </c>
      <c r="DM42" s="64"/>
      <c r="DN42" s="64"/>
      <c r="DO42" s="64"/>
      <c r="DP42" s="64"/>
      <c r="DQ42" s="64"/>
      <c r="DR42" s="64"/>
      <c r="DS42" s="64"/>
      <c r="DT42" s="64"/>
      <c r="DU42" s="64"/>
      <c r="DV42" s="64"/>
      <c r="DW42" s="64"/>
      <c r="DX42" s="64"/>
      <c r="DY42" s="71">
        <f t="shared" si="491"/>
        <v>0</v>
      </c>
      <c r="EA42" s="64"/>
      <c r="EB42" s="64"/>
      <c r="EC42" s="64"/>
      <c r="ED42" s="64"/>
      <c r="EE42" s="64"/>
      <c r="EF42" s="64"/>
      <c r="EG42" s="64"/>
      <c r="EH42" s="64"/>
      <c r="EI42" s="64"/>
      <c r="EJ42" s="64"/>
      <c r="EK42" s="64"/>
      <c r="EL42" s="64"/>
      <c r="EM42" s="71">
        <f t="shared" si="492"/>
        <v>0</v>
      </c>
    </row>
    <row r="43" spans="3:143">
      <c r="C43" s="63" t="s">
        <v>34</v>
      </c>
      <c r="E43" s="64">
        <v>200</v>
      </c>
      <c r="F43" s="64">
        <v>100</v>
      </c>
      <c r="G43" s="64">
        <v>0</v>
      </c>
      <c r="H43" s="64">
        <v>100</v>
      </c>
      <c r="I43" s="64">
        <v>100</v>
      </c>
      <c r="J43" s="64">
        <v>100</v>
      </c>
      <c r="K43" s="64">
        <v>100</v>
      </c>
      <c r="L43" s="64">
        <v>100</v>
      </c>
      <c r="M43" s="64">
        <v>100</v>
      </c>
      <c r="N43" s="64">
        <v>100</v>
      </c>
      <c r="O43" s="64">
        <v>100</v>
      </c>
      <c r="P43" s="64">
        <v>100</v>
      </c>
      <c r="Q43" s="71">
        <f t="shared" si="483"/>
        <v>1200</v>
      </c>
      <c r="S43" s="64"/>
      <c r="T43" s="64"/>
      <c r="U43" s="64"/>
      <c r="V43" s="64"/>
      <c r="W43" s="64"/>
      <c r="X43" s="64"/>
      <c r="Y43" s="64"/>
      <c r="Z43" s="64"/>
      <c r="AA43" s="64"/>
      <c r="AB43" s="64"/>
      <c r="AC43" s="64"/>
      <c r="AD43" s="64"/>
      <c r="AE43" s="71">
        <f t="shared" si="484"/>
        <v>0</v>
      </c>
      <c r="AG43" s="64"/>
      <c r="AH43" s="64"/>
      <c r="AI43" s="64"/>
      <c r="AJ43" s="64"/>
      <c r="AK43" s="64"/>
      <c r="AL43" s="64"/>
      <c r="AM43" s="64"/>
      <c r="AN43" s="64"/>
      <c r="AO43" s="64"/>
      <c r="AP43" s="64"/>
      <c r="AQ43" s="64"/>
      <c r="AR43" s="64"/>
      <c r="AS43" s="71">
        <f t="shared" si="485"/>
        <v>0</v>
      </c>
      <c r="AU43" s="64"/>
      <c r="AV43" s="64"/>
      <c r="AW43" s="64"/>
      <c r="AX43" s="64"/>
      <c r="AY43" s="64"/>
      <c r="AZ43" s="64"/>
      <c r="BA43" s="64"/>
      <c r="BB43" s="64"/>
      <c r="BC43" s="64"/>
      <c r="BD43" s="64"/>
      <c r="BE43" s="64"/>
      <c r="BF43" s="64"/>
      <c r="BG43" s="71">
        <f t="shared" si="486"/>
        <v>0</v>
      </c>
      <c r="BI43" s="64"/>
      <c r="BJ43" s="64"/>
      <c r="BK43" s="64"/>
      <c r="BL43" s="64"/>
      <c r="BM43" s="64"/>
      <c r="BN43" s="64"/>
      <c r="BO43" s="64"/>
      <c r="BP43" s="64"/>
      <c r="BQ43" s="64"/>
      <c r="BR43" s="64"/>
      <c r="BS43" s="64"/>
      <c r="BT43" s="64"/>
      <c r="BU43" s="71">
        <f t="shared" si="487"/>
        <v>0</v>
      </c>
      <c r="BW43" s="64"/>
      <c r="BX43" s="64"/>
      <c r="BY43" s="64"/>
      <c r="BZ43" s="64"/>
      <c r="CA43" s="64"/>
      <c r="CB43" s="64"/>
      <c r="CC43" s="64"/>
      <c r="CD43" s="64"/>
      <c r="CE43" s="64"/>
      <c r="CF43" s="64"/>
      <c r="CG43" s="64"/>
      <c r="CH43" s="64"/>
      <c r="CI43" s="71">
        <f t="shared" si="488"/>
        <v>0</v>
      </c>
      <c r="CK43" s="64"/>
      <c r="CL43" s="64"/>
      <c r="CM43" s="64"/>
      <c r="CN43" s="64"/>
      <c r="CO43" s="64"/>
      <c r="CP43" s="64"/>
      <c r="CQ43" s="64"/>
      <c r="CR43" s="64"/>
      <c r="CS43" s="64"/>
      <c r="CT43" s="64"/>
      <c r="CU43" s="64"/>
      <c r="CV43" s="64"/>
      <c r="CW43" s="71">
        <f t="shared" si="489"/>
        <v>0</v>
      </c>
      <c r="CY43" s="64"/>
      <c r="CZ43" s="64"/>
      <c r="DA43" s="64"/>
      <c r="DB43" s="64"/>
      <c r="DC43" s="64"/>
      <c r="DD43" s="64"/>
      <c r="DE43" s="64"/>
      <c r="DF43" s="64"/>
      <c r="DG43" s="64"/>
      <c r="DH43" s="64"/>
      <c r="DI43" s="64"/>
      <c r="DJ43" s="64"/>
      <c r="DK43" s="71">
        <f t="shared" si="490"/>
        <v>0</v>
      </c>
      <c r="DM43" s="64"/>
      <c r="DN43" s="64"/>
      <c r="DO43" s="64"/>
      <c r="DP43" s="64"/>
      <c r="DQ43" s="64"/>
      <c r="DR43" s="64"/>
      <c r="DS43" s="64"/>
      <c r="DT43" s="64"/>
      <c r="DU43" s="64"/>
      <c r="DV43" s="64"/>
      <c r="DW43" s="64"/>
      <c r="DX43" s="64"/>
      <c r="DY43" s="71">
        <f t="shared" si="491"/>
        <v>0</v>
      </c>
      <c r="EA43" s="64"/>
      <c r="EB43" s="64"/>
      <c r="EC43" s="64"/>
      <c r="ED43" s="64"/>
      <c r="EE43" s="64"/>
      <c r="EF43" s="64"/>
      <c r="EG43" s="64"/>
      <c r="EH43" s="64"/>
      <c r="EI43" s="64"/>
      <c r="EJ43" s="64"/>
      <c r="EK43" s="64"/>
      <c r="EL43" s="64"/>
      <c r="EM43" s="71">
        <f t="shared" si="492"/>
        <v>0</v>
      </c>
    </row>
    <row r="44" spans="3:143" hidden="1">
      <c r="C44" s="63" t="s">
        <v>35</v>
      </c>
      <c r="E44" s="64"/>
      <c r="F44" s="64"/>
      <c r="G44" s="64"/>
      <c r="H44" s="64"/>
      <c r="I44" s="64"/>
      <c r="J44" s="64"/>
      <c r="K44" s="64"/>
      <c r="L44" s="64"/>
      <c r="M44" s="64"/>
      <c r="N44" s="64"/>
      <c r="O44" s="64"/>
      <c r="P44" s="64"/>
      <c r="Q44" s="71">
        <f t="shared" si="483"/>
        <v>0</v>
      </c>
      <c r="S44" s="64"/>
      <c r="T44" s="64"/>
      <c r="U44" s="64"/>
      <c r="V44" s="64"/>
      <c r="W44" s="64"/>
      <c r="X44" s="64"/>
      <c r="Y44" s="64"/>
      <c r="Z44" s="64"/>
      <c r="AA44" s="64"/>
      <c r="AB44" s="64"/>
      <c r="AC44" s="64"/>
      <c r="AD44" s="64"/>
      <c r="AE44" s="71">
        <f t="shared" si="484"/>
        <v>0</v>
      </c>
      <c r="AG44" s="64"/>
      <c r="AH44" s="64"/>
      <c r="AI44" s="64"/>
      <c r="AJ44" s="64"/>
      <c r="AK44" s="64"/>
      <c r="AL44" s="64"/>
      <c r="AM44" s="64"/>
      <c r="AN44" s="64"/>
      <c r="AO44" s="64"/>
      <c r="AP44" s="64"/>
      <c r="AQ44" s="64"/>
      <c r="AR44" s="64"/>
      <c r="AS44" s="71">
        <f t="shared" si="485"/>
        <v>0</v>
      </c>
      <c r="AU44" s="64"/>
      <c r="AV44" s="64"/>
      <c r="AW44" s="64"/>
      <c r="AX44" s="64"/>
      <c r="AY44" s="64"/>
      <c r="AZ44" s="64"/>
      <c r="BA44" s="64"/>
      <c r="BB44" s="64"/>
      <c r="BC44" s="64"/>
      <c r="BD44" s="64"/>
      <c r="BE44" s="64"/>
      <c r="BF44" s="64"/>
      <c r="BG44" s="71">
        <f t="shared" si="486"/>
        <v>0</v>
      </c>
      <c r="BI44" s="64"/>
      <c r="BJ44" s="64"/>
      <c r="BK44" s="64"/>
      <c r="BL44" s="64"/>
      <c r="BM44" s="64"/>
      <c r="BN44" s="64"/>
      <c r="BO44" s="64"/>
      <c r="BP44" s="64"/>
      <c r="BQ44" s="64"/>
      <c r="BR44" s="64"/>
      <c r="BS44" s="64"/>
      <c r="BT44" s="64"/>
      <c r="BU44" s="71">
        <f t="shared" si="487"/>
        <v>0</v>
      </c>
      <c r="BW44" s="64"/>
      <c r="BX44" s="64"/>
      <c r="BY44" s="64"/>
      <c r="BZ44" s="64"/>
      <c r="CA44" s="64"/>
      <c r="CB44" s="64"/>
      <c r="CC44" s="64"/>
      <c r="CD44" s="64"/>
      <c r="CE44" s="64"/>
      <c r="CF44" s="64"/>
      <c r="CG44" s="64"/>
      <c r="CH44" s="64"/>
      <c r="CI44" s="71">
        <f t="shared" si="488"/>
        <v>0</v>
      </c>
      <c r="CK44" s="64"/>
      <c r="CL44" s="64"/>
      <c r="CM44" s="64"/>
      <c r="CN44" s="64"/>
      <c r="CO44" s="64"/>
      <c r="CP44" s="64"/>
      <c r="CQ44" s="64"/>
      <c r="CR44" s="64"/>
      <c r="CS44" s="64"/>
      <c r="CT44" s="64"/>
      <c r="CU44" s="64"/>
      <c r="CV44" s="64"/>
      <c r="CW44" s="71">
        <f t="shared" si="489"/>
        <v>0</v>
      </c>
      <c r="CY44" s="64"/>
      <c r="CZ44" s="64"/>
      <c r="DA44" s="64"/>
      <c r="DB44" s="64"/>
      <c r="DC44" s="64"/>
      <c r="DD44" s="64"/>
      <c r="DE44" s="64"/>
      <c r="DF44" s="64"/>
      <c r="DG44" s="64"/>
      <c r="DH44" s="64"/>
      <c r="DI44" s="64"/>
      <c r="DJ44" s="64"/>
      <c r="DK44" s="71">
        <f t="shared" si="490"/>
        <v>0</v>
      </c>
      <c r="DM44" s="64"/>
      <c r="DN44" s="64"/>
      <c r="DO44" s="64"/>
      <c r="DP44" s="64"/>
      <c r="DQ44" s="64"/>
      <c r="DR44" s="64"/>
      <c r="DS44" s="64"/>
      <c r="DT44" s="64"/>
      <c r="DU44" s="64"/>
      <c r="DV44" s="64"/>
      <c r="DW44" s="64"/>
      <c r="DX44" s="64"/>
      <c r="DY44" s="71">
        <f t="shared" si="491"/>
        <v>0</v>
      </c>
      <c r="EA44" s="64"/>
      <c r="EB44" s="64"/>
      <c r="EC44" s="64"/>
      <c r="ED44" s="64"/>
      <c r="EE44" s="64"/>
      <c r="EF44" s="64"/>
      <c r="EG44" s="64"/>
      <c r="EH44" s="64"/>
      <c r="EI44" s="64"/>
      <c r="EJ44" s="64"/>
      <c r="EK44" s="64"/>
      <c r="EL44" s="64"/>
      <c r="EM44" s="71">
        <f t="shared" si="492"/>
        <v>0</v>
      </c>
    </row>
    <row r="45" spans="3:143" hidden="1">
      <c r="C45" s="63" t="s">
        <v>35</v>
      </c>
      <c r="E45" s="64"/>
      <c r="F45" s="64"/>
      <c r="G45" s="64"/>
      <c r="H45" s="64"/>
      <c r="I45" s="64"/>
      <c r="J45" s="64"/>
      <c r="K45" s="64"/>
      <c r="L45" s="64"/>
      <c r="M45" s="64"/>
      <c r="N45" s="64"/>
      <c r="O45" s="64"/>
      <c r="P45" s="64"/>
      <c r="Q45" s="71">
        <f t="shared" si="483"/>
        <v>0</v>
      </c>
      <c r="S45" s="64"/>
      <c r="T45" s="64"/>
      <c r="U45" s="64"/>
      <c r="V45" s="64"/>
      <c r="W45" s="64"/>
      <c r="X45" s="64"/>
      <c r="Y45" s="64"/>
      <c r="Z45" s="64"/>
      <c r="AA45" s="64"/>
      <c r="AB45" s="64"/>
      <c r="AC45" s="64"/>
      <c r="AD45" s="64"/>
      <c r="AE45" s="71">
        <f t="shared" si="484"/>
        <v>0</v>
      </c>
      <c r="AG45" s="64"/>
      <c r="AH45" s="64"/>
      <c r="AI45" s="64"/>
      <c r="AJ45" s="64"/>
      <c r="AK45" s="64"/>
      <c r="AL45" s="64"/>
      <c r="AM45" s="64"/>
      <c r="AN45" s="64"/>
      <c r="AO45" s="64"/>
      <c r="AP45" s="64"/>
      <c r="AQ45" s="64"/>
      <c r="AR45" s="64"/>
      <c r="AS45" s="71">
        <f t="shared" si="485"/>
        <v>0</v>
      </c>
      <c r="AU45" s="64"/>
      <c r="AV45" s="64"/>
      <c r="AW45" s="64"/>
      <c r="AX45" s="64"/>
      <c r="AY45" s="64"/>
      <c r="AZ45" s="64"/>
      <c r="BA45" s="64"/>
      <c r="BB45" s="64"/>
      <c r="BC45" s="64"/>
      <c r="BD45" s="64"/>
      <c r="BE45" s="64"/>
      <c r="BF45" s="64"/>
      <c r="BG45" s="71">
        <f t="shared" si="486"/>
        <v>0</v>
      </c>
      <c r="BI45" s="64"/>
      <c r="BJ45" s="64"/>
      <c r="BK45" s="64"/>
      <c r="BL45" s="64"/>
      <c r="BM45" s="64"/>
      <c r="BN45" s="64"/>
      <c r="BO45" s="64"/>
      <c r="BP45" s="64"/>
      <c r="BQ45" s="64"/>
      <c r="BR45" s="64"/>
      <c r="BS45" s="64"/>
      <c r="BT45" s="64"/>
      <c r="BU45" s="71">
        <f t="shared" si="487"/>
        <v>0</v>
      </c>
      <c r="BW45" s="64"/>
      <c r="BX45" s="64"/>
      <c r="BY45" s="64"/>
      <c r="BZ45" s="64"/>
      <c r="CA45" s="64"/>
      <c r="CB45" s="64"/>
      <c r="CC45" s="64"/>
      <c r="CD45" s="64"/>
      <c r="CE45" s="64"/>
      <c r="CF45" s="64"/>
      <c r="CG45" s="64"/>
      <c r="CH45" s="64"/>
      <c r="CI45" s="71">
        <f t="shared" si="488"/>
        <v>0</v>
      </c>
      <c r="CK45" s="64"/>
      <c r="CL45" s="64"/>
      <c r="CM45" s="64"/>
      <c r="CN45" s="64"/>
      <c r="CO45" s="64"/>
      <c r="CP45" s="64"/>
      <c r="CQ45" s="64"/>
      <c r="CR45" s="64"/>
      <c r="CS45" s="64"/>
      <c r="CT45" s="64"/>
      <c r="CU45" s="64"/>
      <c r="CV45" s="64"/>
      <c r="CW45" s="71">
        <f t="shared" si="489"/>
        <v>0</v>
      </c>
      <c r="CY45" s="64"/>
      <c r="CZ45" s="64"/>
      <c r="DA45" s="64"/>
      <c r="DB45" s="64"/>
      <c r="DC45" s="64"/>
      <c r="DD45" s="64"/>
      <c r="DE45" s="64"/>
      <c r="DF45" s="64"/>
      <c r="DG45" s="64"/>
      <c r="DH45" s="64"/>
      <c r="DI45" s="64"/>
      <c r="DJ45" s="64"/>
      <c r="DK45" s="71">
        <f t="shared" si="490"/>
        <v>0</v>
      </c>
      <c r="DM45" s="64"/>
      <c r="DN45" s="64"/>
      <c r="DO45" s="64"/>
      <c r="DP45" s="64"/>
      <c r="DQ45" s="64"/>
      <c r="DR45" s="64"/>
      <c r="DS45" s="64"/>
      <c r="DT45" s="64"/>
      <c r="DU45" s="64"/>
      <c r="DV45" s="64"/>
      <c r="DW45" s="64"/>
      <c r="DX45" s="64"/>
      <c r="DY45" s="71">
        <f t="shared" si="491"/>
        <v>0</v>
      </c>
      <c r="EA45" s="64"/>
      <c r="EB45" s="64"/>
      <c r="EC45" s="64"/>
      <c r="ED45" s="64"/>
      <c r="EE45" s="64"/>
      <c r="EF45" s="64"/>
      <c r="EG45" s="64"/>
      <c r="EH45" s="64"/>
      <c r="EI45" s="64"/>
      <c r="EJ45" s="64"/>
      <c r="EK45" s="64"/>
      <c r="EL45" s="64"/>
      <c r="EM45" s="71">
        <f t="shared" si="492"/>
        <v>0</v>
      </c>
    </row>
    <row r="46" spans="3:143" hidden="1">
      <c r="C46" s="63" t="s">
        <v>35</v>
      </c>
      <c r="E46" s="64"/>
      <c r="F46" s="64"/>
      <c r="G46" s="64"/>
      <c r="H46" s="64"/>
      <c r="I46" s="64"/>
      <c r="J46" s="64"/>
      <c r="K46" s="64"/>
      <c r="L46" s="64"/>
      <c r="M46" s="64"/>
      <c r="N46" s="64"/>
      <c r="O46" s="64"/>
      <c r="P46" s="64"/>
      <c r="Q46" s="71">
        <f t="shared" si="483"/>
        <v>0</v>
      </c>
      <c r="S46" s="64"/>
      <c r="T46" s="64"/>
      <c r="U46" s="64"/>
      <c r="V46" s="64"/>
      <c r="W46" s="64"/>
      <c r="X46" s="64"/>
      <c r="Y46" s="64"/>
      <c r="Z46" s="64"/>
      <c r="AA46" s="64"/>
      <c r="AB46" s="64"/>
      <c r="AC46" s="64"/>
      <c r="AD46" s="64"/>
      <c r="AE46" s="71">
        <f t="shared" si="484"/>
        <v>0</v>
      </c>
      <c r="AG46" s="64"/>
      <c r="AH46" s="64"/>
      <c r="AI46" s="64"/>
      <c r="AJ46" s="64"/>
      <c r="AK46" s="64"/>
      <c r="AL46" s="64"/>
      <c r="AM46" s="64"/>
      <c r="AN46" s="64"/>
      <c r="AO46" s="64"/>
      <c r="AP46" s="64"/>
      <c r="AQ46" s="64"/>
      <c r="AR46" s="64"/>
      <c r="AS46" s="71">
        <f t="shared" si="485"/>
        <v>0</v>
      </c>
      <c r="AU46" s="64"/>
      <c r="AV46" s="64"/>
      <c r="AW46" s="64"/>
      <c r="AX46" s="64"/>
      <c r="AY46" s="64"/>
      <c r="AZ46" s="64"/>
      <c r="BA46" s="64"/>
      <c r="BB46" s="64"/>
      <c r="BC46" s="64"/>
      <c r="BD46" s="64"/>
      <c r="BE46" s="64"/>
      <c r="BF46" s="64"/>
      <c r="BG46" s="71">
        <f t="shared" si="486"/>
        <v>0</v>
      </c>
      <c r="BI46" s="64"/>
      <c r="BJ46" s="64"/>
      <c r="BK46" s="64"/>
      <c r="BL46" s="64"/>
      <c r="BM46" s="64"/>
      <c r="BN46" s="64"/>
      <c r="BO46" s="64"/>
      <c r="BP46" s="64"/>
      <c r="BQ46" s="64"/>
      <c r="BR46" s="64"/>
      <c r="BS46" s="64"/>
      <c r="BT46" s="64"/>
      <c r="BU46" s="71">
        <f t="shared" si="487"/>
        <v>0</v>
      </c>
      <c r="BW46" s="64"/>
      <c r="BX46" s="64"/>
      <c r="BY46" s="64"/>
      <c r="BZ46" s="64"/>
      <c r="CA46" s="64"/>
      <c r="CB46" s="64"/>
      <c r="CC46" s="64"/>
      <c r="CD46" s="64"/>
      <c r="CE46" s="64"/>
      <c r="CF46" s="64"/>
      <c r="CG46" s="64"/>
      <c r="CH46" s="64"/>
      <c r="CI46" s="71">
        <f t="shared" si="488"/>
        <v>0</v>
      </c>
      <c r="CK46" s="64"/>
      <c r="CL46" s="64"/>
      <c r="CM46" s="64"/>
      <c r="CN46" s="64"/>
      <c r="CO46" s="64"/>
      <c r="CP46" s="64"/>
      <c r="CQ46" s="64"/>
      <c r="CR46" s="64"/>
      <c r="CS46" s="64"/>
      <c r="CT46" s="64"/>
      <c r="CU46" s="64"/>
      <c r="CV46" s="64"/>
      <c r="CW46" s="71">
        <f t="shared" si="489"/>
        <v>0</v>
      </c>
      <c r="CY46" s="64"/>
      <c r="CZ46" s="64"/>
      <c r="DA46" s="64"/>
      <c r="DB46" s="64"/>
      <c r="DC46" s="64"/>
      <c r="DD46" s="64"/>
      <c r="DE46" s="64"/>
      <c r="DF46" s="64"/>
      <c r="DG46" s="64"/>
      <c r="DH46" s="64"/>
      <c r="DI46" s="64"/>
      <c r="DJ46" s="64"/>
      <c r="DK46" s="71">
        <f t="shared" si="490"/>
        <v>0</v>
      </c>
      <c r="DM46" s="64"/>
      <c r="DN46" s="64"/>
      <c r="DO46" s="64"/>
      <c r="DP46" s="64"/>
      <c r="DQ46" s="64"/>
      <c r="DR46" s="64"/>
      <c r="DS46" s="64"/>
      <c r="DT46" s="64"/>
      <c r="DU46" s="64"/>
      <c r="DV46" s="64"/>
      <c r="DW46" s="64"/>
      <c r="DX46" s="64"/>
      <c r="DY46" s="71">
        <f t="shared" si="491"/>
        <v>0</v>
      </c>
      <c r="EA46" s="64"/>
      <c r="EB46" s="64"/>
      <c r="EC46" s="64"/>
      <c r="ED46" s="64"/>
      <c r="EE46" s="64"/>
      <c r="EF46" s="64"/>
      <c r="EG46" s="64"/>
      <c r="EH46" s="64"/>
      <c r="EI46" s="64"/>
      <c r="EJ46" s="64"/>
      <c r="EK46" s="64"/>
      <c r="EL46" s="64"/>
      <c r="EM46" s="71">
        <f t="shared" si="492"/>
        <v>0</v>
      </c>
    </row>
    <row r="47" spans="3:143" hidden="1">
      <c r="C47" s="63" t="s">
        <v>35</v>
      </c>
      <c r="E47" s="64"/>
      <c r="F47" s="64"/>
      <c r="G47" s="64"/>
      <c r="H47" s="64"/>
      <c r="I47" s="64"/>
      <c r="J47" s="64"/>
      <c r="K47" s="64"/>
      <c r="L47" s="64"/>
      <c r="M47" s="64"/>
      <c r="N47" s="64"/>
      <c r="O47" s="64"/>
      <c r="P47" s="64"/>
      <c r="Q47" s="71">
        <f t="shared" si="483"/>
        <v>0</v>
      </c>
      <c r="S47" s="64"/>
      <c r="T47" s="64"/>
      <c r="U47" s="64"/>
      <c r="V47" s="64"/>
      <c r="W47" s="64"/>
      <c r="X47" s="64"/>
      <c r="Y47" s="64"/>
      <c r="Z47" s="64"/>
      <c r="AA47" s="64"/>
      <c r="AB47" s="64"/>
      <c r="AC47" s="64"/>
      <c r="AD47" s="64"/>
      <c r="AE47" s="71">
        <f t="shared" si="484"/>
        <v>0</v>
      </c>
      <c r="AG47" s="64"/>
      <c r="AH47" s="64"/>
      <c r="AI47" s="64"/>
      <c r="AJ47" s="64"/>
      <c r="AK47" s="64"/>
      <c r="AL47" s="64"/>
      <c r="AM47" s="64"/>
      <c r="AN47" s="64"/>
      <c r="AO47" s="64"/>
      <c r="AP47" s="64"/>
      <c r="AQ47" s="64"/>
      <c r="AR47" s="64"/>
      <c r="AS47" s="71">
        <f t="shared" si="485"/>
        <v>0</v>
      </c>
      <c r="AU47" s="64"/>
      <c r="AV47" s="64"/>
      <c r="AW47" s="64"/>
      <c r="AX47" s="64"/>
      <c r="AY47" s="64"/>
      <c r="AZ47" s="64"/>
      <c r="BA47" s="64"/>
      <c r="BB47" s="64"/>
      <c r="BC47" s="64"/>
      <c r="BD47" s="64"/>
      <c r="BE47" s="64"/>
      <c r="BF47" s="64"/>
      <c r="BG47" s="71">
        <f t="shared" si="486"/>
        <v>0</v>
      </c>
      <c r="BI47" s="64"/>
      <c r="BJ47" s="64"/>
      <c r="BK47" s="64"/>
      <c r="BL47" s="64"/>
      <c r="BM47" s="64"/>
      <c r="BN47" s="64"/>
      <c r="BO47" s="64"/>
      <c r="BP47" s="64"/>
      <c r="BQ47" s="64"/>
      <c r="BR47" s="64"/>
      <c r="BS47" s="64"/>
      <c r="BT47" s="64"/>
      <c r="BU47" s="71">
        <f t="shared" si="487"/>
        <v>0</v>
      </c>
      <c r="BW47" s="64"/>
      <c r="BX47" s="64"/>
      <c r="BY47" s="64"/>
      <c r="BZ47" s="64"/>
      <c r="CA47" s="64"/>
      <c r="CB47" s="64"/>
      <c r="CC47" s="64"/>
      <c r="CD47" s="64"/>
      <c r="CE47" s="64"/>
      <c r="CF47" s="64"/>
      <c r="CG47" s="64"/>
      <c r="CH47" s="64"/>
      <c r="CI47" s="71">
        <f t="shared" si="488"/>
        <v>0</v>
      </c>
      <c r="CK47" s="64"/>
      <c r="CL47" s="64"/>
      <c r="CM47" s="64"/>
      <c r="CN47" s="64"/>
      <c r="CO47" s="64"/>
      <c r="CP47" s="64"/>
      <c r="CQ47" s="64"/>
      <c r="CR47" s="64"/>
      <c r="CS47" s="64"/>
      <c r="CT47" s="64"/>
      <c r="CU47" s="64"/>
      <c r="CV47" s="64"/>
      <c r="CW47" s="71">
        <f t="shared" si="489"/>
        <v>0</v>
      </c>
      <c r="CY47" s="64"/>
      <c r="CZ47" s="64"/>
      <c r="DA47" s="64"/>
      <c r="DB47" s="64"/>
      <c r="DC47" s="64"/>
      <c r="DD47" s="64"/>
      <c r="DE47" s="64"/>
      <c r="DF47" s="64"/>
      <c r="DG47" s="64"/>
      <c r="DH47" s="64"/>
      <c r="DI47" s="64"/>
      <c r="DJ47" s="64"/>
      <c r="DK47" s="71">
        <f t="shared" si="490"/>
        <v>0</v>
      </c>
      <c r="DM47" s="64"/>
      <c r="DN47" s="64"/>
      <c r="DO47" s="64"/>
      <c r="DP47" s="64"/>
      <c r="DQ47" s="64"/>
      <c r="DR47" s="64"/>
      <c r="DS47" s="64"/>
      <c r="DT47" s="64"/>
      <c r="DU47" s="64"/>
      <c r="DV47" s="64"/>
      <c r="DW47" s="64"/>
      <c r="DX47" s="64"/>
      <c r="DY47" s="71">
        <f t="shared" si="491"/>
        <v>0</v>
      </c>
      <c r="EA47" s="64"/>
      <c r="EB47" s="64"/>
      <c r="EC47" s="64"/>
      <c r="ED47" s="64"/>
      <c r="EE47" s="64"/>
      <c r="EF47" s="64"/>
      <c r="EG47" s="64"/>
      <c r="EH47" s="64"/>
      <c r="EI47" s="64"/>
      <c r="EJ47" s="64"/>
      <c r="EK47" s="64"/>
      <c r="EL47" s="64"/>
      <c r="EM47" s="71">
        <f t="shared" si="492"/>
        <v>0</v>
      </c>
    </row>
    <row r="48" spans="3:143" hidden="1">
      <c r="C48" s="63" t="s">
        <v>35</v>
      </c>
      <c r="E48" s="64"/>
      <c r="F48" s="64"/>
      <c r="G48" s="64"/>
      <c r="H48" s="64"/>
      <c r="I48" s="64"/>
      <c r="J48" s="64"/>
      <c r="K48" s="64"/>
      <c r="L48" s="64"/>
      <c r="M48" s="64"/>
      <c r="N48" s="64"/>
      <c r="O48" s="64"/>
      <c r="P48" s="64"/>
      <c r="Q48" s="71">
        <f t="shared" si="483"/>
        <v>0</v>
      </c>
      <c r="S48" s="64"/>
      <c r="T48" s="64"/>
      <c r="U48" s="64"/>
      <c r="V48" s="64"/>
      <c r="W48" s="64"/>
      <c r="X48" s="64"/>
      <c r="Y48" s="64"/>
      <c r="Z48" s="64"/>
      <c r="AA48" s="64"/>
      <c r="AB48" s="64"/>
      <c r="AC48" s="64"/>
      <c r="AD48" s="64"/>
      <c r="AE48" s="71">
        <f t="shared" si="484"/>
        <v>0</v>
      </c>
      <c r="AG48" s="64"/>
      <c r="AH48" s="64"/>
      <c r="AI48" s="64"/>
      <c r="AJ48" s="64"/>
      <c r="AK48" s="64"/>
      <c r="AL48" s="64"/>
      <c r="AM48" s="64"/>
      <c r="AN48" s="64"/>
      <c r="AO48" s="64"/>
      <c r="AP48" s="64"/>
      <c r="AQ48" s="64"/>
      <c r="AR48" s="64"/>
      <c r="AS48" s="71">
        <f t="shared" si="485"/>
        <v>0</v>
      </c>
      <c r="AU48" s="64"/>
      <c r="AV48" s="64"/>
      <c r="AW48" s="64"/>
      <c r="AX48" s="64"/>
      <c r="AY48" s="64"/>
      <c r="AZ48" s="64"/>
      <c r="BA48" s="64"/>
      <c r="BB48" s="64"/>
      <c r="BC48" s="64"/>
      <c r="BD48" s="64"/>
      <c r="BE48" s="64"/>
      <c r="BF48" s="64"/>
      <c r="BG48" s="71">
        <f t="shared" si="486"/>
        <v>0</v>
      </c>
      <c r="BI48" s="64"/>
      <c r="BJ48" s="64"/>
      <c r="BK48" s="64"/>
      <c r="BL48" s="64"/>
      <c r="BM48" s="64"/>
      <c r="BN48" s="64"/>
      <c r="BO48" s="64"/>
      <c r="BP48" s="64"/>
      <c r="BQ48" s="64"/>
      <c r="BR48" s="64"/>
      <c r="BS48" s="64"/>
      <c r="BT48" s="64"/>
      <c r="BU48" s="71">
        <f t="shared" si="487"/>
        <v>0</v>
      </c>
      <c r="BW48" s="64"/>
      <c r="BX48" s="64"/>
      <c r="BY48" s="64"/>
      <c r="BZ48" s="64"/>
      <c r="CA48" s="64"/>
      <c r="CB48" s="64"/>
      <c r="CC48" s="64"/>
      <c r="CD48" s="64"/>
      <c r="CE48" s="64"/>
      <c r="CF48" s="64"/>
      <c r="CG48" s="64"/>
      <c r="CH48" s="64"/>
      <c r="CI48" s="71">
        <f t="shared" si="488"/>
        <v>0</v>
      </c>
      <c r="CK48" s="64"/>
      <c r="CL48" s="64"/>
      <c r="CM48" s="64"/>
      <c r="CN48" s="64"/>
      <c r="CO48" s="64"/>
      <c r="CP48" s="64"/>
      <c r="CQ48" s="64"/>
      <c r="CR48" s="64"/>
      <c r="CS48" s="64"/>
      <c r="CT48" s="64"/>
      <c r="CU48" s="64"/>
      <c r="CV48" s="64"/>
      <c r="CW48" s="71">
        <f t="shared" si="489"/>
        <v>0</v>
      </c>
      <c r="CY48" s="64"/>
      <c r="CZ48" s="64"/>
      <c r="DA48" s="64"/>
      <c r="DB48" s="64"/>
      <c r="DC48" s="64"/>
      <c r="DD48" s="64"/>
      <c r="DE48" s="64"/>
      <c r="DF48" s="64"/>
      <c r="DG48" s="64"/>
      <c r="DH48" s="64"/>
      <c r="DI48" s="64"/>
      <c r="DJ48" s="64"/>
      <c r="DK48" s="71">
        <f t="shared" si="490"/>
        <v>0</v>
      </c>
      <c r="DM48" s="64"/>
      <c r="DN48" s="64"/>
      <c r="DO48" s="64"/>
      <c r="DP48" s="64"/>
      <c r="DQ48" s="64"/>
      <c r="DR48" s="64"/>
      <c r="DS48" s="64"/>
      <c r="DT48" s="64"/>
      <c r="DU48" s="64"/>
      <c r="DV48" s="64"/>
      <c r="DW48" s="64"/>
      <c r="DX48" s="64"/>
      <c r="DY48" s="71">
        <f t="shared" si="491"/>
        <v>0</v>
      </c>
      <c r="EA48" s="64"/>
      <c r="EB48" s="64"/>
      <c r="EC48" s="64"/>
      <c r="ED48" s="64"/>
      <c r="EE48" s="64"/>
      <c r="EF48" s="64"/>
      <c r="EG48" s="64"/>
      <c r="EH48" s="64"/>
      <c r="EI48" s="64"/>
      <c r="EJ48" s="64"/>
      <c r="EK48" s="64"/>
      <c r="EL48" s="64"/>
      <c r="EM48" s="71">
        <f t="shared" si="492"/>
        <v>0</v>
      </c>
    </row>
    <row r="49" spans="3:143">
      <c r="C49" s="65" t="s">
        <v>17</v>
      </c>
      <c r="E49" s="66">
        <f t="shared" ref="E49:Q49" ca="1" si="493">SUM(INDIRECT(ADDRESS(savings_min_row,COLUMN())&amp;":"&amp;ADDRESS(savings_max_row,COLUMN())))</f>
        <v>1750</v>
      </c>
      <c r="F49" s="66">
        <f t="shared" ca="1" si="493"/>
        <v>1650</v>
      </c>
      <c r="G49" s="66">
        <f t="shared" ca="1" si="493"/>
        <v>1550</v>
      </c>
      <c r="H49" s="66">
        <f t="shared" ca="1" si="493"/>
        <v>1850</v>
      </c>
      <c r="I49" s="66">
        <f t="shared" ca="1" si="493"/>
        <v>2650</v>
      </c>
      <c r="J49" s="66">
        <f t="shared" ca="1" si="493"/>
        <v>2550</v>
      </c>
      <c r="K49" s="66">
        <f t="shared" ca="1" si="493"/>
        <v>2750</v>
      </c>
      <c r="L49" s="66">
        <f t="shared" ca="1" si="493"/>
        <v>1450</v>
      </c>
      <c r="M49" s="66">
        <f t="shared" ca="1" si="493"/>
        <v>2550</v>
      </c>
      <c r="N49" s="66">
        <f t="shared" ca="1" si="493"/>
        <v>2750</v>
      </c>
      <c r="O49" s="66">
        <f t="shared" ca="1" si="493"/>
        <v>2650</v>
      </c>
      <c r="P49" s="66">
        <f t="shared" ca="1" si="493"/>
        <v>2250</v>
      </c>
      <c r="Q49" s="66">
        <f t="shared" ca="1" si="493"/>
        <v>26400</v>
      </c>
      <c r="S49" s="66">
        <f t="shared" ref="S49:AE49" ca="1" si="494">SUM(INDIRECT(ADDRESS(savings_min_row,COLUMN())&amp;":"&amp;ADDRESS(savings_max_row,COLUMN())))</f>
        <v>0</v>
      </c>
      <c r="T49" s="66">
        <f t="shared" ca="1" si="494"/>
        <v>0</v>
      </c>
      <c r="U49" s="66">
        <f t="shared" ca="1" si="494"/>
        <v>0</v>
      </c>
      <c r="V49" s="66">
        <f t="shared" ca="1" si="494"/>
        <v>0</v>
      </c>
      <c r="W49" s="66">
        <f t="shared" ca="1" si="494"/>
        <v>0</v>
      </c>
      <c r="X49" s="66">
        <f t="shared" ca="1" si="494"/>
        <v>0</v>
      </c>
      <c r="Y49" s="66">
        <f t="shared" ca="1" si="494"/>
        <v>0</v>
      </c>
      <c r="Z49" s="66">
        <f t="shared" ca="1" si="494"/>
        <v>0</v>
      </c>
      <c r="AA49" s="66">
        <f t="shared" ca="1" si="494"/>
        <v>0</v>
      </c>
      <c r="AB49" s="66">
        <f t="shared" ca="1" si="494"/>
        <v>0</v>
      </c>
      <c r="AC49" s="66">
        <f t="shared" ca="1" si="494"/>
        <v>0</v>
      </c>
      <c r="AD49" s="66">
        <f t="shared" ca="1" si="494"/>
        <v>0</v>
      </c>
      <c r="AE49" s="66">
        <f t="shared" ca="1" si="494"/>
        <v>0</v>
      </c>
      <c r="AG49" s="66">
        <f t="shared" ref="AG49:AS49" ca="1" si="495">SUM(INDIRECT(ADDRESS(savings_min_row,COLUMN())&amp;":"&amp;ADDRESS(savings_max_row,COLUMN())))</f>
        <v>0</v>
      </c>
      <c r="AH49" s="66">
        <f t="shared" ca="1" si="495"/>
        <v>0</v>
      </c>
      <c r="AI49" s="66">
        <f t="shared" ca="1" si="495"/>
        <v>0</v>
      </c>
      <c r="AJ49" s="66">
        <f t="shared" ca="1" si="495"/>
        <v>0</v>
      </c>
      <c r="AK49" s="66">
        <f t="shared" ca="1" si="495"/>
        <v>0</v>
      </c>
      <c r="AL49" s="66">
        <f t="shared" ca="1" si="495"/>
        <v>0</v>
      </c>
      <c r="AM49" s="66">
        <f t="shared" ca="1" si="495"/>
        <v>0</v>
      </c>
      <c r="AN49" s="66">
        <f t="shared" ca="1" si="495"/>
        <v>0</v>
      </c>
      <c r="AO49" s="66">
        <f t="shared" ca="1" si="495"/>
        <v>0</v>
      </c>
      <c r="AP49" s="66">
        <f t="shared" ca="1" si="495"/>
        <v>0</v>
      </c>
      <c r="AQ49" s="66">
        <f t="shared" ca="1" si="495"/>
        <v>0</v>
      </c>
      <c r="AR49" s="66">
        <f t="shared" ca="1" si="495"/>
        <v>0</v>
      </c>
      <c r="AS49" s="66">
        <f t="shared" ca="1" si="495"/>
        <v>0</v>
      </c>
      <c r="AU49" s="66">
        <f t="shared" ref="AU49:BG49" ca="1" si="496">SUM(INDIRECT(ADDRESS(savings_min_row,COLUMN())&amp;":"&amp;ADDRESS(savings_max_row,COLUMN())))</f>
        <v>0</v>
      </c>
      <c r="AV49" s="66">
        <f t="shared" ca="1" si="496"/>
        <v>0</v>
      </c>
      <c r="AW49" s="66">
        <f t="shared" ca="1" si="496"/>
        <v>0</v>
      </c>
      <c r="AX49" s="66">
        <f t="shared" ca="1" si="496"/>
        <v>0</v>
      </c>
      <c r="AY49" s="66">
        <f t="shared" ca="1" si="496"/>
        <v>0</v>
      </c>
      <c r="AZ49" s="66">
        <f t="shared" ca="1" si="496"/>
        <v>0</v>
      </c>
      <c r="BA49" s="66">
        <f t="shared" ca="1" si="496"/>
        <v>0</v>
      </c>
      <c r="BB49" s="66">
        <f t="shared" ca="1" si="496"/>
        <v>0</v>
      </c>
      <c r="BC49" s="66">
        <f t="shared" ca="1" si="496"/>
        <v>0</v>
      </c>
      <c r="BD49" s="66">
        <f t="shared" ca="1" si="496"/>
        <v>0</v>
      </c>
      <c r="BE49" s="66">
        <f t="shared" ca="1" si="496"/>
        <v>0</v>
      </c>
      <c r="BF49" s="66">
        <f t="shared" ca="1" si="496"/>
        <v>0</v>
      </c>
      <c r="BG49" s="66">
        <f t="shared" ca="1" si="496"/>
        <v>0</v>
      </c>
      <c r="BI49" s="66">
        <f t="shared" ref="BI49:BU49" ca="1" si="497">SUM(INDIRECT(ADDRESS(savings_min_row,COLUMN())&amp;":"&amp;ADDRESS(savings_max_row,COLUMN())))</f>
        <v>0</v>
      </c>
      <c r="BJ49" s="66">
        <f t="shared" ca="1" si="497"/>
        <v>0</v>
      </c>
      <c r="BK49" s="66">
        <f t="shared" ca="1" si="497"/>
        <v>0</v>
      </c>
      <c r="BL49" s="66">
        <f t="shared" ca="1" si="497"/>
        <v>0</v>
      </c>
      <c r="BM49" s="66">
        <f t="shared" ca="1" si="497"/>
        <v>0</v>
      </c>
      <c r="BN49" s="66">
        <f t="shared" ca="1" si="497"/>
        <v>0</v>
      </c>
      <c r="BO49" s="66">
        <f t="shared" ca="1" si="497"/>
        <v>0</v>
      </c>
      <c r="BP49" s="66">
        <f t="shared" ca="1" si="497"/>
        <v>0</v>
      </c>
      <c r="BQ49" s="66">
        <f t="shared" ca="1" si="497"/>
        <v>0</v>
      </c>
      <c r="BR49" s="66">
        <f t="shared" ca="1" si="497"/>
        <v>0</v>
      </c>
      <c r="BS49" s="66">
        <f t="shared" ca="1" si="497"/>
        <v>0</v>
      </c>
      <c r="BT49" s="66">
        <f t="shared" ca="1" si="497"/>
        <v>0</v>
      </c>
      <c r="BU49" s="66">
        <f t="shared" ca="1" si="497"/>
        <v>0</v>
      </c>
      <c r="BW49" s="66">
        <f t="shared" ref="BW49:CI49" ca="1" si="498">SUM(INDIRECT(ADDRESS(savings_min_row,COLUMN())&amp;":"&amp;ADDRESS(savings_max_row,COLUMN())))</f>
        <v>0</v>
      </c>
      <c r="BX49" s="66">
        <f t="shared" ca="1" si="498"/>
        <v>0</v>
      </c>
      <c r="BY49" s="66">
        <f t="shared" ca="1" si="498"/>
        <v>0</v>
      </c>
      <c r="BZ49" s="66">
        <f t="shared" ca="1" si="498"/>
        <v>0</v>
      </c>
      <c r="CA49" s="66">
        <f t="shared" ca="1" si="498"/>
        <v>0</v>
      </c>
      <c r="CB49" s="66">
        <f t="shared" ca="1" si="498"/>
        <v>0</v>
      </c>
      <c r="CC49" s="66">
        <f t="shared" ca="1" si="498"/>
        <v>0</v>
      </c>
      <c r="CD49" s="66">
        <f t="shared" ca="1" si="498"/>
        <v>0</v>
      </c>
      <c r="CE49" s="66">
        <f t="shared" ca="1" si="498"/>
        <v>0</v>
      </c>
      <c r="CF49" s="66">
        <f t="shared" ca="1" si="498"/>
        <v>0</v>
      </c>
      <c r="CG49" s="66">
        <f t="shared" ca="1" si="498"/>
        <v>0</v>
      </c>
      <c r="CH49" s="66">
        <f t="shared" ca="1" si="498"/>
        <v>0</v>
      </c>
      <c r="CI49" s="66">
        <f t="shared" ca="1" si="498"/>
        <v>0</v>
      </c>
      <c r="CK49" s="66">
        <f t="shared" ref="CK49:CW49" ca="1" si="499">SUM(INDIRECT(ADDRESS(savings_min_row,COLUMN())&amp;":"&amp;ADDRESS(savings_max_row,COLUMN())))</f>
        <v>0</v>
      </c>
      <c r="CL49" s="66">
        <f t="shared" ca="1" si="499"/>
        <v>0</v>
      </c>
      <c r="CM49" s="66">
        <f t="shared" ca="1" si="499"/>
        <v>0</v>
      </c>
      <c r="CN49" s="66">
        <f t="shared" ca="1" si="499"/>
        <v>0</v>
      </c>
      <c r="CO49" s="66">
        <f t="shared" ca="1" si="499"/>
        <v>0</v>
      </c>
      <c r="CP49" s="66">
        <f t="shared" ca="1" si="499"/>
        <v>0</v>
      </c>
      <c r="CQ49" s="66">
        <f t="shared" ca="1" si="499"/>
        <v>0</v>
      </c>
      <c r="CR49" s="66">
        <f t="shared" ca="1" si="499"/>
        <v>0</v>
      </c>
      <c r="CS49" s="66">
        <f t="shared" ca="1" si="499"/>
        <v>0</v>
      </c>
      <c r="CT49" s="66">
        <f t="shared" ca="1" si="499"/>
        <v>0</v>
      </c>
      <c r="CU49" s="66">
        <f t="shared" ca="1" si="499"/>
        <v>0</v>
      </c>
      <c r="CV49" s="66">
        <f t="shared" ca="1" si="499"/>
        <v>0</v>
      </c>
      <c r="CW49" s="66">
        <f t="shared" ca="1" si="499"/>
        <v>0</v>
      </c>
      <c r="CY49" s="66">
        <f t="shared" ref="CY49:DK49" ca="1" si="500">SUM(INDIRECT(ADDRESS(savings_min_row,COLUMN())&amp;":"&amp;ADDRESS(savings_max_row,COLUMN())))</f>
        <v>0</v>
      </c>
      <c r="CZ49" s="66">
        <f t="shared" ca="1" si="500"/>
        <v>0</v>
      </c>
      <c r="DA49" s="66">
        <f t="shared" ca="1" si="500"/>
        <v>0</v>
      </c>
      <c r="DB49" s="66">
        <f t="shared" ca="1" si="500"/>
        <v>0</v>
      </c>
      <c r="DC49" s="66">
        <f t="shared" ca="1" si="500"/>
        <v>0</v>
      </c>
      <c r="DD49" s="66">
        <f t="shared" ca="1" si="500"/>
        <v>0</v>
      </c>
      <c r="DE49" s="66">
        <f t="shared" ca="1" si="500"/>
        <v>0</v>
      </c>
      <c r="DF49" s="66">
        <f t="shared" ca="1" si="500"/>
        <v>0</v>
      </c>
      <c r="DG49" s="66">
        <f t="shared" ca="1" si="500"/>
        <v>0</v>
      </c>
      <c r="DH49" s="66">
        <f t="shared" ca="1" si="500"/>
        <v>0</v>
      </c>
      <c r="DI49" s="66">
        <f t="shared" ca="1" si="500"/>
        <v>0</v>
      </c>
      <c r="DJ49" s="66">
        <f t="shared" ca="1" si="500"/>
        <v>0</v>
      </c>
      <c r="DK49" s="66">
        <f t="shared" ca="1" si="500"/>
        <v>0</v>
      </c>
      <c r="DM49" s="66">
        <f t="shared" ref="DM49:DY49" ca="1" si="501">SUM(INDIRECT(ADDRESS(savings_min_row,COLUMN())&amp;":"&amp;ADDRESS(savings_max_row,COLUMN())))</f>
        <v>0</v>
      </c>
      <c r="DN49" s="66">
        <f t="shared" ca="1" si="501"/>
        <v>0</v>
      </c>
      <c r="DO49" s="66">
        <f t="shared" ca="1" si="501"/>
        <v>0</v>
      </c>
      <c r="DP49" s="66">
        <f t="shared" ca="1" si="501"/>
        <v>0</v>
      </c>
      <c r="DQ49" s="66">
        <f t="shared" ca="1" si="501"/>
        <v>0</v>
      </c>
      <c r="DR49" s="66">
        <f t="shared" ca="1" si="501"/>
        <v>0</v>
      </c>
      <c r="DS49" s="66">
        <f t="shared" ca="1" si="501"/>
        <v>0</v>
      </c>
      <c r="DT49" s="66">
        <f t="shared" ca="1" si="501"/>
        <v>0</v>
      </c>
      <c r="DU49" s="66">
        <f t="shared" ca="1" si="501"/>
        <v>0</v>
      </c>
      <c r="DV49" s="66">
        <f t="shared" ca="1" si="501"/>
        <v>0</v>
      </c>
      <c r="DW49" s="66">
        <f t="shared" ca="1" si="501"/>
        <v>0</v>
      </c>
      <c r="DX49" s="66">
        <f t="shared" ca="1" si="501"/>
        <v>0</v>
      </c>
      <c r="DY49" s="66">
        <f t="shared" ca="1" si="501"/>
        <v>0</v>
      </c>
      <c r="EA49" s="66">
        <f t="shared" ref="EA49:EM49" ca="1" si="502">SUM(INDIRECT(ADDRESS(savings_min_row,COLUMN())&amp;":"&amp;ADDRESS(savings_max_row,COLUMN())))</f>
        <v>0</v>
      </c>
      <c r="EB49" s="66">
        <f t="shared" ca="1" si="502"/>
        <v>0</v>
      </c>
      <c r="EC49" s="66">
        <f t="shared" ca="1" si="502"/>
        <v>0</v>
      </c>
      <c r="ED49" s="66">
        <f t="shared" ca="1" si="502"/>
        <v>0</v>
      </c>
      <c r="EE49" s="66">
        <f t="shared" ca="1" si="502"/>
        <v>0</v>
      </c>
      <c r="EF49" s="66">
        <f t="shared" ca="1" si="502"/>
        <v>0</v>
      </c>
      <c r="EG49" s="66">
        <f t="shared" ca="1" si="502"/>
        <v>0</v>
      </c>
      <c r="EH49" s="66">
        <f t="shared" ca="1" si="502"/>
        <v>0</v>
      </c>
      <c r="EI49" s="66">
        <f t="shared" ca="1" si="502"/>
        <v>0</v>
      </c>
      <c r="EJ49" s="66">
        <f t="shared" ca="1" si="502"/>
        <v>0</v>
      </c>
      <c r="EK49" s="66">
        <f t="shared" ca="1" si="502"/>
        <v>0</v>
      </c>
      <c r="EL49" s="66">
        <f t="shared" ca="1" si="502"/>
        <v>0</v>
      </c>
      <c r="EM49" s="66">
        <f t="shared" ca="1" si="502"/>
        <v>0</v>
      </c>
    </row>
  </sheetData>
  <mergeCells count="10">
    <mergeCell ref="E5:Q5"/>
    <mergeCell ref="S5:AE5"/>
    <mergeCell ref="AG5:AS5"/>
    <mergeCell ref="AU5:BG5"/>
    <mergeCell ref="BI5:BU5"/>
    <mergeCell ref="BW5:CI5"/>
    <mergeCell ref="CK5:CW5"/>
    <mergeCell ref="CY5:DK5"/>
    <mergeCell ref="DM5:DY5"/>
    <mergeCell ref="EA5:EM5"/>
  </mergeCells>
  <conditionalFormatting sqref="E6:Q7 S6:AE7 AG6:AS7 AU6:BG7 BI6:BU7 BW6:CI7 CK6:CW7 CY6:DK7 DM6:DY7 EA6:EM7">
    <cfRule type="expression" dxfId="33" priority="1" stopIfTrue="1">
      <formula>AND(E$20=0,E$36=0,E$49=0)</formula>
    </cfRule>
    <cfRule type="expression" dxfId="32" priority="2" stopIfTrue="1">
      <formula>E$7=0</formula>
    </cfRule>
    <cfRule type="expression" dxfId="31" priority="3">
      <formula>E$7&lt;0</formula>
    </cfRule>
  </conditionalFormatting>
  <conditionalFormatting sqref="C10:C19 S10:AE19 AG10:AS19 AU10:BG19 BI10:BU19 BW10:CI19 CK10:CW19 CY10:DK19 DM10:DY19 EA10:EM19 E10:Q19">
    <cfRule type="expression" dxfId="30" priority="6">
      <formula>ROW(A10)&lt;=income_max_row</formula>
    </cfRule>
  </conditionalFormatting>
  <conditionalFormatting sqref="C23:C35 E23:Q35 S23:AE35 AG23:AS35 AU23:BG35 BI23:BU35 BW23:CI35 CK23:CW35 CY23:DK35 DM23:DY35 EA23:EM35">
    <cfRule type="expression" dxfId="29" priority="5">
      <formula>ROW(A23)&lt;=expenses_max_row</formula>
    </cfRule>
  </conditionalFormatting>
  <conditionalFormatting sqref="C39:C48 S39:AE48 AG39:AS48 AU39:BG48 BI39:BU48 BW39:CI48 CK39:CW48 CY39:DK48 DM39:DY48 EA39:EM48 E39:Q48">
    <cfRule type="expression" dxfId="28" priority="4">
      <formula>ROW(A39)&lt;=savings_max_row</formula>
    </cfRule>
  </conditionalFormatting>
  <pageMargins left="0.7" right="0.7" top="0.75" bottom="0.75" header="0.3" footer="0.3"/>
  <pageSetup paperSize="9" orientation="portrait"/>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1:Y70"/>
  <sheetViews>
    <sheetView showGridLines="0" topLeftCell="B1" zoomScale="80" zoomScaleNormal="80" workbookViewId="0">
      <pane ySplit="11" topLeftCell="A12" activePane="bottomLeft" state="frozen"/>
      <selection activeCell="B1" sqref="B1"/>
      <selection pane="bottomLeft" activeCell="H3" sqref="H3"/>
    </sheetView>
  </sheetViews>
  <sheetFormatPr defaultColWidth="9" defaultRowHeight="15"/>
  <cols>
    <col min="3" max="4" width="14.7109375" customWidth="1"/>
    <col min="5" max="5" width="26.85546875" customWidth="1"/>
    <col min="6" max="6" width="17.140625" customWidth="1"/>
    <col min="7" max="7" width="13.7109375" customWidth="1"/>
    <col min="8" max="8" width="16.85546875" customWidth="1"/>
    <col min="9" max="9" width="17.85546875" customWidth="1"/>
  </cols>
  <sheetData>
    <row r="1" spans="3:25" s="46" customFormat="1" ht="39.75" customHeight="1">
      <c r="C1" s="47" t="s">
        <v>36</v>
      </c>
      <c r="Y1" s="106"/>
    </row>
    <row r="11" spans="3:25">
      <c r="C11" s="48" t="s">
        <v>37</v>
      </c>
      <c r="D11" s="48" t="s">
        <v>38</v>
      </c>
      <c r="E11" s="48" t="s">
        <v>39</v>
      </c>
      <c r="F11" s="48" t="s">
        <v>40</v>
      </c>
      <c r="G11" s="48" t="s">
        <v>41</v>
      </c>
      <c r="H11" s="49" t="s">
        <v>42</v>
      </c>
      <c r="I11" s="49" t="s">
        <v>43</v>
      </c>
    </row>
    <row r="12" spans="3:25">
      <c r="C12" s="50">
        <v>44555</v>
      </c>
      <c r="D12" s="51" t="s">
        <v>12</v>
      </c>
      <c r="E12" s="51" t="s">
        <v>13</v>
      </c>
      <c r="F12" s="52">
        <v>3500</v>
      </c>
      <c r="G12" s="53"/>
      <c r="H12" s="54">
        <f>SUMPRODUCT(Tracking[Amount],--(Tracking[Date]&lt;=Tracking[[#This Row],[Date]]),(Tracking[Type]&lt;&gt;"income")*(-1)+(Tracking[Type]="income"))</f>
        <v>3500</v>
      </c>
      <c r="I12" s="55">
        <f>IF(AND(Tracking[[#This Row],[Type]]="income",shift_late_income_status="Active",DAY(Tracking[[#This Row],[Date]])&gt;=shift_late_income_starting_day),DATE(YEAR(Tracking[[#This Row],[Date]]),MONTH(Tracking[[#This Row],[Date]])+1,1),Tracking[[#This Row],[Date]])</f>
        <v>44562</v>
      </c>
    </row>
    <row r="13" spans="3:25">
      <c r="C13" s="50">
        <v>44563</v>
      </c>
      <c r="D13" s="51" t="s">
        <v>18</v>
      </c>
      <c r="E13" s="51" t="s">
        <v>19</v>
      </c>
      <c r="F13" s="52">
        <v>1200</v>
      </c>
      <c r="G13" s="53"/>
      <c r="H13" s="54">
        <f>SUMPRODUCT(Tracking[Amount],--(Tracking[Date]&lt;=Tracking[[#This Row],[Date]]),(Tracking[Type]&lt;&gt;"income")*(-1)+(Tracking[Type]="income"))</f>
        <v>2300</v>
      </c>
      <c r="I13" s="55">
        <f>IF(AND(Tracking[[#This Row],[Type]]="income",shift_late_income_status="Active",DAY(Tracking[[#This Row],[Date]])&gt;=shift_late_income_starting_day),DATE(YEAR(Tracking[[#This Row],[Date]]),MONTH(Tracking[[#This Row],[Date]])+1,1),Tracking[[#This Row],[Date]])</f>
        <v>44563</v>
      </c>
    </row>
    <row r="14" spans="3:25">
      <c r="C14" s="50">
        <v>44564</v>
      </c>
      <c r="D14" s="51" t="s">
        <v>18</v>
      </c>
      <c r="E14" s="51" t="s">
        <v>24</v>
      </c>
      <c r="F14" s="52">
        <v>150</v>
      </c>
      <c r="G14" s="53"/>
      <c r="H14" s="54">
        <f>SUMPRODUCT(Tracking[Amount],--(Tracking[Date]&lt;=Tracking[[#This Row],[Date]]),(Tracking[Type]&lt;&gt;"income")*(-1)+(Tracking[Type]="income"))</f>
        <v>2150</v>
      </c>
      <c r="I14" s="55">
        <f>IF(AND(Tracking[[#This Row],[Type]]="income",shift_late_income_status="Active",DAY(Tracking[[#This Row],[Date]])&gt;=shift_late_income_starting_day),DATE(YEAR(Tracking[[#This Row],[Date]]),MONTH(Tracking[[#This Row],[Date]])+1,1),Tracking[[#This Row],[Date]])</f>
        <v>44564</v>
      </c>
    </row>
    <row r="15" spans="3:25">
      <c r="C15" s="50">
        <v>44565</v>
      </c>
      <c r="D15" s="51" t="s">
        <v>29</v>
      </c>
      <c r="E15" s="51" t="s">
        <v>30</v>
      </c>
      <c r="F15" s="52">
        <v>1000</v>
      </c>
      <c r="G15" s="53"/>
      <c r="H15" s="54">
        <f>SUMPRODUCT(Tracking[Amount],--(Tracking[Date]&lt;=Tracking[[#This Row],[Date]]),(Tracking[Type]&lt;&gt;"income")*(-1)+(Tracking[Type]="income"))</f>
        <v>1150</v>
      </c>
      <c r="I15" s="55">
        <f>IF(AND(Tracking[[#This Row],[Type]]="income",shift_late_income_status="Active",DAY(Tracking[[#This Row],[Date]])&gt;=shift_late_income_starting_day),DATE(YEAR(Tracking[[#This Row],[Date]]),MONTH(Tracking[[#This Row],[Date]])+1,1),Tracking[[#This Row],[Date]])</f>
        <v>44565</v>
      </c>
    </row>
    <row r="16" spans="3:25">
      <c r="C16" s="50">
        <v>44566</v>
      </c>
      <c r="D16" s="51" t="s">
        <v>18</v>
      </c>
      <c r="E16" s="51" t="s">
        <v>20</v>
      </c>
      <c r="F16" s="52">
        <v>300</v>
      </c>
      <c r="G16" s="53"/>
      <c r="H16" s="54">
        <f>SUMPRODUCT(Tracking[Amount],--(Tracking[Date]&lt;=Tracking[[#This Row],[Date]]),(Tracking[Type]&lt;&gt;"income")*(-1)+(Tracking[Type]="income"))</f>
        <v>850</v>
      </c>
      <c r="I16" s="55">
        <f>IF(AND(Tracking[[#This Row],[Type]]="income",shift_late_income_status="Active",DAY(Tracking[[#This Row],[Date]])&gt;=shift_late_income_starting_day),DATE(YEAR(Tracking[[#This Row],[Date]]),MONTH(Tracking[[#This Row],[Date]])+1,1),Tracking[[#This Row],[Date]])</f>
        <v>44566</v>
      </c>
    </row>
    <row r="17" spans="3:9">
      <c r="C17" s="50">
        <v>44568</v>
      </c>
      <c r="D17" s="51" t="s">
        <v>18</v>
      </c>
      <c r="E17" s="51" t="s">
        <v>21</v>
      </c>
      <c r="F17" s="52">
        <v>120</v>
      </c>
      <c r="G17" s="53"/>
      <c r="H17" s="54">
        <f>SUMPRODUCT(Tracking[Amount],--(Tracking[Date]&lt;=Tracking[[#This Row],[Date]]),(Tracking[Type]&lt;&gt;"income")*(-1)+(Tracking[Type]="income"))</f>
        <v>730</v>
      </c>
      <c r="I17" s="55">
        <f>IF(AND(Tracking[[#This Row],[Type]]="income",shift_late_income_status="Active",DAY(Tracking[[#This Row],[Date]])&gt;=shift_late_income_starting_day),DATE(YEAR(Tracking[[#This Row],[Date]]),MONTH(Tracking[[#This Row],[Date]])+1,1),Tracking[[#This Row],[Date]])</f>
        <v>44568</v>
      </c>
    </row>
    <row r="18" spans="3:9">
      <c r="C18" s="50">
        <v>44570</v>
      </c>
      <c r="D18" s="51" t="s">
        <v>18</v>
      </c>
      <c r="E18" s="51" t="s">
        <v>22</v>
      </c>
      <c r="F18" s="52">
        <v>80</v>
      </c>
      <c r="G18" s="53"/>
      <c r="H18" s="54">
        <f>SUMPRODUCT(Tracking[Amount],--(Tracking[Date]&lt;=Tracking[[#This Row],[Date]]),(Tracking[Type]&lt;&gt;"income")*(-1)+(Tracking[Type]="income"))</f>
        <v>650</v>
      </c>
      <c r="I18" s="55">
        <f>IF(AND(Tracking[[#This Row],[Type]]="income",shift_late_income_status="Active",DAY(Tracking[[#This Row],[Date]])&gt;=shift_late_income_starting_day),DATE(YEAR(Tracking[[#This Row],[Date]]),MONTH(Tracking[[#This Row],[Date]])+1,1),Tracking[[#This Row],[Date]])</f>
        <v>44570</v>
      </c>
    </row>
    <row r="19" spans="3:9">
      <c r="C19" s="50">
        <v>44571</v>
      </c>
      <c r="D19" s="51" t="s">
        <v>18</v>
      </c>
      <c r="E19" s="51" t="s">
        <v>27</v>
      </c>
      <c r="F19" s="52">
        <v>120</v>
      </c>
      <c r="G19" s="53"/>
      <c r="H19" s="54">
        <f>SUMPRODUCT(Tracking[Amount],--(Tracking[Date]&lt;=Tracking[[#This Row],[Date]]),(Tracking[Type]&lt;&gt;"income")*(-1)+(Tracking[Type]="income"))</f>
        <v>680</v>
      </c>
      <c r="I19" s="55">
        <f>IF(AND(Tracking[[#This Row],[Type]]="income",shift_late_income_status="Active",DAY(Tracking[[#This Row],[Date]])&gt;=shift_late_income_starting_day),DATE(YEAR(Tracking[[#This Row],[Date]]),MONTH(Tracking[[#This Row],[Date]])+1,1),Tracking[[#This Row],[Date]])</f>
        <v>44571</v>
      </c>
    </row>
    <row r="20" spans="3:9">
      <c r="C20" s="50">
        <v>44571</v>
      </c>
      <c r="D20" s="51" t="s">
        <v>12</v>
      </c>
      <c r="E20" s="51" t="s">
        <v>15</v>
      </c>
      <c r="F20" s="52">
        <v>150</v>
      </c>
      <c r="G20" s="53"/>
      <c r="H20" s="54">
        <f>SUMPRODUCT(Tracking[Amount],--(Tracking[Date]&lt;=Tracking[[#This Row],[Date]]),(Tracking[Type]&lt;&gt;"income")*(-1)+(Tracking[Type]="income"))</f>
        <v>680</v>
      </c>
      <c r="I20" s="55">
        <f>IF(AND(Tracking[[#This Row],[Type]]="income",shift_late_income_status="Active",DAY(Tracking[[#This Row],[Date]])&gt;=shift_late_income_starting_day),DATE(YEAR(Tracking[[#This Row],[Date]]),MONTH(Tracking[[#This Row],[Date]])+1,1),Tracking[[#This Row],[Date]])</f>
        <v>44571</v>
      </c>
    </row>
    <row r="21" spans="3:9">
      <c r="C21" s="50">
        <v>44573</v>
      </c>
      <c r="D21" s="51" t="s">
        <v>18</v>
      </c>
      <c r="E21" s="51" t="s">
        <v>26</v>
      </c>
      <c r="F21" s="52">
        <v>50</v>
      </c>
      <c r="G21" s="53"/>
      <c r="H21" s="54">
        <f>SUMPRODUCT(Tracking[Amount],--(Tracking[Date]&lt;=Tracking[[#This Row],[Date]]),(Tracking[Type]&lt;&gt;"income")*(-1)+(Tracking[Type]="income"))</f>
        <v>630</v>
      </c>
      <c r="I21" s="55">
        <f>IF(AND(Tracking[[#This Row],[Type]]="income",shift_late_income_status="Active",DAY(Tracking[[#This Row],[Date]])&gt;=shift_late_income_starting_day),DATE(YEAR(Tracking[[#This Row],[Date]]),MONTH(Tracking[[#This Row],[Date]])+1,1),Tracking[[#This Row],[Date]])</f>
        <v>44573</v>
      </c>
    </row>
    <row r="22" spans="3:9">
      <c r="C22" s="50">
        <v>44574</v>
      </c>
      <c r="D22" s="51" t="s">
        <v>18</v>
      </c>
      <c r="E22" s="51" t="s">
        <v>25</v>
      </c>
      <c r="F22" s="52">
        <v>70</v>
      </c>
      <c r="G22" s="53"/>
      <c r="H22" s="54">
        <f>SUMPRODUCT(Tracking[Amount],--(Tracking[Date]&lt;=Tracking[[#This Row],[Date]]),(Tracking[Type]&lt;&gt;"income")*(-1)+(Tracking[Type]="income"))</f>
        <v>560</v>
      </c>
      <c r="I22" s="55">
        <f>IF(AND(Tracking[[#This Row],[Type]]="income",shift_late_income_status="Active",DAY(Tracking[[#This Row],[Date]])&gt;=shift_late_income_starting_day),DATE(YEAR(Tracking[[#This Row],[Date]]),MONTH(Tracking[[#This Row],[Date]])+1,1),Tracking[[#This Row],[Date]])</f>
        <v>44574</v>
      </c>
    </row>
    <row r="23" spans="3:9">
      <c r="C23" s="50">
        <v>44575</v>
      </c>
      <c r="D23" s="51" t="s">
        <v>18</v>
      </c>
      <c r="E23" s="51" t="s">
        <v>21</v>
      </c>
      <c r="F23" s="52">
        <v>80</v>
      </c>
      <c r="G23" s="53"/>
      <c r="H23" s="54">
        <f>SUMPRODUCT(Tracking[Amount],--(Tracking[Date]&lt;=Tracking[[#This Row],[Date]]),(Tracking[Type]&lt;&gt;"income")*(-1)+(Tracking[Type]="income"))</f>
        <v>480</v>
      </c>
      <c r="I23" s="55">
        <f>IF(AND(Tracking[[#This Row],[Type]]="income",shift_late_income_status="Active",DAY(Tracking[[#This Row],[Date]])&gt;=shift_late_income_starting_day),DATE(YEAR(Tracking[[#This Row],[Date]]),MONTH(Tracking[[#This Row],[Date]])+1,1),Tracking[[#This Row],[Date]])</f>
        <v>44575</v>
      </c>
    </row>
    <row r="24" spans="3:9">
      <c r="C24" s="50">
        <v>44576</v>
      </c>
      <c r="D24" s="51" t="s">
        <v>12</v>
      </c>
      <c r="E24" s="51" t="s">
        <v>14</v>
      </c>
      <c r="F24" s="52">
        <v>1200</v>
      </c>
      <c r="G24" s="53"/>
      <c r="H24" s="54">
        <f>SUMPRODUCT(Tracking[Amount],--(Tracking[Date]&lt;=Tracking[[#This Row],[Date]]),(Tracking[Type]&lt;&gt;"income")*(-1)+(Tracking[Type]="income"))</f>
        <v>1680</v>
      </c>
      <c r="I24" s="55">
        <f>IF(AND(Tracking[[#This Row],[Type]]="income",shift_late_income_status="Active",DAY(Tracking[[#This Row],[Date]])&gt;=shift_late_income_starting_day),DATE(YEAR(Tracking[[#This Row],[Date]]),MONTH(Tracking[[#This Row],[Date]])+1,1),Tracking[[#This Row],[Date]])</f>
        <v>44576</v>
      </c>
    </row>
    <row r="25" spans="3:9">
      <c r="C25" s="50">
        <v>44578</v>
      </c>
      <c r="D25" s="51" t="s">
        <v>18</v>
      </c>
      <c r="E25" s="51" t="s">
        <v>27</v>
      </c>
      <c r="F25" s="52">
        <v>100</v>
      </c>
      <c r="G25" s="53"/>
      <c r="H25" s="54">
        <f>SUMPRODUCT(Tracking[Amount],--(Tracking[Date]&lt;=Tracking[[#This Row],[Date]]),(Tracking[Type]&lt;&gt;"income")*(-1)+(Tracking[Type]="income"))</f>
        <v>1580</v>
      </c>
      <c r="I25" s="55">
        <f>IF(AND(Tracking[[#This Row],[Type]]="income",shift_late_income_status="Active",DAY(Tracking[[#This Row],[Date]])&gt;=shift_late_income_starting_day),DATE(YEAR(Tracking[[#This Row],[Date]]),MONTH(Tracking[[#This Row],[Date]])+1,1),Tracking[[#This Row],[Date]])</f>
        <v>44578</v>
      </c>
    </row>
    <row r="26" spans="3:9">
      <c r="C26" s="50">
        <v>44579</v>
      </c>
      <c r="D26" s="51" t="s">
        <v>18</v>
      </c>
      <c r="E26" s="51" t="s">
        <v>24</v>
      </c>
      <c r="F26" s="52">
        <v>70</v>
      </c>
      <c r="G26" s="53"/>
      <c r="H26" s="54">
        <f>SUMPRODUCT(Tracking[Amount],--(Tracking[Date]&lt;=Tracking[[#This Row],[Date]]),(Tracking[Type]&lt;&gt;"income")*(-1)+(Tracking[Type]="income"))</f>
        <v>1510</v>
      </c>
      <c r="I26" s="55">
        <f>IF(AND(Tracking[[#This Row],[Type]]="income",shift_late_income_status="Active",DAY(Tracking[[#This Row],[Date]])&gt;=shift_late_income_starting_day),DATE(YEAR(Tracking[[#This Row],[Date]]),MONTH(Tracking[[#This Row],[Date]])+1,1),Tracking[[#This Row],[Date]])</f>
        <v>44579</v>
      </c>
    </row>
    <row r="27" spans="3:9">
      <c r="C27" s="50">
        <v>44580</v>
      </c>
      <c r="D27" s="51" t="s">
        <v>18</v>
      </c>
      <c r="E27" s="51" t="s">
        <v>25</v>
      </c>
      <c r="F27" s="52">
        <v>60</v>
      </c>
      <c r="G27" s="53"/>
      <c r="H27" s="54">
        <f>SUMPRODUCT(Tracking[Amount],--(Tracking[Date]&lt;=Tracking[[#This Row],[Date]]),(Tracking[Type]&lt;&gt;"income")*(-1)+(Tracking[Type]="income"))</f>
        <v>1450</v>
      </c>
      <c r="I27" s="55">
        <f>IF(AND(Tracking[[#This Row],[Type]]="income",shift_late_income_status="Active",DAY(Tracking[[#This Row],[Date]])&gt;=shift_late_income_starting_day),DATE(YEAR(Tracking[[#This Row],[Date]]),MONTH(Tracking[[#This Row],[Date]])+1,1),Tracking[[#This Row],[Date]])</f>
        <v>44580</v>
      </c>
    </row>
    <row r="28" spans="3:9">
      <c r="C28" s="50">
        <v>44582</v>
      </c>
      <c r="D28" s="51" t="s">
        <v>18</v>
      </c>
      <c r="E28" s="51" t="s">
        <v>27</v>
      </c>
      <c r="F28" s="52">
        <v>30</v>
      </c>
      <c r="G28" s="53"/>
      <c r="H28" s="54">
        <f>SUMPRODUCT(Tracking[Amount],--(Tracking[Date]&lt;=Tracking[[#This Row],[Date]]),(Tracking[Type]&lt;&gt;"income")*(-1)+(Tracking[Type]="income"))</f>
        <v>1420</v>
      </c>
      <c r="I28" s="55">
        <f>IF(AND(Tracking[[#This Row],[Type]]="income",shift_late_income_status="Active",DAY(Tracking[[#This Row],[Date]])&gt;=shift_late_income_starting_day),DATE(YEAR(Tracking[[#This Row],[Date]]),MONTH(Tracking[[#This Row],[Date]])+1,1),Tracking[[#This Row],[Date]])</f>
        <v>44582</v>
      </c>
    </row>
    <row r="29" spans="3:9">
      <c r="C29" s="50">
        <v>44583</v>
      </c>
      <c r="D29" s="51" t="s">
        <v>18</v>
      </c>
      <c r="E29" s="51" t="s">
        <v>22</v>
      </c>
      <c r="F29" s="52">
        <v>100</v>
      </c>
      <c r="G29" s="53"/>
      <c r="H29" s="54">
        <f>SUMPRODUCT(Tracking[Amount],--(Tracking[Date]&lt;=Tracking[[#This Row],[Date]]),(Tracking[Type]&lt;&gt;"income")*(-1)+(Tracking[Type]="income"))</f>
        <v>1320</v>
      </c>
      <c r="I29" s="55">
        <f>IF(AND(Tracking[[#This Row],[Type]]="income",shift_late_income_status="Active",DAY(Tracking[[#This Row],[Date]])&gt;=shift_late_income_starting_day),DATE(YEAR(Tracking[[#This Row],[Date]]),MONTH(Tracking[[#This Row],[Date]])+1,1),Tracking[[#This Row],[Date]])</f>
        <v>44583</v>
      </c>
    </row>
    <row r="30" spans="3:9">
      <c r="C30" s="50">
        <v>44585</v>
      </c>
      <c r="D30" s="51" t="s">
        <v>18</v>
      </c>
      <c r="E30" s="51" t="s">
        <v>25</v>
      </c>
      <c r="F30" s="52">
        <v>40</v>
      </c>
      <c r="G30" s="53"/>
      <c r="H30" s="54">
        <f>SUMPRODUCT(Tracking[Amount],--(Tracking[Date]&lt;=Tracking[[#This Row],[Date]]),(Tracking[Type]&lt;&gt;"income")*(-1)+(Tracking[Type]="income"))</f>
        <v>1280</v>
      </c>
      <c r="I30" s="55">
        <f>IF(AND(Tracking[[#This Row],[Type]]="income",shift_late_income_status="Active",DAY(Tracking[[#This Row],[Date]])&gt;=shift_late_income_starting_day),DATE(YEAR(Tracking[[#This Row],[Date]]),MONTH(Tracking[[#This Row],[Date]])+1,1),Tracking[[#This Row],[Date]])</f>
        <v>44585</v>
      </c>
    </row>
    <row r="31" spans="3:9">
      <c r="C31" s="50">
        <v>44586</v>
      </c>
      <c r="D31" s="51" t="s">
        <v>12</v>
      </c>
      <c r="E31" s="51" t="s">
        <v>13</v>
      </c>
      <c r="F31" s="52">
        <v>3500</v>
      </c>
      <c r="G31" s="53"/>
      <c r="H31" s="54">
        <f>SUMPRODUCT(Tracking[Amount],--(Tracking[Date]&lt;=Tracking[[#This Row],[Date]]),(Tracking[Type]&lt;&gt;"income")*(-1)+(Tracking[Type]="income"))</f>
        <v>4780</v>
      </c>
      <c r="I31" s="55">
        <f>IF(AND(Tracking[[#This Row],[Type]]="income",shift_late_income_status="Active",DAY(Tracking[[#This Row],[Date]])&gt;=shift_late_income_starting_day),DATE(YEAR(Tracking[[#This Row],[Date]]),MONTH(Tracking[[#This Row],[Date]])+1,1),Tracking[[#This Row],[Date]])</f>
        <v>44593</v>
      </c>
    </row>
    <row r="32" spans="3:9">
      <c r="C32" s="50">
        <v>44587</v>
      </c>
      <c r="D32" s="51" t="s">
        <v>18</v>
      </c>
      <c r="E32" s="51" t="s">
        <v>21</v>
      </c>
      <c r="F32" s="52">
        <v>120</v>
      </c>
      <c r="G32" s="53"/>
      <c r="H32" s="54">
        <f>SUMPRODUCT(Tracking[Amount],--(Tracking[Date]&lt;=Tracking[[#This Row],[Date]]),(Tracking[Type]&lt;&gt;"income")*(-1)+(Tracking[Type]="income"))</f>
        <v>4660</v>
      </c>
      <c r="I32" s="55">
        <f>IF(AND(Tracking[[#This Row],[Type]]="income",shift_late_income_status="Active",DAY(Tracking[[#This Row],[Date]])&gt;=shift_late_income_starting_day),DATE(YEAR(Tracking[[#This Row],[Date]]),MONTH(Tracking[[#This Row],[Date]])+1,1),Tracking[[#This Row],[Date]])</f>
        <v>44587</v>
      </c>
    </row>
    <row r="33" spans="3:9">
      <c r="C33" s="50">
        <v>44589</v>
      </c>
      <c r="D33" s="51" t="s">
        <v>18</v>
      </c>
      <c r="E33" s="51" t="s">
        <v>27</v>
      </c>
      <c r="F33" s="52">
        <v>110</v>
      </c>
      <c r="G33" s="53"/>
      <c r="H33" s="54">
        <f>SUMPRODUCT(Tracking[Amount],--(Tracking[Date]&lt;=Tracking[[#This Row],[Date]]),(Tracking[Type]&lt;&gt;"income")*(-1)+(Tracking[Type]="income"))</f>
        <v>4550</v>
      </c>
      <c r="I33" s="55">
        <f>IF(AND(Tracking[[#This Row],[Type]]="income",shift_late_income_status="Active",DAY(Tracking[[#This Row],[Date]])&gt;=shift_late_income_starting_day),DATE(YEAR(Tracking[[#This Row],[Date]]),MONTH(Tracking[[#This Row],[Date]])+1,1),Tracking[[#This Row],[Date]])</f>
        <v>44589</v>
      </c>
    </row>
    <row r="34" spans="3:9">
      <c r="C34" s="50">
        <v>44592</v>
      </c>
      <c r="D34" s="51" t="s">
        <v>29</v>
      </c>
      <c r="E34" s="51" t="s">
        <v>31</v>
      </c>
      <c r="F34" s="52">
        <v>400</v>
      </c>
      <c r="G34" s="53"/>
      <c r="H34" s="54">
        <f>SUMPRODUCT(Tracking[Amount],--(Tracking[Date]&lt;=Tracking[[#This Row],[Date]]),(Tracking[Type]&lt;&gt;"income")*(-1)+(Tracking[Type]="income"))</f>
        <v>3500</v>
      </c>
      <c r="I34" s="55">
        <f>IF(AND(Tracking[[#This Row],[Type]]="income",shift_late_income_status="Active",DAY(Tracking[[#This Row],[Date]])&gt;=shift_late_income_starting_day),DATE(YEAR(Tracking[[#This Row],[Date]]),MONTH(Tracking[[#This Row],[Date]])+1,1),Tracking[[#This Row],[Date]])</f>
        <v>44592</v>
      </c>
    </row>
    <row r="35" spans="3:9">
      <c r="C35" s="50">
        <v>44592</v>
      </c>
      <c r="D35" s="51" t="s">
        <v>29</v>
      </c>
      <c r="E35" s="51" t="s">
        <v>32</v>
      </c>
      <c r="F35" s="52">
        <v>250</v>
      </c>
      <c r="G35" s="53"/>
      <c r="H35" s="54">
        <f>SUMPRODUCT(Tracking[Amount],--(Tracking[Date]&lt;=Tracking[[#This Row],[Date]]),(Tracking[Type]&lt;&gt;"income")*(-1)+(Tracking[Type]="income"))</f>
        <v>3500</v>
      </c>
      <c r="I35" s="55">
        <f>IF(AND(Tracking[[#This Row],[Type]]="income",shift_late_income_status="Active",DAY(Tracking[[#This Row],[Date]])&gt;=shift_late_income_starting_day),DATE(YEAR(Tracking[[#This Row],[Date]]),MONTH(Tracking[[#This Row],[Date]])+1,1),Tracking[[#This Row],[Date]])</f>
        <v>44592</v>
      </c>
    </row>
    <row r="36" spans="3:9">
      <c r="C36" s="50">
        <v>44592</v>
      </c>
      <c r="D36" s="51" t="s">
        <v>29</v>
      </c>
      <c r="E36" s="51" t="s">
        <v>33</v>
      </c>
      <c r="F36" s="52">
        <v>400</v>
      </c>
      <c r="G36" s="53"/>
      <c r="H36" s="54">
        <f>SUMPRODUCT(Tracking[Amount],--(Tracking[Date]&lt;=Tracking[[#This Row],[Date]]),(Tracking[Type]&lt;&gt;"income")*(-1)+(Tracking[Type]="income"))</f>
        <v>3500</v>
      </c>
      <c r="I36" s="55">
        <f>IF(AND(Tracking[[#This Row],[Type]]="income",shift_late_income_status="Active",DAY(Tracking[[#This Row],[Date]])&gt;=shift_late_income_starting_day),DATE(YEAR(Tracking[[#This Row],[Date]]),MONTH(Tracking[[#This Row],[Date]])+1,1),Tracking[[#This Row],[Date]])</f>
        <v>44592</v>
      </c>
    </row>
    <row r="37" spans="3:9">
      <c r="C37" s="50">
        <v>44593</v>
      </c>
      <c r="D37" s="51" t="s">
        <v>18</v>
      </c>
      <c r="E37" s="51" t="s">
        <v>19</v>
      </c>
      <c r="F37" s="52">
        <v>1200</v>
      </c>
      <c r="G37" s="53"/>
      <c r="H37" s="54">
        <f>SUMPRODUCT(Tracking[Amount],--(Tracking[Date]&lt;=Tracking[[#This Row],[Date]]),(Tracking[Type]&lt;&gt;"income")*(-1)+(Tracking[Type]="income"))</f>
        <v>2300</v>
      </c>
      <c r="I37" s="55">
        <f>IF(AND(Tracking[[#This Row],[Type]]="income",shift_late_income_status="Active",DAY(Tracking[[#This Row],[Date]])&gt;=shift_late_income_starting_day),DATE(YEAR(Tracking[[#This Row],[Date]]),MONTH(Tracking[[#This Row],[Date]])+1,1),Tracking[[#This Row],[Date]])</f>
        <v>44593</v>
      </c>
    </row>
    <row r="38" spans="3:9">
      <c r="C38" s="50">
        <v>44594</v>
      </c>
      <c r="D38" s="51" t="s">
        <v>18</v>
      </c>
      <c r="E38" s="51" t="s">
        <v>20</v>
      </c>
      <c r="F38" s="52">
        <v>300</v>
      </c>
      <c r="G38" s="53"/>
      <c r="H38" s="54">
        <f>SUMPRODUCT(Tracking[Amount],--(Tracking[Date]&lt;=Tracking[[#This Row],[Date]]),(Tracking[Type]&lt;&gt;"income")*(-1)+(Tracking[Type]="income"))</f>
        <v>2000</v>
      </c>
      <c r="I38" s="55">
        <f>IF(AND(Tracking[[#This Row],[Type]]="income",shift_late_income_status="Active",DAY(Tracking[[#This Row],[Date]])&gt;=shift_late_income_starting_day),DATE(YEAR(Tracking[[#This Row],[Date]]),MONTH(Tracking[[#This Row],[Date]])+1,1),Tracking[[#This Row],[Date]])</f>
        <v>44594</v>
      </c>
    </row>
    <row r="39" spans="3:9">
      <c r="C39" s="50">
        <v>44597</v>
      </c>
      <c r="D39" s="51" t="s">
        <v>12</v>
      </c>
      <c r="E39" s="51" t="s">
        <v>14</v>
      </c>
      <c r="F39" s="52">
        <v>500</v>
      </c>
      <c r="G39" s="53"/>
      <c r="H39" s="54">
        <f>SUMPRODUCT(Tracking[Amount],--(Tracking[Date]&lt;=Tracking[[#This Row],[Date]]),(Tracking[Type]&lt;&gt;"income")*(-1)+(Tracking[Type]="income"))</f>
        <v>2500</v>
      </c>
      <c r="I39" s="55">
        <f>IF(AND(Tracking[[#This Row],[Type]]="income",shift_late_income_status="Active",DAY(Tracking[[#This Row],[Date]])&gt;=shift_late_income_starting_day),DATE(YEAR(Tracking[[#This Row],[Date]]),MONTH(Tracking[[#This Row],[Date]])+1,1),Tracking[[#This Row],[Date]])</f>
        <v>44597</v>
      </c>
    </row>
    <row r="40" spans="3:9">
      <c r="C40" s="50">
        <v>44599</v>
      </c>
      <c r="D40" s="51" t="s">
        <v>18</v>
      </c>
      <c r="E40" s="51" t="s">
        <v>21</v>
      </c>
      <c r="F40" s="52">
        <v>200</v>
      </c>
      <c r="G40" s="53"/>
      <c r="H40" s="54">
        <f>SUMPRODUCT(Tracking[Amount],--(Tracking[Date]&lt;=Tracking[[#This Row],[Date]]),(Tracking[Type]&lt;&gt;"income")*(-1)+(Tracking[Type]="income"))</f>
        <v>2300</v>
      </c>
      <c r="I40" s="55">
        <f>IF(AND(Tracking[[#This Row],[Type]]="income",shift_late_income_status="Active",DAY(Tracking[[#This Row],[Date]])&gt;=shift_late_income_starting_day),DATE(YEAR(Tracking[[#This Row],[Date]]),MONTH(Tracking[[#This Row],[Date]])+1,1),Tracking[[#This Row],[Date]])</f>
        <v>44599</v>
      </c>
    </row>
    <row r="41" spans="3:9">
      <c r="C41" s="50">
        <v>44600</v>
      </c>
      <c r="D41" s="51" t="s">
        <v>18</v>
      </c>
      <c r="E41" s="51" t="s">
        <v>22</v>
      </c>
      <c r="F41" s="52">
        <v>100</v>
      </c>
      <c r="G41" s="53"/>
      <c r="H41" s="54">
        <f>SUMPRODUCT(Tracking[Amount],--(Tracking[Date]&lt;=Tracking[[#This Row],[Date]]),(Tracking[Type]&lt;&gt;"income")*(-1)+(Tracking[Type]="income"))</f>
        <v>2200</v>
      </c>
      <c r="I41" s="55">
        <f>IF(AND(Tracking[[#This Row],[Type]]="income",shift_late_income_status="Active",DAY(Tracking[[#This Row],[Date]])&gt;=shift_late_income_starting_day),DATE(YEAR(Tracking[[#This Row],[Date]]),MONTH(Tracking[[#This Row],[Date]])+1,1),Tracking[[#This Row],[Date]])</f>
        <v>44600</v>
      </c>
    </row>
    <row r="42" spans="3:9">
      <c r="C42" s="50">
        <v>44601</v>
      </c>
      <c r="D42" s="51" t="s">
        <v>29</v>
      </c>
      <c r="E42" s="51" t="s">
        <v>32</v>
      </c>
      <c r="F42" s="52">
        <v>500</v>
      </c>
      <c r="G42" s="53"/>
      <c r="H42" s="54">
        <f>SUMPRODUCT(Tracking[Amount],--(Tracking[Date]&lt;=Tracking[[#This Row],[Date]]),(Tracking[Type]&lt;&gt;"income")*(-1)+(Tracking[Type]="income"))</f>
        <v>1700</v>
      </c>
      <c r="I42" s="55">
        <f>IF(AND(Tracking[[#This Row],[Type]]="income",shift_late_income_status="Active",DAY(Tracking[[#This Row],[Date]])&gt;=shift_late_income_starting_day),DATE(YEAR(Tracking[[#This Row],[Date]]),MONTH(Tracking[[#This Row],[Date]])+1,1),Tracking[[#This Row],[Date]])</f>
        <v>44601</v>
      </c>
    </row>
    <row r="43" spans="3:9">
      <c r="C43" s="50">
        <v>44602</v>
      </c>
      <c r="D43" s="51" t="s">
        <v>18</v>
      </c>
      <c r="E43" s="51" t="s">
        <v>24</v>
      </c>
      <c r="F43" s="52">
        <v>60</v>
      </c>
      <c r="G43" s="53"/>
      <c r="H43" s="54">
        <f>SUMPRODUCT(Tracking[Amount],--(Tracking[Date]&lt;=Tracking[[#This Row],[Date]]),(Tracking[Type]&lt;&gt;"income")*(-1)+(Tracking[Type]="income"))</f>
        <v>1640</v>
      </c>
      <c r="I43" s="55">
        <f>IF(AND(Tracking[[#This Row],[Type]]="income",shift_late_income_status="Active",DAY(Tracking[[#This Row],[Date]])&gt;=shift_late_income_starting_day),DATE(YEAR(Tracking[[#This Row],[Date]]),MONTH(Tracking[[#This Row],[Date]])+1,1),Tracking[[#This Row],[Date]])</f>
        <v>44602</v>
      </c>
    </row>
    <row r="44" spans="3:9">
      <c r="C44" s="50">
        <v>44603</v>
      </c>
      <c r="D44" s="51" t="s">
        <v>18</v>
      </c>
      <c r="E44" s="51" t="s">
        <v>25</v>
      </c>
      <c r="F44" s="52">
        <v>70</v>
      </c>
      <c r="G44" s="53"/>
      <c r="H44" s="54">
        <f>SUMPRODUCT(Tracking[Amount],--(Tracking[Date]&lt;=Tracking[[#This Row],[Date]]),(Tracking[Type]&lt;&gt;"income")*(-1)+(Tracking[Type]="income"))</f>
        <v>1570</v>
      </c>
      <c r="I44" s="55">
        <f>IF(AND(Tracking[[#This Row],[Type]]="income",shift_late_income_status="Active",DAY(Tracking[[#This Row],[Date]])&gt;=shift_late_income_starting_day),DATE(YEAR(Tracking[[#This Row],[Date]]),MONTH(Tracking[[#This Row],[Date]])+1,1),Tracking[[#This Row],[Date]])</f>
        <v>44603</v>
      </c>
    </row>
    <row r="45" spans="3:9">
      <c r="C45" s="50">
        <v>44605</v>
      </c>
      <c r="D45" s="51" t="s">
        <v>18</v>
      </c>
      <c r="E45" s="51" t="s">
        <v>27</v>
      </c>
      <c r="F45" s="52">
        <v>140</v>
      </c>
      <c r="G45" s="53"/>
      <c r="H45" s="54">
        <f>SUMPRODUCT(Tracking[Amount],--(Tracking[Date]&lt;=Tracking[[#This Row],[Date]]),(Tracking[Type]&lt;&gt;"income")*(-1)+(Tracking[Type]="income"))</f>
        <v>1430</v>
      </c>
      <c r="I45" s="55">
        <f>IF(AND(Tracking[[#This Row],[Type]]="income",shift_late_income_status="Active",DAY(Tracking[[#This Row],[Date]])&gt;=shift_late_income_starting_day),DATE(YEAR(Tracking[[#This Row],[Date]]),MONTH(Tracking[[#This Row],[Date]])+1,1),Tracking[[#This Row],[Date]])</f>
        <v>44605</v>
      </c>
    </row>
    <row r="46" spans="3:9">
      <c r="C46" s="50">
        <v>44606</v>
      </c>
      <c r="D46" s="51" t="s">
        <v>18</v>
      </c>
      <c r="E46" s="51" t="s">
        <v>21</v>
      </c>
      <c r="F46" s="52">
        <v>80</v>
      </c>
      <c r="G46" s="53"/>
      <c r="H46" s="54">
        <f>SUMPRODUCT(Tracking[Amount],--(Tracking[Date]&lt;=Tracking[[#This Row],[Date]]),(Tracking[Type]&lt;&gt;"income")*(-1)+(Tracking[Type]="income"))</f>
        <v>1350</v>
      </c>
      <c r="I46" s="55">
        <f>IF(AND(Tracking[[#This Row],[Type]]="income",shift_late_income_status="Active",DAY(Tracking[[#This Row],[Date]])&gt;=shift_late_income_starting_day),DATE(YEAR(Tracking[[#This Row],[Date]]),MONTH(Tracking[[#This Row],[Date]])+1,1),Tracking[[#This Row],[Date]])</f>
        <v>44606</v>
      </c>
    </row>
    <row r="47" spans="3:9">
      <c r="C47" s="50">
        <v>44607</v>
      </c>
      <c r="D47" s="51" t="s">
        <v>12</v>
      </c>
      <c r="E47" s="51" t="s">
        <v>15</v>
      </c>
      <c r="F47" s="52">
        <v>50</v>
      </c>
      <c r="G47" s="53"/>
      <c r="H47" s="54">
        <f>SUMPRODUCT(Tracking[Amount],--(Tracking[Date]&lt;=Tracking[[#This Row],[Date]]),(Tracking[Type]&lt;&gt;"income")*(-1)+(Tracking[Type]="income"))</f>
        <v>1400</v>
      </c>
      <c r="I47" s="55">
        <f>IF(AND(Tracking[[#This Row],[Type]]="income",shift_late_income_status="Active",DAY(Tracking[[#This Row],[Date]])&gt;=shift_late_income_starting_day),DATE(YEAR(Tracking[[#This Row],[Date]]),MONTH(Tracking[[#This Row],[Date]])+1,1),Tracking[[#This Row],[Date]])</f>
        <v>44607</v>
      </c>
    </row>
    <row r="48" spans="3:9">
      <c r="C48" s="50">
        <v>44608</v>
      </c>
      <c r="D48" s="51" t="s">
        <v>18</v>
      </c>
      <c r="E48" s="51" t="s">
        <v>26</v>
      </c>
      <c r="F48" s="52">
        <v>70</v>
      </c>
      <c r="G48" s="53"/>
      <c r="H48" s="54">
        <f>SUMPRODUCT(Tracking[Amount],--(Tracking[Date]&lt;=Tracking[[#This Row],[Date]]),(Tracking[Type]&lt;&gt;"income")*(-1)+(Tracking[Type]="income"))</f>
        <v>1330</v>
      </c>
      <c r="I48" s="55">
        <f>IF(AND(Tracking[[#This Row],[Type]]="income",shift_late_income_status="Active",DAY(Tracking[[#This Row],[Date]])&gt;=shift_late_income_starting_day),DATE(YEAR(Tracking[[#This Row],[Date]]),MONTH(Tracking[[#This Row],[Date]])+1,1),Tracking[[#This Row],[Date]])</f>
        <v>44608</v>
      </c>
    </row>
    <row r="49" spans="3:9">
      <c r="C49" s="50">
        <v>44609</v>
      </c>
      <c r="D49" s="51" t="s">
        <v>18</v>
      </c>
      <c r="E49" s="51" t="s">
        <v>22</v>
      </c>
      <c r="F49" s="52">
        <v>150</v>
      </c>
      <c r="G49" s="53"/>
      <c r="H49" s="54">
        <f>SUMPRODUCT(Tracking[Amount],--(Tracking[Date]&lt;=Tracking[[#This Row],[Date]]),(Tracking[Type]&lt;&gt;"income")*(-1)+(Tracking[Type]="income"))</f>
        <v>1180</v>
      </c>
      <c r="I49" s="55">
        <f>IF(AND(Tracking[[#This Row],[Type]]="income",shift_late_income_status="Active",DAY(Tracking[[#This Row],[Date]])&gt;=shift_late_income_starting_day),DATE(YEAR(Tracking[[#This Row],[Date]]),MONTH(Tracking[[#This Row],[Date]])+1,1),Tracking[[#This Row],[Date]])</f>
        <v>44609</v>
      </c>
    </row>
    <row r="50" spans="3:9">
      <c r="C50" s="50">
        <v>44610</v>
      </c>
      <c r="D50" s="51" t="s">
        <v>18</v>
      </c>
      <c r="E50" s="51" t="s">
        <v>27</v>
      </c>
      <c r="F50" s="52">
        <v>60</v>
      </c>
      <c r="G50" s="53"/>
      <c r="H50" s="54">
        <f>SUMPRODUCT(Tracking[Amount],--(Tracking[Date]&lt;=Tracking[[#This Row],[Date]]),(Tracking[Type]&lt;&gt;"income")*(-1)+(Tracking[Type]="income"))</f>
        <v>1120</v>
      </c>
      <c r="I50" s="55">
        <f>IF(AND(Tracking[[#This Row],[Type]]="income",shift_late_income_status="Active",DAY(Tracking[[#This Row],[Date]])&gt;=shift_late_income_starting_day),DATE(YEAR(Tracking[[#This Row],[Date]]),MONTH(Tracking[[#This Row],[Date]])+1,1),Tracking[[#This Row],[Date]])</f>
        <v>44610</v>
      </c>
    </row>
    <row r="51" spans="3:9">
      <c r="C51" s="50">
        <v>44612</v>
      </c>
      <c r="D51" s="51" t="s">
        <v>18</v>
      </c>
      <c r="E51" s="51" t="s">
        <v>25</v>
      </c>
      <c r="F51" s="52">
        <v>140</v>
      </c>
      <c r="G51" s="53"/>
      <c r="H51" s="54">
        <f>SUMPRODUCT(Tracking[Amount],--(Tracking[Date]&lt;=Tracking[[#This Row],[Date]]),(Tracking[Type]&lt;&gt;"income")*(-1)+(Tracking[Type]="income"))</f>
        <v>980</v>
      </c>
      <c r="I51" s="55">
        <f>IF(AND(Tracking[[#This Row],[Type]]="income",shift_late_income_status="Active",DAY(Tracking[[#This Row],[Date]])&gt;=shift_late_income_starting_day),DATE(YEAR(Tracking[[#This Row],[Date]]),MONTH(Tracking[[#This Row],[Date]])+1,1),Tracking[[#This Row],[Date]])</f>
        <v>44612</v>
      </c>
    </row>
    <row r="52" spans="3:9">
      <c r="C52" s="50">
        <v>44614</v>
      </c>
      <c r="D52" s="51" t="s">
        <v>18</v>
      </c>
      <c r="E52" s="51" t="s">
        <v>24</v>
      </c>
      <c r="F52" s="52">
        <v>80</v>
      </c>
      <c r="G52" s="53"/>
      <c r="H52" s="54">
        <f>SUMPRODUCT(Tracking[Amount],--(Tracking[Date]&lt;=Tracking[[#This Row],[Date]]),(Tracking[Type]&lt;&gt;"income")*(-1)+(Tracking[Type]="income"))</f>
        <v>900</v>
      </c>
      <c r="I52" s="55">
        <f>IF(AND(Tracking[[#This Row],[Type]]="income",shift_late_income_status="Active",DAY(Tracking[[#This Row],[Date]])&gt;=shift_late_income_starting_day),DATE(YEAR(Tracking[[#This Row],[Date]]),MONTH(Tracking[[#This Row],[Date]])+1,1),Tracking[[#This Row],[Date]])</f>
        <v>44614</v>
      </c>
    </row>
    <row r="53" spans="3:9">
      <c r="C53" s="50">
        <v>44616</v>
      </c>
      <c r="D53" s="51" t="s">
        <v>18</v>
      </c>
      <c r="E53" s="51" t="s">
        <v>21</v>
      </c>
      <c r="F53" s="52">
        <v>120</v>
      </c>
      <c r="G53" s="53"/>
      <c r="H53" s="54">
        <f>SUMPRODUCT(Tracking[Amount],--(Tracking[Date]&lt;=Tracking[[#This Row],[Date]]),(Tracking[Type]&lt;&gt;"income")*(-1)+(Tracking[Type]="income"))</f>
        <v>780</v>
      </c>
      <c r="I53" s="55">
        <f>IF(AND(Tracking[[#This Row],[Type]]="income",shift_late_income_status="Active",DAY(Tracking[[#This Row],[Date]])&gt;=shift_late_income_starting_day),DATE(YEAR(Tracking[[#This Row],[Date]]),MONTH(Tracking[[#This Row],[Date]])+1,1),Tracking[[#This Row],[Date]])</f>
        <v>44616</v>
      </c>
    </row>
    <row r="54" spans="3:9">
      <c r="C54" s="50">
        <v>44617</v>
      </c>
      <c r="D54" s="51" t="s">
        <v>18</v>
      </c>
      <c r="E54" s="51" t="s">
        <v>22</v>
      </c>
      <c r="F54" s="52">
        <v>130</v>
      </c>
      <c r="G54" s="53"/>
      <c r="H54" s="54">
        <f>SUMPRODUCT(Tracking[Amount],--(Tracking[Date]&lt;=Tracking[[#This Row],[Date]]),(Tracking[Type]&lt;&gt;"income")*(-1)+(Tracking[Type]="income"))</f>
        <v>4150</v>
      </c>
      <c r="I54" s="55">
        <f>IF(AND(Tracking[[#This Row],[Type]]="income",shift_late_income_status="Active",DAY(Tracking[[#This Row],[Date]])&gt;=shift_late_income_starting_day),DATE(YEAR(Tracking[[#This Row],[Date]]),MONTH(Tracking[[#This Row],[Date]])+1,1),Tracking[[#This Row],[Date]])</f>
        <v>44617</v>
      </c>
    </row>
    <row r="55" spans="3:9">
      <c r="C55" s="50">
        <v>44617</v>
      </c>
      <c r="D55" s="51" t="s">
        <v>12</v>
      </c>
      <c r="E55" s="51" t="s">
        <v>13</v>
      </c>
      <c r="F55" s="52">
        <v>3500</v>
      </c>
      <c r="G55" s="53"/>
      <c r="H55" s="54">
        <f>SUMPRODUCT(Tracking[Amount],--(Tracking[Date]&lt;=Tracking[[#This Row],[Date]]),(Tracking[Type]&lt;&gt;"income")*(-1)+(Tracking[Type]="income"))</f>
        <v>4150</v>
      </c>
      <c r="I55" s="55">
        <f>IF(AND(Tracking[[#This Row],[Type]]="income",shift_late_income_status="Active",DAY(Tracking[[#This Row],[Date]])&gt;=shift_late_income_starting_day),DATE(YEAR(Tracking[[#This Row],[Date]]),MONTH(Tracking[[#This Row],[Date]])+1,1),Tracking[[#This Row],[Date]])</f>
        <v>44621</v>
      </c>
    </row>
    <row r="56" spans="3:9">
      <c r="C56" s="50">
        <v>44618</v>
      </c>
      <c r="D56" s="51" t="s">
        <v>18</v>
      </c>
      <c r="E56" s="51" t="s">
        <v>27</v>
      </c>
      <c r="F56" s="52">
        <v>50</v>
      </c>
      <c r="G56" s="53"/>
      <c r="H56" s="54">
        <f>SUMPRODUCT(Tracking[Amount],--(Tracking[Date]&lt;=Tracking[[#This Row],[Date]]),(Tracking[Type]&lt;&gt;"income")*(-1)+(Tracking[Type]="income"))</f>
        <v>4100</v>
      </c>
      <c r="I56" s="55">
        <f>IF(AND(Tracking[[#This Row],[Type]]="income",shift_late_income_status="Active",DAY(Tracking[[#This Row],[Date]])&gt;=shift_late_income_starting_day),DATE(YEAR(Tracking[[#This Row],[Date]]),MONTH(Tracking[[#This Row],[Date]])+1,1),Tracking[[#This Row],[Date]])</f>
        <v>44618</v>
      </c>
    </row>
    <row r="57" spans="3:9">
      <c r="C57" s="50">
        <v>44619</v>
      </c>
      <c r="D57" s="51" t="s">
        <v>18</v>
      </c>
      <c r="E57" s="51" t="s">
        <v>25</v>
      </c>
      <c r="F57" s="52">
        <v>60</v>
      </c>
      <c r="G57" s="53"/>
      <c r="H57" s="54">
        <f>SUMPRODUCT(Tracking[Amount],--(Tracking[Date]&lt;=Tracking[[#This Row],[Date]]),(Tracking[Type]&lt;&gt;"income")*(-1)+(Tracking[Type]="income"))</f>
        <v>4040</v>
      </c>
      <c r="I57" s="55">
        <f>IF(AND(Tracking[[#This Row],[Type]]="income",shift_late_income_status="Active",DAY(Tracking[[#This Row],[Date]])&gt;=shift_late_income_starting_day),DATE(YEAR(Tracking[[#This Row],[Date]]),MONTH(Tracking[[#This Row],[Date]])+1,1),Tracking[[#This Row],[Date]])</f>
        <v>44619</v>
      </c>
    </row>
    <row r="58" spans="3:9">
      <c r="C58" s="50">
        <v>44620</v>
      </c>
      <c r="D58" s="51" t="s">
        <v>29</v>
      </c>
      <c r="E58" s="51" t="s">
        <v>31</v>
      </c>
      <c r="F58" s="52">
        <v>400</v>
      </c>
      <c r="G58" s="53"/>
      <c r="H58" s="54">
        <f>SUMPRODUCT(Tracking[Amount],--(Tracking[Date]&lt;=Tracking[[#This Row],[Date]]),(Tracking[Type]&lt;&gt;"income")*(-1)+(Tracking[Type]="income"))</f>
        <v>3500</v>
      </c>
      <c r="I58" s="55">
        <f>IF(AND(Tracking[[#This Row],[Type]]="income",shift_late_income_status="Active",DAY(Tracking[[#This Row],[Date]])&gt;=shift_late_income_starting_day),DATE(YEAR(Tracking[[#This Row],[Date]]),MONTH(Tracking[[#This Row],[Date]])+1,1),Tracking[[#This Row],[Date]])</f>
        <v>44620</v>
      </c>
    </row>
    <row r="59" spans="3:9">
      <c r="C59" s="50">
        <v>44620</v>
      </c>
      <c r="D59" s="51" t="s">
        <v>29</v>
      </c>
      <c r="E59" s="51" t="s">
        <v>30</v>
      </c>
      <c r="F59" s="52">
        <v>140</v>
      </c>
      <c r="G59" s="53"/>
      <c r="H59" s="54">
        <f>SUMPRODUCT(Tracking[Amount],--(Tracking[Date]&lt;=Tracking[[#This Row],[Date]]),(Tracking[Type]&lt;&gt;"income")*(-1)+(Tracking[Type]="income"))</f>
        <v>3500</v>
      </c>
      <c r="I59" s="55">
        <f>IF(AND(Tracking[[#This Row],[Type]]="income",shift_late_income_status="Active",DAY(Tracking[[#This Row],[Date]])&gt;=shift_late_income_starting_day),DATE(YEAR(Tracking[[#This Row],[Date]]),MONTH(Tracking[[#This Row],[Date]])+1,1),Tracking[[#This Row],[Date]])</f>
        <v>44620</v>
      </c>
    </row>
    <row r="60" spans="3:9">
      <c r="C60" s="50">
        <v>44621</v>
      </c>
      <c r="D60" s="51" t="s">
        <v>18</v>
      </c>
      <c r="E60" s="51" t="s">
        <v>19</v>
      </c>
      <c r="F60" s="52">
        <v>1200</v>
      </c>
      <c r="G60" s="53"/>
      <c r="H60" s="54">
        <f>SUMPRODUCT(Tracking[Amount],--(Tracking[Date]&lt;=Tracking[[#This Row],[Date]]),(Tracking[Type]&lt;&gt;"income")*(-1)+(Tracking[Type]="income"))</f>
        <v>2300</v>
      </c>
      <c r="I60" s="55">
        <f>IF(AND(Tracking[[#This Row],[Type]]="income",shift_late_income_status="Active",DAY(Tracking[[#This Row],[Date]])&gt;=shift_late_income_starting_day),DATE(YEAR(Tracking[[#This Row],[Date]]),MONTH(Tracking[[#This Row],[Date]])+1,1),Tracking[[#This Row],[Date]])</f>
        <v>44621</v>
      </c>
    </row>
    <row r="61" spans="3:9">
      <c r="C61" s="50">
        <v>44622</v>
      </c>
      <c r="D61" s="51" t="s">
        <v>18</v>
      </c>
      <c r="E61" s="51" t="s">
        <v>20</v>
      </c>
      <c r="F61" s="52">
        <v>300</v>
      </c>
      <c r="G61" s="53"/>
      <c r="H61" s="54">
        <f>SUMPRODUCT(Tracking[Amount],--(Tracking[Date]&lt;=Tracking[[#This Row],[Date]]),(Tracking[Type]&lt;&gt;"income")*(-1)+(Tracking[Type]="income"))</f>
        <v>2000</v>
      </c>
      <c r="I61" s="55">
        <f>IF(AND(Tracking[[#This Row],[Type]]="income",shift_late_income_status="Active",DAY(Tracking[[#This Row],[Date]])&gt;=shift_late_income_starting_day),DATE(YEAR(Tracking[[#This Row],[Date]]),MONTH(Tracking[[#This Row],[Date]])+1,1),Tracking[[#This Row],[Date]])</f>
        <v>44622</v>
      </c>
    </row>
    <row r="62" spans="3:9">
      <c r="C62" s="50">
        <v>44623</v>
      </c>
      <c r="D62" s="51" t="s">
        <v>18</v>
      </c>
      <c r="E62" s="51" t="s">
        <v>21</v>
      </c>
      <c r="F62" s="52">
        <v>60</v>
      </c>
      <c r="G62" s="53"/>
      <c r="H62" s="54">
        <f>SUMPRODUCT(Tracking[Amount],--(Tracking[Date]&lt;=Tracking[[#This Row],[Date]]),(Tracking[Type]&lt;&gt;"income")*(-1)+(Tracking[Type]="income"))</f>
        <v>1940</v>
      </c>
      <c r="I62" s="55">
        <f>IF(AND(Tracking[[#This Row],[Type]]="income",shift_late_income_status="Active",DAY(Tracking[[#This Row],[Date]])&gt;=shift_late_income_starting_day),DATE(YEAR(Tracking[[#This Row],[Date]]),MONTH(Tracking[[#This Row],[Date]])+1,1),Tracking[[#This Row],[Date]])</f>
        <v>44623</v>
      </c>
    </row>
    <row r="63" spans="3:9">
      <c r="C63" s="50">
        <v>44624</v>
      </c>
      <c r="D63" s="51" t="s">
        <v>18</v>
      </c>
      <c r="E63" s="51" t="s">
        <v>25</v>
      </c>
      <c r="F63" s="52">
        <v>30</v>
      </c>
      <c r="G63" s="53"/>
      <c r="H63" s="54">
        <f>SUMPRODUCT(Tracking[Amount],--(Tracking[Date]&lt;=Tracking[[#This Row],[Date]]),(Tracking[Type]&lt;&gt;"income")*(-1)+(Tracking[Type]="income"))</f>
        <v>1910</v>
      </c>
      <c r="I63" s="55">
        <f>IF(AND(Tracking[[#This Row],[Type]]="income",shift_late_income_status="Active",DAY(Tracking[[#This Row],[Date]])&gt;=shift_late_income_starting_day),DATE(YEAR(Tracking[[#This Row],[Date]]),MONTH(Tracking[[#This Row],[Date]])+1,1),Tracking[[#This Row],[Date]])</f>
        <v>44624</v>
      </c>
    </row>
    <row r="64" spans="3:9">
      <c r="C64" s="50">
        <v>44626</v>
      </c>
      <c r="D64" s="51" t="s">
        <v>18</v>
      </c>
      <c r="E64" s="51" t="s">
        <v>23</v>
      </c>
      <c r="F64" s="52">
        <v>150</v>
      </c>
      <c r="G64" s="53"/>
      <c r="H64" s="54">
        <f>SUMPRODUCT(Tracking[Amount],--(Tracking[Date]&lt;=Tracking[[#This Row],[Date]]),(Tracking[Type]&lt;&gt;"income")*(-1)+(Tracking[Type]="income"))</f>
        <v>1760</v>
      </c>
      <c r="I64" s="55">
        <f>IF(AND(Tracking[[#This Row],[Type]]="income",shift_late_income_status="Active",DAY(Tracking[[#This Row],[Date]])&gt;=shift_late_income_starting_day),DATE(YEAR(Tracking[[#This Row],[Date]]),MONTH(Tracking[[#This Row],[Date]])+1,1),Tracking[[#This Row],[Date]])</f>
        <v>44626</v>
      </c>
    </row>
    <row r="65" spans="3:9">
      <c r="C65" s="50">
        <v>44627</v>
      </c>
      <c r="D65" s="51" t="s">
        <v>18</v>
      </c>
      <c r="E65" s="51" t="s">
        <v>22</v>
      </c>
      <c r="F65" s="52">
        <v>50</v>
      </c>
      <c r="G65" s="53"/>
      <c r="H65" s="54">
        <f>SUMPRODUCT(Tracking[Amount],--(Tracking[Date]&lt;=Tracking[[#This Row],[Date]]),(Tracking[Type]&lt;&gt;"income")*(-1)+(Tracking[Type]="income"))</f>
        <v>1710</v>
      </c>
      <c r="I65" s="55">
        <f>IF(AND(Tracking[[#This Row],[Type]]="income",shift_late_income_status="Active",DAY(Tracking[[#This Row],[Date]])&gt;=shift_late_income_starting_day),DATE(YEAR(Tracking[[#This Row],[Date]]),MONTH(Tracking[[#This Row],[Date]])+1,1),Tracking[[#This Row],[Date]])</f>
        <v>44627</v>
      </c>
    </row>
    <row r="66" spans="3:9">
      <c r="C66" s="50">
        <v>44629</v>
      </c>
      <c r="D66" s="51" t="s">
        <v>18</v>
      </c>
      <c r="E66" s="51" t="s">
        <v>27</v>
      </c>
      <c r="F66" s="52">
        <v>120</v>
      </c>
      <c r="G66" s="53"/>
      <c r="H66" s="54">
        <f>SUMPRODUCT(Tracking[Amount],--(Tracking[Date]&lt;=Tracking[[#This Row],[Date]]),(Tracking[Type]&lt;&gt;"income")*(-1)+(Tracking[Type]="income"))</f>
        <v>1590</v>
      </c>
      <c r="I66" s="55">
        <f>IF(AND(Tracking[[#This Row],[Type]]="income",shift_late_income_status="Active",DAY(Tracking[[#This Row],[Date]])&gt;=shift_late_income_starting_day),DATE(YEAR(Tracking[[#This Row],[Date]]),MONTH(Tracking[[#This Row],[Date]])+1,1),Tracking[[#This Row],[Date]])</f>
        <v>44629</v>
      </c>
    </row>
    <row r="67" spans="3:9">
      <c r="C67" s="50">
        <v>44630</v>
      </c>
      <c r="D67" s="51" t="s">
        <v>12</v>
      </c>
      <c r="E67" s="51" t="s">
        <v>15</v>
      </c>
      <c r="F67" s="52">
        <v>100</v>
      </c>
      <c r="G67" s="53"/>
      <c r="H67" s="54">
        <f>SUMPRODUCT(Tracking[Amount],--(Tracking[Date]&lt;=Tracking[[#This Row],[Date]]),(Tracking[Type]&lt;&gt;"income")*(-1)+(Tracking[Type]="income"))</f>
        <v>1690</v>
      </c>
      <c r="I67" s="55">
        <f>IF(AND(Tracking[[#This Row],[Type]]="income",shift_late_income_status="Active",DAY(Tracking[[#This Row],[Date]])&gt;=shift_late_income_starting_day),DATE(YEAR(Tracking[[#This Row],[Date]]),MONTH(Tracking[[#This Row],[Date]])+1,1),Tracking[[#This Row],[Date]])</f>
        <v>44630</v>
      </c>
    </row>
    <row r="68" spans="3:9">
      <c r="C68" s="50">
        <v>44632</v>
      </c>
      <c r="D68" s="51" t="s">
        <v>18</v>
      </c>
      <c r="E68" s="51" t="s">
        <v>26</v>
      </c>
      <c r="F68" s="52">
        <v>50</v>
      </c>
      <c r="G68" s="53"/>
      <c r="H68" s="54">
        <f>SUMPRODUCT(Tracking[Amount],--(Tracking[Date]&lt;=Tracking[[#This Row],[Date]]),(Tracking[Type]&lt;&gt;"income")*(-1)+(Tracking[Type]="income"))</f>
        <v>1640</v>
      </c>
      <c r="I68" s="55">
        <f>IF(AND(Tracking[[#This Row],[Type]]="income",shift_late_income_status="Active",DAY(Tracking[[#This Row],[Date]])&gt;=shift_late_income_starting_day),DATE(YEAR(Tracking[[#This Row],[Date]]),MONTH(Tracking[[#This Row],[Date]])+1,1),Tracking[[#This Row],[Date]])</f>
        <v>44632</v>
      </c>
    </row>
    <row r="69" spans="3:9">
      <c r="C69" s="50">
        <v>44633</v>
      </c>
      <c r="D69" s="51" t="s">
        <v>18</v>
      </c>
      <c r="E69" s="51" t="s">
        <v>21</v>
      </c>
      <c r="F69" s="52">
        <v>120</v>
      </c>
      <c r="G69" s="53"/>
      <c r="H69" s="54">
        <f>SUMPRODUCT(Tracking[Amount],--(Tracking[Date]&lt;=Tracking[[#This Row],[Date]]),(Tracking[Type]&lt;&gt;"income")*(-1)+(Tracking[Type]="income"))</f>
        <v>1520</v>
      </c>
      <c r="I69" s="55">
        <f>IF(AND(Tracking[[#This Row],[Type]]="income",shift_late_income_status="Active",DAY(Tracking[[#This Row],[Date]])&gt;=shift_late_income_starting_day),DATE(YEAR(Tracking[[#This Row],[Date]]),MONTH(Tracking[[#This Row],[Date]])+1,1),Tracking[[#This Row],[Date]])</f>
        <v>44633</v>
      </c>
    </row>
    <row r="70" spans="3:9">
      <c r="C70" s="50">
        <v>44635</v>
      </c>
      <c r="D70" s="51" t="s">
        <v>12</v>
      </c>
      <c r="E70" s="51" t="s">
        <v>14</v>
      </c>
      <c r="F70" s="52">
        <v>1100</v>
      </c>
      <c r="G70" s="53"/>
      <c r="H70" s="54">
        <f>SUMPRODUCT(Tracking[Amount],--(Tracking[Date]&lt;=Tracking[[#This Row],[Date]]),(Tracking[Type]&lt;&gt;"income")*(-1)+(Tracking[Type]="income"))</f>
        <v>2620</v>
      </c>
      <c r="I70" s="55">
        <f>IF(AND(Tracking[[#This Row],[Type]]="income",shift_late_income_status="Active",DAY(Tracking[[#This Row],[Date]])&gt;=shift_late_income_starting_day),DATE(YEAR(Tracking[[#This Row],[Date]]),MONTH(Tracking[[#This Row],[Date]])+1,1),Tracking[[#This Row],[Date]])</f>
        <v>44635</v>
      </c>
    </row>
  </sheetData>
  <conditionalFormatting sqref="E12:E70">
    <cfRule type="expression" dxfId="27" priority="5">
      <formula>ISNA(MATCH(E12,INDIRECT(D12),0))</formula>
    </cfRule>
  </conditionalFormatting>
  <conditionalFormatting sqref="F12:F70">
    <cfRule type="expression" dxfId="26" priority="4">
      <formula>D12="income"</formula>
    </cfRule>
  </conditionalFormatting>
  <conditionalFormatting sqref="I12:I70">
    <cfRule type="expression" dxfId="25" priority="1">
      <formula>AND(D12="income",shift_late_income_status="Active",DAY(C12)&gt;=shift_late_income_starting_day)</formula>
    </cfRule>
  </conditionalFormatting>
  <dataValidations count="4">
    <dataValidation type="date" operator="greaterThan" allowBlank="1" showInputMessage="1" showErrorMessage="1" errorTitle="Invalid Date" error="Please enter a valid date" sqref="C12:C70">
      <formula1>1</formula1>
    </dataValidation>
    <dataValidation type="list" allowBlank="1" showInputMessage="1" showErrorMessage="1" errorTitle="Invalid Type" error="Please select a valid type from the dropdown list" sqref="D12:D70">
      <formula1>"Income, Expenses, Savings"</formula1>
    </dataValidation>
    <dataValidation type="list" allowBlank="1" showInputMessage="1" showErrorMessage="1" errorTitle="Invalid Category" error="Please select a valid category from the dropdown list" sqref="E12:E70">
      <formula1>INDIRECT(D12)</formula1>
    </dataValidation>
    <dataValidation type="custom" allowBlank="1" showInputMessage="1" showErrorMessage="1" errorTitle="Invalid Amount" error="Please enter a valid number" sqref="F12:F70">
      <formula1>ISNUMBER(F12)</formula1>
    </dataValidation>
  </dataValidation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92D050"/>
  </sheetPr>
  <dimension ref="C1:AR50"/>
  <sheetViews>
    <sheetView showGridLines="0" topLeftCell="B1" zoomScale="80" zoomScaleNormal="80" workbookViewId="0">
      <selection activeCell="AE26" sqref="AE26"/>
    </sheetView>
  </sheetViews>
  <sheetFormatPr defaultColWidth="9" defaultRowHeight="15"/>
  <cols>
    <col min="3" max="3" width="9.140625" hidden="1" customWidth="1"/>
    <col min="4" max="4" width="14.5703125" hidden="1" customWidth="1"/>
    <col min="5" max="8" width="9.140625" hidden="1" customWidth="1"/>
    <col min="9" max="9" width="10" hidden="1" customWidth="1"/>
    <col min="10" max="10" width="26.140625" hidden="1" customWidth="1"/>
    <col min="11" max="11" width="14.28515625" hidden="1" customWidth="1"/>
    <col min="12" max="12" width="9.85546875" hidden="1" customWidth="1"/>
    <col min="13" max="14" width="14.28515625" hidden="1" customWidth="1"/>
    <col min="15" max="18" width="15.42578125" hidden="1" customWidth="1"/>
    <col min="19" max="21" width="17" hidden="1" customWidth="1"/>
    <col min="22" max="22" width="22.85546875" hidden="1" customWidth="1"/>
    <col min="23" max="23" width="17" hidden="1" customWidth="1"/>
    <col min="24" max="24" width="18.85546875" hidden="1" customWidth="1"/>
    <col min="25" max="25" width="23" customWidth="1"/>
    <col min="26" max="26" width="12.85546875" customWidth="1"/>
    <col min="27" max="27" width="12" customWidth="1"/>
    <col min="28" max="28" width="9.28515625" customWidth="1"/>
    <col min="29" max="29" width="10.85546875" customWidth="1"/>
    <col min="30" max="30" width="9.140625" customWidth="1"/>
    <col min="31" max="31" width="7" customWidth="1"/>
    <col min="32" max="33" width="16.5703125" customWidth="1"/>
    <col min="34" max="34" width="2.5703125" customWidth="1"/>
    <col min="35" max="35" width="15" customWidth="1"/>
    <col min="37" max="37" width="6" customWidth="1"/>
    <col min="38" max="38" width="3" customWidth="1"/>
    <col min="39" max="40" width="16.5703125" customWidth="1"/>
    <col min="41" max="41" width="2.5703125" customWidth="1"/>
    <col min="42" max="42" width="15" customWidth="1"/>
    <col min="44" max="44" width="6" customWidth="1"/>
  </cols>
  <sheetData>
    <row r="1" spans="3:44" s="107" customFormat="1" ht="39.75" customHeight="1">
      <c r="C1" s="56"/>
      <c r="Y1" s="108" t="s">
        <v>107</v>
      </c>
    </row>
    <row r="5" spans="3:44">
      <c r="AQ5" s="95" t="s">
        <v>44</v>
      </c>
      <c r="AR5" s="96"/>
    </row>
    <row r="6" spans="3:44">
      <c r="AN6" s="97" t="s">
        <v>45</v>
      </c>
      <c r="AO6" s="97"/>
      <c r="AP6" s="97"/>
      <c r="AQ6" s="98">
        <v>2022</v>
      </c>
      <c r="AR6" s="98"/>
    </row>
    <row r="8" spans="3:44">
      <c r="AQ8" s="95" t="s">
        <v>46</v>
      </c>
      <c r="AR8" s="96"/>
    </row>
    <row r="9" spans="3:44">
      <c r="AN9" s="97" t="s">
        <v>47</v>
      </c>
      <c r="AO9" s="97"/>
      <c r="AP9" s="97"/>
      <c r="AQ9" s="99" t="s">
        <v>87</v>
      </c>
      <c r="AR9" s="99"/>
    </row>
    <row r="11" spans="3:44">
      <c r="C11" s="23"/>
      <c r="D11" s="23"/>
      <c r="E11" s="23"/>
      <c r="F11" s="23"/>
      <c r="G11" s="23"/>
      <c r="H11" s="23"/>
      <c r="I11" s="23"/>
      <c r="J11" s="23"/>
      <c r="K11" s="23"/>
      <c r="L11" s="23"/>
      <c r="M11" s="23"/>
      <c r="N11" s="23"/>
      <c r="O11" s="23"/>
      <c r="P11" s="23"/>
      <c r="Q11" s="23"/>
      <c r="R11" s="23"/>
      <c r="S11" s="23"/>
      <c r="T11" s="23"/>
      <c r="U11" s="23"/>
      <c r="V11" s="23"/>
      <c r="W11" s="23"/>
      <c r="X11" s="23"/>
      <c r="Y11" s="93" t="str">
        <f>"Breakdown -"&amp;IF(selected_period="Total Year",selected_year&amp;" (Total Year)",selected_period_display&amp;" "&amp;selected_year)</f>
        <v>Breakdown -2022 (Total Year)</v>
      </c>
      <c r="Z11" s="93"/>
      <c r="AA11" s="93"/>
      <c r="AB11" s="93"/>
      <c r="AC11" s="93"/>
      <c r="AD11" s="93"/>
      <c r="AF11" s="94" t="str">
        <f>"Summary -"&amp;IF(selected_period="Total Year",selected_year&amp;" (Total Year)",selected_period_display&amp;" "&amp;selected_year)</f>
        <v>Summary -2022 (Total Year)</v>
      </c>
      <c r="AG11" s="94"/>
      <c r="AH11" s="94"/>
      <c r="AI11" s="94"/>
      <c r="AJ11" s="94"/>
      <c r="AK11" s="94"/>
      <c r="AL11" s="94"/>
      <c r="AM11" s="94"/>
      <c r="AN11" s="94"/>
      <c r="AO11" s="94"/>
      <c r="AP11" s="94"/>
      <c r="AQ11" s="94"/>
      <c r="AR11" s="94"/>
    </row>
    <row r="12" spans="3:44">
      <c r="C12" s="24" t="s">
        <v>48</v>
      </c>
      <c r="D12" s="25" t="s">
        <v>49</v>
      </c>
      <c r="E12" s="24" t="s">
        <v>50</v>
      </c>
      <c r="F12" s="26" t="s">
        <v>51</v>
      </c>
      <c r="G12" s="26" t="s">
        <v>52</v>
      </c>
      <c r="H12" s="25" t="s">
        <v>53</v>
      </c>
      <c r="I12" s="24" t="s">
        <v>54</v>
      </c>
      <c r="J12" s="26" t="s">
        <v>55</v>
      </c>
      <c r="K12" s="26" t="s">
        <v>56</v>
      </c>
      <c r="L12" s="25" t="s">
        <v>57</v>
      </c>
      <c r="M12" s="24" t="s">
        <v>58</v>
      </c>
      <c r="N12" s="25" t="s">
        <v>59</v>
      </c>
      <c r="O12" s="24" t="s">
        <v>60</v>
      </c>
      <c r="P12" s="26" t="s">
        <v>61</v>
      </c>
      <c r="Q12" s="26" t="s">
        <v>62</v>
      </c>
      <c r="R12" s="25" t="s">
        <v>63</v>
      </c>
      <c r="S12" s="24" t="s">
        <v>64</v>
      </c>
      <c r="T12" s="26" t="s">
        <v>65</v>
      </c>
      <c r="U12" s="26" t="s">
        <v>66</v>
      </c>
      <c r="V12" s="26" t="s">
        <v>67</v>
      </c>
      <c r="W12" s="25" t="s">
        <v>68</v>
      </c>
      <c r="X12" s="32" t="s">
        <v>69</v>
      </c>
    </row>
    <row r="13" spans="3:44">
      <c r="C13" s="27">
        <f>income_header_row</f>
        <v>9</v>
      </c>
      <c r="D13" s="28">
        <f t="shared" ref="D13:D50" si="0">IF(is_header,row_id,IF(NOT(is_empty),D12,-1))</f>
        <v>9</v>
      </c>
      <c r="E13" s="27">
        <f>1*OR(row_id=income_header_row,row_id=expenses_header_row,row_id=savings_header_row)</f>
        <v>1</v>
      </c>
      <c r="F13" s="29">
        <f t="shared" ref="F13:F50" si="1">1*NOT(OR(is_header,is_total,is_empty))</f>
        <v>0</v>
      </c>
      <c r="G13" s="29">
        <f>1*OR(row_id=income_total_row,row_id=expenses_total_row,row_id=savings_total_row)</f>
        <v>0</v>
      </c>
      <c r="H13" s="28">
        <f t="shared" ref="H13:H50" si="2">1*OR(row_id="/1",row_id="/2",row_id=-1)</f>
        <v>0</v>
      </c>
      <c r="I13" s="27" t="str">
        <f>IFERROR(INDEX('Budget Planning'!$C:$C,header_row_id),"")</f>
        <v>Income</v>
      </c>
      <c r="J13" s="29" t="str">
        <f>IFERROR(INDEX('Budget Planning'!$C:$C,row_id),"")</f>
        <v>Income</v>
      </c>
      <c r="K13" s="30" t="str">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
      </c>
      <c r="L13" s="31" t="str">
        <f>IF(OR(is_header,is_empty),"",INDEX('Budget Planning'!$E:$EM,row_id,MATCH(IF(selected_period="Total Year",selected_year,DATE(selected_year,selected_period,1)),'Budget Planning'!$E$9:$EM$9,0)))</f>
        <v/>
      </c>
      <c r="M13" s="27" t="str">
        <f>IF(is_cat,IF(header_row_id=income_header_row,MATCH(income_min_row,$C:$C,0),IF(header_row_id=expenses_header_row,MATCH(expenses_min_row,$C:$C,0),IF(header_row_id=savings_header_row,MATCH(savings_min_row,$C:$C,0),""))),"")</f>
        <v/>
      </c>
      <c r="N13" s="28" t="str">
        <f>IF(is_cat,IF(header_row_id=income_header_row,MATCH(income_max_row,$C:$C,0),IF(header_row_id=expenses_header_row,MATCH(expenses_max_row,$C:$C,0),IF(header_row_id=savings_header_row,MATCH(savings_max_row,$C:$C,0),""))),"")</f>
        <v/>
      </c>
      <c r="O13" s="27" t="str">
        <f t="shared" ref="O13:O50" si="3">IF(is_cat,ADDRESS(sort_min_row,COLUMN(tracked))&amp;":"&amp;ADDRESS(sort_max_row,COLUMN(tracked)),"")</f>
        <v/>
      </c>
      <c r="P13" s="29" t="str">
        <f t="shared" ref="P13:P50" ca="1" si="4">IF(is_cat,RANK(tracked,INDIRECT(tracked_range),0),"")</f>
        <v/>
      </c>
      <c r="Q13" s="29" t="str">
        <f t="shared" ref="Q13:Q50" si="5">IF(is_cat,ADDRESS(sort_min_row,COLUMN(budget))&amp;":"&amp;ADDRESS(sort_max_row,COLUMN(budget)),"")</f>
        <v/>
      </c>
      <c r="R13" s="28" t="str">
        <f t="shared" ref="R13:R50" ca="1" si="6">IF(is_cat,RANK(budget,INDIRECT(budget_range),0),"")</f>
        <v/>
      </c>
      <c r="S13" s="27" t="str">
        <f t="shared" ref="S13:S50" si="7">IF(is_cat,_xlfn.NUMBERVALUE(tracked_rank&amp;budget_rank),"")</f>
        <v/>
      </c>
      <c r="T13" s="29" t="str">
        <f t="shared" ref="T13:T50" si="8">IF(is_cat,ADDRESS(sort_min_row,COLUMN(comb_rank))&amp;":"&amp;ADDRESS(sort_max_row,COLUMN(comb_rank)),"")</f>
        <v/>
      </c>
      <c r="U13" s="29" t="str">
        <f t="shared" ref="U13:U50" ca="1" si="9">IF(is_cat,RANK(comb_rank,INDIRECT(comb_rank_range),1),"")</f>
        <v/>
      </c>
      <c r="V13" s="29" t="str">
        <f t="shared" ref="V13:V50" si="10">IF(is_cat,ADDRESS(sort_min_row,COLUMN(comb_rank_norm))&amp;":"&amp;ADDRESS(ROW(),COLUMN(comb_rank_norm)),"")</f>
        <v/>
      </c>
      <c r="W13" s="28" t="str">
        <f t="shared" ref="W13:W50" ca="1" si="11">IF(is_cat,comb_rank_norm+COUNTIF(INDIRECT(comb_rank_norm_run_range),comb_rank_norm)-1,"")</f>
        <v/>
      </c>
      <c r="X13" s="33">
        <f t="shared" ref="X13:X50" si="12">IF(is_cat,header_row_id+comb_rank_unique,row_id)</f>
        <v>9</v>
      </c>
      <c r="Y13" s="34" t="str">
        <f t="shared" ref="Y13:Y50" si="13">IF(is_empty,"",INDEX($J:$J,MATCH(row_id,$X:$X,0)))</f>
        <v>Income</v>
      </c>
      <c r="Z13" s="35" t="str">
        <f t="shared" ref="Z13:Z50" si="14">IF(is_empty,"",IF(is_header,"Tracked",INDEX($K:$K,MATCH(row_id,$X:$X,0))))</f>
        <v>Tracked</v>
      </c>
      <c r="AA13" s="35" t="str">
        <f t="shared" ref="AA13:AA50" si="15">IF(is_empty,"",IF(is_header,"Budget",INDEX($L:$L,MATCH(row_id,$X:$X,0))))</f>
        <v>Budget</v>
      </c>
      <c r="AB13" s="36" t="str">
        <f t="shared" ref="AB13:AB50" si="16">IF(is_empty,"",IF(is_header,"% Compl.",IFERROR(out_tracked/out_budget,"-")))</f>
        <v>% Compl.</v>
      </c>
      <c r="AC13" s="35" t="str">
        <f t="shared" ref="AC13:AC50" si="17">IF(is_empty,"",IF(is_header,"Remaining",IF(out_budget-out_tracked&gt;0,out_budget-out_tracked,0)))</f>
        <v>Remaining</v>
      </c>
      <c r="AD13" s="35" t="str">
        <f t="shared" ref="AD13:AD50" si="18">IF(is_empty,"",IF(is_header,"Excess",IF(out_budget-out_tracked&lt;0,out_tracked-out_budget,0)))</f>
        <v>Excess</v>
      </c>
      <c r="AE13" s="34"/>
      <c r="AF13" s="37"/>
      <c r="AG13" s="39"/>
      <c r="AH13" s="39"/>
      <c r="AI13" s="39"/>
      <c r="AJ13" s="39"/>
      <c r="AK13" s="40"/>
      <c r="AM13" s="37"/>
      <c r="AN13" s="39"/>
      <c r="AO13" s="39"/>
      <c r="AP13" s="39"/>
      <c r="AQ13" s="39"/>
      <c r="AR13" s="40"/>
    </row>
    <row r="14" spans="3:44">
      <c r="C14" s="27">
        <f>IF(C13=-1,-1,IF(C13&lt;income_max_row,C13+1,IF(C13=income_max_row,income_total_row,IF(C13=income_total_row,"/1",IF(C13="/1",expenses_header_row,IF(C13&lt;expenses_max_row,C13+1,IF(C13=expenses_max_row,expenses_total_row,IF(C13=expenses_total_row,"/2",IF(C13="/2",savings_header_row,IF(C13&lt;savings_max_row,C13+1,IF(C13=savings_max_row,savings_total_row,-1)))))))))))</f>
        <v>10</v>
      </c>
      <c r="D14" s="28">
        <f t="shared" si="0"/>
        <v>9</v>
      </c>
      <c r="E14" s="27">
        <f>1*OR(row_id=income_header_row,row_id=expenses_header_row,row_id=savings_header_row)</f>
        <v>0</v>
      </c>
      <c r="F14" s="29">
        <f t="shared" si="1"/>
        <v>1</v>
      </c>
      <c r="G14" s="29">
        <f>1*OR(row_id=income_total_row,row_id=expenses_total_row,row_id=savings_total_row)</f>
        <v>0</v>
      </c>
      <c r="H14" s="28">
        <f t="shared" si="2"/>
        <v>0</v>
      </c>
      <c r="I14" s="27" t="str">
        <f>IFERROR(INDEX('Budget Planning'!$C:$C,header_row_id),"")</f>
        <v>Income</v>
      </c>
      <c r="J14" s="29" t="str">
        <f>IFERROR(INDEX('Budget Planning'!$C:$C,row_id),"")</f>
        <v>Employment (Net)</v>
      </c>
      <c r="K14" s="30">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10500</v>
      </c>
      <c r="L14" s="31">
        <f>IF(OR(is_header,is_empty),"",INDEX('Budget Planning'!$E:$EM,row_id,MATCH(IF(selected_period="Total Year",selected_year,DATE(selected_year,selected_period,1)),'Budget Planning'!$E$9:$EM$9,0)))</f>
        <v>51000</v>
      </c>
      <c r="M14" s="27">
        <f>IF(is_cat,IF(header_row_id=income_header_row,MATCH(income_min_row,$C:$C,0),IF(header_row_id=expenses_header_row,MATCH(expenses_min_row,$C:$C,0),IF(header_row_id=savings_header_row,MATCH(savings_min_row,$C:$C,0),""))),"")</f>
        <v>14</v>
      </c>
      <c r="N14" s="28">
        <f>IF(is_cat,IF(header_row_id=income_header_row,MATCH(income_max_row,$C:$C,0),IF(header_row_id=expenses_header_row,MATCH(expenses_max_row,$C:$C,0),IF(header_row_id=savings_header_row,MATCH(savings_max_row,$C:$C,0),""))),"")</f>
        <v>16</v>
      </c>
      <c r="O14" s="27" t="str">
        <f t="shared" si="3"/>
        <v>$K$14:$K$16</v>
      </c>
      <c r="P14" s="29">
        <f t="shared" ca="1" si="4"/>
        <v>1</v>
      </c>
      <c r="Q14" s="29" t="str">
        <f t="shared" si="5"/>
        <v>$L$14:$L$16</v>
      </c>
      <c r="R14" s="28">
        <f t="shared" ca="1" si="6"/>
        <v>1</v>
      </c>
      <c r="S14" s="27">
        <f t="shared" ca="1" si="7"/>
        <v>11</v>
      </c>
      <c r="T14" s="29" t="str">
        <f t="shared" si="8"/>
        <v>$S$14:$S$16</v>
      </c>
      <c r="U14" s="29">
        <f t="shared" ca="1" si="9"/>
        <v>1</v>
      </c>
      <c r="V14" s="29" t="str">
        <f t="shared" si="10"/>
        <v>$U$14:$U$14</v>
      </c>
      <c r="W14" s="28">
        <f t="shared" ca="1" si="11"/>
        <v>1</v>
      </c>
      <c r="X14" s="33">
        <f t="shared" ca="1" si="12"/>
        <v>10</v>
      </c>
      <c r="Y14" s="34" t="str">
        <f t="shared" ca="1" si="13"/>
        <v>Employment (Net)</v>
      </c>
      <c r="Z14" s="35">
        <f t="shared" ca="1" si="14"/>
        <v>10500</v>
      </c>
      <c r="AA14" s="35">
        <f t="shared" ca="1" si="15"/>
        <v>51000</v>
      </c>
      <c r="AB14" s="36">
        <f t="shared" ca="1" si="16"/>
        <v>0.20588235294117646</v>
      </c>
      <c r="AC14" s="35">
        <f t="shared" ca="1" si="17"/>
        <v>40500</v>
      </c>
      <c r="AD14" s="35">
        <f t="shared" ca="1" si="18"/>
        <v>0</v>
      </c>
      <c r="AE14" s="34"/>
      <c r="AF14" s="27"/>
      <c r="AG14" s="29"/>
      <c r="AH14" s="29"/>
      <c r="AI14" s="29"/>
      <c r="AJ14" s="29"/>
      <c r="AK14" s="28"/>
      <c r="AM14" s="27"/>
      <c r="AN14" s="29"/>
      <c r="AO14" s="29"/>
      <c r="AP14" s="29"/>
      <c r="AQ14" s="29"/>
      <c r="AR14" s="28"/>
    </row>
    <row r="15" spans="3:44">
      <c r="C15" s="27">
        <f>IF(C14=-1,-1,IF(C14&lt;income_max_row,C14+1,IF(C14=income_max_row,income_total_row,IF(C14=income_total_row,"/1",IF(C14="/1",expenses_header_row,IF(C14&lt;expenses_max_row,C14+1,IF(C14=expenses_max_row,expenses_total_row,IF(C14=expenses_total_row,"/2",IF(C14="/2",savings_header_row,IF(C14&lt;savings_max_row,C14+1,IF(C14=savings_max_row,savings_total_row,-1)))))))))))</f>
        <v>11</v>
      </c>
      <c r="D15" s="28">
        <f t="shared" si="0"/>
        <v>9</v>
      </c>
      <c r="E15" s="27">
        <f>1*OR(row_id=income_header_row,row_id=expenses_header_row,row_id=savings_header_row)</f>
        <v>0</v>
      </c>
      <c r="F15" s="29">
        <f t="shared" si="1"/>
        <v>1</v>
      </c>
      <c r="G15" s="29">
        <f>1*OR(row_id=income_total_row,row_id=expenses_total_row,row_id=savings_total_row)</f>
        <v>0</v>
      </c>
      <c r="H15" s="28">
        <f t="shared" si="2"/>
        <v>0</v>
      </c>
      <c r="I15" s="27" t="str">
        <f>IFERROR(INDEX('Budget Planning'!$C:$C,header_row_id),"")</f>
        <v>Income</v>
      </c>
      <c r="J15" s="29" t="str">
        <f>IFERROR(INDEX('Budget Planning'!$C:$C,row_id),"")</f>
        <v>Side Hustle (Net)</v>
      </c>
      <c r="K15" s="30">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2800</v>
      </c>
      <c r="L15" s="31">
        <f>IF(OR(is_header,is_empty),"",INDEX('Budget Planning'!$E:$EM,row_id,MATCH(IF(selected_period="Total Year",selected_year,DATE(selected_year,selected_period,1)),'Budget Planning'!$E$9:$EM$9,0)))</f>
        <v>12000</v>
      </c>
      <c r="M15" s="27">
        <f>IF(is_cat,IF(header_row_id=income_header_row,MATCH(income_min_row,$C:$C,0),IF(header_row_id=expenses_header_row,MATCH(expenses_min_row,$C:$C,0),IF(header_row_id=savings_header_row,MATCH(savings_min_row,$C:$C,0),""))),"")</f>
        <v>14</v>
      </c>
      <c r="N15" s="28">
        <f>IF(is_cat,IF(header_row_id=income_header_row,MATCH(income_max_row,$C:$C,0),IF(header_row_id=expenses_header_row,MATCH(expenses_max_row,$C:$C,0),IF(header_row_id=savings_header_row,MATCH(savings_max_row,$C:$C,0),""))),"")</f>
        <v>16</v>
      </c>
      <c r="O15" s="27" t="str">
        <f t="shared" si="3"/>
        <v>$K$14:$K$16</v>
      </c>
      <c r="P15" s="29">
        <f t="shared" ca="1" si="4"/>
        <v>2</v>
      </c>
      <c r="Q15" s="29" t="str">
        <f t="shared" si="5"/>
        <v>$L$14:$L$16</v>
      </c>
      <c r="R15" s="28">
        <f t="shared" ca="1" si="6"/>
        <v>2</v>
      </c>
      <c r="S15" s="27">
        <f t="shared" ca="1" si="7"/>
        <v>22</v>
      </c>
      <c r="T15" s="29" t="str">
        <f t="shared" si="8"/>
        <v>$S$14:$S$16</v>
      </c>
      <c r="U15" s="29">
        <f t="shared" ca="1" si="9"/>
        <v>2</v>
      </c>
      <c r="V15" s="29" t="str">
        <f t="shared" si="10"/>
        <v>$U$14:$U$15</v>
      </c>
      <c r="W15" s="28">
        <f t="shared" ca="1" si="11"/>
        <v>2</v>
      </c>
      <c r="X15" s="33">
        <f t="shared" ca="1" si="12"/>
        <v>11</v>
      </c>
      <c r="Y15" s="34" t="str">
        <f t="shared" ca="1" si="13"/>
        <v>Side Hustle (Net)</v>
      </c>
      <c r="Z15" s="35">
        <f t="shared" ca="1" si="14"/>
        <v>2800</v>
      </c>
      <c r="AA15" s="35">
        <f t="shared" ca="1" si="15"/>
        <v>12000</v>
      </c>
      <c r="AB15" s="36">
        <f t="shared" ca="1" si="16"/>
        <v>0.23333333333333334</v>
      </c>
      <c r="AC15" s="35">
        <f t="shared" ca="1" si="17"/>
        <v>9200</v>
      </c>
      <c r="AD15" s="35">
        <f t="shared" ca="1" si="18"/>
        <v>0</v>
      </c>
      <c r="AE15" s="34"/>
      <c r="AF15" s="27"/>
      <c r="AG15" s="29"/>
      <c r="AH15" s="29"/>
      <c r="AI15" s="29"/>
      <c r="AJ15" s="29"/>
      <c r="AK15" s="28"/>
      <c r="AM15" s="27"/>
      <c r="AN15" s="29"/>
      <c r="AO15" s="29"/>
      <c r="AP15" s="29"/>
      <c r="AQ15" s="29"/>
      <c r="AR15" s="28"/>
    </row>
    <row r="16" spans="3:44">
      <c r="C16" s="27">
        <f>IF(C15=-1,-1,IF(C15&lt;income_max_row,C15+1,IF(C15=income_max_row,income_total_row,IF(C15=income_total_row,"/1",IF(C15="/1",expenses_header_row,IF(C15&lt;expenses_max_row,C15+1,IF(C15=expenses_max_row,expenses_total_row,IF(C15=expenses_total_row,"/2",IF(C15="/2",savings_header_row,IF(C15&lt;savings_max_row,C15+1,IF(C15=savings_max_row,savings_total_row,-1)))))))))))</f>
        <v>12</v>
      </c>
      <c r="D16" s="28">
        <f t="shared" si="0"/>
        <v>9</v>
      </c>
      <c r="E16" s="27">
        <f>1*OR(row_id=income_header_row,row_id=expenses_header_row,row_id=savings_header_row)</f>
        <v>0</v>
      </c>
      <c r="F16" s="29">
        <f t="shared" si="1"/>
        <v>1</v>
      </c>
      <c r="G16" s="29">
        <f>1*OR(row_id=income_total_row,row_id=expenses_total_row,row_id=savings_total_row)</f>
        <v>0</v>
      </c>
      <c r="H16" s="28">
        <f t="shared" si="2"/>
        <v>0</v>
      </c>
      <c r="I16" s="27" t="str">
        <f>IFERROR(INDEX('Budget Planning'!$C:$C,header_row_id),"")</f>
        <v>Income</v>
      </c>
      <c r="J16" s="29" t="str">
        <f>IFERROR(INDEX('Budget Planning'!$C:$C,row_id),"")</f>
        <v>Dividends</v>
      </c>
      <c r="K16" s="30">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300</v>
      </c>
      <c r="L16" s="31">
        <f>IF(OR(is_header,is_empty),"",INDEX('Budget Planning'!$E:$EM,row_id,MATCH(IF(selected_period="Total Year",selected_year,DATE(selected_year,selected_period,1)),'Budget Planning'!$E$9:$EM$9,0)))</f>
        <v>1200</v>
      </c>
      <c r="M16" s="27">
        <f>IF(is_cat,IF(header_row_id=income_header_row,MATCH(income_min_row,$C:$C,0),IF(header_row_id=expenses_header_row,MATCH(expenses_min_row,$C:$C,0),IF(header_row_id=savings_header_row,MATCH(savings_min_row,$C:$C,0),""))),"")</f>
        <v>14</v>
      </c>
      <c r="N16" s="28">
        <f>IF(is_cat,IF(header_row_id=income_header_row,MATCH(income_max_row,$C:$C,0),IF(header_row_id=expenses_header_row,MATCH(expenses_max_row,$C:$C,0),IF(header_row_id=savings_header_row,MATCH(savings_max_row,$C:$C,0),""))),"")</f>
        <v>16</v>
      </c>
      <c r="O16" s="27" t="str">
        <f t="shared" si="3"/>
        <v>$K$14:$K$16</v>
      </c>
      <c r="P16" s="29">
        <f t="shared" ca="1" si="4"/>
        <v>3</v>
      </c>
      <c r="Q16" s="29" t="str">
        <f t="shared" si="5"/>
        <v>$L$14:$L$16</v>
      </c>
      <c r="R16" s="28">
        <f t="shared" ca="1" si="6"/>
        <v>3</v>
      </c>
      <c r="S16" s="27">
        <f t="shared" ca="1" si="7"/>
        <v>33</v>
      </c>
      <c r="T16" s="29" t="str">
        <f t="shared" si="8"/>
        <v>$S$14:$S$16</v>
      </c>
      <c r="U16" s="29">
        <f t="shared" ca="1" si="9"/>
        <v>3</v>
      </c>
      <c r="V16" s="29" t="str">
        <f t="shared" si="10"/>
        <v>$U$14:$U$16</v>
      </c>
      <c r="W16" s="28">
        <f t="shared" ca="1" si="11"/>
        <v>3</v>
      </c>
      <c r="X16" s="33">
        <f t="shared" ca="1" si="12"/>
        <v>12</v>
      </c>
      <c r="Y16" s="34" t="str">
        <f t="shared" ca="1" si="13"/>
        <v>Dividends</v>
      </c>
      <c r="Z16" s="35">
        <f t="shared" ca="1" si="14"/>
        <v>300</v>
      </c>
      <c r="AA16" s="35">
        <f t="shared" ca="1" si="15"/>
        <v>1200</v>
      </c>
      <c r="AB16" s="36">
        <f t="shared" ca="1" si="16"/>
        <v>0.25</v>
      </c>
      <c r="AC16" s="35">
        <f t="shared" ca="1" si="17"/>
        <v>900</v>
      </c>
      <c r="AD16" s="35">
        <f t="shared" ca="1" si="18"/>
        <v>0</v>
      </c>
      <c r="AE16" s="34"/>
      <c r="AF16" s="27"/>
      <c r="AG16" s="29"/>
      <c r="AH16" s="29"/>
      <c r="AI16" s="41" t="str">
        <f ca="1">Calculations!E35</f>
        <v>Employment (Net)</v>
      </c>
      <c r="AJ16" s="42">
        <f ca="1">Calculations!F35</f>
        <v>10500</v>
      </c>
      <c r="AK16" s="28"/>
      <c r="AM16" s="27"/>
      <c r="AN16" s="29"/>
      <c r="AO16" s="29"/>
      <c r="AP16" s="29"/>
      <c r="AQ16" s="29"/>
      <c r="AR16" s="28"/>
    </row>
    <row r="17" spans="3:44">
      <c r="C17" s="27">
        <f>IF(C16=-1,-1,IF(C16&lt;income_max_row,C16+1,IF(C16=income_max_row,income_total_row,IF(C16=income_total_row,"/1",IF(C16="/1",expenses_header_row,IF(C16&lt;expenses_max_row,C16+1,IF(C16=expenses_max_row,expenses_total_row,IF(C16=expenses_total_row,"/2",IF(C16="/2",savings_header_row,IF(C16&lt;savings_max_row,C16+1,IF(C16=savings_max_row,savings_total_row,-1)))))))))))</f>
        <v>20</v>
      </c>
      <c r="D17" s="28">
        <f t="shared" si="0"/>
        <v>9</v>
      </c>
      <c r="E17" s="27">
        <f>1*OR(row_id=income_header_row,row_id=expenses_header_row,row_id=savings_header_row)</f>
        <v>0</v>
      </c>
      <c r="F17" s="29">
        <f t="shared" si="1"/>
        <v>0</v>
      </c>
      <c r="G17" s="29">
        <f>1*OR(row_id=income_total_row,row_id=expenses_total_row,row_id=savings_total_row)</f>
        <v>1</v>
      </c>
      <c r="H17" s="28">
        <f t="shared" si="2"/>
        <v>0</v>
      </c>
      <c r="I17" s="27" t="str">
        <f>IFERROR(INDEX('Budget Planning'!$C:$C,header_row_id),"")</f>
        <v>Income</v>
      </c>
      <c r="J17" s="29" t="str">
        <f>IFERROR(INDEX('Budget Planning'!$C:$C,row_id),"")</f>
        <v>Total</v>
      </c>
      <c r="K17" s="30">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13600</v>
      </c>
      <c r="L17" s="31">
        <f ca="1">IF(OR(is_header,is_empty),"",INDEX('Budget Planning'!$E:$EM,row_id,MATCH(IF(selected_period="Total Year",selected_year,DATE(selected_year,selected_period,1)),'Budget Planning'!$E$9:$EM$9,0)))</f>
        <v>64200</v>
      </c>
      <c r="M17" s="27" t="str">
        <f>IF(is_cat,IF(header_row_id=income_header_row,MATCH(income_min_row,$C:$C,0),IF(header_row_id=expenses_header_row,MATCH(expenses_min_row,$C:$C,0),IF(header_row_id=savings_header_row,MATCH(savings_min_row,$C:$C,0),""))),"")</f>
        <v/>
      </c>
      <c r="N17" s="28" t="str">
        <f>IF(is_cat,IF(header_row_id=income_header_row,MATCH(income_max_row,$C:$C,0),IF(header_row_id=expenses_header_row,MATCH(expenses_max_row,$C:$C,0),IF(header_row_id=savings_header_row,MATCH(savings_max_row,$C:$C,0),""))),"")</f>
        <v/>
      </c>
      <c r="O17" s="27" t="str">
        <f t="shared" si="3"/>
        <v/>
      </c>
      <c r="P17" s="29" t="str">
        <f t="shared" ca="1" si="4"/>
        <v/>
      </c>
      <c r="Q17" s="29" t="str">
        <f t="shared" si="5"/>
        <v/>
      </c>
      <c r="R17" s="28" t="str">
        <f t="shared" ca="1" si="6"/>
        <v/>
      </c>
      <c r="S17" s="27" t="str">
        <f t="shared" si="7"/>
        <v/>
      </c>
      <c r="T17" s="29" t="str">
        <f t="shared" si="8"/>
        <v/>
      </c>
      <c r="U17" s="29" t="str">
        <f t="shared" ca="1" si="9"/>
        <v/>
      </c>
      <c r="V17" s="29" t="str">
        <f t="shared" si="10"/>
        <v/>
      </c>
      <c r="W17" s="28" t="str">
        <f t="shared" ca="1" si="11"/>
        <v/>
      </c>
      <c r="X17" s="33">
        <f t="shared" si="12"/>
        <v>20</v>
      </c>
      <c r="Y17" s="34" t="str">
        <f t="shared" ca="1" si="13"/>
        <v>Total</v>
      </c>
      <c r="Z17" s="35">
        <f t="shared" ca="1" si="14"/>
        <v>13600</v>
      </c>
      <c r="AA17" s="35">
        <f t="shared" ca="1" si="15"/>
        <v>64200</v>
      </c>
      <c r="AB17" s="36">
        <f t="shared" ca="1" si="16"/>
        <v>0.21183800623052959</v>
      </c>
      <c r="AC17" s="35">
        <f t="shared" ca="1" si="17"/>
        <v>50600</v>
      </c>
      <c r="AD17" s="35">
        <f t="shared" ca="1" si="18"/>
        <v>0</v>
      </c>
      <c r="AE17" s="34"/>
      <c r="AF17" s="27"/>
      <c r="AG17" s="29"/>
      <c r="AH17" s="29"/>
      <c r="AI17" s="41" t="str">
        <f ca="1">Calculations!E36</f>
        <v>Side Hustle (Net)</v>
      </c>
      <c r="AJ17" s="42">
        <f ca="1">Calculations!F36</f>
        <v>2800</v>
      </c>
      <c r="AK17" s="28"/>
      <c r="AM17" s="27"/>
      <c r="AN17" s="29"/>
      <c r="AO17" s="29"/>
      <c r="AP17" s="29"/>
      <c r="AQ17" s="29"/>
      <c r="AR17" s="28"/>
    </row>
    <row r="18" spans="3:44">
      <c r="C18" s="27" t="str">
        <f>IF(C17=-1,-1,IF(C17&lt;income_max_row,C17+1,IF(C17=income_max_row,income_total_row,IF(C17=income_total_row,"/1",IF(C17="/1",expenses_header_row,IF(C17&lt;expenses_max_row,C17+1,IF(C17=expenses_max_row,expenses_total_row,IF(C17=expenses_total_row,"/2",IF(C17="/2",savings_header_row,IF(C17&lt;savings_max_row,C17+1,IF(C17=savings_max_row,savings_total_row,-1)))))))))))</f>
        <v>/1</v>
      </c>
      <c r="D18" s="28">
        <f t="shared" si="0"/>
        <v>-1</v>
      </c>
      <c r="E18" s="27">
        <f>1*OR(row_id=income_header_row,row_id=expenses_header_row,row_id=savings_header_row)</f>
        <v>0</v>
      </c>
      <c r="F18" s="29">
        <f t="shared" si="1"/>
        <v>0</v>
      </c>
      <c r="G18" s="29">
        <f>1*OR(row_id=income_total_row,row_id=expenses_total_row,row_id=savings_total_row)</f>
        <v>0</v>
      </c>
      <c r="H18" s="28">
        <f t="shared" si="2"/>
        <v>1</v>
      </c>
      <c r="I18" s="27" t="str">
        <f>IFERROR(INDEX('Budget Planning'!$C:$C,header_row_id),"")</f>
        <v/>
      </c>
      <c r="J18" s="29" t="str">
        <f>IFERROR(INDEX('Budget Planning'!$C:$C,row_id),"")</f>
        <v/>
      </c>
      <c r="K18" s="30" t="str">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
      </c>
      <c r="L18" s="31" t="str">
        <f>IF(OR(is_header,is_empty),"",INDEX('Budget Planning'!$E:$EM,row_id,MATCH(IF(selected_period="Total Year",selected_year,DATE(selected_year,selected_period,1)),'Budget Planning'!$E$9:$EM$9,0)))</f>
        <v/>
      </c>
      <c r="M18" s="27" t="str">
        <f>IF(is_cat,IF(header_row_id=income_header_row,MATCH(income_min_row,$C:$C,0),IF(header_row_id=expenses_header_row,MATCH(expenses_min_row,$C:$C,0),IF(header_row_id=savings_header_row,MATCH(savings_min_row,$C:$C,0),""))),"")</f>
        <v/>
      </c>
      <c r="N18" s="28" t="str">
        <f>IF(is_cat,IF(header_row_id=income_header_row,MATCH(income_max_row,$C:$C,0),IF(header_row_id=expenses_header_row,MATCH(expenses_max_row,$C:$C,0),IF(header_row_id=savings_header_row,MATCH(savings_max_row,$C:$C,0),""))),"")</f>
        <v/>
      </c>
      <c r="O18" s="27" t="str">
        <f t="shared" si="3"/>
        <v/>
      </c>
      <c r="P18" s="29" t="str">
        <f t="shared" ca="1" si="4"/>
        <v/>
      </c>
      <c r="Q18" s="29" t="str">
        <f t="shared" si="5"/>
        <v/>
      </c>
      <c r="R18" s="28" t="str">
        <f t="shared" ca="1" si="6"/>
        <v/>
      </c>
      <c r="S18" s="27" t="str">
        <f t="shared" si="7"/>
        <v/>
      </c>
      <c r="T18" s="29" t="str">
        <f t="shared" si="8"/>
        <v/>
      </c>
      <c r="U18" s="29" t="str">
        <f t="shared" ca="1" si="9"/>
        <v/>
      </c>
      <c r="V18" s="29" t="str">
        <f t="shared" si="10"/>
        <v/>
      </c>
      <c r="W18" s="28" t="str">
        <f t="shared" ca="1" si="11"/>
        <v/>
      </c>
      <c r="X18" s="33" t="str">
        <f t="shared" si="12"/>
        <v>/1</v>
      </c>
      <c r="Y18" s="34" t="str">
        <f t="shared" si="13"/>
        <v/>
      </c>
      <c r="Z18" s="35" t="str">
        <f t="shared" si="14"/>
        <v/>
      </c>
      <c r="AA18" s="35" t="str">
        <f t="shared" si="15"/>
        <v/>
      </c>
      <c r="AB18" s="36" t="str">
        <f t="shared" si="16"/>
        <v/>
      </c>
      <c r="AC18" s="35" t="str">
        <f t="shared" si="17"/>
        <v/>
      </c>
      <c r="AD18" s="35" t="str">
        <f t="shared" si="18"/>
        <v/>
      </c>
      <c r="AE18" s="34"/>
      <c r="AF18" s="27"/>
      <c r="AG18" s="29"/>
      <c r="AH18" s="29"/>
      <c r="AI18" s="41" t="str">
        <f ca="1">Calculations!E37</f>
        <v>Dividends</v>
      </c>
      <c r="AJ18" s="42">
        <f ca="1">Calculations!F37</f>
        <v>300</v>
      </c>
      <c r="AK18" s="28"/>
      <c r="AM18" s="27"/>
      <c r="AN18" s="29"/>
      <c r="AO18" s="29"/>
      <c r="AP18" s="29"/>
      <c r="AQ18" s="29"/>
      <c r="AR18" s="28"/>
    </row>
    <row r="19" spans="3:44">
      <c r="C19" s="27">
        <f>IF(C18=-1,-1,IF(C18&lt;income_max_row,C18+1,IF(C18=income_max_row,income_total_row,IF(C18=income_total_row,"/1",IF(C18="/1",expenses_header_row,IF(C18&lt;expenses_max_row,C18+1,IF(C18=expenses_max_row,expenses_total_row,IF(C18=expenses_total_row,"/2",IF(C18="/2",savings_header_row,IF(C18&lt;savings_max_row,C18+1,IF(C18=savings_max_row,savings_total_row,-1)))))))))))</f>
        <v>22</v>
      </c>
      <c r="D19" s="28">
        <f t="shared" si="0"/>
        <v>22</v>
      </c>
      <c r="E19" s="27">
        <f>1*OR(row_id=income_header_row,row_id=expenses_header_row,row_id=savings_header_row)</f>
        <v>1</v>
      </c>
      <c r="F19" s="29">
        <f t="shared" si="1"/>
        <v>0</v>
      </c>
      <c r="G19" s="29">
        <f>1*OR(row_id=income_total_row,row_id=expenses_total_row,row_id=savings_total_row)</f>
        <v>0</v>
      </c>
      <c r="H19" s="28">
        <f t="shared" si="2"/>
        <v>0</v>
      </c>
      <c r="I19" s="27" t="str">
        <f>IFERROR(INDEX('Budget Planning'!$C:$C,header_row_id),"")</f>
        <v>Expenses</v>
      </c>
      <c r="J19" s="29" t="str">
        <f>IFERROR(INDEX('Budget Planning'!$C:$C,row_id),"")</f>
        <v>Expenses</v>
      </c>
      <c r="K19" s="30" t="str">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
      </c>
      <c r="L19" s="31" t="str">
        <f>IF(OR(is_header,is_empty),"",INDEX('Budget Planning'!$E:$EM,row_id,MATCH(IF(selected_period="Total Year",selected_year,DATE(selected_year,selected_period,1)),'Budget Planning'!$E$9:$EM$9,0)))</f>
        <v/>
      </c>
      <c r="M19" s="27" t="str">
        <f>IF(is_cat,IF(header_row_id=income_header_row,MATCH(income_min_row,$C:$C,0),IF(header_row_id=expenses_header_row,MATCH(expenses_min_row,$C:$C,0),IF(header_row_id=savings_header_row,MATCH(savings_min_row,$C:$C,0),""))),"")</f>
        <v/>
      </c>
      <c r="N19" s="28" t="str">
        <f>IF(is_cat,IF(header_row_id=income_header_row,MATCH(income_max_row,$C:$C,0),IF(header_row_id=expenses_header_row,MATCH(expenses_max_row,$C:$C,0),IF(header_row_id=savings_header_row,MATCH(savings_max_row,$C:$C,0),""))),"")</f>
        <v/>
      </c>
      <c r="O19" s="27" t="str">
        <f t="shared" si="3"/>
        <v/>
      </c>
      <c r="P19" s="29" t="str">
        <f t="shared" ca="1" si="4"/>
        <v/>
      </c>
      <c r="Q19" s="29" t="str">
        <f t="shared" si="5"/>
        <v/>
      </c>
      <c r="R19" s="28" t="str">
        <f t="shared" ca="1" si="6"/>
        <v/>
      </c>
      <c r="S19" s="27" t="str">
        <f t="shared" si="7"/>
        <v/>
      </c>
      <c r="T19" s="29" t="str">
        <f t="shared" si="8"/>
        <v/>
      </c>
      <c r="U19" s="29" t="str">
        <f t="shared" ca="1" si="9"/>
        <v/>
      </c>
      <c r="V19" s="29" t="str">
        <f t="shared" si="10"/>
        <v/>
      </c>
      <c r="W19" s="28" t="str">
        <f t="shared" ca="1" si="11"/>
        <v/>
      </c>
      <c r="X19" s="33">
        <f t="shared" si="12"/>
        <v>22</v>
      </c>
      <c r="Y19" s="34" t="str">
        <f t="shared" ca="1" si="13"/>
        <v>Expenses</v>
      </c>
      <c r="Z19" s="35" t="str">
        <f t="shared" si="14"/>
        <v>Tracked</v>
      </c>
      <c r="AA19" s="35" t="str">
        <f t="shared" si="15"/>
        <v>Budget</v>
      </c>
      <c r="AB19" s="36" t="str">
        <f t="shared" si="16"/>
        <v>% Compl.</v>
      </c>
      <c r="AC19" s="35" t="str">
        <f t="shared" si="17"/>
        <v>Remaining</v>
      </c>
      <c r="AD19" s="35" t="str">
        <f t="shared" si="18"/>
        <v>Excess</v>
      </c>
      <c r="AE19" s="34"/>
      <c r="AF19" s="27"/>
      <c r="AG19" s="29"/>
      <c r="AH19" s="29"/>
      <c r="AI19" s="41" t="str">
        <f>Calculations!E38</f>
        <v/>
      </c>
      <c r="AJ19" s="42" t="str">
        <f>Calculations!F38</f>
        <v/>
      </c>
      <c r="AK19" s="28"/>
      <c r="AM19" s="27"/>
      <c r="AN19" s="29"/>
      <c r="AO19" s="29"/>
      <c r="AP19" s="29"/>
      <c r="AQ19" s="29"/>
      <c r="AR19" s="28"/>
    </row>
    <row r="20" spans="3:44">
      <c r="C20" s="27">
        <f>IF(C19=-1,-1,IF(C19&lt;income_max_row,C19+1,IF(C19=income_max_row,income_total_row,IF(C19=income_total_row,"/1",IF(C19="/1",expenses_header_row,IF(C19&lt;expenses_max_row,C19+1,IF(C19=expenses_max_row,expenses_total_row,IF(C19=expenses_total_row,"/2",IF(C19="/2",savings_header_row,IF(C19&lt;savings_max_row,C19+1,IF(C19=savings_max_row,savings_total_row,-1)))))))))))</f>
        <v>23</v>
      </c>
      <c r="D20" s="28">
        <f t="shared" si="0"/>
        <v>22</v>
      </c>
      <c r="E20" s="27">
        <f>1*OR(row_id=income_header_row,row_id=expenses_header_row,row_id=savings_header_row)</f>
        <v>0</v>
      </c>
      <c r="F20" s="29">
        <f t="shared" si="1"/>
        <v>1</v>
      </c>
      <c r="G20" s="29">
        <f>1*OR(row_id=income_total_row,row_id=expenses_total_row,row_id=savings_total_row)</f>
        <v>0</v>
      </c>
      <c r="H20" s="28">
        <f t="shared" si="2"/>
        <v>0</v>
      </c>
      <c r="I20" s="27" t="str">
        <f>IFERROR(INDEX('Budget Planning'!$C:$C,header_row_id),"")</f>
        <v>Expenses</v>
      </c>
      <c r="J20" s="29" t="str">
        <f>IFERROR(INDEX('Budget Planning'!$C:$C,row_id),"")</f>
        <v>Housing</v>
      </c>
      <c r="K20" s="30">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3600</v>
      </c>
      <c r="L20" s="31">
        <f>IF(OR(is_header,is_empty),"",INDEX('Budget Planning'!$E:$EM,row_id,MATCH(IF(selected_period="Total Year",selected_year,DATE(selected_year,selected_period,1)),'Budget Planning'!$E$9:$EM$9,0)))</f>
        <v>14400</v>
      </c>
      <c r="M20" s="27">
        <f>IF(is_cat,IF(header_row_id=income_header_row,MATCH(income_min_row,$C:$C,0),IF(header_row_id=expenses_header_row,MATCH(expenses_min_row,$C:$C,0),IF(header_row_id=savings_header_row,MATCH(savings_min_row,$C:$C,0),""))),"")</f>
        <v>20</v>
      </c>
      <c r="N20" s="28">
        <f>IF(is_cat,IF(header_row_id=income_header_row,MATCH(income_max_row,$C:$C,0),IF(header_row_id=expenses_header_row,MATCH(expenses_max_row,$C:$C,0),IF(header_row_id=savings_header_row,MATCH(savings_max_row,$C:$C,0),""))),"")</f>
        <v>28</v>
      </c>
      <c r="O20" s="27" t="str">
        <f t="shared" si="3"/>
        <v>$K$20:$K$28</v>
      </c>
      <c r="P20" s="29">
        <f t="shared" ca="1" si="4"/>
        <v>1</v>
      </c>
      <c r="Q20" s="29" t="str">
        <f t="shared" si="5"/>
        <v>$L$20:$L$28</v>
      </c>
      <c r="R20" s="28">
        <f t="shared" ca="1" si="6"/>
        <v>1</v>
      </c>
      <c r="S20" s="27">
        <f t="shared" ca="1" si="7"/>
        <v>11</v>
      </c>
      <c r="T20" s="29" t="str">
        <f t="shared" si="8"/>
        <v>$S$20:$S$28</v>
      </c>
      <c r="U20" s="29">
        <f t="shared" ca="1" si="9"/>
        <v>1</v>
      </c>
      <c r="V20" s="29" t="str">
        <f t="shared" si="10"/>
        <v>$U$20:$U$20</v>
      </c>
      <c r="W20" s="28">
        <f t="shared" ca="1" si="11"/>
        <v>1</v>
      </c>
      <c r="X20" s="33">
        <f t="shared" ca="1" si="12"/>
        <v>23</v>
      </c>
      <c r="Y20" s="34" t="str">
        <f t="shared" ca="1" si="13"/>
        <v>Housing</v>
      </c>
      <c r="Z20" s="35">
        <f t="shared" ca="1" si="14"/>
        <v>3600</v>
      </c>
      <c r="AA20" s="35">
        <f t="shared" ca="1" si="15"/>
        <v>14400</v>
      </c>
      <c r="AB20" s="36">
        <f t="shared" ca="1" si="16"/>
        <v>0.25</v>
      </c>
      <c r="AC20" s="35">
        <f t="shared" ca="1" si="17"/>
        <v>10800</v>
      </c>
      <c r="AD20" s="35">
        <f t="shared" ca="1" si="18"/>
        <v>0</v>
      </c>
      <c r="AE20" s="34"/>
      <c r="AF20" s="27"/>
      <c r="AG20" s="29"/>
      <c r="AH20" s="29"/>
      <c r="AI20" s="41" t="str">
        <f>Calculations!E39</f>
        <v/>
      </c>
      <c r="AJ20" s="42" t="str">
        <f>Calculations!F39</f>
        <v/>
      </c>
      <c r="AK20" s="28"/>
      <c r="AM20" s="27"/>
      <c r="AN20" s="29"/>
      <c r="AO20" s="29"/>
      <c r="AP20" s="29"/>
      <c r="AQ20" s="29"/>
      <c r="AR20" s="28"/>
    </row>
    <row r="21" spans="3:44">
      <c r="C21" s="27">
        <f>IF(C20=-1,-1,IF(C20&lt;income_max_row,C20+1,IF(C20=income_max_row,income_total_row,IF(C20=income_total_row,"/1",IF(C20="/1",expenses_header_row,IF(C20&lt;expenses_max_row,C20+1,IF(C20=expenses_max_row,expenses_total_row,IF(C20=expenses_total_row,"/2",IF(C20="/2",savings_header_row,IF(C20&lt;savings_max_row,C20+1,IF(C20=savings_max_row,savings_total_row,-1)))))))))))</f>
        <v>24</v>
      </c>
      <c r="D21" s="28">
        <f t="shared" si="0"/>
        <v>22</v>
      </c>
      <c r="E21" s="27">
        <f>1*OR(row_id=income_header_row,row_id=expenses_header_row,row_id=savings_header_row)</f>
        <v>0</v>
      </c>
      <c r="F21" s="29">
        <f t="shared" si="1"/>
        <v>1</v>
      </c>
      <c r="G21" s="29">
        <f>1*OR(row_id=income_total_row,row_id=expenses_total_row,row_id=savings_total_row)</f>
        <v>0</v>
      </c>
      <c r="H21" s="28">
        <f t="shared" si="2"/>
        <v>0</v>
      </c>
      <c r="I21" s="27" t="str">
        <f>IFERROR(INDEX('Budget Planning'!$C:$C,header_row_id),"")</f>
        <v>Expenses</v>
      </c>
      <c r="J21" s="29" t="str">
        <f>IFERROR(INDEX('Budget Planning'!$C:$C,row_id),"")</f>
        <v>Utilities</v>
      </c>
      <c r="K21" s="30">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900</v>
      </c>
      <c r="L21" s="31">
        <f>IF(OR(is_header,is_empty),"",INDEX('Budget Planning'!$E:$EM,row_id,MATCH(IF(selected_period="Total Year",selected_year,DATE(selected_year,selected_period,1)),'Budget Planning'!$E$9:$EM$9,0)))</f>
        <v>3600</v>
      </c>
      <c r="M21" s="27">
        <f>IF(is_cat,IF(header_row_id=income_header_row,MATCH(income_min_row,$C:$C,0),IF(header_row_id=expenses_header_row,MATCH(expenses_min_row,$C:$C,0),IF(header_row_id=savings_header_row,MATCH(savings_min_row,$C:$C,0),""))),"")</f>
        <v>20</v>
      </c>
      <c r="N21" s="28">
        <f>IF(is_cat,IF(header_row_id=income_header_row,MATCH(income_max_row,$C:$C,0),IF(header_row_id=expenses_header_row,MATCH(expenses_max_row,$C:$C,0),IF(header_row_id=savings_header_row,MATCH(savings_max_row,$C:$C,0),""))),"")</f>
        <v>28</v>
      </c>
      <c r="O21" s="27" t="str">
        <f t="shared" si="3"/>
        <v>$K$20:$K$28</v>
      </c>
      <c r="P21" s="29">
        <f t="shared" ca="1" si="4"/>
        <v>2</v>
      </c>
      <c r="Q21" s="29" t="str">
        <f t="shared" si="5"/>
        <v>$L$20:$L$28</v>
      </c>
      <c r="R21" s="28">
        <f t="shared" ca="1" si="6"/>
        <v>4</v>
      </c>
      <c r="S21" s="27">
        <f t="shared" ca="1" si="7"/>
        <v>24</v>
      </c>
      <c r="T21" s="29" t="str">
        <f t="shared" si="8"/>
        <v>$S$20:$S$28</v>
      </c>
      <c r="U21" s="29">
        <f t="shared" ca="1" si="9"/>
        <v>3</v>
      </c>
      <c r="V21" s="29" t="str">
        <f t="shared" si="10"/>
        <v>$U$20:$U$21</v>
      </c>
      <c r="W21" s="28">
        <f t="shared" ca="1" si="11"/>
        <v>3</v>
      </c>
      <c r="X21" s="33">
        <f t="shared" ca="1" si="12"/>
        <v>25</v>
      </c>
      <c r="Y21" s="34" t="str">
        <f t="shared" ca="1" si="13"/>
        <v>Groceries</v>
      </c>
      <c r="Z21" s="35">
        <f t="shared" ca="1" si="14"/>
        <v>900</v>
      </c>
      <c r="AA21" s="35">
        <f t="shared" ca="1" si="15"/>
        <v>4200</v>
      </c>
      <c r="AB21" s="36">
        <f t="shared" ca="1" si="16"/>
        <v>0.21428571428571427</v>
      </c>
      <c r="AC21" s="35">
        <f t="shared" ca="1" si="17"/>
        <v>3300</v>
      </c>
      <c r="AD21" s="35">
        <f t="shared" ca="1" si="18"/>
        <v>0</v>
      </c>
      <c r="AE21" s="34"/>
      <c r="AF21" s="27"/>
      <c r="AG21" s="29"/>
      <c r="AH21" s="29"/>
      <c r="AI21" s="41" t="str">
        <f ca="1">Calculations!E40</f>
        <v/>
      </c>
      <c r="AJ21" s="42" t="str">
        <f ca="1">Calculations!F40</f>
        <v/>
      </c>
      <c r="AK21" s="28"/>
      <c r="AM21" s="27"/>
      <c r="AN21" s="29"/>
      <c r="AO21" s="29"/>
      <c r="AP21" s="29"/>
      <c r="AQ21" s="29"/>
      <c r="AR21" s="28"/>
    </row>
    <row r="22" spans="3:44">
      <c r="C22" s="27">
        <f>IF(C21=-1,-1,IF(C21&lt;income_max_row,C21+1,IF(C21=income_max_row,income_total_row,IF(C21=income_total_row,"/1",IF(C21="/1",expenses_header_row,IF(C21&lt;expenses_max_row,C21+1,IF(C21=expenses_max_row,expenses_total_row,IF(C21=expenses_total_row,"/2",IF(C21="/2",savings_header_row,IF(C21&lt;savings_max_row,C21+1,IF(C21=savings_max_row,savings_total_row,-1)))))))))))</f>
        <v>25</v>
      </c>
      <c r="D22" s="28">
        <f t="shared" si="0"/>
        <v>22</v>
      </c>
      <c r="E22" s="27">
        <f>1*OR(row_id=income_header_row,row_id=expenses_header_row,row_id=savings_header_row)</f>
        <v>0</v>
      </c>
      <c r="F22" s="29">
        <f t="shared" si="1"/>
        <v>1</v>
      </c>
      <c r="G22" s="29">
        <f>1*OR(row_id=income_total_row,row_id=expenses_total_row,row_id=savings_total_row)</f>
        <v>0</v>
      </c>
      <c r="H22" s="28">
        <f t="shared" si="2"/>
        <v>0</v>
      </c>
      <c r="I22" s="27" t="str">
        <f>IFERROR(INDEX('Budget Planning'!$C:$C,header_row_id),"")</f>
        <v>Expenses</v>
      </c>
      <c r="J22" s="29" t="str">
        <f>IFERROR(INDEX('Budget Planning'!$C:$C,row_id),"")</f>
        <v>Groceries</v>
      </c>
      <c r="K22" s="30">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900</v>
      </c>
      <c r="L22" s="31">
        <f>IF(OR(is_header,is_empty),"",INDEX('Budget Planning'!$E:$EM,row_id,MATCH(IF(selected_period="Total Year",selected_year,DATE(selected_year,selected_period,1)),'Budget Planning'!$E$9:$EM$9,0)))</f>
        <v>4200</v>
      </c>
      <c r="M22" s="27">
        <f>IF(is_cat,IF(header_row_id=income_header_row,MATCH(income_min_row,$C:$C,0),IF(header_row_id=expenses_header_row,MATCH(expenses_min_row,$C:$C,0),IF(header_row_id=savings_header_row,MATCH(savings_min_row,$C:$C,0),""))),"")</f>
        <v>20</v>
      </c>
      <c r="N22" s="28">
        <f>IF(is_cat,IF(header_row_id=income_header_row,MATCH(income_max_row,$C:$C,0),IF(header_row_id=expenses_header_row,MATCH(expenses_max_row,$C:$C,0),IF(header_row_id=savings_header_row,MATCH(savings_max_row,$C:$C,0),""))),"")</f>
        <v>28</v>
      </c>
      <c r="O22" s="27" t="str">
        <f t="shared" si="3"/>
        <v>$K$20:$K$28</v>
      </c>
      <c r="P22" s="29">
        <f t="shared" ca="1" si="4"/>
        <v>2</v>
      </c>
      <c r="Q22" s="29" t="str">
        <f t="shared" si="5"/>
        <v>$L$20:$L$28</v>
      </c>
      <c r="R22" s="28">
        <f t="shared" ca="1" si="6"/>
        <v>3</v>
      </c>
      <c r="S22" s="27">
        <f t="shared" ca="1" si="7"/>
        <v>23</v>
      </c>
      <c r="T22" s="29" t="str">
        <f t="shared" si="8"/>
        <v>$S$20:$S$28</v>
      </c>
      <c r="U22" s="29">
        <f t="shared" ca="1" si="9"/>
        <v>2</v>
      </c>
      <c r="V22" s="29" t="str">
        <f t="shared" si="10"/>
        <v>$U$20:$U$22</v>
      </c>
      <c r="W22" s="28">
        <f t="shared" ca="1" si="11"/>
        <v>2</v>
      </c>
      <c r="X22" s="33">
        <f t="shared" ca="1" si="12"/>
        <v>24</v>
      </c>
      <c r="Y22" s="34" t="str">
        <f t="shared" ca="1" si="13"/>
        <v>Utilities</v>
      </c>
      <c r="Z22" s="35">
        <f t="shared" ca="1" si="14"/>
        <v>900</v>
      </c>
      <c r="AA22" s="35">
        <f t="shared" ca="1" si="15"/>
        <v>3600</v>
      </c>
      <c r="AB22" s="36">
        <f t="shared" ca="1" si="16"/>
        <v>0.25</v>
      </c>
      <c r="AC22" s="35">
        <f t="shared" ca="1" si="17"/>
        <v>2700</v>
      </c>
      <c r="AD22" s="35">
        <f t="shared" ca="1" si="18"/>
        <v>0</v>
      </c>
      <c r="AE22" s="34"/>
      <c r="AF22" s="27"/>
      <c r="AG22" s="29"/>
      <c r="AH22" s="29"/>
      <c r="AI22" s="43" t="str">
        <f>Calculations!E41</f>
        <v>Total</v>
      </c>
      <c r="AJ22" s="44">
        <f ca="1">Calculations!F41</f>
        <v>13600</v>
      </c>
      <c r="AK22" s="28"/>
      <c r="AM22" s="27"/>
      <c r="AN22" s="29"/>
      <c r="AO22" s="29"/>
      <c r="AP22" s="29"/>
      <c r="AQ22" s="29"/>
      <c r="AR22" s="28"/>
    </row>
    <row r="23" spans="3:44">
      <c r="C23" s="27">
        <f>IF(C22=-1,-1,IF(C22&lt;income_max_row,C22+1,IF(C22=income_max_row,income_total_row,IF(C22=income_total_row,"/1",IF(C22="/1",expenses_header_row,IF(C22&lt;expenses_max_row,C22+1,IF(C22=expenses_max_row,expenses_total_row,IF(C22=expenses_total_row,"/2",IF(C22="/2",savings_header_row,IF(C22&lt;savings_max_row,C22+1,IF(C22=savings_max_row,savings_total_row,-1)))))))))))</f>
        <v>26</v>
      </c>
      <c r="D23" s="28">
        <f t="shared" si="0"/>
        <v>22</v>
      </c>
      <c r="E23" s="27">
        <f>1*OR(row_id=income_header_row,row_id=expenses_header_row,row_id=savings_header_row)</f>
        <v>0</v>
      </c>
      <c r="F23" s="29">
        <f t="shared" si="1"/>
        <v>1</v>
      </c>
      <c r="G23" s="29">
        <f>1*OR(row_id=income_total_row,row_id=expenses_total_row,row_id=savings_total_row)</f>
        <v>0</v>
      </c>
      <c r="H23" s="28">
        <f t="shared" si="2"/>
        <v>0</v>
      </c>
      <c r="I23" s="27" t="str">
        <f>IFERROR(INDEX('Budget Planning'!$C:$C,header_row_id),"")</f>
        <v>Expenses</v>
      </c>
      <c r="J23" s="29" t="str">
        <f>IFERROR(INDEX('Budget Planning'!$C:$C,row_id),"")</f>
        <v>Transportation</v>
      </c>
      <c r="K23" s="30">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610</v>
      </c>
      <c r="L23" s="31">
        <f>IF(OR(is_header,is_empty),"",INDEX('Budget Planning'!$E:$EM,row_id,MATCH(IF(selected_period="Total Year",selected_year,DATE(selected_year,selected_period,1)),'Budget Planning'!$E$9:$EM$9,0)))</f>
        <v>3600</v>
      </c>
      <c r="M23" s="27">
        <f>IF(is_cat,IF(header_row_id=income_header_row,MATCH(income_min_row,$C:$C,0),IF(header_row_id=expenses_header_row,MATCH(expenses_min_row,$C:$C,0),IF(header_row_id=savings_header_row,MATCH(savings_min_row,$C:$C,0),""))),"")</f>
        <v>20</v>
      </c>
      <c r="N23" s="28">
        <f>IF(is_cat,IF(header_row_id=income_header_row,MATCH(income_max_row,$C:$C,0),IF(header_row_id=expenses_header_row,MATCH(expenses_max_row,$C:$C,0),IF(header_row_id=savings_header_row,MATCH(savings_max_row,$C:$C,0),""))),"")</f>
        <v>28</v>
      </c>
      <c r="O23" s="27" t="str">
        <f t="shared" si="3"/>
        <v>$K$20:$K$28</v>
      </c>
      <c r="P23" s="29">
        <f t="shared" ca="1" si="4"/>
        <v>5</v>
      </c>
      <c r="Q23" s="29" t="str">
        <f t="shared" si="5"/>
        <v>$L$20:$L$28</v>
      </c>
      <c r="R23" s="28">
        <f t="shared" ca="1" si="6"/>
        <v>4</v>
      </c>
      <c r="S23" s="27">
        <f t="shared" ca="1" si="7"/>
        <v>54</v>
      </c>
      <c r="T23" s="29" t="str">
        <f t="shared" si="8"/>
        <v>$S$20:$S$28</v>
      </c>
      <c r="U23" s="29">
        <f t="shared" ca="1" si="9"/>
        <v>5</v>
      </c>
      <c r="V23" s="29" t="str">
        <f t="shared" si="10"/>
        <v>$U$20:$U$23</v>
      </c>
      <c r="W23" s="28">
        <f t="shared" ca="1" si="11"/>
        <v>5</v>
      </c>
      <c r="X23" s="33">
        <f t="shared" ca="1" si="12"/>
        <v>27</v>
      </c>
      <c r="Y23" s="34" t="str">
        <f t="shared" ca="1" si="13"/>
        <v>Fun &amp; Vacation</v>
      </c>
      <c r="Z23" s="35">
        <f t="shared" ca="1" si="14"/>
        <v>730</v>
      </c>
      <c r="AA23" s="35">
        <f t="shared" ca="1" si="15"/>
        <v>600</v>
      </c>
      <c r="AB23" s="36">
        <f t="shared" ca="1" si="16"/>
        <v>1.2166666666666666</v>
      </c>
      <c r="AC23" s="35">
        <f t="shared" ca="1" si="17"/>
        <v>0</v>
      </c>
      <c r="AD23" s="35">
        <f t="shared" ca="1" si="18"/>
        <v>130</v>
      </c>
      <c r="AE23" s="34"/>
      <c r="AF23" s="27"/>
      <c r="AG23" s="29"/>
      <c r="AH23" s="29"/>
      <c r="AI23" s="29"/>
      <c r="AJ23" s="29"/>
      <c r="AK23" s="28"/>
      <c r="AM23" s="27"/>
      <c r="AN23" s="29"/>
      <c r="AO23" s="29"/>
      <c r="AP23" s="29"/>
      <c r="AQ23" s="29"/>
      <c r="AR23" s="28"/>
    </row>
    <row r="24" spans="3:44">
      <c r="C24" s="27">
        <f>IF(C23=-1,-1,IF(C23&lt;income_max_row,C23+1,IF(C23=income_max_row,income_total_row,IF(C23=income_total_row,"/1",IF(C23="/1",expenses_header_row,IF(C23&lt;expenses_max_row,C23+1,IF(C23=expenses_max_row,expenses_total_row,IF(C23=expenses_total_row,"/2",IF(C23="/2",savings_header_row,IF(C23&lt;savings_max_row,C23+1,IF(C23=savings_max_row,savings_total_row,-1)))))))))))</f>
        <v>27</v>
      </c>
      <c r="D24" s="28">
        <f t="shared" si="0"/>
        <v>22</v>
      </c>
      <c r="E24" s="27">
        <f>1*OR(row_id=income_header_row,row_id=expenses_header_row,row_id=savings_header_row)</f>
        <v>0</v>
      </c>
      <c r="F24" s="29">
        <f t="shared" si="1"/>
        <v>1</v>
      </c>
      <c r="G24" s="29">
        <f>1*OR(row_id=income_total_row,row_id=expenses_total_row,row_id=savings_total_row)</f>
        <v>0</v>
      </c>
      <c r="H24" s="28">
        <f t="shared" si="2"/>
        <v>0</v>
      </c>
      <c r="I24" s="27" t="str">
        <f>IFERROR(INDEX('Budget Planning'!$C:$C,header_row_id),"")</f>
        <v>Expenses</v>
      </c>
      <c r="J24" s="29" t="str">
        <f>IFERROR(INDEX('Budget Planning'!$C:$C,row_id),"")</f>
        <v>Tithe &amp; Offering</v>
      </c>
      <c r="K24" s="30">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150</v>
      </c>
      <c r="L24" s="31">
        <f>IF(OR(is_header,is_empty),"",INDEX('Budget Planning'!$E:$EM,row_id,MATCH(IF(selected_period="Total Year",selected_year,DATE(selected_year,selected_period,1)),'Budget Planning'!$E$9:$EM$9,0)))</f>
        <v>6000</v>
      </c>
      <c r="M24" s="27">
        <f>IF(is_cat,IF(header_row_id=income_header_row,MATCH(income_min_row,$C:$C,0),IF(header_row_id=expenses_header_row,MATCH(expenses_min_row,$C:$C,0),IF(header_row_id=savings_header_row,MATCH(savings_min_row,$C:$C,0),""))),"")</f>
        <v>20</v>
      </c>
      <c r="N24" s="28">
        <f>IF(is_cat,IF(header_row_id=income_header_row,MATCH(income_max_row,$C:$C,0),IF(header_row_id=expenses_header_row,MATCH(expenses_max_row,$C:$C,0),IF(header_row_id=savings_header_row,MATCH(savings_max_row,$C:$C,0),""))),"")</f>
        <v>28</v>
      </c>
      <c r="O24" s="27" t="str">
        <f t="shared" si="3"/>
        <v>$K$20:$K$28</v>
      </c>
      <c r="P24" s="29">
        <f t="shared" ca="1" si="4"/>
        <v>9</v>
      </c>
      <c r="Q24" s="29" t="str">
        <f t="shared" si="5"/>
        <v>$L$20:$L$28</v>
      </c>
      <c r="R24" s="28">
        <f t="shared" ca="1" si="6"/>
        <v>2</v>
      </c>
      <c r="S24" s="27">
        <f t="shared" ca="1" si="7"/>
        <v>92</v>
      </c>
      <c r="T24" s="29" t="str">
        <f t="shared" si="8"/>
        <v>$S$20:$S$28</v>
      </c>
      <c r="U24" s="29">
        <f t="shared" ca="1" si="9"/>
        <v>9</v>
      </c>
      <c r="V24" s="29" t="str">
        <f t="shared" si="10"/>
        <v>$U$20:$U$24</v>
      </c>
      <c r="W24" s="28">
        <f t="shared" ca="1" si="11"/>
        <v>9</v>
      </c>
      <c r="X24" s="33">
        <f t="shared" ca="1" si="12"/>
        <v>31</v>
      </c>
      <c r="Y24" s="34" t="str">
        <f t="shared" ca="1" si="13"/>
        <v>Transportation</v>
      </c>
      <c r="Z24" s="35">
        <f t="shared" ca="1" si="14"/>
        <v>610</v>
      </c>
      <c r="AA24" s="35">
        <f t="shared" ca="1" si="15"/>
        <v>3600</v>
      </c>
      <c r="AB24" s="36">
        <f t="shared" ca="1" si="16"/>
        <v>0.16944444444444445</v>
      </c>
      <c r="AC24" s="35">
        <f t="shared" ca="1" si="17"/>
        <v>2990</v>
      </c>
      <c r="AD24" s="35">
        <f t="shared" ca="1" si="18"/>
        <v>0</v>
      </c>
      <c r="AE24" s="34"/>
      <c r="AF24" s="38"/>
      <c r="AG24" s="12"/>
      <c r="AH24" s="12"/>
      <c r="AI24" s="12"/>
      <c r="AJ24" s="12"/>
      <c r="AK24" s="45"/>
      <c r="AM24" s="38"/>
      <c r="AN24" s="12"/>
      <c r="AO24" s="12"/>
      <c r="AP24" s="12"/>
      <c r="AQ24" s="12"/>
      <c r="AR24" s="45"/>
    </row>
    <row r="25" spans="3:44">
      <c r="C25" s="27">
        <f>IF(C24=-1,-1,IF(C24&lt;income_max_row,C24+1,IF(C24=income_max_row,income_total_row,IF(C24=income_total_row,"/1",IF(C24="/1",expenses_header_row,IF(C24&lt;expenses_max_row,C24+1,IF(C24=expenses_max_row,expenses_total_row,IF(C24=expenses_total_row,"/2",IF(C24="/2",savings_header_row,IF(C24&lt;savings_max_row,C24+1,IF(C24=savings_max_row,savings_total_row,-1)))))))))))</f>
        <v>28</v>
      </c>
      <c r="D25" s="28">
        <f t="shared" si="0"/>
        <v>22</v>
      </c>
      <c r="E25" s="27">
        <f>1*OR(row_id=income_header_row,row_id=expenses_header_row,row_id=savings_header_row)</f>
        <v>0</v>
      </c>
      <c r="F25" s="29">
        <f t="shared" si="1"/>
        <v>1</v>
      </c>
      <c r="G25" s="29">
        <f>1*OR(row_id=income_total_row,row_id=expenses_total_row,row_id=savings_total_row)</f>
        <v>0</v>
      </c>
      <c r="H25" s="28">
        <f t="shared" si="2"/>
        <v>0</v>
      </c>
      <c r="I25" s="27" t="str">
        <f>IFERROR(INDEX('Budget Planning'!$C:$C,header_row_id),"")</f>
        <v>Expenses</v>
      </c>
      <c r="J25" s="29" t="str">
        <f>IFERROR(INDEX('Budget Planning'!$C:$C,row_id),"")</f>
        <v>Clothing</v>
      </c>
      <c r="K25" s="30">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360</v>
      </c>
      <c r="L25" s="31">
        <f>IF(OR(is_header,is_empty),"",INDEX('Budget Planning'!$E:$EM,row_id,MATCH(IF(selected_period="Total Year",selected_year,DATE(selected_year,selected_period,1)),'Budget Planning'!$E$9:$EM$9,0)))</f>
        <v>2400</v>
      </c>
      <c r="M25" s="27">
        <f>IF(is_cat,IF(header_row_id=income_header_row,MATCH(income_min_row,$C:$C,0),IF(header_row_id=expenses_header_row,MATCH(expenses_min_row,$C:$C,0),IF(header_row_id=savings_header_row,MATCH(savings_min_row,$C:$C,0),""))),"")</f>
        <v>20</v>
      </c>
      <c r="N25" s="28">
        <f>IF(is_cat,IF(header_row_id=income_header_row,MATCH(income_max_row,$C:$C,0),IF(header_row_id=expenses_header_row,MATCH(expenses_max_row,$C:$C,0),IF(header_row_id=savings_header_row,MATCH(savings_max_row,$C:$C,0),""))),"")</f>
        <v>28</v>
      </c>
      <c r="O25" s="27" t="str">
        <f t="shared" si="3"/>
        <v>$K$20:$K$28</v>
      </c>
      <c r="P25" s="29">
        <f t="shared" ca="1" si="4"/>
        <v>7</v>
      </c>
      <c r="Q25" s="29" t="str">
        <f t="shared" si="5"/>
        <v>$L$20:$L$28</v>
      </c>
      <c r="R25" s="28">
        <f t="shared" ca="1" si="6"/>
        <v>6</v>
      </c>
      <c r="S25" s="27">
        <f t="shared" ca="1" si="7"/>
        <v>76</v>
      </c>
      <c r="T25" s="29" t="str">
        <f t="shared" si="8"/>
        <v>$S$20:$S$28</v>
      </c>
      <c r="U25" s="29">
        <f t="shared" ca="1" si="9"/>
        <v>7</v>
      </c>
      <c r="V25" s="29" t="str">
        <f t="shared" si="10"/>
        <v>$U$20:$U$25</v>
      </c>
      <c r="W25" s="28">
        <f t="shared" ca="1" si="11"/>
        <v>7</v>
      </c>
      <c r="X25" s="33">
        <f t="shared" ca="1" si="12"/>
        <v>29</v>
      </c>
      <c r="Y25" s="34" t="str">
        <f t="shared" ca="1" si="13"/>
        <v>Body Care</v>
      </c>
      <c r="Z25" s="35">
        <f t="shared" ca="1" si="14"/>
        <v>470</v>
      </c>
      <c r="AA25" s="35">
        <f t="shared" ca="1" si="15"/>
        <v>2400</v>
      </c>
      <c r="AB25" s="36">
        <f t="shared" ca="1" si="16"/>
        <v>0.19583333333333333</v>
      </c>
      <c r="AC25" s="35">
        <f t="shared" ca="1" si="17"/>
        <v>1930</v>
      </c>
      <c r="AD25" s="35">
        <f t="shared" ca="1" si="18"/>
        <v>0</v>
      </c>
      <c r="AE25" s="34"/>
    </row>
    <row r="26" spans="3:44">
      <c r="C26" s="27">
        <f>IF(C25=-1,-1,IF(C25&lt;income_max_row,C25+1,IF(C25=income_max_row,income_total_row,IF(C25=income_total_row,"/1",IF(C25="/1",expenses_header_row,IF(C25&lt;expenses_max_row,C25+1,IF(C25=expenses_max_row,expenses_total_row,IF(C25=expenses_total_row,"/2",IF(C25="/2",savings_header_row,IF(C25&lt;savings_max_row,C25+1,IF(C25=savings_max_row,savings_total_row,-1)))))))))))</f>
        <v>29</v>
      </c>
      <c r="D26" s="28">
        <f t="shared" si="0"/>
        <v>22</v>
      </c>
      <c r="E26" s="27">
        <f>1*OR(row_id=income_header_row,row_id=expenses_header_row,row_id=savings_header_row)</f>
        <v>0</v>
      </c>
      <c r="F26" s="29">
        <f t="shared" si="1"/>
        <v>1</v>
      </c>
      <c r="G26" s="29">
        <f>1*OR(row_id=income_total_row,row_id=expenses_total_row,row_id=savings_total_row)</f>
        <v>0</v>
      </c>
      <c r="H26" s="28">
        <f t="shared" si="2"/>
        <v>0</v>
      </c>
      <c r="I26" s="27" t="str">
        <f>IFERROR(INDEX('Budget Planning'!$C:$C,header_row_id),"")</f>
        <v>Expenses</v>
      </c>
      <c r="J26" s="29" t="str">
        <f>IFERROR(INDEX('Budget Planning'!$C:$C,row_id),"")</f>
        <v>Body Care</v>
      </c>
      <c r="K26" s="30">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470</v>
      </c>
      <c r="L26" s="31">
        <f>IF(OR(is_header,is_empty),"",INDEX('Budget Planning'!$E:$EM,row_id,MATCH(IF(selected_period="Total Year",selected_year,DATE(selected_year,selected_period,1)),'Budget Planning'!$E$9:$EM$9,0)))</f>
        <v>2400</v>
      </c>
      <c r="M26" s="27">
        <f>IF(is_cat,IF(header_row_id=income_header_row,MATCH(income_min_row,$C:$C,0),IF(header_row_id=expenses_header_row,MATCH(expenses_min_row,$C:$C,0),IF(header_row_id=savings_header_row,MATCH(savings_min_row,$C:$C,0),""))),"")</f>
        <v>20</v>
      </c>
      <c r="N26" s="28">
        <f>IF(is_cat,IF(header_row_id=income_header_row,MATCH(income_max_row,$C:$C,0),IF(header_row_id=expenses_header_row,MATCH(expenses_max_row,$C:$C,0),IF(header_row_id=savings_header_row,MATCH(savings_max_row,$C:$C,0),""))),"")</f>
        <v>28</v>
      </c>
      <c r="O26" s="27" t="str">
        <f t="shared" si="3"/>
        <v>$K$20:$K$28</v>
      </c>
      <c r="P26" s="29">
        <f t="shared" ca="1" si="4"/>
        <v>6</v>
      </c>
      <c r="Q26" s="29" t="str">
        <f t="shared" si="5"/>
        <v>$L$20:$L$28</v>
      </c>
      <c r="R26" s="28">
        <f t="shared" ca="1" si="6"/>
        <v>6</v>
      </c>
      <c r="S26" s="27">
        <f t="shared" ca="1" si="7"/>
        <v>66</v>
      </c>
      <c r="T26" s="29" t="str">
        <f t="shared" si="8"/>
        <v>$S$20:$S$28</v>
      </c>
      <c r="U26" s="29">
        <f t="shared" ca="1" si="9"/>
        <v>6</v>
      </c>
      <c r="V26" s="29" t="str">
        <f t="shared" si="10"/>
        <v>$U$20:$U$26</v>
      </c>
      <c r="W26" s="28">
        <f t="shared" ca="1" si="11"/>
        <v>6</v>
      </c>
      <c r="X26" s="33">
        <f t="shared" ca="1" si="12"/>
        <v>28</v>
      </c>
      <c r="Y26" s="34" t="str">
        <f t="shared" ca="1" si="13"/>
        <v>Clothing</v>
      </c>
      <c r="Z26" s="35">
        <f t="shared" ca="1" si="14"/>
        <v>360</v>
      </c>
      <c r="AA26" s="35">
        <f t="shared" ca="1" si="15"/>
        <v>2400</v>
      </c>
      <c r="AB26" s="36">
        <f t="shared" ca="1" si="16"/>
        <v>0.15</v>
      </c>
      <c r="AC26" s="35">
        <f t="shared" ca="1" si="17"/>
        <v>2040</v>
      </c>
      <c r="AD26" s="35">
        <f t="shared" ca="1" si="18"/>
        <v>0</v>
      </c>
      <c r="AE26" s="34"/>
      <c r="AF26" s="37"/>
      <c r="AG26" s="39"/>
      <c r="AH26" s="39"/>
      <c r="AI26" s="39"/>
      <c r="AJ26" s="39"/>
      <c r="AK26" s="40"/>
      <c r="AM26" s="37"/>
      <c r="AN26" s="39"/>
      <c r="AO26" s="39"/>
      <c r="AP26" s="39"/>
      <c r="AQ26" s="39"/>
      <c r="AR26" s="40"/>
    </row>
    <row r="27" spans="3:44">
      <c r="C27" s="27">
        <f>IF(C26=-1,-1,IF(C26&lt;income_max_row,C26+1,IF(C26=income_max_row,income_total_row,IF(C26=income_total_row,"/1",IF(C26="/1",expenses_header_row,IF(C26&lt;expenses_max_row,C26+1,IF(C26=expenses_max_row,expenses_total_row,IF(C26=expenses_total_row,"/2",IF(C26="/2",savings_header_row,IF(C26&lt;savings_max_row,C26+1,IF(C26=savings_max_row,savings_total_row,-1)))))))))))</f>
        <v>30</v>
      </c>
      <c r="D27" s="28">
        <f t="shared" si="0"/>
        <v>22</v>
      </c>
      <c r="E27" s="27">
        <f>1*OR(row_id=income_header_row,row_id=expenses_header_row,row_id=savings_header_row)</f>
        <v>0</v>
      </c>
      <c r="F27" s="29">
        <f t="shared" si="1"/>
        <v>1</v>
      </c>
      <c r="G27" s="29">
        <f>1*OR(row_id=income_total_row,row_id=expenses_total_row,row_id=savings_total_row)</f>
        <v>0</v>
      </c>
      <c r="H27" s="28">
        <f t="shared" si="2"/>
        <v>0</v>
      </c>
      <c r="I27" s="27" t="str">
        <f>IFERROR(INDEX('Budget Planning'!$C:$C,header_row_id),"")</f>
        <v>Expenses</v>
      </c>
      <c r="J27" s="29" t="str">
        <f>IFERROR(INDEX('Budget Planning'!$C:$C,row_id),"")</f>
        <v>Airtime &amp; Data</v>
      </c>
      <c r="K27" s="30">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170</v>
      </c>
      <c r="L27" s="31">
        <f>IF(OR(is_header,is_empty),"",INDEX('Budget Planning'!$E:$EM,row_id,MATCH(IF(selected_period="Total Year",selected_year,DATE(selected_year,selected_period,1)),'Budget Planning'!$E$9:$EM$9,0)))</f>
        <v>600</v>
      </c>
      <c r="M27" s="27">
        <f>IF(is_cat,IF(header_row_id=income_header_row,MATCH(income_min_row,$C:$C,0),IF(header_row_id=expenses_header_row,MATCH(expenses_min_row,$C:$C,0),IF(header_row_id=savings_header_row,MATCH(savings_min_row,$C:$C,0),""))),"")</f>
        <v>20</v>
      </c>
      <c r="N27" s="28">
        <f>IF(is_cat,IF(header_row_id=income_header_row,MATCH(income_max_row,$C:$C,0),IF(header_row_id=expenses_header_row,MATCH(expenses_max_row,$C:$C,0),IF(header_row_id=savings_header_row,MATCH(savings_max_row,$C:$C,0),""))),"")</f>
        <v>28</v>
      </c>
      <c r="O27" s="27" t="str">
        <f t="shared" si="3"/>
        <v>$K$20:$K$28</v>
      </c>
      <c r="P27" s="29">
        <f t="shared" ca="1" si="4"/>
        <v>8</v>
      </c>
      <c r="Q27" s="29" t="str">
        <f t="shared" si="5"/>
        <v>$L$20:$L$28</v>
      </c>
      <c r="R27" s="28">
        <f t="shared" ca="1" si="6"/>
        <v>8</v>
      </c>
      <c r="S27" s="27">
        <f t="shared" ca="1" si="7"/>
        <v>88</v>
      </c>
      <c r="T27" s="29" t="str">
        <f t="shared" si="8"/>
        <v>$S$20:$S$28</v>
      </c>
      <c r="U27" s="29">
        <f t="shared" ca="1" si="9"/>
        <v>8</v>
      </c>
      <c r="V27" s="29" t="str">
        <f t="shared" si="10"/>
        <v>$U$20:$U$27</v>
      </c>
      <c r="W27" s="28">
        <f t="shared" ca="1" si="11"/>
        <v>8</v>
      </c>
      <c r="X27" s="33">
        <f t="shared" ca="1" si="12"/>
        <v>30</v>
      </c>
      <c r="Y27" s="34" t="str">
        <f t="shared" ca="1" si="13"/>
        <v>Airtime &amp; Data</v>
      </c>
      <c r="Z27" s="35">
        <f t="shared" ca="1" si="14"/>
        <v>170</v>
      </c>
      <c r="AA27" s="35">
        <f t="shared" ca="1" si="15"/>
        <v>600</v>
      </c>
      <c r="AB27" s="36">
        <f t="shared" ca="1" si="16"/>
        <v>0.28333333333333333</v>
      </c>
      <c r="AC27" s="35">
        <f t="shared" ca="1" si="17"/>
        <v>430</v>
      </c>
      <c r="AD27" s="35">
        <f t="shared" ca="1" si="18"/>
        <v>0</v>
      </c>
      <c r="AE27" s="34"/>
      <c r="AF27" s="27"/>
      <c r="AG27" s="29"/>
      <c r="AH27" s="29"/>
      <c r="AI27" s="29"/>
      <c r="AJ27" s="29"/>
      <c r="AK27" s="28"/>
      <c r="AM27" s="27"/>
      <c r="AN27" s="29"/>
      <c r="AO27" s="29"/>
      <c r="AP27" s="29"/>
      <c r="AQ27" s="29"/>
      <c r="AR27" s="28"/>
    </row>
    <row r="28" spans="3:44">
      <c r="C28" s="27">
        <f>IF(C27=-1,-1,IF(C27&lt;income_max_row,C27+1,IF(C27=income_max_row,income_total_row,IF(C27=income_total_row,"/1",IF(C27="/1",expenses_header_row,IF(C27&lt;expenses_max_row,C27+1,IF(C27=expenses_max_row,expenses_total_row,IF(C27=expenses_total_row,"/2",IF(C27="/2",savings_header_row,IF(C27&lt;savings_max_row,C27+1,IF(C27=savings_max_row,savings_total_row,-1)))))))))))</f>
        <v>31</v>
      </c>
      <c r="D28" s="28">
        <f t="shared" si="0"/>
        <v>22</v>
      </c>
      <c r="E28" s="27">
        <f>1*OR(row_id=income_header_row,row_id=expenses_header_row,row_id=savings_header_row)</f>
        <v>0</v>
      </c>
      <c r="F28" s="29">
        <f t="shared" si="1"/>
        <v>1</v>
      </c>
      <c r="G28" s="29">
        <f>1*OR(row_id=income_total_row,row_id=expenses_total_row,row_id=savings_total_row)</f>
        <v>0</v>
      </c>
      <c r="H28" s="28">
        <f t="shared" si="2"/>
        <v>0</v>
      </c>
      <c r="I28" s="27" t="str">
        <f>IFERROR(INDEX('Budget Planning'!$C:$C,header_row_id),"")</f>
        <v>Expenses</v>
      </c>
      <c r="J28" s="29" t="str">
        <f>IFERROR(INDEX('Budget Planning'!$C:$C,row_id),"")</f>
        <v>Fun &amp; Vacation</v>
      </c>
      <c r="K28" s="30">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730</v>
      </c>
      <c r="L28" s="31">
        <f>IF(OR(is_header,is_empty),"",INDEX('Budget Planning'!$E:$EM,row_id,MATCH(IF(selected_period="Total Year",selected_year,DATE(selected_year,selected_period,1)),'Budget Planning'!$E$9:$EM$9,0)))</f>
        <v>600</v>
      </c>
      <c r="M28" s="27">
        <f>IF(is_cat,IF(header_row_id=income_header_row,MATCH(income_min_row,$C:$C,0),IF(header_row_id=expenses_header_row,MATCH(expenses_min_row,$C:$C,0),IF(header_row_id=savings_header_row,MATCH(savings_min_row,$C:$C,0),""))),"")</f>
        <v>20</v>
      </c>
      <c r="N28" s="28">
        <f>IF(is_cat,IF(header_row_id=income_header_row,MATCH(income_max_row,$C:$C,0),IF(header_row_id=expenses_header_row,MATCH(expenses_max_row,$C:$C,0),IF(header_row_id=savings_header_row,MATCH(savings_max_row,$C:$C,0),""))),"")</f>
        <v>28</v>
      </c>
      <c r="O28" s="27" t="str">
        <f t="shared" si="3"/>
        <v>$K$20:$K$28</v>
      </c>
      <c r="P28" s="29">
        <f t="shared" ca="1" si="4"/>
        <v>4</v>
      </c>
      <c r="Q28" s="29" t="str">
        <f t="shared" si="5"/>
        <v>$L$20:$L$28</v>
      </c>
      <c r="R28" s="28">
        <f t="shared" ca="1" si="6"/>
        <v>8</v>
      </c>
      <c r="S28" s="27">
        <f t="shared" ca="1" si="7"/>
        <v>48</v>
      </c>
      <c r="T28" s="29" t="str">
        <f t="shared" si="8"/>
        <v>$S$20:$S$28</v>
      </c>
      <c r="U28" s="29">
        <f t="shared" ca="1" si="9"/>
        <v>4</v>
      </c>
      <c r="V28" s="29" t="str">
        <f t="shared" si="10"/>
        <v>$U$20:$U$28</v>
      </c>
      <c r="W28" s="28">
        <f t="shared" ca="1" si="11"/>
        <v>4</v>
      </c>
      <c r="X28" s="33">
        <f t="shared" ca="1" si="12"/>
        <v>26</v>
      </c>
      <c r="Y28" s="34" t="str">
        <f t="shared" ca="1" si="13"/>
        <v>Tithe &amp; Offering</v>
      </c>
      <c r="Z28" s="35">
        <f t="shared" ca="1" si="14"/>
        <v>150</v>
      </c>
      <c r="AA28" s="35">
        <f t="shared" ca="1" si="15"/>
        <v>6000</v>
      </c>
      <c r="AB28" s="36">
        <f t="shared" ca="1" si="16"/>
        <v>2.5000000000000001E-2</v>
      </c>
      <c r="AC28" s="35">
        <f t="shared" ca="1" si="17"/>
        <v>5850</v>
      </c>
      <c r="AD28" s="35">
        <f t="shared" ca="1" si="18"/>
        <v>0</v>
      </c>
      <c r="AE28" s="34"/>
      <c r="AF28" s="27"/>
      <c r="AG28" s="29"/>
      <c r="AH28" s="29"/>
      <c r="AI28" s="29"/>
      <c r="AJ28" s="29"/>
      <c r="AK28" s="28"/>
      <c r="AM28" s="27"/>
      <c r="AN28" s="29"/>
      <c r="AO28" s="29"/>
      <c r="AP28" s="29"/>
      <c r="AQ28" s="29"/>
      <c r="AR28" s="28"/>
    </row>
    <row r="29" spans="3:44">
      <c r="C29" s="27">
        <f>IF(C28=-1,-1,IF(C28&lt;income_max_row,C28+1,IF(C28=income_max_row,income_total_row,IF(C28=income_total_row,"/1",IF(C28="/1",expenses_header_row,IF(C28&lt;expenses_max_row,C28+1,IF(C28=expenses_max_row,expenses_total_row,IF(C28=expenses_total_row,"/2",IF(C28="/2",savings_header_row,IF(C28&lt;savings_max_row,C28+1,IF(C28=savings_max_row,savings_total_row,-1)))))))))))</f>
        <v>36</v>
      </c>
      <c r="D29" s="28">
        <f t="shared" si="0"/>
        <v>22</v>
      </c>
      <c r="E29" s="27">
        <f>1*OR(row_id=income_header_row,row_id=expenses_header_row,row_id=savings_header_row)</f>
        <v>0</v>
      </c>
      <c r="F29" s="29">
        <f t="shared" si="1"/>
        <v>0</v>
      </c>
      <c r="G29" s="29">
        <f>1*OR(row_id=income_total_row,row_id=expenses_total_row,row_id=savings_total_row)</f>
        <v>1</v>
      </c>
      <c r="H29" s="28">
        <f t="shared" si="2"/>
        <v>0</v>
      </c>
      <c r="I29" s="27" t="str">
        <f>IFERROR(INDEX('Budget Planning'!$C:$C,header_row_id),"")</f>
        <v>Expenses</v>
      </c>
      <c r="J29" s="29" t="str">
        <f>IFERROR(INDEX('Budget Planning'!$C:$C,row_id),"")</f>
        <v>Total</v>
      </c>
      <c r="K29" s="30">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7890</v>
      </c>
      <c r="L29" s="31">
        <f ca="1">IF(OR(is_header,is_empty),"",INDEX('Budget Planning'!$E:$EM,row_id,MATCH(IF(selected_period="Total Year",selected_year,DATE(selected_year,selected_period,1)),'Budget Planning'!$E$9:$EM$9,0)))</f>
        <v>37800</v>
      </c>
      <c r="M29" s="27" t="str">
        <f>IF(is_cat,IF(header_row_id=income_header_row,MATCH(income_min_row,$C:$C,0),IF(header_row_id=expenses_header_row,MATCH(expenses_min_row,$C:$C,0),IF(header_row_id=savings_header_row,MATCH(savings_min_row,$C:$C,0),""))),"")</f>
        <v/>
      </c>
      <c r="N29" s="28" t="str">
        <f>IF(is_cat,IF(header_row_id=income_header_row,MATCH(income_max_row,$C:$C,0),IF(header_row_id=expenses_header_row,MATCH(expenses_max_row,$C:$C,0),IF(header_row_id=savings_header_row,MATCH(savings_max_row,$C:$C,0),""))),"")</f>
        <v/>
      </c>
      <c r="O29" s="27" t="str">
        <f t="shared" si="3"/>
        <v/>
      </c>
      <c r="P29" s="29" t="str">
        <f t="shared" ca="1" si="4"/>
        <v/>
      </c>
      <c r="Q29" s="29" t="str">
        <f t="shared" si="5"/>
        <v/>
      </c>
      <c r="R29" s="28" t="str">
        <f t="shared" ca="1" si="6"/>
        <v/>
      </c>
      <c r="S29" s="27" t="str">
        <f t="shared" si="7"/>
        <v/>
      </c>
      <c r="T29" s="29" t="str">
        <f t="shared" si="8"/>
        <v/>
      </c>
      <c r="U29" s="29" t="str">
        <f t="shared" ca="1" si="9"/>
        <v/>
      </c>
      <c r="V29" s="29" t="str">
        <f t="shared" si="10"/>
        <v/>
      </c>
      <c r="W29" s="28" t="str">
        <f t="shared" ca="1" si="11"/>
        <v/>
      </c>
      <c r="X29" s="33">
        <f t="shared" si="12"/>
        <v>36</v>
      </c>
      <c r="Y29" s="34" t="str">
        <f t="shared" ca="1" si="13"/>
        <v>Total</v>
      </c>
      <c r="Z29" s="35">
        <f t="shared" ca="1" si="14"/>
        <v>7890</v>
      </c>
      <c r="AA29" s="35">
        <f t="shared" ca="1" si="15"/>
        <v>37800</v>
      </c>
      <c r="AB29" s="36">
        <f t="shared" ca="1" si="16"/>
        <v>0.20873015873015874</v>
      </c>
      <c r="AC29" s="35">
        <f t="shared" ca="1" si="17"/>
        <v>29910</v>
      </c>
      <c r="AD29" s="35">
        <f t="shared" ca="1" si="18"/>
        <v>0</v>
      </c>
      <c r="AE29" s="34"/>
      <c r="AF29" s="27"/>
      <c r="AG29" s="29"/>
      <c r="AH29" s="29"/>
      <c r="AI29" s="41" t="str">
        <f ca="1">Calculations!I35</f>
        <v>Housing</v>
      </c>
      <c r="AJ29" s="41">
        <f ca="1">Calculations!J35</f>
        <v>3600</v>
      </c>
      <c r="AK29" s="28"/>
      <c r="AM29" s="27"/>
      <c r="AN29" s="29"/>
      <c r="AO29" s="29"/>
      <c r="AP29" s="41" t="str">
        <f ca="1">Calculations!M35</f>
        <v>Emergency Fund</v>
      </c>
      <c r="AQ29" s="41">
        <f ca="1">Calculations!N35</f>
        <v>1140</v>
      </c>
      <c r="AR29" s="28"/>
    </row>
    <row r="30" spans="3:44">
      <c r="C30" s="27" t="str">
        <f>IF(C29=-1,-1,IF(C29&lt;income_max_row,C29+1,IF(C29=income_max_row,income_total_row,IF(C29=income_total_row,"/1",IF(C29="/1",expenses_header_row,IF(C29&lt;expenses_max_row,C29+1,IF(C29=expenses_max_row,expenses_total_row,IF(C29=expenses_total_row,"/2",IF(C29="/2",savings_header_row,IF(C29&lt;savings_max_row,C29+1,IF(C29=savings_max_row,savings_total_row,-1)))))))))))</f>
        <v>/2</v>
      </c>
      <c r="D30" s="28">
        <f t="shared" si="0"/>
        <v>-1</v>
      </c>
      <c r="E30" s="27">
        <f>1*OR(row_id=income_header_row,row_id=expenses_header_row,row_id=savings_header_row)</f>
        <v>0</v>
      </c>
      <c r="F30" s="29">
        <f t="shared" si="1"/>
        <v>0</v>
      </c>
      <c r="G30" s="29">
        <f>1*OR(row_id=income_total_row,row_id=expenses_total_row,row_id=savings_total_row)</f>
        <v>0</v>
      </c>
      <c r="H30" s="28">
        <f t="shared" si="2"/>
        <v>1</v>
      </c>
      <c r="I30" s="27" t="str">
        <f>IFERROR(INDEX('Budget Planning'!$C:$C,header_row_id),"")</f>
        <v/>
      </c>
      <c r="J30" s="29" t="str">
        <f>IFERROR(INDEX('Budget Planning'!$C:$C,row_id),"")</f>
        <v/>
      </c>
      <c r="K30" s="30" t="str">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
      </c>
      <c r="L30" s="31" t="str">
        <f>IF(OR(is_header,is_empty),"",INDEX('Budget Planning'!$E:$EM,row_id,MATCH(IF(selected_period="Total Year",selected_year,DATE(selected_year,selected_period,1)),'Budget Planning'!$E$9:$EM$9,0)))</f>
        <v/>
      </c>
      <c r="M30" s="27" t="str">
        <f>IF(is_cat,IF(header_row_id=income_header_row,MATCH(income_min_row,$C:$C,0),IF(header_row_id=expenses_header_row,MATCH(expenses_min_row,$C:$C,0),IF(header_row_id=savings_header_row,MATCH(savings_min_row,$C:$C,0),""))),"")</f>
        <v/>
      </c>
      <c r="N30" s="28" t="str">
        <f>IF(is_cat,IF(header_row_id=income_header_row,MATCH(income_max_row,$C:$C,0),IF(header_row_id=expenses_header_row,MATCH(expenses_max_row,$C:$C,0),IF(header_row_id=savings_header_row,MATCH(savings_max_row,$C:$C,0),""))),"")</f>
        <v/>
      </c>
      <c r="O30" s="27" t="str">
        <f t="shared" si="3"/>
        <v/>
      </c>
      <c r="P30" s="29" t="str">
        <f t="shared" ca="1" si="4"/>
        <v/>
      </c>
      <c r="Q30" s="29" t="str">
        <f t="shared" si="5"/>
        <v/>
      </c>
      <c r="R30" s="28" t="str">
        <f t="shared" ca="1" si="6"/>
        <v/>
      </c>
      <c r="S30" s="27" t="str">
        <f t="shared" si="7"/>
        <v/>
      </c>
      <c r="T30" s="29" t="str">
        <f t="shared" si="8"/>
        <v/>
      </c>
      <c r="U30" s="29" t="str">
        <f t="shared" ca="1" si="9"/>
        <v/>
      </c>
      <c r="V30" s="29" t="str">
        <f t="shared" si="10"/>
        <v/>
      </c>
      <c r="W30" s="28" t="str">
        <f t="shared" ca="1" si="11"/>
        <v/>
      </c>
      <c r="X30" s="33" t="str">
        <f t="shared" si="12"/>
        <v>/2</v>
      </c>
      <c r="Y30" s="34" t="str">
        <f t="shared" si="13"/>
        <v/>
      </c>
      <c r="Z30" s="35" t="str">
        <f t="shared" si="14"/>
        <v/>
      </c>
      <c r="AA30" s="35" t="str">
        <f t="shared" si="15"/>
        <v/>
      </c>
      <c r="AB30" s="36" t="str">
        <f t="shared" si="16"/>
        <v/>
      </c>
      <c r="AC30" s="35" t="str">
        <f t="shared" si="17"/>
        <v/>
      </c>
      <c r="AD30" s="35" t="str">
        <f t="shared" si="18"/>
        <v/>
      </c>
      <c r="AE30" s="34"/>
      <c r="AF30" s="27"/>
      <c r="AG30" s="29"/>
      <c r="AH30" s="29"/>
      <c r="AI30" s="41" t="str">
        <f ca="1">Calculations!I36</f>
        <v>Groceries</v>
      </c>
      <c r="AJ30" s="41">
        <f ca="1">Calculations!J36</f>
        <v>900</v>
      </c>
      <c r="AK30" s="28"/>
      <c r="AM30" s="27"/>
      <c r="AN30" s="29"/>
      <c r="AO30" s="29"/>
      <c r="AP30" s="41" t="str">
        <f ca="1">Calculations!M36</f>
        <v>Retirement Account</v>
      </c>
      <c r="AQ30" s="41">
        <f ca="1">Calculations!N36</f>
        <v>800</v>
      </c>
      <c r="AR30" s="28"/>
    </row>
    <row r="31" spans="3:44">
      <c r="C31" s="27">
        <f>IF(C30=-1,-1,IF(C30&lt;income_max_row,C30+1,IF(C30=income_max_row,income_total_row,IF(C30=income_total_row,"/1",IF(C30="/1",expenses_header_row,IF(C30&lt;expenses_max_row,C30+1,IF(C30=expenses_max_row,expenses_total_row,IF(C30=expenses_total_row,"/2",IF(C30="/2",savings_header_row,IF(C30&lt;savings_max_row,C30+1,IF(C30=savings_max_row,savings_total_row,-1)))))))))))</f>
        <v>38</v>
      </c>
      <c r="D31" s="28">
        <f t="shared" si="0"/>
        <v>38</v>
      </c>
      <c r="E31" s="27">
        <f>1*OR(row_id=income_header_row,row_id=expenses_header_row,row_id=savings_header_row)</f>
        <v>1</v>
      </c>
      <c r="F31" s="29">
        <f t="shared" si="1"/>
        <v>0</v>
      </c>
      <c r="G31" s="29">
        <f>1*OR(row_id=income_total_row,row_id=expenses_total_row,row_id=savings_total_row)</f>
        <v>0</v>
      </c>
      <c r="H31" s="28">
        <f t="shared" si="2"/>
        <v>0</v>
      </c>
      <c r="I31" s="27" t="str">
        <f>IFERROR(INDEX('Budget Planning'!$C:$C,header_row_id),"")</f>
        <v>Savings</v>
      </c>
      <c r="J31" s="29" t="str">
        <f>IFERROR(INDEX('Budget Planning'!$C:$C,row_id),"")</f>
        <v>Savings</v>
      </c>
      <c r="K31" s="30" t="str">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
      </c>
      <c r="L31" s="31" t="str">
        <f>IF(OR(is_header,is_empty),"",INDEX('Budget Planning'!$E:$EM,row_id,MATCH(IF(selected_period="Total Year",selected_year,DATE(selected_year,selected_period,1)),'Budget Planning'!$E$9:$EM$9,0)))</f>
        <v/>
      </c>
      <c r="M31" s="27" t="str">
        <f>IF(is_cat,IF(header_row_id=income_header_row,MATCH(income_min_row,$C:$C,0),IF(header_row_id=expenses_header_row,MATCH(expenses_min_row,$C:$C,0),IF(header_row_id=savings_header_row,MATCH(savings_min_row,$C:$C,0),""))),"")</f>
        <v/>
      </c>
      <c r="N31" s="28" t="str">
        <f>IF(is_cat,IF(header_row_id=income_header_row,MATCH(income_max_row,$C:$C,0),IF(header_row_id=expenses_header_row,MATCH(expenses_max_row,$C:$C,0),IF(header_row_id=savings_header_row,MATCH(savings_max_row,$C:$C,0),""))),"")</f>
        <v/>
      </c>
      <c r="O31" s="27" t="str">
        <f t="shared" si="3"/>
        <v/>
      </c>
      <c r="P31" s="29" t="str">
        <f t="shared" ca="1" si="4"/>
        <v/>
      </c>
      <c r="Q31" s="29" t="str">
        <f t="shared" si="5"/>
        <v/>
      </c>
      <c r="R31" s="28" t="str">
        <f t="shared" ca="1" si="6"/>
        <v/>
      </c>
      <c r="S31" s="27" t="str">
        <f t="shared" si="7"/>
        <v/>
      </c>
      <c r="T31" s="29" t="str">
        <f t="shared" si="8"/>
        <v/>
      </c>
      <c r="U31" s="29" t="str">
        <f t="shared" ca="1" si="9"/>
        <v/>
      </c>
      <c r="V31" s="29" t="str">
        <f t="shared" si="10"/>
        <v/>
      </c>
      <c r="W31" s="28" t="str">
        <f t="shared" ca="1" si="11"/>
        <v/>
      </c>
      <c r="X31" s="33">
        <f t="shared" si="12"/>
        <v>38</v>
      </c>
      <c r="Y31" s="34" t="str">
        <f t="shared" ca="1" si="13"/>
        <v>Savings</v>
      </c>
      <c r="Z31" s="35" t="str">
        <f t="shared" si="14"/>
        <v>Tracked</v>
      </c>
      <c r="AA31" s="35" t="str">
        <f t="shared" si="15"/>
        <v>Budget</v>
      </c>
      <c r="AB31" s="36" t="str">
        <f t="shared" si="16"/>
        <v>% Compl.</v>
      </c>
      <c r="AC31" s="35" t="str">
        <f t="shared" si="17"/>
        <v>Remaining</v>
      </c>
      <c r="AD31" s="35" t="str">
        <f t="shared" si="18"/>
        <v>Excess</v>
      </c>
      <c r="AE31" s="34"/>
      <c r="AF31" s="27"/>
      <c r="AG31" s="29"/>
      <c r="AH31" s="29"/>
      <c r="AI31" s="41" t="str">
        <f ca="1">Calculations!I37</f>
        <v>Utilities</v>
      </c>
      <c r="AJ31" s="41">
        <f ca="1">Calculations!J37</f>
        <v>900</v>
      </c>
      <c r="AK31" s="28"/>
      <c r="AM31" s="27"/>
      <c r="AN31" s="29"/>
      <c r="AO31" s="29"/>
      <c r="AP31" s="41" t="str">
        <f ca="1">Calculations!M37</f>
        <v>Stock Portfolio</v>
      </c>
      <c r="AQ31" s="41">
        <f ca="1">Calculations!N37</f>
        <v>750</v>
      </c>
      <c r="AR31" s="28"/>
    </row>
    <row r="32" spans="3:44">
      <c r="C32" s="27">
        <f>IF(C31=-1,-1,IF(C31&lt;income_max_row,C31+1,IF(C31=income_max_row,income_total_row,IF(C31=income_total_row,"/1",IF(C31="/1",expenses_header_row,IF(C31&lt;expenses_max_row,C31+1,IF(C31=expenses_max_row,expenses_total_row,IF(C31=expenses_total_row,"/2",IF(C31="/2",savings_header_row,IF(C31&lt;savings_max_row,C31+1,IF(C31=savings_max_row,savings_total_row,-1)))))))))))</f>
        <v>39</v>
      </c>
      <c r="D32" s="28">
        <f t="shared" si="0"/>
        <v>38</v>
      </c>
      <c r="E32" s="27">
        <f>1*OR(row_id=income_header_row,row_id=expenses_header_row,row_id=savings_header_row)</f>
        <v>0</v>
      </c>
      <c r="F32" s="29">
        <f t="shared" si="1"/>
        <v>1</v>
      </c>
      <c r="G32" s="29">
        <f>1*OR(row_id=income_total_row,row_id=expenses_total_row,row_id=savings_total_row)</f>
        <v>0</v>
      </c>
      <c r="H32" s="28">
        <f t="shared" si="2"/>
        <v>0</v>
      </c>
      <c r="I32" s="27" t="str">
        <f>IFERROR(INDEX('Budget Planning'!$C:$C,header_row_id),"")</f>
        <v>Savings</v>
      </c>
      <c r="J32" s="29" t="str">
        <f>IFERROR(INDEX('Budget Planning'!$C:$C,row_id),"")</f>
        <v>Emergency Fund</v>
      </c>
      <c r="K32" s="30">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1140</v>
      </c>
      <c r="L32" s="31">
        <f>IF(OR(is_header,is_empty),"",INDEX('Budget Planning'!$E:$EM,row_id,MATCH(IF(selected_period="Total Year",selected_year,DATE(selected_year,selected_period,1)),'Budget Planning'!$E$9:$EM$9,0)))</f>
        <v>3000</v>
      </c>
      <c r="M32" s="27">
        <f>IF(is_cat,IF(header_row_id=income_header_row,MATCH(income_min_row,$C:$C,0),IF(header_row_id=expenses_header_row,MATCH(expenses_min_row,$C:$C,0),IF(header_row_id=savings_header_row,MATCH(savings_min_row,$C:$C,0),""))),"")</f>
        <v>32</v>
      </c>
      <c r="N32" s="28">
        <f>IF(is_cat,IF(header_row_id=income_header_row,MATCH(income_max_row,$C:$C,0),IF(header_row_id=expenses_header_row,MATCH(expenses_max_row,$C:$C,0),IF(header_row_id=savings_header_row,MATCH(savings_max_row,$C:$C,0),""))),"")</f>
        <v>36</v>
      </c>
      <c r="O32" s="27" t="str">
        <f t="shared" si="3"/>
        <v>$K$32:$K$36</v>
      </c>
      <c r="P32" s="29">
        <f t="shared" ca="1" si="4"/>
        <v>1</v>
      </c>
      <c r="Q32" s="29" t="str">
        <f t="shared" si="5"/>
        <v>$L$32:$L$36</v>
      </c>
      <c r="R32" s="28">
        <f t="shared" ca="1" si="6"/>
        <v>4</v>
      </c>
      <c r="S32" s="27">
        <f t="shared" ca="1" si="7"/>
        <v>14</v>
      </c>
      <c r="T32" s="29" t="str">
        <f t="shared" si="8"/>
        <v>$S$32:$S$36</v>
      </c>
      <c r="U32" s="29">
        <f t="shared" ca="1" si="9"/>
        <v>1</v>
      </c>
      <c r="V32" s="29" t="str">
        <f t="shared" si="10"/>
        <v>$U$32:$U$32</v>
      </c>
      <c r="W32" s="28">
        <f t="shared" ca="1" si="11"/>
        <v>1</v>
      </c>
      <c r="X32" s="33">
        <f t="shared" ca="1" si="12"/>
        <v>39</v>
      </c>
      <c r="Y32" s="34" t="str">
        <f t="shared" ca="1" si="13"/>
        <v>Emergency Fund</v>
      </c>
      <c r="Z32" s="35">
        <f t="shared" ca="1" si="14"/>
        <v>1140</v>
      </c>
      <c r="AA32" s="35">
        <f t="shared" ca="1" si="15"/>
        <v>3000</v>
      </c>
      <c r="AB32" s="36">
        <f t="shared" ca="1" si="16"/>
        <v>0.38</v>
      </c>
      <c r="AC32" s="35">
        <f t="shared" ca="1" si="17"/>
        <v>1860</v>
      </c>
      <c r="AD32" s="35">
        <f t="shared" ca="1" si="18"/>
        <v>0</v>
      </c>
      <c r="AE32" s="34"/>
      <c r="AF32" s="27"/>
      <c r="AG32" s="29"/>
      <c r="AH32" s="29"/>
      <c r="AI32" s="41" t="str">
        <f ca="1">Calculations!I38</f>
        <v>Fun &amp; Vacation</v>
      </c>
      <c r="AJ32" s="41">
        <f ca="1">Calculations!J38</f>
        <v>730</v>
      </c>
      <c r="AK32" s="28"/>
      <c r="AM32" s="27"/>
      <c r="AN32" s="29"/>
      <c r="AO32" s="29"/>
      <c r="AP32" s="41" t="str">
        <f ca="1">Calculations!M38</f>
        <v>Sinking Fund Rent</v>
      </c>
      <c r="AQ32" s="41">
        <f ca="1">Calculations!N38</f>
        <v>400</v>
      </c>
      <c r="AR32" s="28"/>
    </row>
    <row r="33" spans="3:44">
      <c r="C33" s="27">
        <f>IF(C32=-1,-1,IF(C32&lt;income_max_row,C32+1,IF(C32=income_max_row,income_total_row,IF(C32=income_total_row,"/1",IF(C32="/1",expenses_header_row,IF(C32&lt;expenses_max_row,C32+1,IF(C32=expenses_max_row,expenses_total_row,IF(C32=expenses_total_row,"/2",IF(C32="/2",savings_header_row,IF(C32&lt;savings_max_row,C32+1,IF(C32=savings_max_row,savings_total_row,-1)))))))))))</f>
        <v>40</v>
      </c>
      <c r="D33" s="28">
        <f t="shared" si="0"/>
        <v>38</v>
      </c>
      <c r="E33" s="27">
        <f>1*OR(row_id=income_header_row,row_id=expenses_header_row,row_id=savings_header_row)</f>
        <v>0</v>
      </c>
      <c r="F33" s="29">
        <f t="shared" si="1"/>
        <v>1</v>
      </c>
      <c r="G33" s="29">
        <f>1*OR(row_id=income_total_row,row_id=expenses_total_row,row_id=savings_total_row)</f>
        <v>0</v>
      </c>
      <c r="H33" s="28">
        <f t="shared" si="2"/>
        <v>0</v>
      </c>
      <c r="I33" s="27" t="str">
        <f>IFERROR(INDEX('Budget Planning'!$C:$C,header_row_id),"")</f>
        <v>Savings</v>
      </c>
      <c r="J33" s="29" t="str">
        <f>IFERROR(INDEX('Budget Planning'!$C:$C,row_id),"")</f>
        <v>Retirement Account</v>
      </c>
      <c r="K33" s="30">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800</v>
      </c>
      <c r="L33" s="31">
        <f>IF(OR(is_header,is_empty),"",INDEX('Budget Planning'!$E:$EM,row_id,MATCH(IF(selected_period="Total Year",selected_year,DATE(selected_year,selected_period,1)),'Budget Planning'!$E$9:$EM$9,0)))</f>
        <v>4800</v>
      </c>
      <c r="M33" s="27">
        <f>IF(is_cat,IF(header_row_id=income_header_row,MATCH(income_min_row,$C:$C,0),IF(header_row_id=expenses_header_row,MATCH(expenses_min_row,$C:$C,0),IF(header_row_id=savings_header_row,MATCH(savings_min_row,$C:$C,0),""))),"")</f>
        <v>32</v>
      </c>
      <c r="N33" s="28">
        <f>IF(is_cat,IF(header_row_id=income_header_row,MATCH(income_max_row,$C:$C,0),IF(header_row_id=expenses_header_row,MATCH(expenses_max_row,$C:$C,0),IF(header_row_id=savings_header_row,MATCH(savings_max_row,$C:$C,0),""))),"")</f>
        <v>36</v>
      </c>
      <c r="O33" s="27" t="str">
        <f t="shared" si="3"/>
        <v>$K$32:$K$36</v>
      </c>
      <c r="P33" s="29">
        <f t="shared" ca="1" si="4"/>
        <v>2</v>
      </c>
      <c r="Q33" s="29" t="str">
        <f t="shared" si="5"/>
        <v>$L$32:$L$36</v>
      </c>
      <c r="R33" s="28">
        <f t="shared" ca="1" si="6"/>
        <v>3</v>
      </c>
      <c r="S33" s="27">
        <f t="shared" ca="1" si="7"/>
        <v>23</v>
      </c>
      <c r="T33" s="29" t="str">
        <f t="shared" si="8"/>
        <v>$S$32:$S$36</v>
      </c>
      <c r="U33" s="29">
        <f t="shared" ca="1" si="9"/>
        <v>2</v>
      </c>
      <c r="V33" s="29" t="str">
        <f t="shared" si="10"/>
        <v>$U$32:$U$33</v>
      </c>
      <c r="W33" s="28">
        <f t="shared" ca="1" si="11"/>
        <v>2</v>
      </c>
      <c r="X33" s="33">
        <f t="shared" ca="1" si="12"/>
        <v>40</v>
      </c>
      <c r="Y33" s="34" t="str">
        <f t="shared" ca="1" si="13"/>
        <v>Retirement Account</v>
      </c>
      <c r="Z33" s="35">
        <f t="shared" ca="1" si="14"/>
        <v>800</v>
      </c>
      <c r="AA33" s="35">
        <f t="shared" ca="1" si="15"/>
        <v>4800</v>
      </c>
      <c r="AB33" s="36">
        <f t="shared" ca="1" si="16"/>
        <v>0.16666666666666666</v>
      </c>
      <c r="AC33" s="35">
        <f t="shared" ca="1" si="17"/>
        <v>4000</v>
      </c>
      <c r="AD33" s="35">
        <f t="shared" ca="1" si="18"/>
        <v>0</v>
      </c>
      <c r="AE33" s="34"/>
      <c r="AF33" s="27"/>
      <c r="AG33" s="29"/>
      <c r="AH33" s="29"/>
      <c r="AI33" s="41" t="str">
        <f ca="1">Calculations!I39</f>
        <v>Transportation</v>
      </c>
      <c r="AJ33" s="41">
        <f ca="1">Calculations!J39</f>
        <v>610</v>
      </c>
      <c r="AK33" s="28"/>
      <c r="AM33" s="27"/>
      <c r="AN33" s="29"/>
      <c r="AO33" s="29"/>
      <c r="AP33" s="41" t="str">
        <f ca="1">Calculations!M39</f>
        <v/>
      </c>
      <c r="AQ33" s="41" t="str">
        <f ca="1">Calculations!N39</f>
        <v/>
      </c>
      <c r="AR33" s="28"/>
    </row>
    <row r="34" spans="3:44">
      <c r="C34" s="27">
        <f>IF(C33=-1,-1,IF(C33&lt;income_max_row,C33+1,IF(C33=income_max_row,income_total_row,IF(C33=income_total_row,"/1",IF(C33="/1",expenses_header_row,IF(C33&lt;expenses_max_row,C33+1,IF(C33=expenses_max_row,expenses_total_row,IF(C33=expenses_total_row,"/2",IF(C33="/2",savings_header_row,IF(C33&lt;savings_max_row,C33+1,IF(C33=savings_max_row,savings_total_row,-1)))))))))))</f>
        <v>41</v>
      </c>
      <c r="D34" s="28">
        <f t="shared" si="0"/>
        <v>38</v>
      </c>
      <c r="E34" s="27">
        <f>1*OR(row_id=income_header_row,row_id=expenses_header_row,row_id=savings_header_row)</f>
        <v>0</v>
      </c>
      <c r="F34" s="29">
        <f t="shared" si="1"/>
        <v>1</v>
      </c>
      <c r="G34" s="29">
        <f>1*OR(row_id=income_total_row,row_id=expenses_total_row,row_id=savings_total_row)</f>
        <v>0</v>
      </c>
      <c r="H34" s="28">
        <f t="shared" si="2"/>
        <v>0</v>
      </c>
      <c r="I34" s="27" t="str">
        <f>IFERROR(INDEX('Budget Planning'!$C:$C,header_row_id),"")</f>
        <v>Savings</v>
      </c>
      <c r="J34" s="29" t="str">
        <f>IFERROR(INDEX('Budget Planning'!$C:$C,row_id),"")</f>
        <v>Stock Portfolio</v>
      </c>
      <c r="K34" s="30">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750</v>
      </c>
      <c r="L34" s="31">
        <f>IF(OR(is_header,is_empty),"",INDEX('Budget Planning'!$E:$EM,row_id,MATCH(IF(selected_period="Total Year",selected_year,DATE(selected_year,selected_period,1)),'Budget Planning'!$E$9:$EM$9,0)))</f>
        <v>7200</v>
      </c>
      <c r="M34" s="27">
        <f>IF(is_cat,IF(header_row_id=income_header_row,MATCH(income_min_row,$C:$C,0),IF(header_row_id=expenses_header_row,MATCH(expenses_min_row,$C:$C,0),IF(header_row_id=savings_header_row,MATCH(savings_min_row,$C:$C,0),""))),"")</f>
        <v>32</v>
      </c>
      <c r="N34" s="28">
        <f>IF(is_cat,IF(header_row_id=income_header_row,MATCH(income_max_row,$C:$C,0),IF(header_row_id=expenses_header_row,MATCH(expenses_max_row,$C:$C,0),IF(header_row_id=savings_header_row,MATCH(savings_max_row,$C:$C,0),""))),"")</f>
        <v>36</v>
      </c>
      <c r="O34" s="27" t="str">
        <f t="shared" si="3"/>
        <v>$K$32:$K$36</v>
      </c>
      <c r="P34" s="29">
        <f t="shared" ca="1" si="4"/>
        <v>3</v>
      </c>
      <c r="Q34" s="29" t="str">
        <f t="shared" si="5"/>
        <v>$L$32:$L$36</v>
      </c>
      <c r="R34" s="28">
        <f t="shared" ca="1" si="6"/>
        <v>2</v>
      </c>
      <c r="S34" s="27">
        <f t="shared" ca="1" si="7"/>
        <v>32</v>
      </c>
      <c r="T34" s="29" t="str">
        <f t="shared" si="8"/>
        <v>$S$32:$S$36</v>
      </c>
      <c r="U34" s="29">
        <f t="shared" ca="1" si="9"/>
        <v>3</v>
      </c>
      <c r="V34" s="29" t="str">
        <f t="shared" si="10"/>
        <v>$U$32:$U$34</v>
      </c>
      <c r="W34" s="28">
        <f t="shared" ca="1" si="11"/>
        <v>3</v>
      </c>
      <c r="X34" s="33">
        <f t="shared" ca="1" si="12"/>
        <v>41</v>
      </c>
      <c r="Y34" s="34" t="str">
        <f t="shared" ca="1" si="13"/>
        <v>Stock Portfolio</v>
      </c>
      <c r="Z34" s="35">
        <f t="shared" ca="1" si="14"/>
        <v>750</v>
      </c>
      <c r="AA34" s="35">
        <f t="shared" ca="1" si="15"/>
        <v>7200</v>
      </c>
      <c r="AB34" s="36">
        <f t="shared" ca="1" si="16"/>
        <v>0.10416666666666667</v>
      </c>
      <c r="AC34" s="35">
        <f t="shared" ca="1" si="17"/>
        <v>6450</v>
      </c>
      <c r="AD34" s="35">
        <f t="shared" ca="1" si="18"/>
        <v>0</v>
      </c>
      <c r="AE34" s="34"/>
      <c r="AF34" s="27"/>
      <c r="AG34" s="29"/>
      <c r="AH34" s="29"/>
      <c r="AI34" s="41" t="str">
        <f ca="1">Calculations!I40</f>
        <v>Other</v>
      </c>
      <c r="AJ34" s="41">
        <f ca="1">Calculations!J40</f>
        <v>1150</v>
      </c>
      <c r="AK34" s="28"/>
      <c r="AM34" s="27"/>
      <c r="AN34" s="29"/>
      <c r="AO34" s="29"/>
      <c r="AP34" s="41" t="str">
        <f ca="1">Calculations!M40</f>
        <v/>
      </c>
      <c r="AQ34" s="41" t="str">
        <f ca="1">Calculations!N40</f>
        <v/>
      </c>
      <c r="AR34" s="28"/>
    </row>
    <row r="35" spans="3:44">
      <c r="C35" s="27">
        <f>IF(C34=-1,-1,IF(C34&lt;income_max_row,C34+1,IF(C34=income_max_row,income_total_row,IF(C34=income_total_row,"/1",IF(C34="/1",expenses_header_row,IF(C34&lt;expenses_max_row,C34+1,IF(C34=expenses_max_row,expenses_total_row,IF(C34=expenses_total_row,"/2",IF(C34="/2",savings_header_row,IF(C34&lt;savings_max_row,C34+1,IF(C34=savings_max_row,savings_total_row,-1)))))))))))</f>
        <v>42</v>
      </c>
      <c r="D35" s="28">
        <f t="shared" si="0"/>
        <v>38</v>
      </c>
      <c r="E35" s="27">
        <f>1*OR(row_id=income_header_row,row_id=expenses_header_row,row_id=savings_header_row)</f>
        <v>0</v>
      </c>
      <c r="F35" s="29">
        <f t="shared" si="1"/>
        <v>1</v>
      </c>
      <c r="G35" s="29">
        <f>1*OR(row_id=income_total_row,row_id=expenses_total_row,row_id=savings_total_row)</f>
        <v>0</v>
      </c>
      <c r="H35" s="28">
        <f t="shared" si="2"/>
        <v>0</v>
      </c>
      <c r="I35" s="27" t="str">
        <f>IFERROR(INDEX('Budget Planning'!$C:$C,header_row_id),"")</f>
        <v>Savings</v>
      </c>
      <c r="J35" s="29" t="str">
        <f>IFERROR(INDEX('Budget Planning'!$C:$C,row_id),"")</f>
        <v>Sinking Fund Rent</v>
      </c>
      <c r="K35" s="30">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400</v>
      </c>
      <c r="L35" s="31">
        <f>IF(OR(is_header,is_empty),"",INDEX('Budget Planning'!$E:$EM,row_id,MATCH(IF(selected_period="Total Year",selected_year,DATE(selected_year,selected_period,1)),'Budget Planning'!$E$9:$EM$9,0)))</f>
        <v>10200</v>
      </c>
      <c r="M35" s="27">
        <f>IF(is_cat,IF(header_row_id=income_header_row,MATCH(income_min_row,$C:$C,0),IF(header_row_id=expenses_header_row,MATCH(expenses_min_row,$C:$C,0),IF(header_row_id=savings_header_row,MATCH(savings_min_row,$C:$C,0),""))),"")</f>
        <v>32</v>
      </c>
      <c r="N35" s="28">
        <f>IF(is_cat,IF(header_row_id=income_header_row,MATCH(income_max_row,$C:$C,0),IF(header_row_id=expenses_header_row,MATCH(expenses_max_row,$C:$C,0),IF(header_row_id=savings_header_row,MATCH(savings_max_row,$C:$C,0),""))),"")</f>
        <v>36</v>
      </c>
      <c r="O35" s="27" t="str">
        <f t="shared" si="3"/>
        <v>$K$32:$K$36</v>
      </c>
      <c r="P35" s="29">
        <f t="shared" ca="1" si="4"/>
        <v>4</v>
      </c>
      <c r="Q35" s="29" t="str">
        <f t="shared" si="5"/>
        <v>$L$32:$L$36</v>
      </c>
      <c r="R35" s="28">
        <f t="shared" ca="1" si="6"/>
        <v>1</v>
      </c>
      <c r="S35" s="27">
        <f t="shared" ca="1" si="7"/>
        <v>41</v>
      </c>
      <c r="T35" s="29" t="str">
        <f t="shared" si="8"/>
        <v>$S$32:$S$36</v>
      </c>
      <c r="U35" s="29">
        <f t="shared" ca="1" si="9"/>
        <v>4</v>
      </c>
      <c r="V35" s="29" t="str">
        <f t="shared" si="10"/>
        <v>$U$32:$U$35</v>
      </c>
      <c r="W35" s="28">
        <f t="shared" ca="1" si="11"/>
        <v>4</v>
      </c>
      <c r="X35" s="33">
        <f t="shared" ca="1" si="12"/>
        <v>42</v>
      </c>
      <c r="Y35" s="34" t="str">
        <f t="shared" ca="1" si="13"/>
        <v>Sinking Fund Rent</v>
      </c>
      <c r="Z35" s="35">
        <f t="shared" ca="1" si="14"/>
        <v>400</v>
      </c>
      <c r="AA35" s="35">
        <f t="shared" ca="1" si="15"/>
        <v>10200</v>
      </c>
      <c r="AB35" s="36">
        <f t="shared" ca="1" si="16"/>
        <v>3.9215686274509803E-2</v>
      </c>
      <c r="AC35" s="35">
        <f t="shared" ca="1" si="17"/>
        <v>9800</v>
      </c>
      <c r="AD35" s="35">
        <f t="shared" ca="1" si="18"/>
        <v>0</v>
      </c>
      <c r="AE35" s="34"/>
      <c r="AF35" s="27"/>
      <c r="AG35" s="29"/>
      <c r="AH35" s="29"/>
      <c r="AI35" s="43" t="str">
        <f>Calculations!I41</f>
        <v>Total</v>
      </c>
      <c r="AJ35" s="43">
        <f ca="1">Calculations!J41</f>
        <v>7890</v>
      </c>
      <c r="AK35" s="28"/>
      <c r="AM35" s="27"/>
      <c r="AN35" s="29"/>
      <c r="AO35" s="29"/>
      <c r="AP35" s="43" t="str">
        <f>Calculations!M41</f>
        <v>Total</v>
      </c>
      <c r="AQ35" s="43">
        <f ca="1">Calculations!N41</f>
        <v>3090</v>
      </c>
      <c r="AR35" s="28"/>
    </row>
    <row r="36" spans="3:44">
      <c r="C36" s="27">
        <f>IF(C35=-1,-1,IF(C35&lt;income_max_row,C35+1,IF(C35=income_max_row,income_total_row,IF(C35=income_total_row,"/1",IF(C35="/1",expenses_header_row,IF(C35&lt;expenses_max_row,C35+1,IF(C35=expenses_max_row,expenses_total_row,IF(C35=expenses_total_row,"/2",IF(C35="/2",savings_header_row,IF(C35&lt;savings_max_row,C35+1,IF(C35=savings_max_row,savings_total_row,-1)))))))))))</f>
        <v>43</v>
      </c>
      <c r="D36" s="28">
        <f t="shared" si="0"/>
        <v>38</v>
      </c>
      <c r="E36" s="27">
        <f>1*OR(row_id=income_header_row,row_id=expenses_header_row,row_id=savings_header_row)</f>
        <v>0</v>
      </c>
      <c r="F36" s="29">
        <f t="shared" si="1"/>
        <v>1</v>
      </c>
      <c r="G36" s="29">
        <f>1*OR(row_id=income_total_row,row_id=expenses_total_row,row_id=savings_total_row)</f>
        <v>0</v>
      </c>
      <c r="H36" s="28">
        <f t="shared" si="2"/>
        <v>0</v>
      </c>
      <c r="I36" s="27" t="str">
        <f>IFERROR(INDEX('Budget Planning'!$C:$C,header_row_id),"")</f>
        <v>Savings</v>
      </c>
      <c r="J36" s="29" t="str">
        <f>IFERROR(INDEX('Budget Planning'!$C:$C,row_id),"")</f>
        <v>Sinking Fund Down Payment</v>
      </c>
      <c r="K36" s="30">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0</v>
      </c>
      <c r="L36" s="31">
        <f>IF(OR(is_header,is_empty),"",INDEX('Budget Planning'!$E:$EM,row_id,MATCH(IF(selected_period="Total Year",selected_year,DATE(selected_year,selected_period,1)),'Budget Planning'!$E$9:$EM$9,0)))</f>
        <v>1200</v>
      </c>
      <c r="M36" s="27">
        <f>IF(is_cat,IF(header_row_id=income_header_row,MATCH(income_min_row,$C:$C,0),IF(header_row_id=expenses_header_row,MATCH(expenses_min_row,$C:$C,0),IF(header_row_id=savings_header_row,MATCH(savings_min_row,$C:$C,0),""))),"")</f>
        <v>32</v>
      </c>
      <c r="N36" s="28">
        <f>IF(is_cat,IF(header_row_id=income_header_row,MATCH(income_max_row,$C:$C,0),IF(header_row_id=expenses_header_row,MATCH(expenses_max_row,$C:$C,0),IF(header_row_id=savings_header_row,MATCH(savings_max_row,$C:$C,0),""))),"")</f>
        <v>36</v>
      </c>
      <c r="O36" s="27" t="str">
        <f t="shared" si="3"/>
        <v>$K$32:$K$36</v>
      </c>
      <c r="P36" s="29">
        <f t="shared" ca="1" si="4"/>
        <v>5</v>
      </c>
      <c r="Q36" s="29" t="str">
        <f t="shared" si="5"/>
        <v>$L$32:$L$36</v>
      </c>
      <c r="R36" s="28">
        <f t="shared" ca="1" si="6"/>
        <v>5</v>
      </c>
      <c r="S36" s="27">
        <f t="shared" ca="1" si="7"/>
        <v>55</v>
      </c>
      <c r="T36" s="29" t="str">
        <f t="shared" si="8"/>
        <v>$S$32:$S$36</v>
      </c>
      <c r="U36" s="29">
        <f t="shared" ca="1" si="9"/>
        <v>5</v>
      </c>
      <c r="V36" s="29" t="str">
        <f t="shared" si="10"/>
        <v>$U$32:$U$36</v>
      </c>
      <c r="W36" s="28">
        <f t="shared" ca="1" si="11"/>
        <v>5</v>
      </c>
      <c r="X36" s="33">
        <f t="shared" ca="1" si="12"/>
        <v>43</v>
      </c>
      <c r="Y36" s="34" t="str">
        <f t="shared" ca="1" si="13"/>
        <v>Sinking Fund Down Payment</v>
      </c>
      <c r="Z36" s="35">
        <f t="shared" ca="1" si="14"/>
        <v>0</v>
      </c>
      <c r="AA36" s="35">
        <f t="shared" ca="1" si="15"/>
        <v>1200</v>
      </c>
      <c r="AB36" s="36">
        <f t="shared" ca="1" si="16"/>
        <v>0</v>
      </c>
      <c r="AC36" s="35">
        <f t="shared" ca="1" si="17"/>
        <v>1200</v>
      </c>
      <c r="AD36" s="35">
        <f t="shared" ca="1" si="18"/>
        <v>0</v>
      </c>
      <c r="AE36" s="34"/>
      <c r="AF36" s="27"/>
      <c r="AG36" s="29"/>
      <c r="AH36" s="29"/>
      <c r="AI36" s="29"/>
      <c r="AJ36" s="29"/>
      <c r="AK36" s="28"/>
      <c r="AM36" s="27"/>
      <c r="AN36" s="29"/>
      <c r="AO36" s="29"/>
      <c r="AP36" s="29"/>
      <c r="AQ36" s="29"/>
      <c r="AR36" s="28"/>
    </row>
    <row r="37" spans="3:44">
      <c r="C37" s="27">
        <f>IF(C36=-1,-1,IF(C36&lt;income_max_row,C36+1,IF(C36=income_max_row,income_total_row,IF(C36=income_total_row,"/1",IF(C36="/1",expenses_header_row,IF(C36&lt;expenses_max_row,C36+1,IF(C36=expenses_max_row,expenses_total_row,IF(C36=expenses_total_row,"/2",IF(C36="/2",savings_header_row,IF(C36&lt;savings_max_row,C36+1,IF(C36=savings_max_row,savings_total_row,-1)))))))))))</f>
        <v>49</v>
      </c>
      <c r="D37" s="28">
        <f t="shared" si="0"/>
        <v>38</v>
      </c>
      <c r="E37" s="27">
        <f>1*OR(row_id=income_header_row,row_id=expenses_header_row,row_id=savings_header_row)</f>
        <v>0</v>
      </c>
      <c r="F37" s="29">
        <f t="shared" si="1"/>
        <v>0</v>
      </c>
      <c r="G37" s="29">
        <f>1*OR(row_id=income_total_row,row_id=expenses_total_row,row_id=savings_total_row)</f>
        <v>1</v>
      </c>
      <c r="H37" s="28">
        <f t="shared" si="2"/>
        <v>0</v>
      </c>
      <c r="I37" s="27" t="str">
        <f>IFERROR(INDEX('Budget Planning'!$C:$C,header_row_id),"")</f>
        <v>Savings</v>
      </c>
      <c r="J37" s="29" t="str">
        <f>IFERROR(INDEX('Budget Planning'!$C:$C,row_id),"")</f>
        <v>Total</v>
      </c>
      <c r="K37" s="30">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3090</v>
      </c>
      <c r="L37" s="31">
        <f ca="1">IF(OR(is_header,is_empty),"",INDEX('Budget Planning'!$E:$EM,row_id,MATCH(IF(selected_period="Total Year",selected_year,DATE(selected_year,selected_period,1)),'Budget Planning'!$E$9:$EM$9,0)))</f>
        <v>26400</v>
      </c>
      <c r="M37" s="27" t="str">
        <f>IF(is_cat,IF(header_row_id=income_header_row,MATCH(income_min_row,$C:$C,0),IF(header_row_id=expenses_header_row,MATCH(expenses_min_row,$C:$C,0),IF(header_row_id=savings_header_row,MATCH(savings_min_row,$C:$C,0),""))),"")</f>
        <v/>
      </c>
      <c r="N37" s="28" t="str">
        <f>IF(is_cat,IF(header_row_id=income_header_row,MATCH(income_max_row,$C:$C,0),IF(header_row_id=expenses_header_row,MATCH(expenses_max_row,$C:$C,0),IF(header_row_id=savings_header_row,MATCH(savings_max_row,$C:$C,0),""))),"")</f>
        <v/>
      </c>
      <c r="O37" s="27" t="str">
        <f t="shared" si="3"/>
        <v/>
      </c>
      <c r="P37" s="29" t="str">
        <f t="shared" ca="1" si="4"/>
        <v/>
      </c>
      <c r="Q37" s="29" t="str">
        <f t="shared" si="5"/>
        <v/>
      </c>
      <c r="R37" s="28" t="str">
        <f t="shared" ca="1" si="6"/>
        <v/>
      </c>
      <c r="S37" s="27" t="str">
        <f t="shared" si="7"/>
        <v/>
      </c>
      <c r="T37" s="29" t="str">
        <f t="shared" si="8"/>
        <v/>
      </c>
      <c r="U37" s="29" t="str">
        <f t="shared" ca="1" si="9"/>
        <v/>
      </c>
      <c r="V37" s="29" t="str">
        <f t="shared" si="10"/>
        <v/>
      </c>
      <c r="W37" s="28" t="str">
        <f t="shared" ca="1" si="11"/>
        <v/>
      </c>
      <c r="X37" s="33">
        <f t="shared" si="12"/>
        <v>49</v>
      </c>
      <c r="Y37" s="34" t="str">
        <f t="shared" ca="1" si="13"/>
        <v>Total</v>
      </c>
      <c r="Z37" s="35">
        <f t="shared" ca="1" si="14"/>
        <v>3090</v>
      </c>
      <c r="AA37" s="35">
        <f t="shared" ca="1" si="15"/>
        <v>26400</v>
      </c>
      <c r="AB37" s="36">
        <f t="shared" ca="1" si="16"/>
        <v>0.11704545454545455</v>
      </c>
      <c r="AC37" s="35">
        <f t="shared" ca="1" si="17"/>
        <v>23310</v>
      </c>
      <c r="AD37" s="35">
        <f t="shared" ca="1" si="18"/>
        <v>0</v>
      </c>
      <c r="AE37" s="34"/>
      <c r="AF37" s="38"/>
      <c r="AG37" s="12"/>
      <c r="AH37" s="12"/>
      <c r="AI37" s="12"/>
      <c r="AJ37" s="12"/>
      <c r="AK37" s="45"/>
      <c r="AM37" s="38"/>
      <c r="AN37" s="12"/>
      <c r="AO37" s="12"/>
      <c r="AP37" s="12"/>
      <c r="AQ37" s="12"/>
      <c r="AR37" s="45"/>
    </row>
    <row r="38" spans="3:44">
      <c r="C38" s="27">
        <f>IF(C37=-1,-1,IF(C37&lt;income_max_row,C37+1,IF(C37=income_max_row,income_total_row,IF(C37=income_total_row,"/1",IF(C37="/1",expenses_header_row,IF(C37&lt;expenses_max_row,C37+1,IF(C37=expenses_max_row,expenses_total_row,IF(C37=expenses_total_row,"/2",IF(C37="/2",savings_header_row,IF(C37&lt;savings_max_row,C37+1,IF(C37=savings_max_row,savings_total_row,-1)))))))))))</f>
        <v>-1</v>
      </c>
      <c r="D38" s="28">
        <f t="shared" si="0"/>
        <v>-1</v>
      </c>
      <c r="E38" s="27">
        <f>1*OR(row_id=income_header_row,row_id=expenses_header_row,row_id=savings_header_row)</f>
        <v>0</v>
      </c>
      <c r="F38" s="29">
        <f t="shared" si="1"/>
        <v>0</v>
      </c>
      <c r="G38" s="29">
        <f>1*OR(row_id=income_total_row,row_id=expenses_total_row,row_id=savings_total_row)</f>
        <v>0</v>
      </c>
      <c r="H38" s="28">
        <f t="shared" si="2"/>
        <v>1</v>
      </c>
      <c r="I38" s="27" t="str">
        <f>IFERROR(INDEX('Budget Planning'!$C:$C,header_row_id),"")</f>
        <v/>
      </c>
      <c r="J38" s="29" t="str">
        <f>IFERROR(INDEX('Budget Planning'!$C:$C,row_id),"")</f>
        <v/>
      </c>
      <c r="K38" s="30" t="str">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
      </c>
      <c r="L38" s="31" t="str">
        <f>IF(OR(is_header,is_empty),"",INDEX('Budget Planning'!$E:$EM,row_id,MATCH(IF(selected_period="Total Year",selected_year,DATE(selected_year,selected_period,1)),'Budget Planning'!$E$9:$EM$9,0)))</f>
        <v/>
      </c>
      <c r="M38" s="27" t="str">
        <f>IF(is_cat,IF(header_row_id=income_header_row,MATCH(income_min_row,$C:$C,0),IF(header_row_id=expenses_header_row,MATCH(expenses_min_row,$C:$C,0),IF(header_row_id=savings_header_row,MATCH(savings_min_row,$C:$C,0),""))),"")</f>
        <v/>
      </c>
      <c r="N38" s="28" t="str">
        <f>IF(is_cat,IF(header_row_id=income_header_row,MATCH(income_max_row,$C:$C,0),IF(header_row_id=expenses_header_row,MATCH(expenses_max_row,$C:$C,0),IF(header_row_id=savings_header_row,MATCH(savings_max_row,$C:$C,0),""))),"")</f>
        <v/>
      </c>
      <c r="O38" s="27" t="str">
        <f t="shared" si="3"/>
        <v/>
      </c>
      <c r="P38" s="29" t="str">
        <f t="shared" ca="1" si="4"/>
        <v/>
      </c>
      <c r="Q38" s="29" t="str">
        <f t="shared" si="5"/>
        <v/>
      </c>
      <c r="R38" s="28" t="str">
        <f t="shared" ca="1" si="6"/>
        <v/>
      </c>
      <c r="S38" s="27" t="str">
        <f t="shared" si="7"/>
        <v/>
      </c>
      <c r="T38" s="29" t="str">
        <f t="shared" si="8"/>
        <v/>
      </c>
      <c r="U38" s="29" t="str">
        <f t="shared" ca="1" si="9"/>
        <v/>
      </c>
      <c r="V38" s="29" t="str">
        <f t="shared" si="10"/>
        <v/>
      </c>
      <c r="W38" s="28" t="str">
        <f t="shared" ca="1" si="11"/>
        <v/>
      </c>
      <c r="X38" s="33">
        <f t="shared" si="12"/>
        <v>-1</v>
      </c>
      <c r="Y38" s="34" t="str">
        <f t="shared" si="13"/>
        <v/>
      </c>
      <c r="Z38" s="35" t="str">
        <f t="shared" si="14"/>
        <v/>
      </c>
      <c r="AA38" s="35" t="str">
        <f t="shared" si="15"/>
        <v/>
      </c>
      <c r="AB38" s="36" t="str">
        <f t="shared" si="16"/>
        <v/>
      </c>
      <c r="AC38" s="35" t="str">
        <f t="shared" si="17"/>
        <v/>
      </c>
      <c r="AD38" s="35" t="str">
        <f t="shared" si="18"/>
        <v/>
      </c>
      <c r="AE38" s="34"/>
    </row>
    <row r="39" spans="3:44">
      <c r="C39" s="27">
        <f>IF(C38=-1,-1,IF(C38&lt;income_max_row,C38+1,IF(C38=income_max_row,income_total_row,IF(C38=income_total_row,"/1",IF(C38="/1",expenses_header_row,IF(C38&lt;expenses_max_row,C38+1,IF(C38=expenses_max_row,expenses_total_row,IF(C38=expenses_total_row,"/2",IF(C38="/2",savings_header_row,IF(C38&lt;savings_max_row,C38+1,IF(C38=savings_max_row,savings_total_row,-1)))))))))))</f>
        <v>-1</v>
      </c>
      <c r="D39" s="28">
        <f t="shared" si="0"/>
        <v>-1</v>
      </c>
      <c r="E39" s="27">
        <f>1*OR(row_id=income_header_row,row_id=expenses_header_row,row_id=savings_header_row)</f>
        <v>0</v>
      </c>
      <c r="F39" s="29">
        <f t="shared" si="1"/>
        <v>0</v>
      </c>
      <c r="G39" s="29">
        <f>1*OR(row_id=income_total_row,row_id=expenses_total_row,row_id=savings_total_row)</f>
        <v>0</v>
      </c>
      <c r="H39" s="28">
        <f t="shared" si="2"/>
        <v>1</v>
      </c>
      <c r="I39" s="27" t="str">
        <f>IFERROR(INDEX('Budget Planning'!$C:$C,header_row_id),"")</f>
        <v/>
      </c>
      <c r="J39" s="29" t="str">
        <f>IFERROR(INDEX('Budget Planning'!$C:$C,row_id),"")</f>
        <v/>
      </c>
      <c r="K39" s="30" t="str">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
      </c>
      <c r="L39" s="31" t="str">
        <f>IF(OR(is_header,is_empty),"",INDEX('Budget Planning'!$E:$EM,row_id,MATCH(IF(selected_period="Total Year",selected_year,DATE(selected_year,selected_period,1)),'Budget Planning'!$E$9:$EM$9,0)))</f>
        <v/>
      </c>
      <c r="M39" s="27" t="str">
        <f>IF(is_cat,IF(header_row_id=income_header_row,MATCH(income_min_row,$C:$C,0),IF(header_row_id=expenses_header_row,MATCH(expenses_min_row,$C:$C,0),IF(header_row_id=savings_header_row,MATCH(savings_min_row,$C:$C,0),""))),"")</f>
        <v/>
      </c>
      <c r="N39" s="28" t="str">
        <f>IF(is_cat,IF(header_row_id=income_header_row,MATCH(income_max_row,$C:$C,0),IF(header_row_id=expenses_header_row,MATCH(expenses_max_row,$C:$C,0),IF(header_row_id=savings_header_row,MATCH(savings_max_row,$C:$C,0),""))),"")</f>
        <v/>
      </c>
      <c r="O39" s="27" t="str">
        <f t="shared" si="3"/>
        <v/>
      </c>
      <c r="P39" s="29" t="str">
        <f t="shared" ca="1" si="4"/>
        <v/>
      </c>
      <c r="Q39" s="29" t="str">
        <f t="shared" si="5"/>
        <v/>
      </c>
      <c r="R39" s="28" t="str">
        <f t="shared" ca="1" si="6"/>
        <v/>
      </c>
      <c r="S39" s="27" t="str">
        <f t="shared" si="7"/>
        <v/>
      </c>
      <c r="T39" s="29" t="str">
        <f t="shared" si="8"/>
        <v/>
      </c>
      <c r="U39" s="29" t="str">
        <f t="shared" ca="1" si="9"/>
        <v/>
      </c>
      <c r="V39" s="29" t="str">
        <f t="shared" si="10"/>
        <v/>
      </c>
      <c r="W39" s="28" t="str">
        <f t="shared" ca="1" si="11"/>
        <v/>
      </c>
      <c r="X39" s="33">
        <f t="shared" si="12"/>
        <v>-1</v>
      </c>
      <c r="Y39" s="34" t="str">
        <f t="shared" si="13"/>
        <v/>
      </c>
      <c r="Z39" s="35" t="str">
        <f t="shared" si="14"/>
        <v/>
      </c>
      <c r="AA39" s="35" t="str">
        <f t="shared" si="15"/>
        <v/>
      </c>
      <c r="AB39" s="36" t="str">
        <f t="shared" si="16"/>
        <v/>
      </c>
      <c r="AC39" s="35" t="str">
        <f t="shared" si="17"/>
        <v/>
      </c>
      <c r="AD39" s="35" t="str">
        <f t="shared" si="18"/>
        <v/>
      </c>
      <c r="AE39" s="34"/>
    </row>
    <row r="40" spans="3:44">
      <c r="C40" s="27">
        <f>IF(C39=-1,-1,IF(C39&lt;income_max_row,C39+1,IF(C39=income_max_row,income_total_row,IF(C39=income_total_row,"/1",IF(C39="/1",expenses_header_row,IF(C39&lt;expenses_max_row,C39+1,IF(C39=expenses_max_row,expenses_total_row,IF(C39=expenses_total_row,"/2",IF(C39="/2",savings_header_row,IF(C39&lt;savings_max_row,C39+1,IF(C39=savings_max_row,savings_total_row,-1)))))))))))</f>
        <v>-1</v>
      </c>
      <c r="D40" s="28">
        <f t="shared" si="0"/>
        <v>-1</v>
      </c>
      <c r="E40" s="27">
        <f>1*OR(row_id=income_header_row,row_id=expenses_header_row,row_id=savings_header_row)</f>
        <v>0</v>
      </c>
      <c r="F40" s="29">
        <f t="shared" si="1"/>
        <v>0</v>
      </c>
      <c r="G40" s="29">
        <f>1*OR(row_id=income_total_row,row_id=expenses_total_row,row_id=savings_total_row)</f>
        <v>0</v>
      </c>
      <c r="H40" s="28">
        <f t="shared" si="2"/>
        <v>1</v>
      </c>
      <c r="I40" s="27" t="str">
        <f>IFERROR(INDEX('Budget Planning'!$C:$C,header_row_id),"")</f>
        <v/>
      </c>
      <c r="J40" s="29" t="str">
        <f>IFERROR(INDEX('Budget Planning'!$C:$C,row_id),"")</f>
        <v/>
      </c>
      <c r="K40" s="30" t="str">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
      </c>
      <c r="L40" s="31" t="str">
        <f>IF(OR(is_header,is_empty),"",INDEX('Budget Planning'!$E:$EM,row_id,MATCH(IF(selected_period="Total Year",selected_year,DATE(selected_year,selected_period,1)),'Budget Planning'!$E$9:$EM$9,0)))</f>
        <v/>
      </c>
      <c r="M40" s="27" t="str">
        <f>IF(is_cat,IF(header_row_id=income_header_row,MATCH(income_min_row,$C:$C,0),IF(header_row_id=expenses_header_row,MATCH(expenses_min_row,$C:$C,0),IF(header_row_id=savings_header_row,MATCH(savings_min_row,$C:$C,0),""))),"")</f>
        <v/>
      </c>
      <c r="N40" s="28" t="str">
        <f>IF(is_cat,IF(header_row_id=income_header_row,MATCH(income_max_row,$C:$C,0),IF(header_row_id=expenses_header_row,MATCH(expenses_max_row,$C:$C,0),IF(header_row_id=savings_header_row,MATCH(savings_max_row,$C:$C,0),""))),"")</f>
        <v/>
      </c>
      <c r="O40" s="27" t="str">
        <f t="shared" si="3"/>
        <v/>
      </c>
      <c r="P40" s="29" t="str">
        <f t="shared" ca="1" si="4"/>
        <v/>
      </c>
      <c r="Q40" s="29" t="str">
        <f t="shared" si="5"/>
        <v/>
      </c>
      <c r="R40" s="28" t="str">
        <f t="shared" ca="1" si="6"/>
        <v/>
      </c>
      <c r="S40" s="27" t="str">
        <f t="shared" si="7"/>
        <v/>
      </c>
      <c r="T40" s="29" t="str">
        <f t="shared" si="8"/>
        <v/>
      </c>
      <c r="U40" s="29" t="str">
        <f t="shared" ca="1" si="9"/>
        <v/>
      </c>
      <c r="V40" s="29" t="str">
        <f t="shared" si="10"/>
        <v/>
      </c>
      <c r="W40" s="28" t="str">
        <f t="shared" ca="1" si="11"/>
        <v/>
      </c>
      <c r="X40" s="33">
        <f t="shared" si="12"/>
        <v>-1</v>
      </c>
      <c r="Y40" s="34" t="str">
        <f t="shared" si="13"/>
        <v/>
      </c>
      <c r="Z40" s="35" t="str">
        <f t="shared" si="14"/>
        <v/>
      </c>
      <c r="AA40" s="35" t="str">
        <f t="shared" si="15"/>
        <v/>
      </c>
      <c r="AB40" s="36" t="str">
        <f t="shared" si="16"/>
        <v/>
      </c>
      <c r="AC40" s="35" t="str">
        <f t="shared" si="17"/>
        <v/>
      </c>
      <c r="AD40" s="35" t="str">
        <f t="shared" si="18"/>
        <v/>
      </c>
      <c r="AE40" s="34"/>
    </row>
    <row r="41" spans="3:44">
      <c r="C41" s="27">
        <f>IF(C40=-1,-1,IF(C40&lt;income_max_row,C40+1,IF(C40=income_max_row,income_total_row,IF(C40=income_total_row,"/1",IF(C40="/1",expenses_header_row,IF(C40&lt;expenses_max_row,C40+1,IF(C40=expenses_max_row,expenses_total_row,IF(C40=expenses_total_row,"/2",IF(C40="/2",savings_header_row,IF(C40&lt;savings_max_row,C40+1,IF(C40=savings_max_row,savings_total_row,-1)))))))))))</f>
        <v>-1</v>
      </c>
      <c r="D41" s="28">
        <f t="shared" si="0"/>
        <v>-1</v>
      </c>
      <c r="E41" s="27">
        <f>1*OR(row_id=income_header_row,row_id=expenses_header_row,row_id=savings_header_row)</f>
        <v>0</v>
      </c>
      <c r="F41" s="29">
        <f t="shared" si="1"/>
        <v>0</v>
      </c>
      <c r="G41" s="29">
        <f>1*OR(row_id=income_total_row,row_id=expenses_total_row,row_id=savings_total_row)</f>
        <v>0</v>
      </c>
      <c r="H41" s="28">
        <f t="shared" si="2"/>
        <v>1</v>
      </c>
      <c r="I41" s="27" t="str">
        <f>IFERROR(INDEX('Budget Planning'!$C:$C,header_row_id),"")</f>
        <v/>
      </c>
      <c r="J41" s="29" t="str">
        <f>IFERROR(INDEX('Budget Planning'!$C:$C,row_id),"")</f>
        <v/>
      </c>
      <c r="K41" s="30" t="str">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
      </c>
      <c r="L41" s="31" t="str">
        <f>IF(OR(is_header,is_empty),"",INDEX('Budget Planning'!$E:$EM,row_id,MATCH(IF(selected_period="Total Year",selected_year,DATE(selected_year,selected_period,1)),'Budget Planning'!$E$9:$EM$9,0)))</f>
        <v/>
      </c>
      <c r="M41" s="27" t="str">
        <f>IF(is_cat,IF(header_row_id=income_header_row,MATCH(income_min_row,$C:$C,0),IF(header_row_id=expenses_header_row,MATCH(expenses_min_row,$C:$C,0),IF(header_row_id=savings_header_row,MATCH(savings_min_row,$C:$C,0),""))),"")</f>
        <v/>
      </c>
      <c r="N41" s="28" t="str">
        <f>IF(is_cat,IF(header_row_id=income_header_row,MATCH(income_max_row,$C:$C,0),IF(header_row_id=expenses_header_row,MATCH(expenses_max_row,$C:$C,0),IF(header_row_id=savings_header_row,MATCH(savings_max_row,$C:$C,0),""))),"")</f>
        <v/>
      </c>
      <c r="O41" s="27" t="str">
        <f t="shared" si="3"/>
        <v/>
      </c>
      <c r="P41" s="29" t="str">
        <f t="shared" ca="1" si="4"/>
        <v/>
      </c>
      <c r="Q41" s="29" t="str">
        <f t="shared" si="5"/>
        <v/>
      </c>
      <c r="R41" s="28" t="str">
        <f t="shared" ca="1" si="6"/>
        <v/>
      </c>
      <c r="S41" s="27" t="str">
        <f t="shared" si="7"/>
        <v/>
      </c>
      <c r="T41" s="29" t="str">
        <f t="shared" si="8"/>
        <v/>
      </c>
      <c r="U41" s="29" t="str">
        <f t="shared" ca="1" si="9"/>
        <v/>
      </c>
      <c r="V41" s="29" t="str">
        <f t="shared" si="10"/>
        <v/>
      </c>
      <c r="W41" s="28" t="str">
        <f t="shared" ca="1" si="11"/>
        <v/>
      </c>
      <c r="X41" s="33">
        <f t="shared" si="12"/>
        <v>-1</v>
      </c>
      <c r="Y41" s="34" t="str">
        <f t="shared" si="13"/>
        <v/>
      </c>
      <c r="Z41" s="35" t="str">
        <f t="shared" si="14"/>
        <v/>
      </c>
      <c r="AA41" s="35" t="str">
        <f t="shared" si="15"/>
        <v/>
      </c>
      <c r="AB41" s="36" t="str">
        <f t="shared" si="16"/>
        <v/>
      </c>
      <c r="AC41" s="35" t="str">
        <f t="shared" si="17"/>
        <v/>
      </c>
      <c r="AD41" s="35" t="str">
        <f t="shared" si="18"/>
        <v/>
      </c>
      <c r="AE41" s="34"/>
    </row>
    <row r="42" spans="3:44">
      <c r="C42" s="27">
        <f>IF(C41=-1,-1,IF(C41&lt;income_max_row,C41+1,IF(C41=income_max_row,income_total_row,IF(C41=income_total_row,"/1",IF(C41="/1",expenses_header_row,IF(C41&lt;expenses_max_row,C41+1,IF(C41=expenses_max_row,expenses_total_row,IF(C41=expenses_total_row,"/2",IF(C41="/2",savings_header_row,IF(C41&lt;savings_max_row,C41+1,IF(C41=savings_max_row,savings_total_row,-1)))))))))))</f>
        <v>-1</v>
      </c>
      <c r="D42" s="28">
        <f t="shared" si="0"/>
        <v>-1</v>
      </c>
      <c r="E42" s="27">
        <f>1*OR(row_id=income_header_row,row_id=expenses_header_row,row_id=savings_header_row)</f>
        <v>0</v>
      </c>
      <c r="F42" s="29">
        <f t="shared" si="1"/>
        <v>0</v>
      </c>
      <c r="G42" s="29">
        <f>1*OR(row_id=income_total_row,row_id=expenses_total_row,row_id=savings_total_row)</f>
        <v>0</v>
      </c>
      <c r="H42" s="28">
        <f t="shared" si="2"/>
        <v>1</v>
      </c>
      <c r="I42" s="27" t="str">
        <f>IFERROR(INDEX('Budget Planning'!$C:$C,header_row_id),"")</f>
        <v/>
      </c>
      <c r="J42" s="29" t="str">
        <f>IFERROR(INDEX('Budget Planning'!$C:$C,row_id),"")</f>
        <v/>
      </c>
      <c r="K42" s="30" t="str">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
      </c>
      <c r="L42" s="31" t="str">
        <f>IF(OR(is_header,is_empty),"",INDEX('Budget Planning'!$E:$EM,row_id,MATCH(IF(selected_period="Total Year",selected_year,DATE(selected_year,selected_period,1)),'Budget Planning'!$E$9:$EM$9,0)))</f>
        <v/>
      </c>
      <c r="M42" s="27" t="str">
        <f>IF(is_cat,IF(header_row_id=income_header_row,MATCH(income_min_row,$C:$C,0),IF(header_row_id=expenses_header_row,MATCH(expenses_min_row,$C:$C,0),IF(header_row_id=savings_header_row,MATCH(savings_min_row,$C:$C,0),""))),"")</f>
        <v/>
      </c>
      <c r="N42" s="28" t="str">
        <f>IF(is_cat,IF(header_row_id=income_header_row,MATCH(income_max_row,$C:$C,0),IF(header_row_id=expenses_header_row,MATCH(expenses_max_row,$C:$C,0),IF(header_row_id=savings_header_row,MATCH(savings_max_row,$C:$C,0),""))),"")</f>
        <v/>
      </c>
      <c r="O42" s="27" t="str">
        <f t="shared" si="3"/>
        <v/>
      </c>
      <c r="P42" s="29" t="str">
        <f t="shared" ca="1" si="4"/>
        <v/>
      </c>
      <c r="Q42" s="29" t="str">
        <f t="shared" si="5"/>
        <v/>
      </c>
      <c r="R42" s="28" t="str">
        <f t="shared" ca="1" si="6"/>
        <v/>
      </c>
      <c r="S42" s="27" t="str">
        <f t="shared" si="7"/>
        <v/>
      </c>
      <c r="T42" s="29" t="str">
        <f t="shared" si="8"/>
        <v/>
      </c>
      <c r="U42" s="29" t="str">
        <f t="shared" ca="1" si="9"/>
        <v/>
      </c>
      <c r="V42" s="29" t="str">
        <f t="shared" si="10"/>
        <v/>
      </c>
      <c r="W42" s="28" t="str">
        <f t="shared" ca="1" si="11"/>
        <v/>
      </c>
      <c r="X42" s="33">
        <f t="shared" si="12"/>
        <v>-1</v>
      </c>
      <c r="Y42" s="34" t="str">
        <f t="shared" si="13"/>
        <v/>
      </c>
      <c r="Z42" s="35" t="str">
        <f t="shared" si="14"/>
        <v/>
      </c>
      <c r="AA42" s="35" t="str">
        <f t="shared" si="15"/>
        <v/>
      </c>
      <c r="AB42" s="36" t="str">
        <f t="shared" si="16"/>
        <v/>
      </c>
      <c r="AC42" s="35" t="str">
        <f t="shared" si="17"/>
        <v/>
      </c>
      <c r="AD42" s="35" t="str">
        <f t="shared" si="18"/>
        <v/>
      </c>
      <c r="AE42" s="34"/>
    </row>
    <row r="43" spans="3:44">
      <c r="C43" s="27">
        <f>IF(C42=-1,-1,IF(C42&lt;income_max_row,C42+1,IF(C42=income_max_row,income_total_row,IF(C42=income_total_row,"/1",IF(C42="/1",expenses_header_row,IF(C42&lt;expenses_max_row,C42+1,IF(C42=expenses_max_row,expenses_total_row,IF(C42=expenses_total_row,"/2",IF(C42="/2",savings_header_row,IF(C42&lt;savings_max_row,C42+1,IF(C42=savings_max_row,savings_total_row,-1)))))))))))</f>
        <v>-1</v>
      </c>
      <c r="D43" s="28">
        <f t="shared" si="0"/>
        <v>-1</v>
      </c>
      <c r="E43" s="27">
        <f>1*OR(row_id=income_header_row,row_id=expenses_header_row,row_id=savings_header_row)</f>
        <v>0</v>
      </c>
      <c r="F43" s="29">
        <f t="shared" si="1"/>
        <v>0</v>
      </c>
      <c r="G43" s="29">
        <f>1*OR(row_id=income_total_row,row_id=expenses_total_row,row_id=savings_total_row)</f>
        <v>0</v>
      </c>
      <c r="H43" s="28">
        <f t="shared" si="2"/>
        <v>1</v>
      </c>
      <c r="I43" s="27" t="str">
        <f>IFERROR(INDEX('Budget Planning'!$C:$C,header_row_id),"")</f>
        <v/>
      </c>
      <c r="J43" s="29" t="str">
        <f>IFERROR(INDEX('Budget Planning'!$C:$C,row_id),"")</f>
        <v/>
      </c>
      <c r="K43" s="30" t="str">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
      </c>
      <c r="L43" s="31" t="str">
        <f>IF(OR(is_header,is_empty),"",INDEX('Budget Planning'!$E:$EM,row_id,MATCH(IF(selected_period="Total Year",selected_year,DATE(selected_year,selected_period,1)),'Budget Planning'!$E$9:$EM$9,0)))</f>
        <v/>
      </c>
      <c r="M43" s="27" t="str">
        <f>IF(is_cat,IF(header_row_id=income_header_row,MATCH(income_min_row,$C:$C,0),IF(header_row_id=expenses_header_row,MATCH(expenses_min_row,$C:$C,0),IF(header_row_id=savings_header_row,MATCH(savings_min_row,$C:$C,0),""))),"")</f>
        <v/>
      </c>
      <c r="N43" s="28" t="str">
        <f>IF(is_cat,IF(header_row_id=income_header_row,MATCH(income_max_row,$C:$C,0),IF(header_row_id=expenses_header_row,MATCH(expenses_max_row,$C:$C,0),IF(header_row_id=savings_header_row,MATCH(savings_max_row,$C:$C,0),""))),"")</f>
        <v/>
      </c>
      <c r="O43" s="27" t="str">
        <f t="shared" si="3"/>
        <v/>
      </c>
      <c r="P43" s="29" t="str">
        <f t="shared" ca="1" si="4"/>
        <v/>
      </c>
      <c r="Q43" s="29" t="str">
        <f t="shared" si="5"/>
        <v/>
      </c>
      <c r="R43" s="28" t="str">
        <f t="shared" ca="1" si="6"/>
        <v/>
      </c>
      <c r="S43" s="27" t="str">
        <f t="shared" si="7"/>
        <v/>
      </c>
      <c r="T43" s="29" t="str">
        <f t="shared" si="8"/>
        <v/>
      </c>
      <c r="U43" s="29" t="str">
        <f t="shared" ca="1" si="9"/>
        <v/>
      </c>
      <c r="V43" s="29" t="str">
        <f t="shared" si="10"/>
        <v/>
      </c>
      <c r="W43" s="28" t="str">
        <f t="shared" ca="1" si="11"/>
        <v/>
      </c>
      <c r="X43" s="33">
        <f t="shared" si="12"/>
        <v>-1</v>
      </c>
      <c r="Y43" s="34" t="str">
        <f t="shared" si="13"/>
        <v/>
      </c>
      <c r="Z43" s="35" t="str">
        <f t="shared" si="14"/>
        <v/>
      </c>
      <c r="AA43" s="35" t="str">
        <f t="shared" si="15"/>
        <v/>
      </c>
      <c r="AB43" s="36" t="str">
        <f t="shared" si="16"/>
        <v/>
      </c>
      <c r="AC43" s="35" t="str">
        <f t="shared" si="17"/>
        <v/>
      </c>
      <c r="AD43" s="35" t="str">
        <f t="shared" si="18"/>
        <v/>
      </c>
      <c r="AE43" s="34"/>
    </row>
    <row r="44" spans="3:44">
      <c r="C44" s="27">
        <f>IF(C43=-1,-1,IF(C43&lt;income_max_row,C43+1,IF(C43=income_max_row,income_total_row,IF(C43=income_total_row,"/1",IF(C43="/1",expenses_header_row,IF(C43&lt;expenses_max_row,C43+1,IF(C43=expenses_max_row,expenses_total_row,IF(C43=expenses_total_row,"/2",IF(C43="/2",savings_header_row,IF(C43&lt;savings_max_row,C43+1,IF(C43=savings_max_row,savings_total_row,-1)))))))))))</f>
        <v>-1</v>
      </c>
      <c r="D44" s="28">
        <f t="shared" si="0"/>
        <v>-1</v>
      </c>
      <c r="E44" s="27">
        <f>1*OR(row_id=income_header_row,row_id=expenses_header_row,row_id=savings_header_row)</f>
        <v>0</v>
      </c>
      <c r="F44" s="29">
        <f t="shared" si="1"/>
        <v>0</v>
      </c>
      <c r="G44" s="29">
        <f>1*OR(row_id=income_total_row,row_id=expenses_total_row,row_id=savings_total_row)</f>
        <v>0</v>
      </c>
      <c r="H44" s="28">
        <f t="shared" si="2"/>
        <v>1</v>
      </c>
      <c r="I44" s="27" t="str">
        <f>IFERROR(INDEX('Budget Planning'!$C:$C,header_row_id),"")</f>
        <v/>
      </c>
      <c r="J44" s="29" t="str">
        <f>IFERROR(INDEX('Budget Planning'!$C:$C,row_id),"")</f>
        <v/>
      </c>
      <c r="K44" s="30" t="str">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
      </c>
      <c r="L44" s="31" t="str">
        <f>IF(OR(is_header,is_empty),"",INDEX('Budget Planning'!$E:$EM,row_id,MATCH(IF(selected_period="Total Year",selected_year,DATE(selected_year,selected_period,1)),'Budget Planning'!$E$9:$EM$9,0)))</f>
        <v/>
      </c>
      <c r="M44" s="27" t="str">
        <f>IF(is_cat,IF(header_row_id=income_header_row,MATCH(income_min_row,$C:$C,0),IF(header_row_id=expenses_header_row,MATCH(expenses_min_row,$C:$C,0),IF(header_row_id=savings_header_row,MATCH(savings_min_row,$C:$C,0),""))),"")</f>
        <v/>
      </c>
      <c r="N44" s="28" t="str">
        <f>IF(is_cat,IF(header_row_id=income_header_row,MATCH(income_max_row,$C:$C,0),IF(header_row_id=expenses_header_row,MATCH(expenses_max_row,$C:$C,0),IF(header_row_id=savings_header_row,MATCH(savings_max_row,$C:$C,0),""))),"")</f>
        <v/>
      </c>
      <c r="O44" s="27" t="str">
        <f t="shared" si="3"/>
        <v/>
      </c>
      <c r="P44" s="29" t="str">
        <f t="shared" ca="1" si="4"/>
        <v/>
      </c>
      <c r="Q44" s="29" t="str">
        <f t="shared" si="5"/>
        <v/>
      </c>
      <c r="R44" s="28" t="str">
        <f t="shared" ca="1" si="6"/>
        <v/>
      </c>
      <c r="S44" s="27" t="str">
        <f t="shared" si="7"/>
        <v/>
      </c>
      <c r="T44" s="29" t="str">
        <f t="shared" si="8"/>
        <v/>
      </c>
      <c r="U44" s="29" t="str">
        <f t="shared" ca="1" si="9"/>
        <v/>
      </c>
      <c r="V44" s="29" t="str">
        <f t="shared" si="10"/>
        <v/>
      </c>
      <c r="W44" s="28" t="str">
        <f t="shared" ca="1" si="11"/>
        <v/>
      </c>
      <c r="X44" s="33">
        <f t="shared" si="12"/>
        <v>-1</v>
      </c>
      <c r="Y44" s="34" t="str">
        <f t="shared" si="13"/>
        <v/>
      </c>
      <c r="Z44" s="35" t="str">
        <f t="shared" si="14"/>
        <v/>
      </c>
      <c r="AA44" s="35" t="str">
        <f t="shared" si="15"/>
        <v/>
      </c>
      <c r="AB44" s="36" t="str">
        <f t="shared" si="16"/>
        <v/>
      </c>
      <c r="AC44" s="35" t="str">
        <f t="shared" si="17"/>
        <v/>
      </c>
      <c r="AD44" s="35" t="str">
        <f t="shared" si="18"/>
        <v/>
      </c>
      <c r="AE44" s="34"/>
    </row>
    <row r="45" spans="3:44">
      <c r="C45" s="27">
        <f>IF(C44=-1,-1,IF(C44&lt;income_max_row,C44+1,IF(C44=income_max_row,income_total_row,IF(C44=income_total_row,"/1",IF(C44="/1",expenses_header_row,IF(C44&lt;expenses_max_row,C44+1,IF(C44=expenses_max_row,expenses_total_row,IF(C44=expenses_total_row,"/2",IF(C44="/2",savings_header_row,IF(C44&lt;savings_max_row,C44+1,IF(C44=savings_max_row,savings_total_row,-1)))))))))))</f>
        <v>-1</v>
      </c>
      <c r="D45" s="28">
        <f t="shared" si="0"/>
        <v>-1</v>
      </c>
      <c r="E45" s="27">
        <f>1*OR(row_id=income_header_row,row_id=expenses_header_row,row_id=savings_header_row)</f>
        <v>0</v>
      </c>
      <c r="F45" s="29">
        <f t="shared" si="1"/>
        <v>0</v>
      </c>
      <c r="G45" s="29">
        <f>1*OR(row_id=income_total_row,row_id=expenses_total_row,row_id=savings_total_row)</f>
        <v>0</v>
      </c>
      <c r="H45" s="28">
        <f t="shared" si="2"/>
        <v>1</v>
      </c>
      <c r="I45" s="27" t="str">
        <f>IFERROR(INDEX('Budget Planning'!$C:$C,header_row_id),"")</f>
        <v/>
      </c>
      <c r="J45" s="29" t="str">
        <f>IFERROR(INDEX('Budget Planning'!$C:$C,row_id),"")</f>
        <v/>
      </c>
      <c r="K45" s="30" t="str">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
      </c>
      <c r="L45" s="31" t="str">
        <f>IF(OR(is_header,is_empty),"",INDEX('Budget Planning'!$E:$EM,row_id,MATCH(IF(selected_period="Total Year",selected_year,DATE(selected_year,selected_period,1)),'Budget Planning'!$E$9:$EM$9,0)))</f>
        <v/>
      </c>
      <c r="M45" s="27" t="str">
        <f>IF(is_cat,IF(header_row_id=income_header_row,MATCH(income_min_row,$C:$C,0),IF(header_row_id=expenses_header_row,MATCH(expenses_min_row,$C:$C,0),IF(header_row_id=savings_header_row,MATCH(savings_min_row,$C:$C,0),""))),"")</f>
        <v/>
      </c>
      <c r="N45" s="28" t="str">
        <f>IF(is_cat,IF(header_row_id=income_header_row,MATCH(income_max_row,$C:$C,0),IF(header_row_id=expenses_header_row,MATCH(expenses_max_row,$C:$C,0),IF(header_row_id=savings_header_row,MATCH(savings_max_row,$C:$C,0),""))),"")</f>
        <v/>
      </c>
      <c r="O45" s="27" t="str">
        <f t="shared" si="3"/>
        <v/>
      </c>
      <c r="P45" s="29" t="str">
        <f t="shared" ca="1" si="4"/>
        <v/>
      </c>
      <c r="Q45" s="29" t="str">
        <f t="shared" si="5"/>
        <v/>
      </c>
      <c r="R45" s="28" t="str">
        <f t="shared" ca="1" si="6"/>
        <v/>
      </c>
      <c r="S45" s="27" t="str">
        <f t="shared" si="7"/>
        <v/>
      </c>
      <c r="T45" s="29" t="str">
        <f t="shared" si="8"/>
        <v/>
      </c>
      <c r="U45" s="29" t="str">
        <f t="shared" ca="1" si="9"/>
        <v/>
      </c>
      <c r="V45" s="29" t="str">
        <f t="shared" si="10"/>
        <v/>
      </c>
      <c r="W45" s="28" t="str">
        <f t="shared" ca="1" si="11"/>
        <v/>
      </c>
      <c r="X45" s="33">
        <f t="shared" si="12"/>
        <v>-1</v>
      </c>
      <c r="Y45" s="34" t="str">
        <f t="shared" si="13"/>
        <v/>
      </c>
      <c r="Z45" s="35" t="str">
        <f t="shared" si="14"/>
        <v/>
      </c>
      <c r="AA45" s="35" t="str">
        <f t="shared" si="15"/>
        <v/>
      </c>
      <c r="AB45" s="36" t="str">
        <f t="shared" si="16"/>
        <v/>
      </c>
      <c r="AC45" s="35" t="str">
        <f t="shared" si="17"/>
        <v/>
      </c>
      <c r="AD45" s="35" t="str">
        <f t="shared" si="18"/>
        <v/>
      </c>
      <c r="AE45" s="34"/>
    </row>
    <row r="46" spans="3:44">
      <c r="C46" s="27">
        <f>IF(C45=-1,-1,IF(C45&lt;income_max_row,C45+1,IF(C45=income_max_row,income_total_row,IF(C45=income_total_row,"/1",IF(C45="/1",expenses_header_row,IF(C45&lt;expenses_max_row,C45+1,IF(C45=expenses_max_row,expenses_total_row,IF(C45=expenses_total_row,"/2",IF(C45="/2",savings_header_row,IF(C45&lt;savings_max_row,C45+1,IF(C45=savings_max_row,savings_total_row,-1)))))))))))</f>
        <v>-1</v>
      </c>
      <c r="D46" s="28">
        <f t="shared" si="0"/>
        <v>-1</v>
      </c>
      <c r="E46" s="27">
        <f>1*OR(row_id=income_header_row,row_id=expenses_header_row,row_id=savings_header_row)</f>
        <v>0</v>
      </c>
      <c r="F46" s="29">
        <f t="shared" si="1"/>
        <v>0</v>
      </c>
      <c r="G46" s="29">
        <f>1*OR(row_id=income_total_row,row_id=expenses_total_row,row_id=savings_total_row)</f>
        <v>0</v>
      </c>
      <c r="H46" s="28">
        <f t="shared" si="2"/>
        <v>1</v>
      </c>
      <c r="I46" s="27" t="str">
        <f>IFERROR(INDEX('Budget Planning'!$C:$C,header_row_id),"")</f>
        <v/>
      </c>
      <c r="J46" s="29" t="str">
        <f>IFERROR(INDEX('Budget Planning'!$C:$C,row_id),"")</f>
        <v/>
      </c>
      <c r="K46" s="30" t="str">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
      </c>
      <c r="L46" s="31" t="str">
        <f>IF(OR(is_header,is_empty),"",INDEX('Budget Planning'!$E:$EM,row_id,MATCH(IF(selected_period="Total Year",selected_year,DATE(selected_year,selected_period,1)),'Budget Planning'!$E$9:$EM$9,0)))</f>
        <v/>
      </c>
      <c r="M46" s="27" t="str">
        <f>IF(is_cat,IF(header_row_id=income_header_row,MATCH(income_min_row,$C:$C,0),IF(header_row_id=expenses_header_row,MATCH(expenses_min_row,$C:$C,0),IF(header_row_id=savings_header_row,MATCH(savings_min_row,$C:$C,0),""))),"")</f>
        <v/>
      </c>
      <c r="N46" s="28" t="str">
        <f>IF(is_cat,IF(header_row_id=income_header_row,MATCH(income_max_row,$C:$C,0),IF(header_row_id=expenses_header_row,MATCH(expenses_max_row,$C:$C,0),IF(header_row_id=savings_header_row,MATCH(savings_max_row,$C:$C,0),""))),"")</f>
        <v/>
      </c>
      <c r="O46" s="27" t="str">
        <f t="shared" si="3"/>
        <v/>
      </c>
      <c r="P46" s="29" t="str">
        <f t="shared" ca="1" si="4"/>
        <v/>
      </c>
      <c r="Q46" s="29" t="str">
        <f t="shared" si="5"/>
        <v/>
      </c>
      <c r="R46" s="28" t="str">
        <f t="shared" ca="1" si="6"/>
        <v/>
      </c>
      <c r="S46" s="27" t="str">
        <f t="shared" si="7"/>
        <v/>
      </c>
      <c r="T46" s="29" t="str">
        <f t="shared" si="8"/>
        <v/>
      </c>
      <c r="U46" s="29" t="str">
        <f t="shared" ca="1" si="9"/>
        <v/>
      </c>
      <c r="V46" s="29" t="str">
        <f t="shared" si="10"/>
        <v/>
      </c>
      <c r="W46" s="28" t="str">
        <f t="shared" ca="1" si="11"/>
        <v/>
      </c>
      <c r="X46" s="33">
        <f t="shared" si="12"/>
        <v>-1</v>
      </c>
      <c r="Y46" s="34" t="str">
        <f t="shared" si="13"/>
        <v/>
      </c>
      <c r="Z46" s="35" t="str">
        <f t="shared" si="14"/>
        <v/>
      </c>
      <c r="AA46" s="35" t="str">
        <f t="shared" si="15"/>
        <v/>
      </c>
      <c r="AB46" s="36" t="str">
        <f t="shared" si="16"/>
        <v/>
      </c>
      <c r="AC46" s="35" t="str">
        <f t="shared" si="17"/>
        <v/>
      </c>
      <c r="AD46" s="35" t="str">
        <f t="shared" si="18"/>
        <v/>
      </c>
      <c r="AE46" s="34"/>
    </row>
    <row r="47" spans="3:44">
      <c r="C47" s="27">
        <f>IF(C46=-1,-1,IF(C46&lt;income_max_row,C46+1,IF(C46=income_max_row,income_total_row,IF(C46=income_total_row,"/1",IF(C46="/1",expenses_header_row,IF(C46&lt;expenses_max_row,C46+1,IF(C46=expenses_max_row,expenses_total_row,IF(C46=expenses_total_row,"/2",IF(C46="/2",savings_header_row,IF(C46&lt;savings_max_row,C46+1,IF(C46=savings_max_row,savings_total_row,-1)))))))))))</f>
        <v>-1</v>
      </c>
      <c r="D47" s="28">
        <f t="shared" si="0"/>
        <v>-1</v>
      </c>
      <c r="E47" s="27">
        <f>1*OR(row_id=income_header_row,row_id=expenses_header_row,row_id=savings_header_row)</f>
        <v>0</v>
      </c>
      <c r="F47" s="29">
        <f t="shared" si="1"/>
        <v>0</v>
      </c>
      <c r="G47" s="29">
        <f>1*OR(row_id=income_total_row,row_id=expenses_total_row,row_id=savings_total_row)</f>
        <v>0</v>
      </c>
      <c r="H47" s="28">
        <f t="shared" si="2"/>
        <v>1</v>
      </c>
      <c r="I47" s="27" t="str">
        <f>IFERROR(INDEX('Budget Planning'!$C:$C,header_row_id),"")</f>
        <v/>
      </c>
      <c r="J47" s="29" t="str">
        <f>IFERROR(INDEX('Budget Planning'!$C:$C,row_id),"")</f>
        <v/>
      </c>
      <c r="K47" s="30" t="str">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
      </c>
      <c r="L47" s="31" t="str">
        <f>IF(OR(is_header,is_empty),"",INDEX('Budget Planning'!$E:$EM,row_id,MATCH(IF(selected_period="Total Year",selected_year,DATE(selected_year,selected_period,1)),'Budget Planning'!$E$9:$EM$9,0)))</f>
        <v/>
      </c>
      <c r="M47" s="27" t="str">
        <f>IF(is_cat,IF(header_row_id=income_header_row,MATCH(income_min_row,$C:$C,0),IF(header_row_id=expenses_header_row,MATCH(expenses_min_row,$C:$C,0),IF(header_row_id=savings_header_row,MATCH(savings_min_row,$C:$C,0),""))),"")</f>
        <v/>
      </c>
      <c r="N47" s="28" t="str">
        <f>IF(is_cat,IF(header_row_id=income_header_row,MATCH(income_max_row,$C:$C,0),IF(header_row_id=expenses_header_row,MATCH(expenses_max_row,$C:$C,0),IF(header_row_id=savings_header_row,MATCH(savings_max_row,$C:$C,0),""))),"")</f>
        <v/>
      </c>
      <c r="O47" s="27" t="str">
        <f t="shared" si="3"/>
        <v/>
      </c>
      <c r="P47" s="29" t="str">
        <f t="shared" ca="1" si="4"/>
        <v/>
      </c>
      <c r="Q47" s="29" t="str">
        <f t="shared" si="5"/>
        <v/>
      </c>
      <c r="R47" s="28" t="str">
        <f t="shared" ca="1" si="6"/>
        <v/>
      </c>
      <c r="S47" s="27" t="str">
        <f t="shared" si="7"/>
        <v/>
      </c>
      <c r="T47" s="29" t="str">
        <f t="shared" si="8"/>
        <v/>
      </c>
      <c r="U47" s="29" t="str">
        <f t="shared" ca="1" si="9"/>
        <v/>
      </c>
      <c r="V47" s="29" t="str">
        <f t="shared" si="10"/>
        <v/>
      </c>
      <c r="W47" s="28" t="str">
        <f t="shared" ca="1" si="11"/>
        <v/>
      </c>
      <c r="X47" s="33">
        <f t="shared" si="12"/>
        <v>-1</v>
      </c>
      <c r="Y47" s="34" t="str">
        <f t="shared" si="13"/>
        <v/>
      </c>
      <c r="Z47" s="35" t="str">
        <f t="shared" si="14"/>
        <v/>
      </c>
      <c r="AA47" s="35" t="str">
        <f t="shared" si="15"/>
        <v/>
      </c>
      <c r="AB47" s="36" t="str">
        <f t="shared" si="16"/>
        <v/>
      </c>
      <c r="AC47" s="35" t="str">
        <f t="shared" si="17"/>
        <v/>
      </c>
      <c r="AD47" s="35" t="str">
        <f t="shared" si="18"/>
        <v/>
      </c>
      <c r="AE47" s="34"/>
    </row>
    <row r="48" spans="3:44">
      <c r="C48" s="27">
        <f>IF(C47=-1,-1,IF(C47&lt;income_max_row,C47+1,IF(C47=income_max_row,income_total_row,IF(C47=income_total_row,"/1",IF(C47="/1",expenses_header_row,IF(C47&lt;expenses_max_row,C47+1,IF(C47=expenses_max_row,expenses_total_row,IF(C47=expenses_total_row,"/2",IF(C47="/2",savings_header_row,IF(C47&lt;savings_max_row,C47+1,IF(C47=savings_max_row,savings_total_row,-1)))))))))))</f>
        <v>-1</v>
      </c>
      <c r="D48" s="28">
        <f t="shared" si="0"/>
        <v>-1</v>
      </c>
      <c r="E48" s="27">
        <f>1*OR(row_id=income_header_row,row_id=expenses_header_row,row_id=savings_header_row)</f>
        <v>0</v>
      </c>
      <c r="F48" s="29">
        <f t="shared" si="1"/>
        <v>0</v>
      </c>
      <c r="G48" s="29">
        <f>1*OR(row_id=income_total_row,row_id=expenses_total_row,row_id=savings_total_row)</f>
        <v>0</v>
      </c>
      <c r="H48" s="28">
        <f t="shared" si="2"/>
        <v>1</v>
      </c>
      <c r="I48" s="27" t="str">
        <f>IFERROR(INDEX('Budget Planning'!$C:$C,header_row_id),"")</f>
        <v/>
      </c>
      <c r="J48" s="29" t="str">
        <f>IFERROR(INDEX('Budget Planning'!$C:$C,row_id),"")</f>
        <v/>
      </c>
      <c r="K48" s="30" t="str">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
      </c>
      <c r="L48" s="31" t="str">
        <f>IF(OR(is_header,is_empty),"",INDEX('Budget Planning'!$E:$EM,row_id,MATCH(IF(selected_period="Total Year",selected_year,DATE(selected_year,selected_period,1)),'Budget Planning'!$E$9:$EM$9,0)))</f>
        <v/>
      </c>
      <c r="M48" s="27" t="str">
        <f>IF(is_cat,IF(header_row_id=income_header_row,MATCH(income_min_row,$C:$C,0),IF(header_row_id=expenses_header_row,MATCH(expenses_min_row,$C:$C,0),IF(header_row_id=savings_header_row,MATCH(savings_min_row,$C:$C,0),""))),"")</f>
        <v/>
      </c>
      <c r="N48" s="28" t="str">
        <f>IF(is_cat,IF(header_row_id=income_header_row,MATCH(income_max_row,$C:$C,0),IF(header_row_id=expenses_header_row,MATCH(expenses_max_row,$C:$C,0),IF(header_row_id=savings_header_row,MATCH(savings_max_row,$C:$C,0),""))),"")</f>
        <v/>
      </c>
      <c r="O48" s="27" t="str">
        <f t="shared" si="3"/>
        <v/>
      </c>
      <c r="P48" s="29" t="str">
        <f t="shared" ca="1" si="4"/>
        <v/>
      </c>
      <c r="Q48" s="29" t="str">
        <f t="shared" si="5"/>
        <v/>
      </c>
      <c r="R48" s="28" t="str">
        <f t="shared" ca="1" si="6"/>
        <v/>
      </c>
      <c r="S48" s="27" t="str">
        <f t="shared" si="7"/>
        <v/>
      </c>
      <c r="T48" s="29" t="str">
        <f t="shared" si="8"/>
        <v/>
      </c>
      <c r="U48" s="29" t="str">
        <f t="shared" ca="1" si="9"/>
        <v/>
      </c>
      <c r="V48" s="29" t="str">
        <f t="shared" si="10"/>
        <v/>
      </c>
      <c r="W48" s="28" t="str">
        <f t="shared" ca="1" si="11"/>
        <v/>
      </c>
      <c r="X48" s="33">
        <f t="shared" si="12"/>
        <v>-1</v>
      </c>
      <c r="Y48" s="34" t="str">
        <f t="shared" si="13"/>
        <v/>
      </c>
      <c r="Z48" s="35" t="str">
        <f t="shared" si="14"/>
        <v/>
      </c>
      <c r="AA48" s="35" t="str">
        <f t="shared" si="15"/>
        <v/>
      </c>
      <c r="AB48" s="36" t="str">
        <f t="shared" si="16"/>
        <v/>
      </c>
      <c r="AC48" s="35" t="str">
        <f t="shared" si="17"/>
        <v/>
      </c>
      <c r="AD48" s="35" t="str">
        <f t="shared" si="18"/>
        <v/>
      </c>
      <c r="AE48" s="34"/>
    </row>
    <row r="49" spans="3:31">
      <c r="C49" s="27">
        <f>IF(C48=-1,-1,IF(C48&lt;income_max_row,C48+1,IF(C48=income_max_row,income_total_row,IF(C48=income_total_row,"/1",IF(C48="/1",expenses_header_row,IF(C48&lt;expenses_max_row,C48+1,IF(C48=expenses_max_row,expenses_total_row,IF(C48=expenses_total_row,"/2",IF(C48="/2",savings_header_row,IF(C48&lt;savings_max_row,C48+1,IF(C48=savings_max_row,savings_total_row,-1)))))))))))</f>
        <v>-1</v>
      </c>
      <c r="D49" s="28">
        <f t="shared" si="0"/>
        <v>-1</v>
      </c>
      <c r="E49" s="27">
        <f>1*OR(row_id=income_header_row,row_id=expenses_header_row,row_id=savings_header_row)</f>
        <v>0</v>
      </c>
      <c r="F49" s="29">
        <f t="shared" si="1"/>
        <v>0</v>
      </c>
      <c r="G49" s="29">
        <f>1*OR(row_id=income_total_row,row_id=expenses_total_row,row_id=savings_total_row)</f>
        <v>0</v>
      </c>
      <c r="H49" s="28">
        <f t="shared" si="2"/>
        <v>1</v>
      </c>
      <c r="I49" s="27" t="str">
        <f>IFERROR(INDEX('Budget Planning'!$C:$C,header_row_id),"")</f>
        <v/>
      </c>
      <c r="J49" s="29" t="str">
        <f>IFERROR(INDEX('Budget Planning'!$C:$C,row_id),"")</f>
        <v/>
      </c>
      <c r="K49" s="30" t="str">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
      </c>
      <c r="L49" s="31" t="str">
        <f>IF(OR(is_header,is_empty),"",INDEX('Budget Planning'!$E:$EM,row_id,MATCH(IF(selected_period="Total Year",selected_year,DATE(selected_year,selected_period,1)),'Budget Planning'!$E$9:$EM$9,0)))</f>
        <v/>
      </c>
      <c r="M49" s="27" t="str">
        <f>IF(is_cat,IF(header_row_id=income_header_row,MATCH(income_min_row,$C:$C,0),IF(header_row_id=expenses_header_row,MATCH(expenses_min_row,$C:$C,0),IF(header_row_id=savings_header_row,MATCH(savings_min_row,$C:$C,0),""))),"")</f>
        <v/>
      </c>
      <c r="N49" s="28" t="str">
        <f>IF(is_cat,IF(header_row_id=income_header_row,MATCH(income_max_row,$C:$C,0),IF(header_row_id=expenses_header_row,MATCH(expenses_max_row,$C:$C,0),IF(header_row_id=savings_header_row,MATCH(savings_max_row,$C:$C,0),""))),"")</f>
        <v/>
      </c>
      <c r="O49" s="27" t="str">
        <f t="shared" si="3"/>
        <v/>
      </c>
      <c r="P49" s="29" t="str">
        <f t="shared" ca="1" si="4"/>
        <v/>
      </c>
      <c r="Q49" s="29" t="str">
        <f t="shared" si="5"/>
        <v/>
      </c>
      <c r="R49" s="28" t="str">
        <f t="shared" ca="1" si="6"/>
        <v/>
      </c>
      <c r="S49" s="27" t="str">
        <f t="shared" si="7"/>
        <v/>
      </c>
      <c r="T49" s="29" t="str">
        <f t="shared" si="8"/>
        <v/>
      </c>
      <c r="U49" s="29" t="str">
        <f t="shared" ca="1" si="9"/>
        <v/>
      </c>
      <c r="V49" s="29" t="str">
        <f t="shared" si="10"/>
        <v/>
      </c>
      <c r="W49" s="28" t="str">
        <f t="shared" ca="1" si="11"/>
        <v/>
      </c>
      <c r="X49" s="33">
        <f t="shared" si="12"/>
        <v>-1</v>
      </c>
      <c r="Y49" s="34" t="str">
        <f t="shared" si="13"/>
        <v/>
      </c>
      <c r="Z49" s="35" t="str">
        <f t="shared" si="14"/>
        <v/>
      </c>
      <c r="AA49" s="35" t="str">
        <f t="shared" si="15"/>
        <v/>
      </c>
      <c r="AB49" s="36" t="str">
        <f t="shared" si="16"/>
        <v/>
      </c>
      <c r="AC49" s="35" t="str">
        <f t="shared" si="17"/>
        <v/>
      </c>
      <c r="AD49" s="35" t="str">
        <f t="shared" si="18"/>
        <v/>
      </c>
      <c r="AE49" s="34"/>
    </row>
    <row r="50" spans="3:31">
      <c r="C50" s="27">
        <f>IF(C49=-1,-1,IF(C49&lt;income_max_row,C49+1,IF(C49=income_max_row,income_total_row,IF(C49=income_total_row,"/1",IF(C49="/1",expenses_header_row,IF(C49&lt;expenses_max_row,C49+1,IF(C49=expenses_max_row,expenses_total_row,IF(C49=expenses_total_row,"/2",IF(C49="/2",savings_header_row,IF(C49&lt;savings_max_row,C49+1,IF(C49=savings_max_row,savings_total_row,-1)))))))))))</f>
        <v>-1</v>
      </c>
      <c r="D50" s="28">
        <f t="shared" si="0"/>
        <v>-1</v>
      </c>
      <c r="E50" s="27">
        <f>1*OR(row_id=income_header_row,row_id=expenses_header_row,row_id=savings_header_row)</f>
        <v>0</v>
      </c>
      <c r="F50" s="29">
        <f t="shared" si="1"/>
        <v>0</v>
      </c>
      <c r="G50" s="29">
        <f>1*OR(row_id=income_total_row,row_id=expenses_total_row,row_id=savings_total_row)</f>
        <v>0</v>
      </c>
      <c r="H50" s="28">
        <f t="shared" si="2"/>
        <v>1</v>
      </c>
      <c r="I50" s="27" t="str">
        <f>IFERROR(INDEX('Budget Planning'!$C:$C,header_row_id),"")</f>
        <v/>
      </c>
      <c r="J50" s="29" t="str">
        <f>IFERROR(INDEX('Budget Planning'!$C:$C,row_id),"")</f>
        <v/>
      </c>
      <c r="K50" s="30" t="str">
        <f>IF(OR(is_header,is_empty),"",IF(is_total,IF(selected_period="Total Year",SUMPRODUCT(Tracking[Amount]*(Tracking[Type]=type)*(YEAR(Tracking[Effective Date])=selected_year)),SUMPRODUCT(Tracking[Amount]*(Tracking[Type]=type)*(YEAR(Tracking[Effective Date])=selected_year)*(MONTH(Tracking[Effective Date])=selected_period))),IF(selected_period="Total Year",SUMPRODUCT(Tracking[Amount]*(Tracking[Type]=type)*(Tracking[Category]=item)*(YEAR(Tracking[Effective Date])=selected_year)),SUMPRODUCT(Tracking[Amount]*(Tracking[Type]=type)*(Tracking[Category]=item)*(YEAR(Tracking[Effective Date])=selected_year)*(MONTH(Tracking[Effective Date])=selected_period)))))</f>
        <v/>
      </c>
      <c r="L50" s="31" t="str">
        <f>IF(OR(is_header,is_empty),"",INDEX('Budget Planning'!$E:$EM,row_id,MATCH(IF(selected_period="Total Year",selected_year,DATE(selected_year,selected_period,1)),'Budget Planning'!$E$9:$EM$9,0)))</f>
        <v/>
      </c>
      <c r="M50" s="27" t="str">
        <f>IF(is_cat,IF(header_row_id=income_header_row,MATCH(income_min_row,$C:$C,0),IF(header_row_id=expenses_header_row,MATCH(expenses_min_row,$C:$C,0),IF(header_row_id=savings_header_row,MATCH(savings_min_row,$C:$C,0),""))),"")</f>
        <v/>
      </c>
      <c r="N50" s="28" t="str">
        <f>IF(is_cat,IF(header_row_id=income_header_row,MATCH(income_max_row,$C:$C,0),IF(header_row_id=expenses_header_row,MATCH(expenses_max_row,$C:$C,0),IF(header_row_id=savings_header_row,MATCH(savings_max_row,$C:$C,0),""))),"")</f>
        <v/>
      </c>
      <c r="O50" s="27" t="str">
        <f t="shared" si="3"/>
        <v/>
      </c>
      <c r="P50" s="29" t="str">
        <f t="shared" ca="1" si="4"/>
        <v/>
      </c>
      <c r="Q50" s="29" t="str">
        <f t="shared" si="5"/>
        <v/>
      </c>
      <c r="R50" s="28" t="str">
        <f t="shared" ca="1" si="6"/>
        <v/>
      </c>
      <c r="S50" s="27" t="str">
        <f t="shared" si="7"/>
        <v/>
      </c>
      <c r="T50" s="29" t="str">
        <f t="shared" si="8"/>
        <v/>
      </c>
      <c r="U50" s="29" t="str">
        <f t="shared" ca="1" si="9"/>
        <v/>
      </c>
      <c r="V50" s="29" t="str">
        <f t="shared" si="10"/>
        <v/>
      </c>
      <c r="W50" s="28" t="str">
        <f t="shared" ca="1" si="11"/>
        <v/>
      </c>
      <c r="X50" s="33">
        <f t="shared" si="12"/>
        <v>-1</v>
      </c>
      <c r="Y50" s="34" t="str">
        <f t="shared" si="13"/>
        <v/>
      </c>
      <c r="Z50" s="35" t="str">
        <f t="shared" si="14"/>
        <v/>
      </c>
      <c r="AA50" s="35" t="str">
        <f t="shared" si="15"/>
        <v/>
      </c>
      <c r="AB50" s="36" t="str">
        <f t="shared" si="16"/>
        <v/>
      </c>
      <c r="AC50" s="35" t="str">
        <f t="shared" si="17"/>
        <v/>
      </c>
      <c r="AD50" s="35" t="str">
        <f t="shared" si="18"/>
        <v/>
      </c>
      <c r="AE50" s="34"/>
    </row>
  </sheetData>
  <mergeCells count="8">
    <mergeCell ref="Y11:AD11"/>
    <mergeCell ref="AF11:AR11"/>
    <mergeCell ref="AQ5:AR5"/>
    <mergeCell ref="AN6:AP6"/>
    <mergeCell ref="AQ6:AR6"/>
    <mergeCell ref="AQ8:AR8"/>
    <mergeCell ref="AN9:AP9"/>
    <mergeCell ref="AQ9:AR9"/>
  </mergeCells>
  <conditionalFormatting sqref="AH16">
    <cfRule type="expression" dxfId="24" priority="13">
      <formula>AI16&lt;&gt;""</formula>
    </cfRule>
  </conditionalFormatting>
  <conditionalFormatting sqref="AH17">
    <cfRule type="expression" dxfId="23" priority="14">
      <formula>AI17&lt;&gt;""</formula>
    </cfRule>
  </conditionalFormatting>
  <conditionalFormatting sqref="AH18">
    <cfRule type="expression" dxfId="22" priority="15">
      <formula>AI18&lt;&gt;""</formula>
    </cfRule>
  </conditionalFormatting>
  <conditionalFormatting sqref="AH19">
    <cfRule type="expression" dxfId="21" priority="16">
      <formula>AI19&lt;&gt;""</formula>
    </cfRule>
  </conditionalFormatting>
  <conditionalFormatting sqref="AH20">
    <cfRule type="expression" dxfId="20" priority="17">
      <formula>AI20&lt;&gt;""</formula>
    </cfRule>
  </conditionalFormatting>
  <conditionalFormatting sqref="AH21">
    <cfRule type="expression" dxfId="19" priority="18">
      <formula>AI21&lt;&gt;""</formula>
    </cfRule>
  </conditionalFormatting>
  <conditionalFormatting sqref="AH29">
    <cfRule type="expression" dxfId="18" priority="7">
      <formula>AI29&lt;&gt;""</formula>
    </cfRule>
  </conditionalFormatting>
  <conditionalFormatting sqref="AH30">
    <cfRule type="expression" dxfId="17" priority="8">
      <formula>AI30&lt;&gt;""</formula>
    </cfRule>
  </conditionalFormatting>
  <conditionalFormatting sqref="AH31">
    <cfRule type="expression" dxfId="16" priority="9">
      <formula>AI31&lt;&gt;""</formula>
    </cfRule>
  </conditionalFormatting>
  <conditionalFormatting sqref="AH32">
    <cfRule type="expression" dxfId="15" priority="10">
      <formula>AI32&lt;&gt;""</formula>
    </cfRule>
  </conditionalFormatting>
  <conditionalFormatting sqref="AH33">
    <cfRule type="expression" dxfId="14" priority="11">
      <formula>AI33&lt;&gt;""</formula>
    </cfRule>
  </conditionalFormatting>
  <conditionalFormatting sqref="AH34">
    <cfRule type="expression" dxfId="13" priority="12">
      <formula>AI34&lt;&gt;""</formula>
    </cfRule>
  </conditionalFormatting>
  <conditionalFormatting sqref="AB13:AB50">
    <cfRule type="expression" dxfId="12" priority="23" stopIfTrue="1">
      <formula>AND(OR(is_cat,is_total),out_budget&gt;0,out_percentage_completed&gt;=1,header_row_id=income_header_row)</formula>
    </cfRule>
    <cfRule type="expression" dxfId="11" priority="24" stopIfTrue="1">
      <formula>AND(OR(is_cat,is_total),out_budget&gt;0,out_percentage_completed&gt;=1,header_row_id=expenses_header_row)</formula>
    </cfRule>
    <cfRule type="expression" dxfId="10" priority="25" stopIfTrue="1">
      <formula>AND(OR(is_cat,is_total),out_budget&gt;0,out_percentage_completed&gt;=1,header_row_id=savings_header_row)</formula>
    </cfRule>
    <cfRule type="dataBar" priority="26">
      <dataBar>
        <cfvo type="num" val="0"/>
        <cfvo type="num" val="1"/>
        <color theme="0" tint="-0.14996795556505021"/>
      </dataBar>
      <extLst>
        <ext xmlns:x14="http://schemas.microsoft.com/office/spreadsheetml/2009/9/main" uri="{B025F937-C7B1-47D3-B67F-A62EFF666E3E}">
          <x14:id>{A8A8D66D-D93B-48D8-9279-222C4408F821}</x14:id>
        </ext>
      </extLst>
    </cfRule>
  </conditionalFormatting>
  <conditionalFormatting sqref="Y13:AD50">
    <cfRule type="expression" dxfId="9" priority="19" stopIfTrue="1">
      <formula>row_id=income_header_row</formula>
    </cfRule>
    <cfRule type="expression" dxfId="8" priority="20" stopIfTrue="1">
      <formula>row_id=expenses_header_row</formula>
    </cfRule>
    <cfRule type="expression" dxfId="7" priority="21" stopIfTrue="1">
      <formula>row_id=savings_header_row</formula>
    </cfRule>
    <cfRule type="expression" dxfId="6" priority="22" stopIfTrue="1">
      <formula>is_total</formula>
    </cfRule>
  </conditionalFormatting>
  <conditionalFormatting sqref="AO29">
    <cfRule type="expression" dxfId="5" priority="1">
      <formula>AP29&lt;&gt;""</formula>
    </cfRule>
  </conditionalFormatting>
  <conditionalFormatting sqref="AO30">
    <cfRule type="expression" dxfId="4" priority="2">
      <formula>AP30&lt;&gt;""</formula>
    </cfRule>
  </conditionalFormatting>
  <conditionalFormatting sqref="AO31">
    <cfRule type="expression" dxfId="3" priority="3">
      <formula>AP31&lt;&gt;""</formula>
    </cfRule>
  </conditionalFormatting>
  <conditionalFormatting sqref="AO32">
    <cfRule type="expression" dxfId="2" priority="4">
      <formula>AP32&lt;&gt;""</formula>
    </cfRule>
  </conditionalFormatting>
  <conditionalFormatting sqref="AO33">
    <cfRule type="expression" dxfId="1" priority="5">
      <formula>AP33&lt;&gt;""</formula>
    </cfRule>
  </conditionalFormatting>
  <conditionalFormatting sqref="AO34">
    <cfRule type="expression" dxfId="0" priority="6">
      <formula>AP34&lt;&gt;""</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5" r:id="rId4" name="Check Box 7">
              <controlPr defaultSize="0" autoFill="0" autoLine="0" autoPict="0">
                <anchor moveWithCells="1">
                  <from>
                    <xdr:col>41</xdr:col>
                    <xdr:colOff>1000125</xdr:colOff>
                    <xdr:row>12</xdr:row>
                    <xdr:rowOff>57150</xdr:rowOff>
                  </from>
                  <to>
                    <xdr:col>43</xdr:col>
                    <xdr:colOff>123825</xdr:colOff>
                    <xdr:row>13</xdr:row>
                    <xdr:rowOff>47625</xdr:rowOff>
                  </to>
                </anchor>
              </controlPr>
            </control>
          </mc:Choice>
        </mc:AlternateContent>
        <mc:AlternateContent xmlns:mc="http://schemas.openxmlformats.org/markup-compatibility/2006">
          <mc:Choice Requires="x14">
            <control shapeId="2056" r:id="rId5" name="Check Box 8">
              <controlPr defaultSize="0" autoFill="0" autoLine="0" autoPict="0">
                <anchor moveWithCells="1">
                  <from>
                    <xdr:col>41</xdr:col>
                    <xdr:colOff>1000125</xdr:colOff>
                    <xdr:row>13</xdr:row>
                    <xdr:rowOff>19050</xdr:rowOff>
                  </from>
                  <to>
                    <xdr:col>43</xdr:col>
                    <xdr:colOff>123825</xdr:colOff>
                    <xdr:row>14</xdr:row>
                    <xdr:rowOff>9525</xdr:rowOff>
                  </to>
                </anchor>
              </controlPr>
            </control>
          </mc:Choice>
        </mc:AlternateContent>
        <mc:AlternateContent xmlns:mc="http://schemas.openxmlformats.org/markup-compatibility/2006">
          <mc:Choice Requires="x14">
            <control shapeId="2057" r:id="rId6" name="Check Box 9">
              <controlPr defaultSize="0" autoFill="0" autoLine="0" autoPict="0">
                <anchor moveWithCells="1">
                  <from>
                    <xdr:col>41</xdr:col>
                    <xdr:colOff>1000125</xdr:colOff>
                    <xdr:row>13</xdr:row>
                    <xdr:rowOff>171450</xdr:rowOff>
                  </from>
                  <to>
                    <xdr:col>43</xdr:col>
                    <xdr:colOff>123825</xdr:colOff>
                    <xdr:row>14</xdr:row>
                    <xdr:rowOff>161925</xdr:rowOff>
                  </to>
                </anchor>
              </controlPr>
            </control>
          </mc:Choice>
        </mc:AlternateContent>
        <mc:AlternateContent xmlns:mc="http://schemas.openxmlformats.org/markup-compatibility/2006">
          <mc:Choice Requires="x14">
            <control shapeId="2058" r:id="rId7" name="Check Box 10">
              <controlPr defaultSize="0" autoFill="0" autoLine="0" autoPict="0">
                <anchor moveWithCells="1">
                  <from>
                    <xdr:col>41</xdr:col>
                    <xdr:colOff>361950</xdr:colOff>
                    <xdr:row>12</xdr:row>
                    <xdr:rowOff>57150</xdr:rowOff>
                  </from>
                  <to>
                    <xdr:col>42</xdr:col>
                    <xdr:colOff>85725</xdr:colOff>
                    <xdr:row>13</xdr:row>
                    <xdr:rowOff>47625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A8A8D66D-D93B-48D8-9279-222C4408F821}">
            <x14:dataBar minLength="0" maxLength="100" gradient="0">
              <x14:cfvo type="num">
                <xm:f>0</xm:f>
              </x14:cfvo>
              <x14:cfvo type="num">
                <xm:f>1</xm:f>
              </x14:cfvo>
              <x14:negativeFillColor rgb="FFFF0000"/>
              <x14:axisColor rgb="FF000000"/>
            </x14:dataBar>
          </x14:cfRule>
          <xm:sqref>AB13:AB50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'Dropdown Data'!$C$8:$C$18</xm:f>
          </x14:formula1>
          <xm:sqref>AQ6:AR6</xm:sqref>
        </x14:dataValidation>
        <x14:dataValidation type="list" allowBlank="1" showInputMessage="1" showErrorMessage="1">
          <x14:formula1>
            <xm:f>'Dropdown Data'!$E$8:$E$21</xm:f>
          </x14:formula1>
          <xm:sqref>AQ9:AR9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2060"/>
  </sheetPr>
  <dimension ref="C6:R102"/>
  <sheetViews>
    <sheetView showGridLines="0" topLeftCell="C37" zoomScale="80" zoomScaleNormal="80" workbookViewId="0">
      <selection activeCell="E100" sqref="E100"/>
    </sheetView>
  </sheetViews>
  <sheetFormatPr defaultColWidth="9" defaultRowHeight="15"/>
  <cols>
    <col min="3" max="3" width="1.85546875" customWidth="1"/>
    <col min="4" max="4" width="24.5703125" customWidth="1"/>
    <col min="5" max="5" width="37.42578125" customWidth="1"/>
    <col min="6" max="6" width="13.85546875" customWidth="1"/>
    <col min="7" max="7" width="10.140625" customWidth="1"/>
    <col min="8" max="8" width="24.5703125" customWidth="1"/>
    <col min="9" max="9" width="36.140625" customWidth="1"/>
    <col min="10" max="10" width="9.85546875" customWidth="1"/>
    <col min="11" max="11" width="10.140625" customWidth="1"/>
    <col min="12" max="12" width="24.5703125" customWidth="1"/>
    <col min="13" max="13" width="33.5703125" customWidth="1"/>
    <col min="14" max="14" width="11.5703125" customWidth="1"/>
    <col min="15" max="15" width="10" customWidth="1"/>
    <col min="16" max="16" width="33.5703125" customWidth="1"/>
    <col min="17" max="17" width="11.5703125" customWidth="1"/>
    <col min="18" max="18" width="10" customWidth="1"/>
  </cols>
  <sheetData>
    <row r="6" spans="3:6">
      <c r="C6" s="103" t="s">
        <v>70</v>
      </c>
      <c r="D6" s="103"/>
      <c r="E6" s="103"/>
      <c r="F6" s="103"/>
    </row>
    <row r="8" spans="3:6">
      <c r="D8" s="8" t="s">
        <v>71</v>
      </c>
      <c r="E8" s="9">
        <f ca="1">current_date</f>
        <v>45290</v>
      </c>
    </row>
    <row r="9" spans="3:6">
      <c r="D9" s="8" t="s">
        <v>72</v>
      </c>
      <c r="E9" s="9">
        <f>MAX(Tracking[Date])</f>
        <v>44635</v>
      </c>
    </row>
    <row r="10" spans="3:6">
      <c r="D10" s="8" t="s">
        <v>73</v>
      </c>
      <c r="E10" t="str">
        <f ca="1">IF(E9=0,"","("&amp;_xlfn.DAYS(E8,E9)&amp;" days ago)")</f>
        <v>(655 days ago)</v>
      </c>
    </row>
    <row r="11" spans="3:6">
      <c r="D11" s="8" t="s">
        <v>74</v>
      </c>
      <c r="E11">
        <f>COUNT(Tracking[Date])</f>
        <v>59</v>
      </c>
    </row>
    <row r="12" spans="3:6">
      <c r="D12" s="8" t="s">
        <v>75</v>
      </c>
      <c r="E12" t="str">
        <f ca="1">"("&amp;SUMPRODUCT(--(YEAR(Tracking[Date])=YEAR(current_date)))&amp;" this year)"</f>
        <v>(0 this year)</v>
      </c>
    </row>
    <row r="13" spans="3:6">
      <c r="D13" s="8" t="s">
        <v>76</v>
      </c>
      <c r="E13" s="10">
        <f>_xlfn.IFNA(INDEX(Tracking[Balance],MATCH(Calculations!E9,Tracking[Date],0)),"-")</f>
        <v>2620</v>
      </c>
    </row>
    <row r="14" spans="3:6">
      <c r="D14" s="8" t="s">
        <v>77</v>
      </c>
      <c r="E14" t="str">
        <f>IF(E13&gt;=0,"of tracked income left to be allocated","allocated not covered by income")</f>
        <v>of tracked income left to be allocated</v>
      </c>
    </row>
    <row r="17" spans="3:14">
      <c r="C17" s="103" t="s">
        <v>78</v>
      </c>
      <c r="D17" s="103"/>
      <c r="E17" s="103"/>
      <c r="F17" s="103"/>
    </row>
    <row r="19" spans="3:14">
      <c r="D19" s="8" t="s">
        <v>79</v>
      </c>
      <c r="E19">
        <f>IF('Budget Dashboard'!AQ6="Current Year",YEAR(current_date),'Budget Dashboard'!AQ6)</f>
        <v>2022</v>
      </c>
    </row>
    <row r="20" spans="3:14">
      <c r="D20" s="11" t="s">
        <v>80</v>
      </c>
      <c r="E20" s="109" t="str">
        <f>IF('Budget Dashboard'!AQ9="Total Year","Total Year",IF('Budget Dashboard'!AQ9="Current Month",MONTH(current_date),MONTH('Budget Dashboard'!AQ9)))</f>
        <v>Total Year</v>
      </c>
    </row>
    <row r="21" spans="3:14">
      <c r="D21" s="8" t="s">
        <v>81</v>
      </c>
      <c r="E21" s="13" t="str">
        <f>IF(selected_period="Total Year","Total Year",TEXT(DATE(selected_year,selected_period,1),"mmmm"))</f>
        <v>Total Year</v>
      </c>
    </row>
    <row r="22" spans="3:14">
      <c r="D22" s="110" t="s">
        <v>109</v>
      </c>
      <c r="E22">
        <f>IF(selected_period="Total Year", DATE(selected_year, 12, 31) - DATE(selected_year-1, 12, 31), DAY(EOMONTH(DATE(selected_year, selected_period, 1), 0)))</f>
        <v>365</v>
      </c>
    </row>
    <row r="23" spans="3:14">
      <c r="D23" s="110" t="s">
        <v>110</v>
      </c>
      <c r="E23">
        <f ca="1">IF(selected_year=YEAR(current_date),
       IF(selected_period="Total Year", current_date-DATE(selected_year-1, 12, 31),
            IF(selected_period=MONTH(current_date), DAY(current_date),
                IF(selected_period&lt;MONTH(current_date), E22, 0))),
            IF(selected_year&lt;YEAR(current_date), E22, 0))</f>
        <v>365</v>
      </c>
    </row>
    <row r="24" spans="3:14">
      <c r="D24" s="110" t="s">
        <v>111</v>
      </c>
      <c r="E24" s="111">
        <f ca="1">E23/E22</f>
        <v>1</v>
      </c>
    </row>
    <row r="25" spans="3:14">
      <c r="D25" s="110" t="s">
        <v>112</v>
      </c>
      <c r="E25" s="112">
        <f ca="1">F41-(J41+N41)</f>
        <v>2620</v>
      </c>
    </row>
    <row r="26" spans="3:14">
      <c r="D26" s="8" t="s">
        <v>77</v>
      </c>
      <c r="E26" t="str">
        <f ca="1">IF(E25&gt;=0,"of tracked income left to be allocated","allocated not covered by income")</f>
        <v>of tracked income left to be allocated</v>
      </c>
    </row>
    <row r="27" spans="3:14">
      <c r="D27" s="110" t="s">
        <v>113</v>
      </c>
      <c r="E27" s="117">
        <f ca="1">IFERROR(IF(savings_rate_calculation_type="% allocated to Savings", N41/F41, (F41-J41)/F41),"-")</f>
        <v>0.22720588235294117</v>
      </c>
    </row>
    <row r="32" spans="3:14">
      <c r="D32" s="14" t="s">
        <v>82</v>
      </c>
      <c r="E32" s="15"/>
      <c r="F32" s="15"/>
      <c r="G32" s="15"/>
      <c r="H32" s="15"/>
      <c r="I32" s="15"/>
      <c r="J32" s="15"/>
      <c r="K32" s="15"/>
      <c r="L32" s="15"/>
      <c r="M32" s="15"/>
      <c r="N32" s="15"/>
    </row>
    <row r="34" spans="4:14">
      <c r="D34" s="16" t="s">
        <v>12</v>
      </c>
      <c r="E34" s="16" t="s">
        <v>39</v>
      </c>
      <c r="F34" s="16" t="s">
        <v>40</v>
      </c>
      <c r="H34" s="16" t="s">
        <v>18</v>
      </c>
      <c r="I34" s="16" t="s">
        <v>39</v>
      </c>
      <c r="J34" s="16" t="s">
        <v>40</v>
      </c>
      <c r="L34" s="16" t="s">
        <v>29</v>
      </c>
      <c r="M34" s="16" t="s">
        <v>39</v>
      </c>
      <c r="N34" s="16" t="s">
        <v>40</v>
      </c>
    </row>
    <row r="35" spans="4:14">
      <c r="D35" s="17">
        <v>1</v>
      </c>
      <c r="E35" s="17" t="str">
        <f ca="1">IF(F35="", "", INDEX('Budget Dashboard'!$J:$J, MATCH(income_header_row + Calculations!D35, 'Budget Dashboard'!$X:$X, 0)))</f>
        <v>Employment (Net)</v>
      </c>
      <c r="F35" s="18">
        <f ca="1">IF(D35&gt;COUNTA(Income[]), "",
       IF(INDEX('Budget Dashboard'!$K:$K, MATCH(income_header_row + Calculations!D35, 'Budget Dashboard'!$X:$X, 0))=0, "",
            INDEX('Budget Dashboard'!$K:$K, MATCH(income_header_row + Calculations!D35, 'Budget Dashboard'!$X:$X, 0))))</f>
        <v>10500</v>
      </c>
      <c r="H35" s="17">
        <v>1</v>
      </c>
      <c r="I35" s="17" t="str">
        <f ca="1">IF(J35="", "", INDEX('Budget Dashboard'!$J:$J, MATCH(expenses_header_row + Calculations!H35, 'Budget Dashboard'!$X:$X, 0)))</f>
        <v>Housing</v>
      </c>
      <c r="J35" s="18">
        <f ca="1">IF(H35&gt;COUNTA(Expenses[]), "",
       IF(INDEX('Budget Dashboard'!$K:$K, MATCH(expenses_header_row + Calculations!H35, 'Budget Dashboard'!$X:$X, 0))=0, "",
            INDEX('Budget Dashboard'!$K:$K, MATCH(expenses_header_row + Calculations!H35, 'Budget Dashboard'!$X:$X, 0))))</f>
        <v>3600</v>
      </c>
      <c r="L35" s="17">
        <v>1</v>
      </c>
      <c r="M35" s="17" t="str">
        <f ca="1">IF(N35="", "", INDEX('Budget Dashboard'!$J:$J, MATCH(savings_header_row + Calculations!L35, 'Budget Dashboard'!$X:$X, 0)))</f>
        <v>Emergency Fund</v>
      </c>
      <c r="N35" s="18">
        <f ca="1">IF(L35&gt;COUNTA(Savings[]), "",
       IF(INDEX('Budget Dashboard'!$K:$K, MATCH(savings_header_row + Calculations!L35, 'Budget Dashboard'!$X:$X, 0))=0, "",
            INDEX('Budget Dashboard'!$K:$K, MATCH(savings_header_row + Calculations!L35, 'Budget Dashboard'!$X:$X, 0))))</f>
        <v>1140</v>
      </c>
    </row>
    <row r="36" spans="4:14">
      <c r="D36" s="17">
        <v>2</v>
      </c>
      <c r="E36" s="17" t="str">
        <f ca="1">IF(F36="", "", INDEX('Budget Dashboard'!$J:$J, MATCH(income_header_row + Calculations!D36, 'Budget Dashboard'!$X:$X, 0)))</f>
        <v>Side Hustle (Net)</v>
      </c>
      <c r="F36" s="18">
        <f ca="1">IF(D36&gt;COUNTA(Income[]), "",
       IF(INDEX('Budget Dashboard'!$K:$K, MATCH(income_header_row + Calculations!D36, 'Budget Dashboard'!$X:$X, 0))=0, "",
            INDEX('Budget Dashboard'!$K:$K, MATCH(income_header_row + Calculations!D36, 'Budget Dashboard'!$X:$X, 0))))</f>
        <v>2800</v>
      </c>
      <c r="H36" s="17">
        <v>2</v>
      </c>
      <c r="I36" s="17" t="str">
        <f ca="1">IF(J36="", "", INDEX('Budget Dashboard'!$J:$J, MATCH(expenses_header_row + Calculations!H36, 'Budget Dashboard'!$X:$X, 0)))</f>
        <v>Groceries</v>
      </c>
      <c r="J36" s="18">
        <f ca="1">IF(H36&gt;COUNTA(Expenses[]), "",
       IF(INDEX('Budget Dashboard'!$K:$K, MATCH(expenses_header_row + Calculations!H36, 'Budget Dashboard'!$X:$X, 0))=0, "",
            INDEX('Budget Dashboard'!$K:$K, MATCH(expenses_header_row + Calculations!H36, 'Budget Dashboard'!$X:$X, 0))))</f>
        <v>900</v>
      </c>
      <c r="L36" s="17">
        <v>2</v>
      </c>
      <c r="M36" s="17" t="str">
        <f ca="1">IF(N36="", "", INDEX('Budget Dashboard'!$J:$J, MATCH(savings_header_row + Calculations!L36, 'Budget Dashboard'!$X:$X, 0)))</f>
        <v>Retirement Account</v>
      </c>
      <c r="N36" s="18">
        <f ca="1">IF(L36&gt;COUNTA(Savings[]), "",
       IF(INDEX('Budget Dashboard'!$K:$K, MATCH(savings_header_row + Calculations!L36, 'Budget Dashboard'!$X:$X, 0))=0, "",
            INDEX('Budget Dashboard'!$K:$K, MATCH(savings_header_row + Calculations!L36, 'Budget Dashboard'!$X:$X, 0))))</f>
        <v>800</v>
      </c>
    </row>
    <row r="37" spans="4:14">
      <c r="D37" s="17">
        <v>3</v>
      </c>
      <c r="E37" s="17" t="str">
        <f ca="1">IF(F37="", "", INDEX('Budget Dashboard'!$J:$J, MATCH(income_header_row + Calculations!D37, 'Budget Dashboard'!$X:$X, 0)))</f>
        <v>Dividends</v>
      </c>
      <c r="F37" s="18">
        <f ca="1">IF(D37&gt;COUNTA(Income[]), "",
       IF(INDEX('Budget Dashboard'!$K:$K, MATCH(income_header_row + Calculations!D37, 'Budget Dashboard'!$X:$X, 0))=0, "",
            INDEX('Budget Dashboard'!$K:$K, MATCH(income_header_row + Calculations!D37, 'Budget Dashboard'!$X:$X, 0))))</f>
        <v>300</v>
      </c>
      <c r="H37" s="17">
        <v>3</v>
      </c>
      <c r="I37" s="17" t="str">
        <f ca="1">IF(J37="", "", INDEX('Budget Dashboard'!$J:$J, MATCH(expenses_header_row + Calculations!H37, 'Budget Dashboard'!$X:$X, 0)))</f>
        <v>Utilities</v>
      </c>
      <c r="J37" s="18">
        <f ca="1">IF(H37&gt;COUNTA(Expenses[]), "",
       IF(INDEX('Budget Dashboard'!$K:$K, MATCH(expenses_header_row + Calculations!H37, 'Budget Dashboard'!$X:$X, 0))=0, "",
            INDEX('Budget Dashboard'!$K:$K, MATCH(expenses_header_row + Calculations!H37, 'Budget Dashboard'!$X:$X, 0))))</f>
        <v>900</v>
      </c>
      <c r="L37" s="17">
        <v>3</v>
      </c>
      <c r="M37" s="17" t="str">
        <f ca="1">IF(N37="", "", INDEX('Budget Dashboard'!$J:$J, MATCH(savings_header_row + Calculations!L37, 'Budget Dashboard'!$X:$X, 0)))</f>
        <v>Stock Portfolio</v>
      </c>
      <c r="N37" s="18">
        <f ca="1">IF(L37&gt;COUNTA(Savings[]), "",
       IF(INDEX('Budget Dashboard'!$K:$K, MATCH(savings_header_row + Calculations!L37, 'Budget Dashboard'!$X:$X, 0))=0, "",
            INDEX('Budget Dashboard'!$K:$K, MATCH(savings_header_row + Calculations!L37, 'Budget Dashboard'!$X:$X, 0))))</f>
        <v>750</v>
      </c>
    </row>
    <row r="38" spans="4:14">
      <c r="D38" s="17">
        <v>4</v>
      </c>
      <c r="E38" s="17" t="str">
        <f>IF(F38="", "", INDEX('Budget Dashboard'!$J:$J, MATCH(income_header_row + Calculations!D38, 'Budget Dashboard'!$X:$X, 0)))</f>
        <v/>
      </c>
      <c r="F38" s="18" t="str">
        <f>IF(D38&gt;COUNTA(Income[]), "",
       IF(INDEX('Budget Dashboard'!$K:$K, MATCH(income_header_row + Calculations!D38, 'Budget Dashboard'!$X:$X, 0))=0, "",
            INDEX('Budget Dashboard'!$K:$K, MATCH(income_header_row + Calculations!D38, 'Budget Dashboard'!$X:$X, 0))))</f>
        <v/>
      </c>
      <c r="H38" s="17">
        <v>4</v>
      </c>
      <c r="I38" s="17" t="str">
        <f ca="1">IF(J38="", "", INDEX('Budget Dashboard'!$J:$J, MATCH(expenses_header_row + Calculations!H38, 'Budget Dashboard'!$X:$X, 0)))</f>
        <v>Fun &amp; Vacation</v>
      </c>
      <c r="J38" s="18">
        <f ca="1">IF(H38&gt;COUNTA(Expenses[]), "",
       IF(INDEX('Budget Dashboard'!$K:$K, MATCH(expenses_header_row + Calculations!H38, 'Budget Dashboard'!$X:$X, 0))=0, "",
            INDEX('Budget Dashboard'!$K:$K, MATCH(expenses_header_row + Calculations!H38, 'Budget Dashboard'!$X:$X, 0))))</f>
        <v>730</v>
      </c>
      <c r="L38" s="17">
        <v>4</v>
      </c>
      <c r="M38" s="17" t="str">
        <f ca="1">IF(N38="", "", INDEX('Budget Dashboard'!$J:$J, MATCH(savings_header_row + Calculations!L38, 'Budget Dashboard'!$X:$X, 0)))</f>
        <v>Sinking Fund Rent</v>
      </c>
      <c r="N38" s="18">
        <f ca="1">IF(L38&gt;COUNTA(Savings[]), "",
       IF(INDEX('Budget Dashboard'!$K:$K, MATCH(savings_header_row + Calculations!L38, 'Budget Dashboard'!$X:$X, 0))=0, "",
            INDEX('Budget Dashboard'!$K:$K, MATCH(savings_header_row + Calculations!L38, 'Budget Dashboard'!$X:$X, 0))))</f>
        <v>400</v>
      </c>
    </row>
    <row r="39" spans="4:14">
      <c r="D39" s="17">
        <v>5</v>
      </c>
      <c r="E39" s="17" t="str">
        <f>IF(F39="", "", INDEX('Budget Dashboard'!$J:$J, MATCH(income_header_row + Calculations!D39, 'Budget Dashboard'!$X:$X, 0)))</f>
        <v/>
      </c>
      <c r="F39" s="18" t="str">
        <f>IF(D39&gt;COUNTA(Income[]), "",
       IF(INDEX('Budget Dashboard'!$K:$K, MATCH(income_header_row + Calculations!D39, 'Budget Dashboard'!$X:$X, 0))=0, "",
            INDEX('Budget Dashboard'!$K:$K, MATCH(income_header_row + Calculations!D39, 'Budget Dashboard'!$X:$X, 0))))</f>
        <v/>
      </c>
      <c r="H39" s="17">
        <v>5</v>
      </c>
      <c r="I39" s="17" t="str">
        <f ca="1">IF(J39="", "", INDEX('Budget Dashboard'!$J:$J, MATCH(expenses_header_row + Calculations!H39, 'Budget Dashboard'!$X:$X, 0)))</f>
        <v>Transportation</v>
      </c>
      <c r="J39" s="18">
        <f ca="1">IF(H39&gt;COUNTA(Expenses[]), "",
       IF(INDEX('Budget Dashboard'!$K:$K, MATCH(expenses_header_row + Calculations!H39, 'Budget Dashboard'!$X:$X, 0))=0, "",
            INDEX('Budget Dashboard'!$K:$K, MATCH(expenses_header_row + Calculations!H39, 'Budget Dashboard'!$X:$X, 0))))</f>
        <v>610</v>
      </c>
      <c r="L39" s="17">
        <v>5</v>
      </c>
      <c r="M39" s="17" t="str">
        <f ca="1">IF(N39="", "", INDEX('Budget Dashboard'!$J:$J, MATCH(savings_header_row + Calculations!L39, 'Budget Dashboard'!$X:$X, 0)))</f>
        <v/>
      </c>
      <c r="N39" s="18" t="str">
        <f ca="1">IF(L39&gt;COUNTA(Savings[]), "",
       IF(INDEX('Budget Dashboard'!$K:$K, MATCH(savings_header_row + Calculations!L39, 'Budget Dashboard'!$X:$X, 0))=0, "",
            INDEX('Budget Dashboard'!$K:$K, MATCH(savings_header_row + Calculations!L39, 'Budget Dashboard'!$X:$X, 0))))</f>
        <v/>
      </c>
    </row>
    <row r="40" spans="4:14">
      <c r="D40" s="19">
        <v>6</v>
      </c>
      <c r="E40" s="19" t="str">
        <f ca="1">IF(F40="", "", "Other")</f>
        <v/>
      </c>
      <c r="F40" s="20" t="str">
        <f ca="1">IF(F41-SUM(F35:F39)=0, "", F41-SUM(F35:F39))</f>
        <v/>
      </c>
      <c r="H40" s="19">
        <v>6</v>
      </c>
      <c r="I40" s="19" t="str">
        <f ca="1">IF(J40="", "", "Other")</f>
        <v>Other</v>
      </c>
      <c r="J40" s="20">
        <f ca="1">IF(J41-SUM(J35:J39)=0, "", J41-SUM(J35:J39))</f>
        <v>1150</v>
      </c>
      <c r="L40" s="19">
        <v>6</v>
      </c>
      <c r="M40" s="19" t="str">
        <f ca="1">IF(N40="", "", "Other")</f>
        <v/>
      </c>
      <c r="N40" s="20" t="str">
        <f ca="1">IF(N41-SUM(N35:N39)=0, "", N41-SUM(N35:N39))</f>
        <v/>
      </c>
    </row>
    <row r="41" spans="4:14">
      <c r="D41" s="17"/>
      <c r="E41" s="21" t="s">
        <v>17</v>
      </c>
      <c r="F41" s="22">
        <f ca="1">INDEX('Budget Dashboard'!$K:$K, MATCH(income_total_row, 'Budget Dashboard'!$X:$X, 0))</f>
        <v>13600</v>
      </c>
      <c r="H41" s="17"/>
      <c r="I41" s="21" t="s">
        <v>17</v>
      </c>
      <c r="J41" s="22">
        <f ca="1">INDEX('Budget Dashboard'!$K:$K, MATCH(expenses_total_row, 'Budget Dashboard'!$X:$X, 0))</f>
        <v>7890</v>
      </c>
      <c r="L41" s="17"/>
      <c r="M41" s="21" t="s">
        <v>17</v>
      </c>
      <c r="N41" s="22">
        <f ca="1">INDEX('Budget Dashboard'!$K:$K, MATCH(savings_total_row, 'Budget Dashboard'!$X:$X, 0))</f>
        <v>3090</v>
      </c>
    </row>
    <row r="47" spans="4:14">
      <c r="D47" s="79" t="s">
        <v>89</v>
      </c>
      <c r="E47" s="15"/>
      <c r="F47" s="15"/>
      <c r="G47" s="15"/>
      <c r="H47" s="15"/>
      <c r="I47" s="15"/>
      <c r="J47" s="15"/>
      <c r="K47" s="15"/>
      <c r="L47" s="15"/>
      <c r="M47" s="15"/>
      <c r="N47" s="15"/>
    </row>
    <row r="49" spans="4:18">
      <c r="D49" s="87" t="s">
        <v>103</v>
      </c>
      <c r="E49" s="88" t="b">
        <v>1</v>
      </c>
    </row>
    <row r="50" spans="4:18">
      <c r="D50" s="87" t="s">
        <v>104</v>
      </c>
      <c r="E50" s="88" t="b">
        <v>1</v>
      </c>
    </row>
    <row r="51" spans="4:18">
      <c r="D51" s="87" t="s">
        <v>105</v>
      </c>
      <c r="E51" s="88" t="b">
        <v>1</v>
      </c>
    </row>
    <row r="52" spans="4:18">
      <c r="D52" s="87" t="s">
        <v>106</v>
      </c>
      <c r="E52" s="88" t="b">
        <v>1</v>
      </c>
    </row>
    <row r="53" spans="4:18">
      <c r="M53" s="104" t="s">
        <v>98</v>
      </c>
      <c r="N53" s="104"/>
      <c r="O53" s="104"/>
      <c r="P53" s="105" t="s">
        <v>102</v>
      </c>
      <c r="Q53" s="105"/>
      <c r="R53" s="105"/>
    </row>
    <row r="54" spans="4:18" s="80" customFormat="1">
      <c r="D54" s="81" t="s">
        <v>90</v>
      </c>
      <c r="E54" s="81" t="s">
        <v>38</v>
      </c>
      <c r="F54" s="81" t="s">
        <v>91</v>
      </c>
      <c r="G54" s="81" t="s">
        <v>92</v>
      </c>
      <c r="H54" s="81" t="s">
        <v>93</v>
      </c>
      <c r="I54" s="81" t="s">
        <v>94</v>
      </c>
      <c r="J54" s="81" t="s">
        <v>95</v>
      </c>
      <c r="K54" s="81" t="s">
        <v>96</v>
      </c>
      <c r="L54" s="81" t="s">
        <v>97</v>
      </c>
      <c r="M54" s="81" t="s">
        <v>99</v>
      </c>
      <c r="N54" s="81" t="s">
        <v>100</v>
      </c>
      <c r="O54" s="81" t="s">
        <v>101</v>
      </c>
      <c r="P54" s="81" t="s">
        <v>99</v>
      </c>
      <c r="Q54" s="81" t="s">
        <v>100</v>
      </c>
      <c r="R54" s="81" t="s">
        <v>101</v>
      </c>
    </row>
    <row r="55" spans="4:18">
      <c r="D55" s="101">
        <f>DATE(selected_year, 1, 1)</f>
        <v>44562</v>
      </c>
      <c r="E55" s="83" t="s">
        <v>12</v>
      </c>
      <c r="F55" s="83">
        <f>MONTH(D55)</f>
        <v>1</v>
      </c>
      <c r="G55" s="84">
        <f>IF(selected_period="Total Year", 1, IF(selected_period=cc_month_number, 1, 0))</f>
        <v>1</v>
      </c>
      <c r="H55" s="83">
        <f>1*$E$49</f>
        <v>1</v>
      </c>
      <c r="I55" s="84">
        <f>1*$E$52</f>
        <v>1</v>
      </c>
      <c r="J55" s="86">
        <f>SUMPRODUCT(Tracking[Amount]*(Tracking[Type]=cc_type)*(YEAR(Tracking[Effective Date])=selected_year)*(MONTH(Tracking[Effective Date])=cc_month_number))</f>
        <v>4850</v>
      </c>
      <c r="K55" s="86">
        <f ca="1">INDEX('Budget Planning'!$E:$EM, income_total_row, MATCH(DATE(selected_year, cc_month_number, 1), 'Budget Planning'!$E$9:$EM$9,0) )</f>
        <v>4650</v>
      </c>
      <c r="L55" s="86">
        <f ca="1">cc_budget-cc_tracked</f>
        <v>-200</v>
      </c>
      <c r="M55" s="86">
        <f ca="1">cc_in_focus * cc_show_type * MIN(cc_tracked, cc_budget)</f>
        <v>4650</v>
      </c>
      <c r="N55" s="86">
        <f ca="1">cc_in_focus * cc_show_type * cc_show_remaining_budget * IF(cc_delta&gt;0, cc_delta,0)</f>
        <v>0</v>
      </c>
      <c r="O55" s="86">
        <f ca="1">cc_in_focus * cc_show_type * IF(cc_delta&lt;0, ABS(cc_delta), 0)</f>
        <v>200</v>
      </c>
      <c r="P55" s="86">
        <f ca="1">NOT(cc_in_focus) * cc_show_type * MIN(cc_tracked, cc_budget)</f>
        <v>0</v>
      </c>
      <c r="Q55" s="86">
        <f ca="1">NOT(cc_in_focus) * cc_show_type * cc_show_remaining_budget * IF(cc_delta&gt;0, cc_delta,0)</f>
        <v>0</v>
      </c>
      <c r="R55" s="86">
        <f ca="1">NOT(cc_in_focus) * cc_show_type * IF(cc_delta&lt;0, ABS(cc_delta), 0)</f>
        <v>0</v>
      </c>
    </row>
    <row r="56" spans="4:18">
      <c r="D56" s="101"/>
      <c r="E56" s="83" t="s">
        <v>18</v>
      </c>
      <c r="F56" s="83">
        <f>MONTH(D55)</f>
        <v>1</v>
      </c>
      <c r="G56" s="84">
        <f>IF(selected_period="Total Year", 1, IF(selected_period=cc_month_number, 1, 0))</f>
        <v>1</v>
      </c>
      <c r="H56" s="84">
        <f>1*$E$50</f>
        <v>1</v>
      </c>
      <c r="I56" s="84">
        <f t="shared" ref="I56:I57" si="0">1*$E$52</f>
        <v>1</v>
      </c>
      <c r="J56" s="86">
        <f>SUMPRODUCT(Tracking[Amount]*(Tracking[Type]=cc_type)*(YEAR(Tracking[Effective Date])=selected_year)*(MONTH(Tracking[Effective Date])=cc_month_number))</f>
        <v>2800</v>
      </c>
      <c r="K56" s="86">
        <f ca="1">INDEX('Budget Planning'!$E:$EM, expenses_total_row, MATCH(DATE(selected_year, cc_month_number, 1), 'Budget Planning'!$E$9:$EM$9,0) )</f>
        <v>2900</v>
      </c>
      <c r="L56" s="86">
        <f ca="1">cc_budget-cc_tracked</f>
        <v>100</v>
      </c>
      <c r="M56" s="86">
        <f ca="1">cc_in_focus * cc_show_type * MIN(cc_tracked, cc_budget)</f>
        <v>2800</v>
      </c>
      <c r="N56" s="86">
        <f ca="1">cc_in_focus * cc_show_type * cc_show_remaining_budget * IF(cc_delta&gt;0, cc_delta,0)</f>
        <v>100</v>
      </c>
      <c r="O56" s="86">
        <f ca="1">cc_in_focus * cc_show_type * IF(cc_delta&lt;0, ABS(cc_delta), 0)</f>
        <v>0</v>
      </c>
      <c r="P56" s="86">
        <f ca="1">NOT(cc_in_focus) * cc_show_type * MIN(cc_tracked, cc_budget)</f>
        <v>0</v>
      </c>
      <c r="Q56" s="86">
        <f ca="1">NOT(cc_in_focus) * cc_show_type * cc_show_remaining_budget * IF(cc_delta&gt;0, cc_delta,0)</f>
        <v>0</v>
      </c>
      <c r="R56" s="86">
        <f ca="1">NOT(cc_in_focus) * cc_show_type * IF(cc_delta&lt;0, ABS(cc_delta), 0)</f>
        <v>0</v>
      </c>
    </row>
    <row r="57" spans="4:18">
      <c r="D57" s="101"/>
      <c r="E57" s="83" t="s">
        <v>29</v>
      </c>
      <c r="F57" s="83">
        <f>MONTH(D55)</f>
        <v>1</v>
      </c>
      <c r="G57" s="84">
        <f>IF(selected_period="Total Year", 1, IF(selected_period=cc_month_number, 1, 0))</f>
        <v>1</v>
      </c>
      <c r="H57" s="84">
        <f>1*$E$51</f>
        <v>1</v>
      </c>
      <c r="I57" s="84">
        <f t="shared" si="0"/>
        <v>1</v>
      </c>
      <c r="J57" s="86">
        <f>SUMPRODUCT(Tracking[Amount]*(Tracking[Type]=cc_type)*(YEAR(Tracking[Effective Date])=selected_year)*(MONTH(Tracking[Effective Date])=cc_month_number))</f>
        <v>2050</v>
      </c>
      <c r="K57" s="86">
        <f ca="1">INDEX('Budget Planning'!$E:$EM, savings_total_row, MATCH(DATE(selected_year, cc_month_number, 1), 'Budget Planning'!$E$9:$EM$9,0) )</f>
        <v>1750</v>
      </c>
      <c r="L57" s="86">
        <f ca="1">cc_budget-cc_tracked</f>
        <v>-300</v>
      </c>
      <c r="M57" s="86">
        <f ca="1">cc_in_focus * cc_show_type * MIN(cc_tracked, cc_budget)</f>
        <v>1750</v>
      </c>
      <c r="N57" s="86">
        <f ca="1">cc_in_focus * cc_show_type * cc_show_remaining_budget * IF(cc_delta&gt;0, cc_delta,0)</f>
        <v>0</v>
      </c>
      <c r="O57" s="86">
        <f ca="1">cc_in_focus * cc_show_type * IF(cc_delta&lt;0, ABS(cc_delta), 0)</f>
        <v>300</v>
      </c>
      <c r="P57" s="86">
        <f ca="1">NOT(cc_in_focus) * cc_show_type * MIN(cc_tracked, cc_budget)</f>
        <v>0</v>
      </c>
      <c r="Q57" s="86">
        <f ca="1">NOT(cc_in_focus) * cc_show_type * cc_show_remaining_budget * IF(cc_delta&gt;0, cc_delta,0)</f>
        <v>0</v>
      </c>
      <c r="R57" s="86">
        <f ca="1">NOT(cc_in_focus) * cc_show_type * IF(cc_delta&lt;0, ABS(cc_delta), 0)</f>
        <v>0</v>
      </c>
    </row>
    <row r="58" spans="4:18">
      <c r="D58" s="102"/>
      <c r="E58" s="85"/>
      <c r="F58" s="85"/>
      <c r="G58" s="85"/>
      <c r="H58" s="85"/>
      <c r="I58" s="85"/>
      <c r="J58" s="89"/>
      <c r="K58" s="89"/>
      <c r="L58" s="89"/>
      <c r="M58" s="85"/>
      <c r="N58" s="85"/>
      <c r="O58" s="85"/>
      <c r="P58" s="85"/>
      <c r="Q58" s="85"/>
      <c r="R58" s="85"/>
    </row>
    <row r="59" spans="4:18">
      <c r="D59" s="100">
        <f>DATE(selected_year, 2, 1)</f>
        <v>44593</v>
      </c>
      <c r="E59" s="82" t="s">
        <v>12</v>
      </c>
      <c r="F59" s="83">
        <f t="shared" ref="F59" si="1">MONTH(D59)</f>
        <v>2</v>
      </c>
      <c r="G59" s="84">
        <f>IF(selected_period="Total Year", 1, IF(selected_period=cc_month_number, 1, 0))</f>
        <v>1</v>
      </c>
      <c r="H59" s="83">
        <f t="shared" ref="H59" si="2">1*$E$49</f>
        <v>1</v>
      </c>
      <c r="I59" s="84">
        <f t="shared" ref="I59:I101" si="3">1*$E$52</f>
        <v>1</v>
      </c>
      <c r="J59" s="86">
        <f>SUMPRODUCT(Tracking[Amount]*(Tracking[Type]=cc_type)*(YEAR(Tracking[Effective Date])=selected_year)*(MONTH(Tracking[Effective Date])=cc_month_number))</f>
        <v>4050</v>
      </c>
      <c r="K59" s="86">
        <f ca="1">INDEX('Budget Planning'!$E:$EM, income_total_row, MATCH(DATE(selected_year, cc_month_number, 1), 'Budget Planning'!$E$9:$EM$9,0) )</f>
        <v>4550</v>
      </c>
      <c r="L59" s="86">
        <f ca="1">cc_budget-cc_tracked</f>
        <v>500</v>
      </c>
      <c r="M59" s="86">
        <f ca="1">cc_in_focus * cc_show_type * MIN(cc_tracked, cc_budget)</f>
        <v>4050</v>
      </c>
      <c r="N59" s="86">
        <f ca="1">cc_in_focus * cc_show_type * cc_show_remaining_budget * IF(cc_delta&gt;0, cc_delta,0)</f>
        <v>500</v>
      </c>
      <c r="O59" s="86">
        <f ca="1">cc_in_focus * cc_show_type * IF(cc_delta&lt;0, ABS(cc_delta), 0)</f>
        <v>0</v>
      </c>
      <c r="P59" s="86">
        <f ca="1">NOT(cc_in_focus) * cc_show_type * MIN(cc_tracked, cc_budget)</f>
        <v>0</v>
      </c>
      <c r="Q59" s="86">
        <f ca="1">NOT(cc_in_focus) * cc_show_type * cc_show_remaining_budget * IF(cc_delta&gt;0, cc_delta,0)</f>
        <v>0</v>
      </c>
      <c r="R59" s="86">
        <f ca="1">NOT(cc_in_focus) * cc_show_type * IF(cc_delta&lt;0, ABS(cc_delta), 0)</f>
        <v>0</v>
      </c>
    </row>
    <row r="60" spans="4:18">
      <c r="D60" s="101"/>
      <c r="E60" s="83" t="s">
        <v>18</v>
      </c>
      <c r="F60" s="83">
        <f t="shared" ref="F60" si="4">MONTH(D59)</f>
        <v>2</v>
      </c>
      <c r="G60" s="84">
        <f>IF(selected_period="Total Year", 1, IF(selected_period=cc_month_number, 1, 0))</f>
        <v>1</v>
      </c>
      <c r="H60" s="84">
        <f t="shared" ref="H60" si="5">1*$E$50</f>
        <v>1</v>
      </c>
      <c r="I60" s="84">
        <f t="shared" si="3"/>
        <v>1</v>
      </c>
      <c r="J60" s="86">
        <f>SUMPRODUCT(Tracking[Amount]*(Tracking[Type]=cc_type)*(YEAR(Tracking[Effective Date])=selected_year)*(MONTH(Tracking[Effective Date])=cc_month_number))</f>
        <v>3010</v>
      </c>
      <c r="K60" s="86">
        <f ca="1">INDEX('Budget Planning'!$E:$EM, expenses_total_row, MATCH(DATE(selected_year, cc_month_number, 1), 'Budget Planning'!$E$9:$EM$9,0) )</f>
        <v>2900</v>
      </c>
      <c r="L60" s="86">
        <f ca="1">cc_budget-cc_tracked</f>
        <v>-110</v>
      </c>
      <c r="M60" s="86">
        <f ca="1">cc_in_focus * cc_show_type * MIN(cc_tracked, cc_budget)</f>
        <v>2900</v>
      </c>
      <c r="N60" s="86">
        <f ca="1">cc_in_focus * cc_show_type * cc_show_remaining_budget * IF(cc_delta&gt;0, cc_delta,0)</f>
        <v>0</v>
      </c>
      <c r="O60" s="86">
        <f ca="1">cc_in_focus * cc_show_type * IF(cc_delta&lt;0, ABS(cc_delta), 0)</f>
        <v>110</v>
      </c>
      <c r="P60" s="86">
        <f ca="1">NOT(cc_in_focus) * cc_show_type * MIN(cc_tracked, cc_budget)</f>
        <v>0</v>
      </c>
      <c r="Q60" s="86">
        <f ca="1">NOT(cc_in_focus) * cc_show_type * cc_show_remaining_budget * IF(cc_delta&gt;0, cc_delta,0)</f>
        <v>0</v>
      </c>
      <c r="R60" s="86">
        <f ca="1">NOT(cc_in_focus) * cc_show_type * IF(cc_delta&lt;0, ABS(cc_delta), 0)</f>
        <v>0</v>
      </c>
    </row>
    <row r="61" spans="4:18">
      <c r="D61" s="101"/>
      <c r="E61" s="83" t="s">
        <v>29</v>
      </c>
      <c r="F61" s="83">
        <f t="shared" ref="F61" si="6">MONTH(D59)</f>
        <v>2</v>
      </c>
      <c r="G61" s="84">
        <f>IF(selected_period="Total Year", 1, IF(selected_period=cc_month_number, 1, 0))</f>
        <v>1</v>
      </c>
      <c r="H61" s="84">
        <f t="shared" ref="H61" si="7">1*$E$51</f>
        <v>1</v>
      </c>
      <c r="I61" s="84">
        <f t="shared" si="3"/>
        <v>1</v>
      </c>
      <c r="J61" s="86">
        <f>SUMPRODUCT(Tracking[Amount]*(Tracking[Type]=cc_type)*(YEAR(Tracking[Effective Date])=selected_year)*(MONTH(Tracking[Effective Date])=cc_month_number))</f>
        <v>1040</v>
      </c>
      <c r="K61" s="86">
        <f ca="1">INDEX('Budget Planning'!$E:$EM, savings_total_row, MATCH(DATE(selected_year, cc_month_number, 1), 'Budget Planning'!$E$9:$EM$9,0) )</f>
        <v>1650</v>
      </c>
      <c r="L61" s="86">
        <f ca="1">cc_budget-cc_tracked</f>
        <v>610</v>
      </c>
      <c r="M61" s="86">
        <f ca="1">cc_in_focus * cc_show_type * MIN(cc_tracked, cc_budget)</f>
        <v>1040</v>
      </c>
      <c r="N61" s="86">
        <f ca="1">cc_in_focus * cc_show_type * cc_show_remaining_budget * IF(cc_delta&gt;0, cc_delta,0)</f>
        <v>610</v>
      </c>
      <c r="O61" s="86">
        <f ca="1">cc_in_focus * cc_show_type * IF(cc_delta&lt;0, ABS(cc_delta), 0)</f>
        <v>0</v>
      </c>
      <c r="P61" s="86">
        <f ca="1">NOT(cc_in_focus) * cc_show_type * MIN(cc_tracked, cc_budget)</f>
        <v>0</v>
      </c>
      <c r="Q61" s="86">
        <f ca="1">NOT(cc_in_focus) * cc_show_type * cc_show_remaining_budget * IF(cc_delta&gt;0, cc_delta,0)</f>
        <v>0</v>
      </c>
      <c r="R61" s="86">
        <f ca="1">NOT(cc_in_focus) * cc_show_type * IF(cc_delta&lt;0, ABS(cc_delta), 0)</f>
        <v>0</v>
      </c>
    </row>
    <row r="62" spans="4:18">
      <c r="D62" s="102"/>
      <c r="E62" s="85"/>
      <c r="F62" s="85"/>
      <c r="G62" s="85"/>
      <c r="H62" s="85"/>
      <c r="I62" s="85"/>
      <c r="J62" s="89"/>
      <c r="K62" s="89"/>
      <c r="L62" s="89"/>
      <c r="M62" s="85"/>
      <c r="N62" s="85"/>
      <c r="O62" s="85"/>
      <c r="P62" s="85"/>
      <c r="Q62" s="85"/>
      <c r="R62" s="85"/>
    </row>
    <row r="63" spans="4:18">
      <c r="D63" s="100">
        <f>DATE(selected_year, 3, 1)</f>
        <v>44621</v>
      </c>
      <c r="E63" s="82" t="s">
        <v>12</v>
      </c>
      <c r="F63" s="83">
        <f t="shared" ref="F63" si="8">MONTH(D63)</f>
        <v>3</v>
      </c>
      <c r="G63" s="84">
        <f>IF(selected_period="Total Year", 1, IF(selected_period=cc_month_number, 1, 0))</f>
        <v>1</v>
      </c>
      <c r="H63" s="83">
        <f t="shared" ref="H63" si="9">1*$E$49</f>
        <v>1</v>
      </c>
      <c r="I63" s="84">
        <f t="shared" ref="I63" si="10">1*$E$52</f>
        <v>1</v>
      </c>
      <c r="J63" s="86">
        <f>SUMPRODUCT(Tracking[Amount]*(Tracking[Type]=cc_type)*(YEAR(Tracking[Effective Date])=selected_year)*(MONTH(Tracking[Effective Date])=cc_month_number))</f>
        <v>4700</v>
      </c>
      <c r="K63" s="86">
        <f ca="1">INDEX('Budget Planning'!$E:$EM, income_total_row, MATCH(DATE(selected_year, cc_month_number, 1), 'Budget Planning'!$E$9:$EM$9,0) )</f>
        <v>4600</v>
      </c>
      <c r="L63" s="86">
        <f ca="1">cc_budget-cc_tracked</f>
        <v>-100</v>
      </c>
      <c r="M63" s="86">
        <f ca="1">cc_in_focus * cc_show_type * MIN(cc_tracked, cc_budget)</f>
        <v>4600</v>
      </c>
      <c r="N63" s="86">
        <f ca="1">cc_in_focus * cc_show_type * cc_show_remaining_budget * IF(cc_delta&gt;0, cc_delta,0)</f>
        <v>0</v>
      </c>
      <c r="O63" s="86">
        <f ca="1">cc_in_focus * cc_show_type * IF(cc_delta&lt;0, ABS(cc_delta), 0)</f>
        <v>100</v>
      </c>
      <c r="P63" s="86">
        <f ca="1">NOT(cc_in_focus) * cc_show_type * MIN(cc_tracked, cc_budget)</f>
        <v>0</v>
      </c>
      <c r="Q63" s="86">
        <f ca="1">NOT(cc_in_focus) * cc_show_type * cc_show_remaining_budget * IF(cc_delta&gt;0, cc_delta,0)</f>
        <v>0</v>
      </c>
      <c r="R63" s="86">
        <f ca="1">NOT(cc_in_focus) * cc_show_type * IF(cc_delta&lt;0, ABS(cc_delta), 0)</f>
        <v>0</v>
      </c>
    </row>
    <row r="64" spans="4:18">
      <c r="D64" s="101"/>
      <c r="E64" s="83" t="s">
        <v>18</v>
      </c>
      <c r="F64" s="83">
        <f t="shared" ref="F64" si="11">MONTH(D63)</f>
        <v>3</v>
      </c>
      <c r="G64" s="84">
        <f>IF(selected_period="Total Year", 1, IF(selected_period=cc_month_number, 1, 0))</f>
        <v>1</v>
      </c>
      <c r="H64" s="84">
        <f t="shared" ref="H64" si="12">1*$E$50</f>
        <v>1</v>
      </c>
      <c r="I64" s="84">
        <f t="shared" si="3"/>
        <v>1</v>
      </c>
      <c r="J64" s="86">
        <f>SUMPRODUCT(Tracking[Amount]*(Tracking[Type]=cc_type)*(YEAR(Tracking[Effective Date])=selected_year)*(MONTH(Tracking[Effective Date])=cc_month_number))</f>
        <v>2080</v>
      </c>
      <c r="K64" s="86">
        <f ca="1">INDEX('Budget Planning'!$E:$EM, expenses_total_row, MATCH(DATE(selected_year, cc_month_number, 1), 'Budget Planning'!$E$9:$EM$9,0) )</f>
        <v>3050</v>
      </c>
      <c r="L64" s="86">
        <f ca="1">cc_budget-cc_tracked</f>
        <v>970</v>
      </c>
      <c r="M64" s="86">
        <f ca="1">cc_in_focus * cc_show_type * MIN(cc_tracked, cc_budget)</f>
        <v>2080</v>
      </c>
      <c r="N64" s="86">
        <f ca="1">cc_in_focus * cc_show_type * cc_show_remaining_budget * IF(cc_delta&gt;0, cc_delta,0)</f>
        <v>970</v>
      </c>
      <c r="O64" s="86">
        <f ca="1">cc_in_focus * cc_show_type * IF(cc_delta&lt;0, ABS(cc_delta), 0)</f>
        <v>0</v>
      </c>
      <c r="P64" s="86">
        <f ca="1">NOT(cc_in_focus) * cc_show_type * MIN(cc_tracked, cc_budget)</f>
        <v>0</v>
      </c>
      <c r="Q64" s="86">
        <f ca="1">NOT(cc_in_focus) * cc_show_type * cc_show_remaining_budget * IF(cc_delta&gt;0, cc_delta,0)</f>
        <v>0</v>
      </c>
      <c r="R64" s="86">
        <f ca="1">NOT(cc_in_focus) * cc_show_type * IF(cc_delta&lt;0, ABS(cc_delta), 0)</f>
        <v>0</v>
      </c>
    </row>
    <row r="65" spans="4:18">
      <c r="D65" s="101"/>
      <c r="E65" s="83" t="s">
        <v>29</v>
      </c>
      <c r="F65" s="83">
        <f t="shared" ref="F65" si="13">MONTH(D63)</f>
        <v>3</v>
      </c>
      <c r="G65" s="84">
        <f>IF(selected_period="Total Year", 1, IF(selected_period=cc_month_number, 1, 0))</f>
        <v>1</v>
      </c>
      <c r="H65" s="84">
        <f t="shared" ref="H65" si="14">1*$E$51</f>
        <v>1</v>
      </c>
      <c r="I65" s="84">
        <f t="shared" si="3"/>
        <v>1</v>
      </c>
      <c r="J65" s="86">
        <f>SUMPRODUCT(Tracking[Amount]*(Tracking[Type]=cc_type)*(YEAR(Tracking[Effective Date])=selected_year)*(MONTH(Tracking[Effective Date])=cc_month_number))</f>
        <v>0</v>
      </c>
      <c r="K65" s="86">
        <f ca="1">INDEX('Budget Planning'!$E:$EM, savings_total_row, MATCH(DATE(selected_year, cc_month_number, 1), 'Budget Planning'!$E$9:$EM$9,0) )</f>
        <v>1550</v>
      </c>
      <c r="L65" s="86">
        <f ca="1">cc_budget-cc_tracked</f>
        <v>1550</v>
      </c>
      <c r="M65" s="86">
        <f ca="1">cc_in_focus * cc_show_type * MIN(cc_tracked, cc_budget)</f>
        <v>0</v>
      </c>
      <c r="N65" s="86">
        <f ca="1">cc_in_focus * cc_show_type * cc_show_remaining_budget * IF(cc_delta&gt;0, cc_delta,0)</f>
        <v>1550</v>
      </c>
      <c r="O65" s="86">
        <f ca="1">cc_in_focus * cc_show_type * IF(cc_delta&lt;0, ABS(cc_delta), 0)</f>
        <v>0</v>
      </c>
      <c r="P65" s="86">
        <f ca="1">NOT(cc_in_focus) * cc_show_type * MIN(cc_tracked, cc_budget)</f>
        <v>0</v>
      </c>
      <c r="Q65" s="86">
        <f ca="1">NOT(cc_in_focus) * cc_show_type * cc_show_remaining_budget * IF(cc_delta&gt;0, cc_delta,0)</f>
        <v>0</v>
      </c>
      <c r="R65" s="86">
        <f ca="1">NOT(cc_in_focus) * cc_show_type * IF(cc_delta&lt;0, ABS(cc_delta), 0)</f>
        <v>0</v>
      </c>
    </row>
    <row r="66" spans="4:18">
      <c r="D66" s="102"/>
      <c r="E66" s="85"/>
      <c r="F66" s="85"/>
      <c r="G66" s="85"/>
      <c r="H66" s="85"/>
      <c r="I66" s="85"/>
      <c r="J66" s="89"/>
      <c r="K66" s="89"/>
      <c r="L66" s="89"/>
      <c r="M66" s="85"/>
      <c r="N66" s="85"/>
      <c r="O66" s="85"/>
      <c r="P66" s="85"/>
      <c r="Q66" s="85"/>
      <c r="R66" s="85"/>
    </row>
    <row r="67" spans="4:18">
      <c r="D67" s="100">
        <f>DATE(selected_year, 4, 1)</f>
        <v>44652</v>
      </c>
      <c r="E67" s="82" t="s">
        <v>12</v>
      </c>
      <c r="F67" s="83">
        <f t="shared" ref="F67" si="15">MONTH(D67)</f>
        <v>4</v>
      </c>
      <c r="G67" s="84">
        <f>IF(selected_period="Total Year", 1, IF(selected_period=cc_month_number, 1, 0))</f>
        <v>1</v>
      </c>
      <c r="H67" s="83">
        <f t="shared" ref="H67" si="16">1*$E$49</f>
        <v>1</v>
      </c>
      <c r="I67" s="84">
        <f t="shared" ref="I67" si="17">1*$E$52</f>
        <v>1</v>
      </c>
      <c r="J67" s="86">
        <f>SUMPRODUCT(Tracking[Amount]*(Tracking[Type]=cc_type)*(YEAR(Tracking[Effective Date])=selected_year)*(MONTH(Tracking[Effective Date])=cc_month_number))</f>
        <v>0</v>
      </c>
      <c r="K67" s="86">
        <f ca="1">INDEX('Budget Planning'!$E:$EM, income_total_row, MATCH(DATE(selected_year, cc_month_number, 1), 'Budget Planning'!$E$9:$EM$9,0) )</f>
        <v>5650</v>
      </c>
      <c r="L67" s="86">
        <f ca="1">cc_budget-cc_tracked</f>
        <v>5650</v>
      </c>
      <c r="M67" s="86">
        <f ca="1">cc_in_focus * cc_show_type * MIN(cc_tracked, cc_budget)</f>
        <v>0</v>
      </c>
      <c r="N67" s="86">
        <f ca="1">cc_in_focus * cc_show_type * cc_show_remaining_budget * IF(cc_delta&gt;0, cc_delta,0)</f>
        <v>5650</v>
      </c>
      <c r="O67" s="86">
        <f ca="1">cc_in_focus * cc_show_type * IF(cc_delta&lt;0, ABS(cc_delta), 0)</f>
        <v>0</v>
      </c>
      <c r="P67" s="86">
        <f ca="1">NOT(cc_in_focus) * cc_show_type * MIN(cc_tracked, cc_budget)</f>
        <v>0</v>
      </c>
      <c r="Q67" s="86">
        <f ca="1">NOT(cc_in_focus) * cc_show_type * cc_show_remaining_budget * IF(cc_delta&gt;0, cc_delta,0)</f>
        <v>0</v>
      </c>
      <c r="R67" s="86">
        <f ca="1">NOT(cc_in_focus) * cc_show_type * IF(cc_delta&lt;0, ABS(cc_delta), 0)</f>
        <v>0</v>
      </c>
    </row>
    <row r="68" spans="4:18">
      <c r="D68" s="101"/>
      <c r="E68" s="83" t="s">
        <v>18</v>
      </c>
      <c r="F68" s="83">
        <f t="shared" ref="F68" si="18">MONTH(D67)</f>
        <v>4</v>
      </c>
      <c r="G68" s="84">
        <f>IF(selected_period="Total Year", 1, IF(selected_period=cc_month_number, 1, 0))</f>
        <v>1</v>
      </c>
      <c r="H68" s="84">
        <f t="shared" ref="H68" si="19">1*$E$50</f>
        <v>1</v>
      </c>
      <c r="I68" s="84">
        <f t="shared" si="3"/>
        <v>1</v>
      </c>
      <c r="J68" s="86">
        <f>SUMPRODUCT(Tracking[Amount]*(Tracking[Type]=cc_type)*(YEAR(Tracking[Effective Date])=selected_year)*(MONTH(Tracking[Effective Date])=cc_month_number))</f>
        <v>0</v>
      </c>
      <c r="K68" s="86">
        <f ca="1">INDEX('Budget Planning'!$E:$EM, expenses_total_row, MATCH(DATE(selected_year, cc_month_number, 1), 'Budget Planning'!$E$9:$EM$9,0) )</f>
        <v>3800</v>
      </c>
      <c r="L68" s="86">
        <f ca="1">cc_budget-cc_tracked</f>
        <v>3800</v>
      </c>
      <c r="M68" s="86">
        <f ca="1">cc_in_focus * cc_show_type * MIN(cc_tracked, cc_budget)</f>
        <v>0</v>
      </c>
      <c r="N68" s="86">
        <f ca="1">cc_in_focus * cc_show_type * cc_show_remaining_budget * IF(cc_delta&gt;0, cc_delta,0)</f>
        <v>3800</v>
      </c>
      <c r="O68" s="86">
        <f ca="1">cc_in_focus * cc_show_type * IF(cc_delta&lt;0, ABS(cc_delta), 0)</f>
        <v>0</v>
      </c>
      <c r="P68" s="86">
        <f ca="1">NOT(cc_in_focus) * cc_show_type * MIN(cc_tracked, cc_budget)</f>
        <v>0</v>
      </c>
      <c r="Q68" s="86">
        <f ca="1">NOT(cc_in_focus) * cc_show_type * cc_show_remaining_budget * IF(cc_delta&gt;0, cc_delta,0)</f>
        <v>0</v>
      </c>
      <c r="R68" s="86">
        <f ca="1">NOT(cc_in_focus) * cc_show_type * IF(cc_delta&lt;0, ABS(cc_delta), 0)</f>
        <v>0</v>
      </c>
    </row>
    <row r="69" spans="4:18">
      <c r="D69" s="101"/>
      <c r="E69" s="83" t="s">
        <v>29</v>
      </c>
      <c r="F69" s="83">
        <f t="shared" ref="F69" si="20">MONTH(D67)</f>
        <v>4</v>
      </c>
      <c r="G69" s="84">
        <f>IF(selected_period="Total Year", 1, IF(selected_period=cc_month_number, 1, 0))</f>
        <v>1</v>
      </c>
      <c r="H69" s="84">
        <f t="shared" ref="H69" si="21">1*$E$51</f>
        <v>1</v>
      </c>
      <c r="I69" s="84">
        <f t="shared" si="3"/>
        <v>1</v>
      </c>
      <c r="J69" s="86">
        <f>SUMPRODUCT(Tracking[Amount]*(Tracking[Type]=cc_type)*(YEAR(Tracking[Effective Date])=selected_year)*(MONTH(Tracking[Effective Date])=cc_month_number))</f>
        <v>0</v>
      </c>
      <c r="K69" s="86">
        <f ca="1">INDEX('Budget Planning'!$E:$EM, savings_total_row, MATCH(DATE(selected_year, cc_month_number, 1), 'Budget Planning'!$E$9:$EM$9,0) )</f>
        <v>1850</v>
      </c>
      <c r="L69" s="86">
        <f ca="1">cc_budget-cc_tracked</f>
        <v>1850</v>
      </c>
      <c r="M69" s="86">
        <f ca="1">cc_in_focus * cc_show_type * MIN(cc_tracked, cc_budget)</f>
        <v>0</v>
      </c>
      <c r="N69" s="86">
        <f ca="1">cc_in_focus * cc_show_type * cc_show_remaining_budget * IF(cc_delta&gt;0, cc_delta,0)</f>
        <v>1850</v>
      </c>
      <c r="O69" s="86">
        <f ca="1">cc_in_focus * cc_show_type * IF(cc_delta&lt;0, ABS(cc_delta), 0)</f>
        <v>0</v>
      </c>
      <c r="P69" s="86">
        <f ca="1">NOT(cc_in_focus) * cc_show_type * MIN(cc_tracked, cc_budget)</f>
        <v>0</v>
      </c>
      <c r="Q69" s="86">
        <f ca="1">NOT(cc_in_focus) * cc_show_type * cc_show_remaining_budget * IF(cc_delta&gt;0, cc_delta,0)</f>
        <v>0</v>
      </c>
      <c r="R69" s="86">
        <f ca="1">NOT(cc_in_focus) * cc_show_type * IF(cc_delta&lt;0, ABS(cc_delta), 0)</f>
        <v>0</v>
      </c>
    </row>
    <row r="70" spans="4:18">
      <c r="D70" s="102"/>
      <c r="E70" s="85"/>
      <c r="F70" s="85"/>
      <c r="G70" s="85"/>
      <c r="H70" s="85"/>
      <c r="I70" s="85"/>
      <c r="J70" s="89"/>
      <c r="K70" s="89"/>
      <c r="L70" s="89"/>
      <c r="M70" s="85"/>
      <c r="N70" s="85"/>
      <c r="O70" s="85"/>
      <c r="P70" s="85"/>
      <c r="Q70" s="85"/>
      <c r="R70" s="85"/>
    </row>
    <row r="71" spans="4:18">
      <c r="D71" s="100">
        <f>DATE(selected_year, 5, 1)</f>
        <v>44682</v>
      </c>
      <c r="E71" s="82" t="s">
        <v>12</v>
      </c>
      <c r="F71" s="83">
        <f t="shared" ref="F71" si="22">MONTH(D71)</f>
        <v>5</v>
      </c>
      <c r="G71" s="84">
        <f>IF(selected_period="Total Year", 1, IF(selected_period=cc_month_number, 1, 0))</f>
        <v>1</v>
      </c>
      <c r="H71" s="83">
        <f t="shared" ref="H71" si="23">1*$E$49</f>
        <v>1</v>
      </c>
      <c r="I71" s="84">
        <f t="shared" ref="I71" si="24">1*$E$52</f>
        <v>1</v>
      </c>
      <c r="J71" s="86">
        <f>SUMPRODUCT(Tracking[Amount]*(Tracking[Type]=cc_type)*(YEAR(Tracking[Effective Date])=selected_year)*(MONTH(Tracking[Effective Date])=cc_month_number))</f>
        <v>0</v>
      </c>
      <c r="K71" s="86">
        <f ca="1">INDEX('Budget Planning'!$E:$EM, income_total_row, MATCH(DATE(selected_year, cc_month_number, 1), 'Budget Planning'!$E$9:$EM$9,0) )</f>
        <v>5550</v>
      </c>
      <c r="L71" s="86">
        <f ca="1">cc_budget-cc_tracked</f>
        <v>5550</v>
      </c>
      <c r="M71" s="86">
        <f ca="1">cc_in_focus * cc_show_type * MIN(cc_tracked, cc_budget)</f>
        <v>0</v>
      </c>
      <c r="N71" s="86">
        <f ca="1">cc_in_focus * cc_show_type * cc_show_remaining_budget * IF(cc_delta&gt;0, cc_delta,0)</f>
        <v>5550</v>
      </c>
      <c r="O71" s="86">
        <f ca="1">cc_in_focus * cc_show_type * IF(cc_delta&lt;0, ABS(cc_delta), 0)</f>
        <v>0</v>
      </c>
      <c r="P71" s="86">
        <f ca="1">NOT(cc_in_focus) * cc_show_type * MIN(cc_tracked, cc_budget)</f>
        <v>0</v>
      </c>
      <c r="Q71" s="86">
        <f ca="1">NOT(cc_in_focus) * cc_show_type * cc_show_remaining_budget * IF(cc_delta&gt;0, cc_delta,0)</f>
        <v>0</v>
      </c>
      <c r="R71" s="86">
        <f ca="1">NOT(cc_in_focus) * cc_show_type * IF(cc_delta&lt;0, ABS(cc_delta), 0)</f>
        <v>0</v>
      </c>
    </row>
    <row r="72" spans="4:18">
      <c r="D72" s="101"/>
      <c r="E72" s="83" t="s">
        <v>18</v>
      </c>
      <c r="F72" s="83">
        <f t="shared" ref="F72" si="25">MONTH(D71)</f>
        <v>5</v>
      </c>
      <c r="G72" s="84">
        <f>IF(selected_period="Total Year", 1, IF(selected_period=cc_month_number, 1, 0))</f>
        <v>1</v>
      </c>
      <c r="H72" s="84">
        <f t="shared" ref="H72" si="26">1*$E$50</f>
        <v>1</v>
      </c>
      <c r="I72" s="84">
        <f t="shared" si="3"/>
        <v>1</v>
      </c>
      <c r="J72" s="86">
        <f>SUMPRODUCT(Tracking[Amount]*(Tracking[Type]=cc_type)*(YEAR(Tracking[Effective Date])=selected_year)*(MONTH(Tracking[Effective Date])=cc_month_number))</f>
        <v>0</v>
      </c>
      <c r="K72" s="86">
        <f ca="1">INDEX('Budget Planning'!$E:$EM, expenses_total_row, MATCH(DATE(selected_year, cc_month_number, 1), 'Budget Planning'!$E$9:$EM$9,0) )</f>
        <v>2900</v>
      </c>
      <c r="L72" s="86">
        <f ca="1">cc_budget-cc_tracked</f>
        <v>2900</v>
      </c>
      <c r="M72" s="86">
        <f ca="1">cc_in_focus * cc_show_type * MIN(cc_tracked, cc_budget)</f>
        <v>0</v>
      </c>
      <c r="N72" s="86">
        <f ca="1">cc_in_focus * cc_show_type * cc_show_remaining_budget * IF(cc_delta&gt;0, cc_delta,0)</f>
        <v>2900</v>
      </c>
      <c r="O72" s="86">
        <f ca="1">cc_in_focus * cc_show_type * IF(cc_delta&lt;0, ABS(cc_delta), 0)</f>
        <v>0</v>
      </c>
      <c r="P72" s="86">
        <f ca="1">NOT(cc_in_focus) * cc_show_type * MIN(cc_tracked, cc_budget)</f>
        <v>0</v>
      </c>
      <c r="Q72" s="86">
        <f ca="1">NOT(cc_in_focus) * cc_show_type * cc_show_remaining_budget * IF(cc_delta&gt;0, cc_delta,0)</f>
        <v>0</v>
      </c>
      <c r="R72" s="86">
        <f ca="1">NOT(cc_in_focus) * cc_show_type * IF(cc_delta&lt;0, ABS(cc_delta), 0)</f>
        <v>0</v>
      </c>
    </row>
    <row r="73" spans="4:18">
      <c r="D73" s="101"/>
      <c r="E73" s="83" t="s">
        <v>29</v>
      </c>
      <c r="F73" s="83">
        <f t="shared" ref="F73" si="27">MONTH(D71)</f>
        <v>5</v>
      </c>
      <c r="G73" s="84">
        <f>IF(selected_period="Total Year", 1, IF(selected_period=cc_month_number, 1, 0))</f>
        <v>1</v>
      </c>
      <c r="H73" s="84">
        <f t="shared" ref="H73" si="28">1*$E$51</f>
        <v>1</v>
      </c>
      <c r="I73" s="84">
        <f t="shared" si="3"/>
        <v>1</v>
      </c>
      <c r="J73" s="86">
        <f>SUMPRODUCT(Tracking[Amount]*(Tracking[Type]=cc_type)*(YEAR(Tracking[Effective Date])=selected_year)*(MONTH(Tracking[Effective Date])=cc_month_number))</f>
        <v>0</v>
      </c>
      <c r="K73" s="86">
        <f ca="1">INDEX('Budget Planning'!$E:$EM, savings_total_row, MATCH(DATE(selected_year, cc_month_number, 1), 'Budget Planning'!$E$9:$EM$9,0) )</f>
        <v>2650</v>
      </c>
      <c r="L73" s="86">
        <f ca="1">cc_budget-cc_tracked</f>
        <v>2650</v>
      </c>
      <c r="M73" s="86">
        <f ca="1">cc_in_focus * cc_show_type * MIN(cc_tracked, cc_budget)</f>
        <v>0</v>
      </c>
      <c r="N73" s="86">
        <f ca="1">cc_in_focus * cc_show_type * cc_show_remaining_budget * IF(cc_delta&gt;0, cc_delta,0)</f>
        <v>2650</v>
      </c>
      <c r="O73" s="86">
        <f ca="1">cc_in_focus * cc_show_type * IF(cc_delta&lt;0, ABS(cc_delta), 0)</f>
        <v>0</v>
      </c>
      <c r="P73" s="86">
        <f ca="1">NOT(cc_in_focus) * cc_show_type * MIN(cc_tracked, cc_budget)</f>
        <v>0</v>
      </c>
      <c r="Q73" s="86">
        <f ca="1">NOT(cc_in_focus) * cc_show_type * cc_show_remaining_budget * IF(cc_delta&gt;0, cc_delta,0)</f>
        <v>0</v>
      </c>
      <c r="R73" s="86">
        <f ca="1">NOT(cc_in_focus) * cc_show_type * IF(cc_delta&lt;0, ABS(cc_delta), 0)</f>
        <v>0</v>
      </c>
    </row>
    <row r="74" spans="4:18">
      <c r="D74" s="102"/>
      <c r="E74" s="85"/>
      <c r="F74" s="85"/>
      <c r="G74" s="85"/>
      <c r="H74" s="85"/>
      <c r="I74" s="85"/>
      <c r="J74" s="89"/>
      <c r="K74" s="89"/>
      <c r="L74" s="89"/>
      <c r="M74" s="85"/>
      <c r="N74" s="85"/>
      <c r="O74" s="85"/>
      <c r="P74" s="85"/>
      <c r="Q74" s="85"/>
      <c r="R74" s="85"/>
    </row>
    <row r="75" spans="4:18">
      <c r="D75" s="100">
        <f>DATE(selected_year, 6, 1)</f>
        <v>44713</v>
      </c>
      <c r="E75" s="82" t="s">
        <v>12</v>
      </c>
      <c r="F75" s="83">
        <f t="shared" ref="F75" si="29">MONTH(D75)</f>
        <v>6</v>
      </c>
      <c r="G75" s="84">
        <f>IF(selected_period="Total Year", 1, IF(selected_period=cc_month_number, 1, 0))</f>
        <v>1</v>
      </c>
      <c r="H75" s="83">
        <f t="shared" ref="H75" si="30">1*$E$49</f>
        <v>1</v>
      </c>
      <c r="I75" s="84">
        <f t="shared" ref="I75" si="31">1*$E$52</f>
        <v>1</v>
      </c>
      <c r="J75" s="86">
        <f>SUMPRODUCT(Tracking[Amount]*(Tracking[Type]=cc_type)*(YEAR(Tracking[Effective Date])=selected_year)*(MONTH(Tracking[Effective Date])=cc_month_number))</f>
        <v>0</v>
      </c>
      <c r="K75" s="86">
        <f ca="1">INDEX('Budget Planning'!$E:$EM, income_total_row, MATCH(DATE(selected_year, cc_month_number, 1), 'Budget Planning'!$E$9:$EM$9,0) )</f>
        <v>5600</v>
      </c>
      <c r="L75" s="86">
        <f ca="1">cc_budget-cc_tracked</f>
        <v>5600</v>
      </c>
      <c r="M75" s="86">
        <f ca="1">cc_in_focus * cc_show_type * MIN(cc_tracked, cc_budget)</f>
        <v>0</v>
      </c>
      <c r="N75" s="86">
        <f ca="1">cc_in_focus * cc_show_type * cc_show_remaining_budget * IF(cc_delta&gt;0, cc_delta,0)</f>
        <v>5600</v>
      </c>
      <c r="O75" s="86">
        <f ca="1">cc_in_focus * cc_show_type * IF(cc_delta&lt;0, ABS(cc_delta), 0)</f>
        <v>0</v>
      </c>
      <c r="P75" s="86">
        <f ca="1">NOT(cc_in_focus) * cc_show_type * MIN(cc_tracked, cc_budget)</f>
        <v>0</v>
      </c>
      <c r="Q75" s="86">
        <f ca="1">NOT(cc_in_focus) * cc_show_type * cc_show_remaining_budget * IF(cc_delta&gt;0, cc_delta,0)</f>
        <v>0</v>
      </c>
      <c r="R75" s="86">
        <f ca="1">NOT(cc_in_focus) * cc_show_type * IF(cc_delta&lt;0, ABS(cc_delta), 0)</f>
        <v>0</v>
      </c>
    </row>
    <row r="76" spans="4:18">
      <c r="D76" s="101"/>
      <c r="E76" s="83" t="s">
        <v>18</v>
      </c>
      <c r="F76" s="83">
        <f t="shared" ref="F76" si="32">MONTH(D75)</f>
        <v>6</v>
      </c>
      <c r="G76" s="84">
        <f>IF(selected_period="Total Year", 1, IF(selected_period=cc_month_number, 1, 0))</f>
        <v>1</v>
      </c>
      <c r="H76" s="84">
        <f t="shared" ref="H76" si="33">1*$E$50</f>
        <v>1</v>
      </c>
      <c r="I76" s="84">
        <f t="shared" si="3"/>
        <v>1</v>
      </c>
      <c r="J76" s="86">
        <f>SUMPRODUCT(Tracking[Amount]*(Tracking[Type]=cc_type)*(YEAR(Tracking[Effective Date])=selected_year)*(MONTH(Tracking[Effective Date])=cc_month_number))</f>
        <v>0</v>
      </c>
      <c r="K76" s="86">
        <f ca="1">INDEX('Budget Planning'!$E:$EM, expenses_total_row, MATCH(DATE(selected_year, cc_month_number, 1), 'Budget Planning'!$E$9:$EM$9,0) )</f>
        <v>3050</v>
      </c>
      <c r="L76" s="86">
        <f ca="1">cc_budget-cc_tracked</f>
        <v>3050</v>
      </c>
      <c r="M76" s="86">
        <f ca="1">cc_in_focus * cc_show_type * MIN(cc_tracked, cc_budget)</f>
        <v>0</v>
      </c>
      <c r="N76" s="86">
        <f ca="1">cc_in_focus * cc_show_type * cc_show_remaining_budget * IF(cc_delta&gt;0, cc_delta,0)</f>
        <v>3050</v>
      </c>
      <c r="O76" s="86">
        <f ca="1">cc_in_focus * cc_show_type * IF(cc_delta&lt;0, ABS(cc_delta), 0)</f>
        <v>0</v>
      </c>
      <c r="P76" s="86">
        <f ca="1">NOT(cc_in_focus) * cc_show_type * MIN(cc_tracked, cc_budget)</f>
        <v>0</v>
      </c>
      <c r="Q76" s="86">
        <f ca="1">NOT(cc_in_focus) * cc_show_type * cc_show_remaining_budget * IF(cc_delta&gt;0, cc_delta,0)</f>
        <v>0</v>
      </c>
      <c r="R76" s="86">
        <f ca="1">NOT(cc_in_focus) * cc_show_type * IF(cc_delta&lt;0, ABS(cc_delta), 0)</f>
        <v>0</v>
      </c>
    </row>
    <row r="77" spans="4:18">
      <c r="D77" s="101"/>
      <c r="E77" s="83" t="s">
        <v>29</v>
      </c>
      <c r="F77" s="83">
        <f t="shared" ref="F77" si="34">MONTH(D75)</f>
        <v>6</v>
      </c>
      <c r="G77" s="84">
        <f>IF(selected_period="Total Year", 1, IF(selected_period=cc_month_number, 1, 0))</f>
        <v>1</v>
      </c>
      <c r="H77" s="84">
        <f t="shared" ref="H77" si="35">1*$E$51</f>
        <v>1</v>
      </c>
      <c r="I77" s="84">
        <f t="shared" si="3"/>
        <v>1</v>
      </c>
      <c r="J77" s="86">
        <f>SUMPRODUCT(Tracking[Amount]*(Tracking[Type]=cc_type)*(YEAR(Tracking[Effective Date])=selected_year)*(MONTH(Tracking[Effective Date])=cc_month_number))</f>
        <v>0</v>
      </c>
      <c r="K77" s="86">
        <f ca="1">INDEX('Budget Planning'!$E:$EM, savings_total_row, MATCH(DATE(selected_year, cc_month_number, 1), 'Budget Planning'!$E$9:$EM$9,0) )</f>
        <v>2550</v>
      </c>
      <c r="L77" s="86">
        <f ca="1">cc_budget-cc_tracked</f>
        <v>2550</v>
      </c>
      <c r="M77" s="86">
        <f ca="1">cc_in_focus * cc_show_type * MIN(cc_tracked, cc_budget)</f>
        <v>0</v>
      </c>
      <c r="N77" s="86">
        <f ca="1">cc_in_focus * cc_show_type * cc_show_remaining_budget * IF(cc_delta&gt;0, cc_delta,0)</f>
        <v>2550</v>
      </c>
      <c r="O77" s="86">
        <f ca="1">cc_in_focus * cc_show_type * IF(cc_delta&lt;0, ABS(cc_delta), 0)</f>
        <v>0</v>
      </c>
      <c r="P77" s="86">
        <f ca="1">NOT(cc_in_focus) * cc_show_type * MIN(cc_tracked, cc_budget)</f>
        <v>0</v>
      </c>
      <c r="Q77" s="86">
        <f ca="1">NOT(cc_in_focus) * cc_show_type * cc_show_remaining_budget * IF(cc_delta&gt;0, cc_delta,0)</f>
        <v>0</v>
      </c>
      <c r="R77" s="86">
        <f ca="1">NOT(cc_in_focus) * cc_show_type * IF(cc_delta&lt;0, ABS(cc_delta), 0)</f>
        <v>0</v>
      </c>
    </row>
    <row r="78" spans="4:18">
      <c r="D78" s="102"/>
      <c r="E78" s="85"/>
      <c r="F78" s="85"/>
      <c r="G78" s="85"/>
      <c r="H78" s="85"/>
      <c r="I78" s="85"/>
      <c r="J78" s="89"/>
      <c r="K78" s="89"/>
      <c r="L78" s="89"/>
      <c r="M78" s="85"/>
      <c r="N78" s="85"/>
      <c r="O78" s="85"/>
      <c r="P78" s="85"/>
      <c r="Q78" s="85"/>
      <c r="R78" s="85"/>
    </row>
    <row r="79" spans="4:18">
      <c r="D79" s="100">
        <f>DATE(selected_year, 7, 1)</f>
        <v>44743</v>
      </c>
      <c r="E79" s="82" t="s">
        <v>12</v>
      </c>
      <c r="F79" s="83">
        <f t="shared" ref="F79" si="36">MONTH(D79)</f>
        <v>7</v>
      </c>
      <c r="G79" s="84">
        <f>IF(selected_period="Total Year", 1, IF(selected_period=cc_month_number, 1, 0))</f>
        <v>1</v>
      </c>
      <c r="H79" s="83">
        <f t="shared" ref="H79" si="37">1*$E$49</f>
        <v>1</v>
      </c>
      <c r="I79" s="84">
        <f t="shared" ref="I79" si="38">1*$E$52</f>
        <v>1</v>
      </c>
      <c r="J79" s="86">
        <f>SUMPRODUCT(Tracking[Amount]*(Tracking[Type]=cc_type)*(YEAR(Tracking[Effective Date])=selected_year)*(MONTH(Tracking[Effective Date])=cc_month_number))</f>
        <v>0</v>
      </c>
      <c r="K79" s="86">
        <f ca="1">INDEX('Budget Planning'!$E:$EM, income_total_row, MATCH(DATE(selected_year, cc_month_number, 1), 'Budget Planning'!$E$9:$EM$9,0) )</f>
        <v>5650</v>
      </c>
      <c r="L79" s="86">
        <f ca="1">cc_budget-cc_tracked</f>
        <v>5650</v>
      </c>
      <c r="M79" s="86">
        <f ca="1">cc_in_focus * cc_show_type * MIN(cc_tracked, cc_budget)</f>
        <v>0</v>
      </c>
      <c r="N79" s="86">
        <f ca="1">cc_in_focus * cc_show_type * cc_show_remaining_budget * IF(cc_delta&gt;0, cc_delta,0)</f>
        <v>5650</v>
      </c>
      <c r="O79" s="86">
        <f ca="1">cc_in_focus * cc_show_type * IF(cc_delta&lt;0, ABS(cc_delta), 0)</f>
        <v>0</v>
      </c>
      <c r="P79" s="86">
        <f ca="1">NOT(cc_in_focus) * cc_show_type * MIN(cc_tracked, cc_budget)</f>
        <v>0</v>
      </c>
      <c r="Q79" s="86">
        <f ca="1">NOT(cc_in_focus) * cc_show_type * cc_show_remaining_budget * IF(cc_delta&gt;0, cc_delta,0)</f>
        <v>0</v>
      </c>
      <c r="R79" s="86">
        <f ca="1">NOT(cc_in_focus) * cc_show_type * IF(cc_delta&lt;0, ABS(cc_delta), 0)</f>
        <v>0</v>
      </c>
    </row>
    <row r="80" spans="4:18">
      <c r="D80" s="101"/>
      <c r="E80" s="83" t="s">
        <v>18</v>
      </c>
      <c r="F80" s="83">
        <f t="shared" ref="F80" si="39">MONTH(D79)</f>
        <v>7</v>
      </c>
      <c r="G80" s="84">
        <f>IF(selected_period="Total Year", 1, IF(selected_period=cc_month_number, 1, 0))</f>
        <v>1</v>
      </c>
      <c r="H80" s="84">
        <f t="shared" ref="H80" si="40">1*$E$50</f>
        <v>1</v>
      </c>
      <c r="I80" s="84">
        <f t="shared" si="3"/>
        <v>1</v>
      </c>
      <c r="J80" s="86">
        <f>SUMPRODUCT(Tracking[Amount]*(Tracking[Type]=cc_type)*(YEAR(Tracking[Effective Date])=selected_year)*(MONTH(Tracking[Effective Date])=cc_month_number))</f>
        <v>0</v>
      </c>
      <c r="K80" s="86">
        <f ca="1">INDEX('Budget Planning'!$E:$EM, expenses_total_row, MATCH(DATE(selected_year, cc_month_number, 1), 'Budget Planning'!$E$9:$EM$9,0) )</f>
        <v>2900</v>
      </c>
      <c r="L80" s="86">
        <f ca="1">cc_budget-cc_tracked</f>
        <v>2900</v>
      </c>
      <c r="M80" s="86">
        <f ca="1">cc_in_focus * cc_show_type * MIN(cc_tracked, cc_budget)</f>
        <v>0</v>
      </c>
      <c r="N80" s="86">
        <f ca="1">cc_in_focus * cc_show_type * cc_show_remaining_budget * IF(cc_delta&gt;0, cc_delta,0)</f>
        <v>2900</v>
      </c>
      <c r="O80" s="86">
        <f ca="1">cc_in_focus * cc_show_type * IF(cc_delta&lt;0, ABS(cc_delta), 0)</f>
        <v>0</v>
      </c>
      <c r="P80" s="86">
        <f ca="1">NOT(cc_in_focus) * cc_show_type * MIN(cc_tracked, cc_budget)</f>
        <v>0</v>
      </c>
      <c r="Q80" s="86">
        <f ca="1">NOT(cc_in_focus) * cc_show_type * cc_show_remaining_budget * IF(cc_delta&gt;0, cc_delta,0)</f>
        <v>0</v>
      </c>
      <c r="R80" s="86">
        <f ca="1">NOT(cc_in_focus) * cc_show_type * IF(cc_delta&lt;0, ABS(cc_delta), 0)</f>
        <v>0</v>
      </c>
    </row>
    <row r="81" spans="4:18">
      <c r="D81" s="101"/>
      <c r="E81" s="83" t="s">
        <v>29</v>
      </c>
      <c r="F81" s="83">
        <f t="shared" ref="F81" si="41">MONTH(D79)</f>
        <v>7</v>
      </c>
      <c r="G81" s="84">
        <f>IF(selected_period="Total Year", 1, IF(selected_period=cc_month_number, 1, 0))</f>
        <v>1</v>
      </c>
      <c r="H81" s="84">
        <f t="shared" ref="H81" si="42">1*$E$51</f>
        <v>1</v>
      </c>
      <c r="I81" s="84">
        <f t="shared" si="3"/>
        <v>1</v>
      </c>
      <c r="J81" s="86">
        <f>SUMPRODUCT(Tracking[Amount]*(Tracking[Type]=cc_type)*(YEAR(Tracking[Effective Date])=selected_year)*(MONTH(Tracking[Effective Date])=cc_month_number))</f>
        <v>0</v>
      </c>
      <c r="K81" s="86">
        <f ca="1">INDEX('Budget Planning'!$E:$EM, savings_total_row, MATCH(DATE(selected_year, cc_month_number, 1), 'Budget Planning'!$E$9:$EM$9,0) )</f>
        <v>2750</v>
      </c>
      <c r="L81" s="86">
        <f ca="1">cc_budget-cc_tracked</f>
        <v>2750</v>
      </c>
      <c r="M81" s="86">
        <f ca="1">cc_in_focus * cc_show_type * MIN(cc_tracked, cc_budget)</f>
        <v>0</v>
      </c>
      <c r="N81" s="86">
        <f ca="1">cc_in_focus * cc_show_type * cc_show_remaining_budget * IF(cc_delta&gt;0, cc_delta,0)</f>
        <v>2750</v>
      </c>
      <c r="O81" s="86">
        <f ca="1">cc_in_focus * cc_show_type * IF(cc_delta&lt;0, ABS(cc_delta), 0)</f>
        <v>0</v>
      </c>
      <c r="P81" s="86">
        <f ca="1">NOT(cc_in_focus) * cc_show_type * MIN(cc_tracked, cc_budget)</f>
        <v>0</v>
      </c>
      <c r="Q81" s="86">
        <f ca="1">NOT(cc_in_focus) * cc_show_type * cc_show_remaining_budget * IF(cc_delta&gt;0, cc_delta,0)</f>
        <v>0</v>
      </c>
      <c r="R81" s="86">
        <f ca="1">NOT(cc_in_focus) * cc_show_type * IF(cc_delta&lt;0, ABS(cc_delta), 0)</f>
        <v>0</v>
      </c>
    </row>
    <row r="82" spans="4:18">
      <c r="D82" s="102"/>
      <c r="E82" s="85"/>
      <c r="F82" s="85"/>
      <c r="G82" s="85"/>
      <c r="H82" s="85"/>
      <c r="I82" s="85"/>
      <c r="J82" s="89"/>
      <c r="K82" s="89"/>
      <c r="L82" s="89"/>
      <c r="M82" s="85"/>
      <c r="N82" s="85"/>
      <c r="O82" s="85"/>
      <c r="P82" s="85"/>
      <c r="Q82" s="85"/>
      <c r="R82" s="85"/>
    </row>
    <row r="83" spans="4:18">
      <c r="D83" s="100">
        <f>DATE(selected_year, 8, 1)</f>
        <v>44774</v>
      </c>
      <c r="E83" s="82" t="s">
        <v>12</v>
      </c>
      <c r="F83" s="83">
        <f t="shared" ref="F83" si="43">MONTH(D83)</f>
        <v>8</v>
      </c>
      <c r="G83" s="84">
        <f>IF(selected_period="Total Year", 1, IF(selected_period=cc_month_number, 1, 0))</f>
        <v>1</v>
      </c>
      <c r="H83" s="83">
        <f t="shared" ref="H83" si="44">1*$E$49</f>
        <v>1</v>
      </c>
      <c r="I83" s="84">
        <f t="shared" ref="I83" si="45">1*$E$52</f>
        <v>1</v>
      </c>
      <c r="J83" s="86">
        <f>SUMPRODUCT(Tracking[Amount]*(Tracking[Type]=cc_type)*(YEAR(Tracking[Effective Date])=selected_year)*(MONTH(Tracking[Effective Date])=cc_month_number))</f>
        <v>0</v>
      </c>
      <c r="K83" s="86">
        <f ca="1">INDEX('Budget Planning'!$E:$EM, income_total_row, MATCH(DATE(selected_year, cc_month_number, 1), 'Budget Planning'!$E$9:$EM$9,0) )</f>
        <v>5550</v>
      </c>
      <c r="L83" s="86">
        <f ca="1">cc_budget-cc_tracked</f>
        <v>5550</v>
      </c>
      <c r="M83" s="86">
        <f ca="1">cc_in_focus * cc_show_type * MIN(cc_tracked, cc_budget)</f>
        <v>0</v>
      </c>
      <c r="N83" s="86">
        <f ca="1">cc_in_focus * cc_show_type * cc_show_remaining_budget * IF(cc_delta&gt;0, cc_delta,0)</f>
        <v>5550</v>
      </c>
      <c r="O83" s="86">
        <f ca="1">cc_in_focus * cc_show_type * IF(cc_delta&lt;0, ABS(cc_delta), 0)</f>
        <v>0</v>
      </c>
      <c r="P83" s="86">
        <f ca="1">NOT(cc_in_focus) * cc_show_type * MIN(cc_tracked, cc_budget)</f>
        <v>0</v>
      </c>
      <c r="Q83" s="86">
        <f ca="1">NOT(cc_in_focus) * cc_show_type * cc_show_remaining_budget * IF(cc_delta&gt;0, cc_delta,0)</f>
        <v>0</v>
      </c>
      <c r="R83" s="86">
        <f ca="1">NOT(cc_in_focus) * cc_show_type * IF(cc_delta&lt;0, ABS(cc_delta), 0)</f>
        <v>0</v>
      </c>
    </row>
    <row r="84" spans="4:18">
      <c r="D84" s="101"/>
      <c r="E84" s="83" t="s">
        <v>18</v>
      </c>
      <c r="F84" s="83">
        <f t="shared" ref="F84" si="46">MONTH(D83)</f>
        <v>8</v>
      </c>
      <c r="G84" s="84">
        <f>IF(selected_period="Total Year", 1, IF(selected_period=cc_month_number, 1, 0))</f>
        <v>1</v>
      </c>
      <c r="H84" s="84">
        <f t="shared" ref="H84" si="47">1*$E$50</f>
        <v>1</v>
      </c>
      <c r="I84" s="84">
        <f t="shared" si="3"/>
        <v>1</v>
      </c>
      <c r="J84" s="86">
        <f>SUMPRODUCT(Tracking[Amount]*(Tracking[Type]=cc_type)*(YEAR(Tracking[Effective Date])=selected_year)*(MONTH(Tracking[Effective Date])=cc_month_number))</f>
        <v>0</v>
      </c>
      <c r="K84" s="86">
        <f ca="1">INDEX('Budget Planning'!$E:$EM, expenses_total_row, MATCH(DATE(selected_year, cc_month_number, 1), 'Budget Planning'!$E$9:$EM$9,0) )</f>
        <v>4100</v>
      </c>
      <c r="L84" s="86">
        <f ca="1">cc_budget-cc_tracked</f>
        <v>4100</v>
      </c>
      <c r="M84" s="86">
        <f ca="1">cc_in_focus * cc_show_type * MIN(cc_tracked, cc_budget)</f>
        <v>0</v>
      </c>
      <c r="N84" s="86">
        <f ca="1">cc_in_focus * cc_show_type * cc_show_remaining_budget * IF(cc_delta&gt;0, cc_delta,0)</f>
        <v>4100</v>
      </c>
      <c r="O84" s="86">
        <f ca="1">cc_in_focus * cc_show_type * IF(cc_delta&lt;0, ABS(cc_delta), 0)</f>
        <v>0</v>
      </c>
      <c r="P84" s="86">
        <f ca="1">NOT(cc_in_focus) * cc_show_type * MIN(cc_tracked, cc_budget)</f>
        <v>0</v>
      </c>
      <c r="Q84" s="86">
        <f ca="1">NOT(cc_in_focus) * cc_show_type * cc_show_remaining_budget * IF(cc_delta&gt;0, cc_delta,0)</f>
        <v>0</v>
      </c>
      <c r="R84" s="86">
        <f ca="1">NOT(cc_in_focus) * cc_show_type * IF(cc_delta&lt;0, ABS(cc_delta), 0)</f>
        <v>0</v>
      </c>
    </row>
    <row r="85" spans="4:18">
      <c r="D85" s="101"/>
      <c r="E85" s="83" t="s">
        <v>29</v>
      </c>
      <c r="F85" s="83">
        <f t="shared" ref="F85" si="48">MONTH(D83)</f>
        <v>8</v>
      </c>
      <c r="G85" s="84">
        <f>IF(selected_period="Total Year", 1, IF(selected_period=cc_month_number, 1, 0))</f>
        <v>1</v>
      </c>
      <c r="H85" s="84">
        <f t="shared" ref="H85" si="49">1*$E$51</f>
        <v>1</v>
      </c>
      <c r="I85" s="84">
        <f t="shared" si="3"/>
        <v>1</v>
      </c>
      <c r="J85" s="86">
        <f>SUMPRODUCT(Tracking[Amount]*(Tracking[Type]=cc_type)*(YEAR(Tracking[Effective Date])=selected_year)*(MONTH(Tracking[Effective Date])=cc_month_number))</f>
        <v>0</v>
      </c>
      <c r="K85" s="86">
        <f ca="1">INDEX('Budget Planning'!$E:$EM, savings_total_row, MATCH(DATE(selected_year, cc_month_number, 1), 'Budget Planning'!$E$9:$EM$9,0) )</f>
        <v>1450</v>
      </c>
      <c r="L85" s="86">
        <f ca="1">cc_budget-cc_tracked</f>
        <v>1450</v>
      </c>
      <c r="M85" s="86">
        <f ca="1">cc_in_focus * cc_show_type * MIN(cc_tracked, cc_budget)</f>
        <v>0</v>
      </c>
      <c r="N85" s="86">
        <f ca="1">cc_in_focus * cc_show_type * cc_show_remaining_budget * IF(cc_delta&gt;0, cc_delta,0)</f>
        <v>1450</v>
      </c>
      <c r="O85" s="86">
        <f ca="1">cc_in_focus * cc_show_type * IF(cc_delta&lt;0, ABS(cc_delta), 0)</f>
        <v>0</v>
      </c>
      <c r="P85" s="86">
        <f ca="1">NOT(cc_in_focus) * cc_show_type * MIN(cc_tracked, cc_budget)</f>
        <v>0</v>
      </c>
      <c r="Q85" s="86">
        <f ca="1">NOT(cc_in_focus) * cc_show_type * cc_show_remaining_budget * IF(cc_delta&gt;0, cc_delta,0)</f>
        <v>0</v>
      </c>
      <c r="R85" s="86">
        <f ca="1">NOT(cc_in_focus) * cc_show_type * IF(cc_delta&lt;0, ABS(cc_delta), 0)</f>
        <v>0</v>
      </c>
    </row>
    <row r="86" spans="4:18">
      <c r="D86" s="102"/>
      <c r="E86" s="85"/>
      <c r="F86" s="85"/>
      <c r="G86" s="85"/>
      <c r="H86" s="85"/>
      <c r="I86" s="85"/>
      <c r="J86" s="89"/>
      <c r="K86" s="89"/>
      <c r="L86" s="89"/>
      <c r="M86" s="85"/>
      <c r="N86" s="85"/>
      <c r="O86" s="85"/>
      <c r="P86" s="85"/>
      <c r="Q86" s="85"/>
      <c r="R86" s="85"/>
    </row>
    <row r="87" spans="4:18">
      <c r="D87" s="100">
        <f>DATE(selected_year, 9, 1)</f>
        <v>44805</v>
      </c>
      <c r="E87" s="82" t="s">
        <v>12</v>
      </c>
      <c r="F87" s="83">
        <f t="shared" ref="F87" si="50">MONTH(D87)</f>
        <v>9</v>
      </c>
      <c r="G87" s="84">
        <f>IF(selected_period="Total Year", 1, IF(selected_period=cc_month_number, 1, 0))</f>
        <v>1</v>
      </c>
      <c r="H87" s="83">
        <f t="shared" ref="H87" si="51">1*$E$49</f>
        <v>1</v>
      </c>
      <c r="I87" s="84">
        <f t="shared" ref="I87" si="52">1*$E$52</f>
        <v>1</v>
      </c>
      <c r="J87" s="86">
        <f>SUMPRODUCT(Tracking[Amount]*(Tracking[Type]=cc_type)*(YEAR(Tracking[Effective Date])=selected_year)*(MONTH(Tracking[Effective Date])=cc_month_number))</f>
        <v>0</v>
      </c>
      <c r="K87" s="86">
        <f ca="1">INDEX('Budget Planning'!$E:$EM, income_total_row, MATCH(DATE(selected_year, cc_month_number, 1), 'Budget Planning'!$E$9:$EM$9,0) )</f>
        <v>5600</v>
      </c>
      <c r="L87" s="86">
        <f ca="1">cc_budget-cc_tracked</f>
        <v>5600</v>
      </c>
      <c r="M87" s="86">
        <f ca="1">cc_in_focus * cc_show_type * MIN(cc_tracked, cc_budget)</f>
        <v>0</v>
      </c>
      <c r="N87" s="86">
        <f ca="1">cc_in_focus * cc_show_type * cc_show_remaining_budget * IF(cc_delta&gt;0, cc_delta,0)</f>
        <v>5600</v>
      </c>
      <c r="O87" s="86">
        <f ca="1">cc_in_focus * cc_show_type * IF(cc_delta&lt;0, ABS(cc_delta), 0)</f>
        <v>0</v>
      </c>
      <c r="P87" s="86">
        <f ca="1">NOT(cc_in_focus) * cc_show_type * MIN(cc_tracked, cc_budget)</f>
        <v>0</v>
      </c>
      <c r="Q87" s="86">
        <f ca="1">NOT(cc_in_focus) * cc_show_type * cc_show_remaining_budget * IF(cc_delta&gt;0, cc_delta,0)</f>
        <v>0</v>
      </c>
      <c r="R87" s="86">
        <f ca="1">NOT(cc_in_focus) * cc_show_type * IF(cc_delta&lt;0, ABS(cc_delta), 0)</f>
        <v>0</v>
      </c>
    </row>
    <row r="88" spans="4:18">
      <c r="D88" s="101"/>
      <c r="E88" s="83" t="s">
        <v>18</v>
      </c>
      <c r="F88" s="83">
        <f t="shared" ref="F88" si="53">MONTH(D87)</f>
        <v>9</v>
      </c>
      <c r="G88" s="84">
        <f>IF(selected_period="Total Year", 1, IF(selected_period=cc_month_number, 1, 0))</f>
        <v>1</v>
      </c>
      <c r="H88" s="84">
        <f t="shared" ref="H88" si="54">1*$E$50</f>
        <v>1</v>
      </c>
      <c r="I88" s="84">
        <f t="shared" si="3"/>
        <v>1</v>
      </c>
      <c r="J88" s="86">
        <f>SUMPRODUCT(Tracking[Amount]*(Tracking[Type]=cc_type)*(YEAR(Tracking[Effective Date])=selected_year)*(MONTH(Tracking[Effective Date])=cc_month_number))</f>
        <v>0</v>
      </c>
      <c r="K88" s="86">
        <f ca="1">INDEX('Budget Planning'!$E:$EM, expenses_total_row, MATCH(DATE(selected_year, cc_month_number, 1), 'Budget Planning'!$E$9:$EM$9,0) )</f>
        <v>3050</v>
      </c>
      <c r="L88" s="86">
        <f ca="1">cc_budget-cc_tracked</f>
        <v>3050</v>
      </c>
      <c r="M88" s="86">
        <f ca="1">cc_in_focus * cc_show_type * MIN(cc_tracked, cc_budget)</f>
        <v>0</v>
      </c>
      <c r="N88" s="86">
        <f ca="1">cc_in_focus * cc_show_type * cc_show_remaining_budget * IF(cc_delta&gt;0, cc_delta,0)</f>
        <v>3050</v>
      </c>
      <c r="O88" s="86">
        <f ca="1">cc_in_focus * cc_show_type * IF(cc_delta&lt;0, ABS(cc_delta), 0)</f>
        <v>0</v>
      </c>
      <c r="P88" s="86">
        <f ca="1">NOT(cc_in_focus) * cc_show_type * MIN(cc_tracked, cc_budget)</f>
        <v>0</v>
      </c>
      <c r="Q88" s="86">
        <f ca="1">NOT(cc_in_focus) * cc_show_type * cc_show_remaining_budget * IF(cc_delta&gt;0, cc_delta,0)</f>
        <v>0</v>
      </c>
      <c r="R88" s="86">
        <f ca="1">NOT(cc_in_focus) * cc_show_type * IF(cc_delta&lt;0, ABS(cc_delta), 0)</f>
        <v>0</v>
      </c>
    </row>
    <row r="89" spans="4:18">
      <c r="D89" s="101"/>
      <c r="E89" s="83" t="s">
        <v>29</v>
      </c>
      <c r="F89" s="83">
        <f t="shared" ref="F89" si="55">MONTH(D87)</f>
        <v>9</v>
      </c>
      <c r="G89" s="84">
        <f>IF(selected_period="Total Year", 1, IF(selected_period=cc_month_number, 1, 0))</f>
        <v>1</v>
      </c>
      <c r="H89" s="84">
        <f t="shared" ref="H89" si="56">1*$E$51</f>
        <v>1</v>
      </c>
      <c r="I89" s="84">
        <f t="shared" si="3"/>
        <v>1</v>
      </c>
      <c r="J89" s="86">
        <f>SUMPRODUCT(Tracking[Amount]*(Tracking[Type]=cc_type)*(YEAR(Tracking[Effective Date])=selected_year)*(MONTH(Tracking[Effective Date])=cc_month_number))</f>
        <v>0</v>
      </c>
      <c r="K89" s="86">
        <f ca="1">INDEX('Budget Planning'!$E:$EM, savings_total_row, MATCH(DATE(selected_year, cc_month_number, 1), 'Budget Planning'!$E$9:$EM$9,0) )</f>
        <v>2550</v>
      </c>
      <c r="L89" s="86">
        <f ca="1">cc_budget-cc_tracked</f>
        <v>2550</v>
      </c>
      <c r="M89" s="86">
        <f ca="1">cc_in_focus * cc_show_type * MIN(cc_tracked, cc_budget)</f>
        <v>0</v>
      </c>
      <c r="N89" s="86">
        <f ca="1">cc_in_focus * cc_show_type * cc_show_remaining_budget * IF(cc_delta&gt;0, cc_delta,0)</f>
        <v>2550</v>
      </c>
      <c r="O89" s="86">
        <f ca="1">cc_in_focus * cc_show_type * IF(cc_delta&lt;0, ABS(cc_delta), 0)</f>
        <v>0</v>
      </c>
      <c r="P89" s="86">
        <f ca="1">NOT(cc_in_focus) * cc_show_type * MIN(cc_tracked, cc_budget)</f>
        <v>0</v>
      </c>
      <c r="Q89" s="86">
        <f ca="1">NOT(cc_in_focus) * cc_show_type * cc_show_remaining_budget * IF(cc_delta&gt;0, cc_delta,0)</f>
        <v>0</v>
      </c>
      <c r="R89" s="86">
        <f ca="1">NOT(cc_in_focus) * cc_show_type * IF(cc_delta&lt;0, ABS(cc_delta), 0)</f>
        <v>0</v>
      </c>
    </row>
    <row r="90" spans="4:18">
      <c r="D90" s="102"/>
      <c r="E90" s="85"/>
      <c r="F90" s="85"/>
      <c r="G90" s="85"/>
      <c r="H90" s="85"/>
      <c r="I90" s="85"/>
      <c r="J90" s="89"/>
      <c r="K90" s="89"/>
      <c r="L90" s="89"/>
      <c r="M90" s="85"/>
      <c r="N90" s="85"/>
      <c r="O90" s="85"/>
      <c r="P90" s="85"/>
      <c r="Q90" s="85"/>
      <c r="R90" s="85"/>
    </row>
    <row r="91" spans="4:18">
      <c r="D91" s="100">
        <f>DATE(selected_year, 10, 1)</f>
        <v>44835</v>
      </c>
      <c r="E91" s="82" t="s">
        <v>12</v>
      </c>
      <c r="F91" s="83">
        <f t="shared" ref="F91" si="57">MONTH(D91)</f>
        <v>10</v>
      </c>
      <c r="G91" s="84">
        <f>IF(selected_period="Total Year", 1, IF(selected_period=cc_month_number, 1, 0))</f>
        <v>1</v>
      </c>
      <c r="H91" s="83">
        <f t="shared" ref="H91" si="58">1*$E$49</f>
        <v>1</v>
      </c>
      <c r="I91" s="84">
        <f t="shared" ref="I91" si="59">1*$E$52</f>
        <v>1</v>
      </c>
      <c r="J91" s="86">
        <f>SUMPRODUCT(Tracking[Amount]*(Tracking[Type]=cc_type)*(YEAR(Tracking[Effective Date])=selected_year)*(MONTH(Tracking[Effective Date])=cc_month_number))</f>
        <v>0</v>
      </c>
      <c r="K91" s="86">
        <f ca="1">INDEX('Budget Planning'!$E:$EM, income_total_row, MATCH(DATE(selected_year, cc_month_number, 1), 'Budget Planning'!$E$9:$EM$9,0) )</f>
        <v>5650</v>
      </c>
      <c r="L91" s="86">
        <f ca="1">cc_budget-cc_tracked</f>
        <v>5650</v>
      </c>
      <c r="M91" s="86">
        <f ca="1">cc_in_focus * cc_show_type * MIN(cc_tracked, cc_budget)</f>
        <v>0</v>
      </c>
      <c r="N91" s="86">
        <f ca="1">cc_in_focus * cc_show_type * cc_show_remaining_budget * IF(cc_delta&gt;0, cc_delta,0)</f>
        <v>5650</v>
      </c>
      <c r="O91" s="86">
        <f ca="1">cc_in_focus * cc_show_type * IF(cc_delta&lt;0, ABS(cc_delta), 0)</f>
        <v>0</v>
      </c>
      <c r="P91" s="86">
        <f ca="1">NOT(cc_in_focus) * cc_show_type * MIN(cc_tracked, cc_budget)</f>
        <v>0</v>
      </c>
      <c r="Q91" s="86">
        <f ca="1">NOT(cc_in_focus) * cc_show_type * cc_show_remaining_budget * IF(cc_delta&gt;0, cc_delta,0)</f>
        <v>0</v>
      </c>
      <c r="R91" s="86">
        <f ca="1">NOT(cc_in_focus) * cc_show_type * IF(cc_delta&lt;0, ABS(cc_delta), 0)</f>
        <v>0</v>
      </c>
    </row>
    <row r="92" spans="4:18">
      <c r="D92" s="101"/>
      <c r="E92" s="83" t="s">
        <v>18</v>
      </c>
      <c r="F92" s="83">
        <f t="shared" ref="F92" si="60">MONTH(D91)</f>
        <v>10</v>
      </c>
      <c r="G92" s="84">
        <f>IF(selected_period="Total Year", 1, IF(selected_period=cc_month_number, 1, 0))</f>
        <v>1</v>
      </c>
      <c r="H92" s="84">
        <f t="shared" ref="H92" si="61">1*$E$50</f>
        <v>1</v>
      </c>
      <c r="I92" s="84">
        <f t="shared" si="3"/>
        <v>1</v>
      </c>
      <c r="J92" s="86">
        <f>SUMPRODUCT(Tracking[Amount]*(Tracking[Type]=cc_type)*(YEAR(Tracking[Effective Date])=selected_year)*(MONTH(Tracking[Effective Date])=cc_month_number))</f>
        <v>0</v>
      </c>
      <c r="K92" s="86">
        <f ca="1">INDEX('Budget Planning'!$E:$EM, expenses_total_row, MATCH(DATE(selected_year, cc_month_number, 1), 'Budget Planning'!$E$9:$EM$9,0) )</f>
        <v>2900</v>
      </c>
      <c r="L92" s="86">
        <f ca="1">cc_budget-cc_tracked</f>
        <v>2900</v>
      </c>
      <c r="M92" s="86">
        <f ca="1">cc_in_focus * cc_show_type * MIN(cc_tracked, cc_budget)</f>
        <v>0</v>
      </c>
      <c r="N92" s="86">
        <f ca="1">cc_in_focus * cc_show_type * cc_show_remaining_budget * IF(cc_delta&gt;0, cc_delta,0)</f>
        <v>2900</v>
      </c>
      <c r="O92" s="86">
        <f ca="1">cc_in_focus * cc_show_type * IF(cc_delta&lt;0, ABS(cc_delta), 0)</f>
        <v>0</v>
      </c>
      <c r="P92" s="86">
        <f ca="1">NOT(cc_in_focus) * cc_show_type * MIN(cc_tracked, cc_budget)</f>
        <v>0</v>
      </c>
      <c r="Q92" s="86">
        <f ca="1">NOT(cc_in_focus) * cc_show_type * cc_show_remaining_budget * IF(cc_delta&gt;0, cc_delta,0)</f>
        <v>0</v>
      </c>
      <c r="R92" s="86">
        <f ca="1">NOT(cc_in_focus) * cc_show_type * IF(cc_delta&lt;0, ABS(cc_delta), 0)</f>
        <v>0</v>
      </c>
    </row>
    <row r="93" spans="4:18">
      <c r="D93" s="101"/>
      <c r="E93" s="83" t="s">
        <v>29</v>
      </c>
      <c r="F93" s="83">
        <f t="shared" ref="F93" si="62">MONTH(D91)</f>
        <v>10</v>
      </c>
      <c r="G93" s="84">
        <f>IF(selected_period="Total Year", 1, IF(selected_period=cc_month_number, 1, 0))</f>
        <v>1</v>
      </c>
      <c r="H93" s="84">
        <f t="shared" ref="H93" si="63">1*$E$51</f>
        <v>1</v>
      </c>
      <c r="I93" s="84">
        <f t="shared" si="3"/>
        <v>1</v>
      </c>
      <c r="J93" s="86">
        <f>SUMPRODUCT(Tracking[Amount]*(Tracking[Type]=cc_type)*(YEAR(Tracking[Effective Date])=selected_year)*(MONTH(Tracking[Effective Date])=cc_month_number))</f>
        <v>0</v>
      </c>
      <c r="K93" s="86">
        <f ca="1">INDEX('Budget Planning'!$E:$EM, savings_total_row, MATCH(DATE(selected_year, cc_month_number, 1), 'Budget Planning'!$E$9:$EM$9,0) )</f>
        <v>2750</v>
      </c>
      <c r="L93" s="86">
        <f ca="1">cc_budget-cc_tracked</f>
        <v>2750</v>
      </c>
      <c r="M93" s="86">
        <f ca="1">cc_in_focus * cc_show_type * MIN(cc_tracked, cc_budget)</f>
        <v>0</v>
      </c>
      <c r="N93" s="86">
        <f ca="1">cc_in_focus * cc_show_type * cc_show_remaining_budget * IF(cc_delta&gt;0, cc_delta,0)</f>
        <v>2750</v>
      </c>
      <c r="O93" s="86">
        <f ca="1">cc_in_focus * cc_show_type * IF(cc_delta&lt;0, ABS(cc_delta), 0)</f>
        <v>0</v>
      </c>
      <c r="P93" s="86">
        <f ca="1">NOT(cc_in_focus) * cc_show_type * MIN(cc_tracked, cc_budget)</f>
        <v>0</v>
      </c>
      <c r="Q93" s="86">
        <f ca="1">NOT(cc_in_focus) * cc_show_type * cc_show_remaining_budget * IF(cc_delta&gt;0, cc_delta,0)</f>
        <v>0</v>
      </c>
      <c r="R93" s="86">
        <f ca="1">NOT(cc_in_focus) * cc_show_type * IF(cc_delta&lt;0, ABS(cc_delta), 0)</f>
        <v>0</v>
      </c>
    </row>
    <row r="94" spans="4:18">
      <c r="D94" s="102"/>
      <c r="E94" s="85"/>
      <c r="F94" s="85"/>
      <c r="G94" s="85"/>
      <c r="H94" s="85"/>
      <c r="I94" s="85"/>
      <c r="J94" s="89"/>
      <c r="K94" s="89"/>
      <c r="L94" s="89"/>
      <c r="M94" s="85"/>
      <c r="N94" s="85"/>
      <c r="O94" s="85"/>
      <c r="P94" s="85"/>
      <c r="Q94" s="85"/>
      <c r="R94" s="85"/>
    </row>
    <row r="95" spans="4:18">
      <c r="D95" s="100">
        <f>DATE(selected_year, 11, 1)</f>
        <v>44866</v>
      </c>
      <c r="E95" s="82" t="s">
        <v>12</v>
      </c>
      <c r="F95" s="83">
        <f t="shared" ref="F95" si="64">MONTH(D95)</f>
        <v>11</v>
      </c>
      <c r="G95" s="84">
        <f>IF(selected_period="Total Year", 1, IF(selected_period=cc_month_number, 1, 0))</f>
        <v>1</v>
      </c>
      <c r="H95" s="83">
        <f t="shared" ref="H95" si="65">1*$E$49</f>
        <v>1</v>
      </c>
      <c r="I95" s="84">
        <f t="shared" ref="I95" si="66">1*$E$52</f>
        <v>1</v>
      </c>
      <c r="J95" s="86">
        <f>SUMPRODUCT(Tracking[Amount]*(Tracking[Type]=cc_type)*(YEAR(Tracking[Effective Date])=selected_year)*(MONTH(Tracking[Effective Date])=cc_month_number))</f>
        <v>0</v>
      </c>
      <c r="K95" s="86">
        <f ca="1">INDEX('Budget Planning'!$E:$EM, income_total_row, MATCH(DATE(selected_year, cc_month_number, 1), 'Budget Planning'!$E$9:$EM$9,0) )</f>
        <v>5550</v>
      </c>
      <c r="L95" s="86">
        <f ca="1">cc_budget-cc_tracked</f>
        <v>5550</v>
      </c>
      <c r="M95" s="86">
        <f ca="1">cc_in_focus * cc_show_type * MIN(cc_tracked, cc_budget)</f>
        <v>0</v>
      </c>
      <c r="N95" s="86">
        <f ca="1">cc_in_focus * cc_show_type * cc_show_remaining_budget * IF(cc_delta&gt;0, cc_delta,0)</f>
        <v>5550</v>
      </c>
      <c r="O95" s="86">
        <f ca="1">cc_in_focus * cc_show_type * IF(cc_delta&lt;0, ABS(cc_delta), 0)</f>
        <v>0</v>
      </c>
      <c r="P95" s="86">
        <f ca="1">NOT(cc_in_focus) * cc_show_type * MIN(cc_tracked, cc_budget)</f>
        <v>0</v>
      </c>
      <c r="Q95" s="86">
        <f ca="1">NOT(cc_in_focus) * cc_show_type * cc_show_remaining_budget * IF(cc_delta&gt;0, cc_delta,0)</f>
        <v>0</v>
      </c>
      <c r="R95" s="86">
        <f ca="1">NOT(cc_in_focus) * cc_show_type * IF(cc_delta&lt;0, ABS(cc_delta), 0)</f>
        <v>0</v>
      </c>
    </row>
    <row r="96" spans="4:18">
      <c r="D96" s="101"/>
      <c r="E96" s="83" t="s">
        <v>18</v>
      </c>
      <c r="F96" s="83">
        <f t="shared" ref="F96" si="67">MONTH(D95)</f>
        <v>11</v>
      </c>
      <c r="G96" s="84">
        <f>IF(selected_period="Total Year", 1, IF(selected_period=cc_month_number, 1, 0))</f>
        <v>1</v>
      </c>
      <c r="H96" s="84">
        <f t="shared" ref="H96" si="68">1*$E$50</f>
        <v>1</v>
      </c>
      <c r="I96" s="84">
        <f t="shared" si="3"/>
        <v>1</v>
      </c>
      <c r="J96" s="86">
        <f>SUMPRODUCT(Tracking[Amount]*(Tracking[Type]=cc_type)*(YEAR(Tracking[Effective Date])=selected_year)*(MONTH(Tracking[Effective Date])=cc_month_number))</f>
        <v>0</v>
      </c>
      <c r="K96" s="86">
        <f ca="1">INDEX('Budget Planning'!$E:$EM, expenses_total_row, MATCH(DATE(selected_year, cc_month_number, 1), 'Budget Planning'!$E$9:$EM$9,0) )</f>
        <v>2900</v>
      </c>
      <c r="L96" s="86">
        <f ca="1">cc_budget-cc_tracked</f>
        <v>2900</v>
      </c>
      <c r="M96" s="86">
        <f ca="1">cc_in_focus * cc_show_type * MIN(cc_tracked, cc_budget)</f>
        <v>0</v>
      </c>
      <c r="N96" s="86">
        <f ca="1">cc_in_focus * cc_show_type * cc_show_remaining_budget * IF(cc_delta&gt;0, cc_delta,0)</f>
        <v>2900</v>
      </c>
      <c r="O96" s="86">
        <f ca="1">cc_in_focus * cc_show_type * IF(cc_delta&lt;0, ABS(cc_delta), 0)</f>
        <v>0</v>
      </c>
      <c r="P96" s="86">
        <f ca="1">NOT(cc_in_focus) * cc_show_type * MIN(cc_tracked, cc_budget)</f>
        <v>0</v>
      </c>
      <c r="Q96" s="86">
        <f ca="1">NOT(cc_in_focus) * cc_show_type * cc_show_remaining_budget * IF(cc_delta&gt;0, cc_delta,0)</f>
        <v>0</v>
      </c>
      <c r="R96" s="86">
        <f ca="1">NOT(cc_in_focus) * cc_show_type * IF(cc_delta&lt;0, ABS(cc_delta), 0)</f>
        <v>0</v>
      </c>
    </row>
    <row r="97" spans="4:18">
      <c r="D97" s="101"/>
      <c r="E97" s="83" t="s">
        <v>29</v>
      </c>
      <c r="F97" s="83">
        <f t="shared" ref="F97" si="69">MONTH(D95)</f>
        <v>11</v>
      </c>
      <c r="G97" s="84">
        <f>IF(selected_period="Total Year", 1, IF(selected_period=cc_month_number, 1, 0))</f>
        <v>1</v>
      </c>
      <c r="H97" s="84">
        <f t="shared" ref="H97" si="70">1*$E$51</f>
        <v>1</v>
      </c>
      <c r="I97" s="84">
        <f t="shared" si="3"/>
        <v>1</v>
      </c>
      <c r="J97" s="86">
        <f>SUMPRODUCT(Tracking[Amount]*(Tracking[Type]=cc_type)*(YEAR(Tracking[Effective Date])=selected_year)*(MONTH(Tracking[Effective Date])=cc_month_number))</f>
        <v>0</v>
      </c>
      <c r="K97" s="86">
        <f ca="1">INDEX('Budget Planning'!$E:$EM, savings_total_row, MATCH(DATE(selected_year, cc_month_number, 1), 'Budget Planning'!$E$9:$EM$9,0) )</f>
        <v>2650</v>
      </c>
      <c r="L97" s="86">
        <f ca="1">cc_budget-cc_tracked</f>
        <v>2650</v>
      </c>
      <c r="M97" s="86">
        <f ca="1">cc_in_focus * cc_show_type * MIN(cc_tracked, cc_budget)</f>
        <v>0</v>
      </c>
      <c r="N97" s="86">
        <f ca="1">cc_in_focus * cc_show_type * cc_show_remaining_budget * IF(cc_delta&gt;0, cc_delta,0)</f>
        <v>2650</v>
      </c>
      <c r="O97" s="86">
        <f ca="1">cc_in_focus * cc_show_type * IF(cc_delta&lt;0, ABS(cc_delta), 0)</f>
        <v>0</v>
      </c>
      <c r="P97" s="86">
        <f ca="1">NOT(cc_in_focus) * cc_show_type * MIN(cc_tracked, cc_budget)</f>
        <v>0</v>
      </c>
      <c r="Q97" s="86">
        <f ca="1">NOT(cc_in_focus) * cc_show_type * cc_show_remaining_budget * IF(cc_delta&gt;0, cc_delta,0)</f>
        <v>0</v>
      </c>
      <c r="R97" s="86">
        <f ca="1">NOT(cc_in_focus) * cc_show_type * IF(cc_delta&lt;0, ABS(cc_delta), 0)</f>
        <v>0</v>
      </c>
    </row>
    <row r="98" spans="4:18">
      <c r="D98" s="102"/>
      <c r="E98" s="85"/>
      <c r="F98" s="85"/>
      <c r="G98" s="85"/>
      <c r="H98" s="85"/>
      <c r="I98" s="85"/>
      <c r="J98" s="89"/>
      <c r="K98" s="89"/>
      <c r="L98" s="89"/>
      <c r="M98" s="85"/>
      <c r="N98" s="85"/>
      <c r="O98" s="85"/>
      <c r="P98" s="85"/>
      <c r="Q98" s="85"/>
      <c r="R98" s="85"/>
    </row>
    <row r="99" spans="4:18">
      <c r="D99" s="100">
        <f>DATE(selected_year, 12, 1)</f>
        <v>44896</v>
      </c>
      <c r="E99" s="82" t="s">
        <v>12</v>
      </c>
      <c r="F99" s="83">
        <f t="shared" ref="F99" si="71">MONTH(D99)</f>
        <v>12</v>
      </c>
      <c r="G99" s="84">
        <f>IF(selected_period="Total Year", 1, IF(selected_period=cc_month_number, 1, 0))</f>
        <v>1</v>
      </c>
      <c r="H99" s="83">
        <f t="shared" ref="H99" si="72">1*$E$49</f>
        <v>1</v>
      </c>
      <c r="I99" s="84">
        <f t="shared" ref="I99" si="73">1*$E$52</f>
        <v>1</v>
      </c>
      <c r="J99" s="86">
        <f>SUMPRODUCT(Tracking[Amount]*(Tracking[Type]=cc_type)*(YEAR(Tracking[Effective Date])=selected_year)*(MONTH(Tracking[Effective Date])=cc_month_number))</f>
        <v>0</v>
      </c>
      <c r="K99" s="86">
        <f ca="1">INDEX('Budget Planning'!$E:$EM, income_total_row, MATCH(DATE(selected_year, cc_month_number, 1), 'Budget Planning'!$E$9:$EM$9,0) )</f>
        <v>5600</v>
      </c>
      <c r="L99" s="86">
        <f ca="1">cc_budget-cc_tracked</f>
        <v>5600</v>
      </c>
      <c r="M99" s="86">
        <f ca="1">cc_in_focus * cc_show_type * MIN(cc_tracked, cc_budget)</f>
        <v>0</v>
      </c>
      <c r="N99" s="86">
        <f ca="1">cc_in_focus * cc_show_type * cc_show_remaining_budget * IF(cc_delta&gt;0, cc_delta,0)</f>
        <v>5600</v>
      </c>
      <c r="O99" s="86">
        <f ca="1">cc_in_focus * cc_show_type * IF(cc_delta&lt;0, ABS(cc_delta), 0)</f>
        <v>0</v>
      </c>
      <c r="P99" s="86">
        <f ca="1">NOT(cc_in_focus) * cc_show_type * MIN(cc_tracked, cc_budget)</f>
        <v>0</v>
      </c>
      <c r="Q99" s="86">
        <f ca="1">NOT(cc_in_focus) * cc_show_type * cc_show_remaining_budget * IF(cc_delta&gt;0, cc_delta,0)</f>
        <v>0</v>
      </c>
      <c r="R99" s="86">
        <f ca="1">NOT(cc_in_focus) * cc_show_type * IF(cc_delta&lt;0, ABS(cc_delta), 0)</f>
        <v>0</v>
      </c>
    </row>
    <row r="100" spans="4:18">
      <c r="D100" s="101"/>
      <c r="E100" s="83" t="s">
        <v>18</v>
      </c>
      <c r="F100" s="83">
        <f t="shared" ref="F100" si="74">MONTH(D99)</f>
        <v>12</v>
      </c>
      <c r="G100" s="84">
        <f>IF(selected_period="Total Year", 1, IF(selected_period=cc_month_number, 1, 0))</f>
        <v>1</v>
      </c>
      <c r="H100" s="84">
        <f t="shared" ref="H100" si="75">1*$E$50</f>
        <v>1</v>
      </c>
      <c r="I100" s="84">
        <f t="shared" si="3"/>
        <v>1</v>
      </c>
      <c r="J100" s="86">
        <f>SUMPRODUCT(Tracking[Amount]*(Tracking[Type]=cc_type)*(YEAR(Tracking[Effective Date])=selected_year)*(MONTH(Tracking[Effective Date])=cc_month_number))</f>
        <v>0</v>
      </c>
      <c r="K100" s="86">
        <f ca="1">INDEX('Budget Planning'!$E:$EM, expenses_total_row, MATCH(DATE(selected_year, cc_month_number, 1), 'Budget Planning'!$E$9:$EM$9,0) )</f>
        <v>3350</v>
      </c>
      <c r="L100" s="86">
        <f ca="1">cc_budget-cc_tracked</f>
        <v>3350</v>
      </c>
      <c r="M100" s="86">
        <f ca="1">cc_in_focus * cc_show_type * MIN(cc_tracked, cc_budget)</f>
        <v>0</v>
      </c>
      <c r="N100" s="86">
        <f ca="1">cc_in_focus * cc_show_type * cc_show_remaining_budget * IF(cc_delta&gt;0, cc_delta,0)</f>
        <v>3350</v>
      </c>
      <c r="O100" s="86">
        <f ca="1">cc_in_focus * cc_show_type * IF(cc_delta&lt;0, ABS(cc_delta), 0)</f>
        <v>0</v>
      </c>
      <c r="P100" s="86">
        <f ca="1">NOT(cc_in_focus) * cc_show_type * MIN(cc_tracked, cc_budget)</f>
        <v>0</v>
      </c>
      <c r="Q100" s="86">
        <f ca="1">NOT(cc_in_focus) * cc_show_type * cc_show_remaining_budget * IF(cc_delta&gt;0, cc_delta,0)</f>
        <v>0</v>
      </c>
      <c r="R100" s="86">
        <f ca="1">NOT(cc_in_focus) * cc_show_type * IF(cc_delta&lt;0, ABS(cc_delta), 0)</f>
        <v>0</v>
      </c>
    </row>
    <row r="101" spans="4:18">
      <c r="D101" s="101"/>
      <c r="E101" s="83" t="s">
        <v>29</v>
      </c>
      <c r="F101" s="83">
        <f t="shared" ref="F101" si="76">MONTH(D99)</f>
        <v>12</v>
      </c>
      <c r="G101" s="84">
        <f>IF(selected_period="Total Year", 1, IF(selected_period=cc_month_number, 1, 0))</f>
        <v>1</v>
      </c>
      <c r="H101" s="84">
        <f t="shared" ref="H101" si="77">1*$E$51</f>
        <v>1</v>
      </c>
      <c r="I101" s="84">
        <f t="shared" si="3"/>
        <v>1</v>
      </c>
      <c r="J101" s="86">
        <f>SUMPRODUCT(Tracking[Amount]*(Tracking[Type]=cc_type)*(YEAR(Tracking[Effective Date])=selected_year)*(MONTH(Tracking[Effective Date])=cc_month_number))</f>
        <v>0</v>
      </c>
      <c r="K101" s="86">
        <f ca="1">INDEX('Budget Planning'!$E:$EM, savings_total_row, MATCH(DATE(selected_year, cc_month_number, 1), 'Budget Planning'!$E$9:$EM$9,0) )</f>
        <v>2250</v>
      </c>
      <c r="L101" s="86">
        <f ca="1">cc_budget-cc_tracked</f>
        <v>2250</v>
      </c>
      <c r="M101" s="86">
        <f ca="1">cc_in_focus * cc_show_type * MIN(cc_tracked, cc_budget)</f>
        <v>0</v>
      </c>
      <c r="N101" s="86">
        <f ca="1">cc_in_focus * cc_show_type * cc_show_remaining_budget * IF(cc_delta&gt;0, cc_delta,0)</f>
        <v>2250</v>
      </c>
      <c r="O101" s="86">
        <f ca="1">cc_in_focus * cc_show_type * IF(cc_delta&lt;0, ABS(cc_delta), 0)</f>
        <v>0</v>
      </c>
      <c r="P101" s="86">
        <f ca="1">NOT(cc_in_focus) * cc_show_type * MIN(cc_tracked, cc_budget)</f>
        <v>0</v>
      </c>
      <c r="Q101" s="86">
        <f ca="1">NOT(cc_in_focus) * cc_show_type * cc_show_remaining_budget * IF(cc_delta&gt;0, cc_delta,0)</f>
        <v>0</v>
      </c>
      <c r="R101" s="86">
        <f ca="1">NOT(cc_in_focus) * cc_show_type * IF(cc_delta&lt;0, ABS(cc_delta), 0)</f>
        <v>0</v>
      </c>
    </row>
    <row r="102" spans="4:18">
      <c r="D102" s="102"/>
      <c r="E102" s="85"/>
      <c r="F102" s="85"/>
      <c r="G102" s="85"/>
      <c r="H102" s="85"/>
      <c r="I102" s="85"/>
      <c r="J102" s="89"/>
      <c r="K102" s="89"/>
      <c r="L102" s="89"/>
      <c r="M102" s="85"/>
      <c r="N102" s="85"/>
      <c r="O102" s="85"/>
      <c r="P102" s="85"/>
      <c r="Q102" s="85"/>
      <c r="R102" s="85"/>
    </row>
  </sheetData>
  <mergeCells count="16">
    <mergeCell ref="C6:F6"/>
    <mergeCell ref="C17:F17"/>
    <mergeCell ref="M53:O53"/>
    <mergeCell ref="P53:R53"/>
    <mergeCell ref="D55:D58"/>
    <mergeCell ref="D59:D62"/>
    <mergeCell ref="D63:D66"/>
    <mergeCell ref="D67:D70"/>
    <mergeCell ref="D71:D74"/>
    <mergeCell ref="D95:D98"/>
    <mergeCell ref="D99:D102"/>
    <mergeCell ref="D75:D78"/>
    <mergeCell ref="D79:D82"/>
    <mergeCell ref="D83:D86"/>
    <mergeCell ref="D87:D90"/>
    <mergeCell ref="D91:D9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2060"/>
  </sheetPr>
  <dimension ref="C1:E21"/>
  <sheetViews>
    <sheetView showGridLines="0" workbookViewId="0">
      <selection activeCell="C10" sqref="C10"/>
    </sheetView>
  </sheetViews>
  <sheetFormatPr defaultColWidth="9" defaultRowHeight="15"/>
  <cols>
    <col min="3" max="3" width="19.28515625" customWidth="1"/>
    <col min="5" max="5" width="22" customWidth="1"/>
  </cols>
  <sheetData>
    <row r="1" spans="3:5" s="1" customFormat="1" ht="31.5" customHeight="1">
      <c r="C1" s="2" t="s">
        <v>83</v>
      </c>
    </row>
    <row r="7" spans="3:5">
      <c r="C7" s="3" t="s">
        <v>84</v>
      </c>
      <c r="E7" s="3" t="s">
        <v>85</v>
      </c>
    </row>
    <row r="8" spans="3:5">
      <c r="C8" s="4" t="s">
        <v>86</v>
      </c>
      <c r="E8" s="4" t="s">
        <v>87</v>
      </c>
    </row>
    <row r="9" spans="3:5">
      <c r="C9" s="4">
        <f>starting_year</f>
        <v>2022</v>
      </c>
      <c r="E9" s="4" t="s">
        <v>88</v>
      </c>
    </row>
    <row r="10" spans="3:5">
      <c r="C10" s="4">
        <f>C9+1</f>
        <v>2023</v>
      </c>
      <c r="E10" s="5">
        <v>36526</v>
      </c>
    </row>
    <row r="11" spans="3:5">
      <c r="C11" s="4">
        <f t="shared" ref="C11:C18" si="0">C10+1</f>
        <v>2024</v>
      </c>
      <c r="E11" s="5">
        <v>36557</v>
      </c>
    </row>
    <row r="12" spans="3:5">
      <c r="C12" s="4">
        <f t="shared" si="0"/>
        <v>2025</v>
      </c>
      <c r="E12" s="5">
        <v>36586</v>
      </c>
    </row>
    <row r="13" spans="3:5">
      <c r="C13" s="4">
        <f t="shared" si="0"/>
        <v>2026</v>
      </c>
      <c r="E13" s="5">
        <v>36617</v>
      </c>
    </row>
    <row r="14" spans="3:5">
      <c r="C14" s="4">
        <f t="shared" si="0"/>
        <v>2027</v>
      </c>
      <c r="E14" s="5">
        <v>36647</v>
      </c>
    </row>
    <row r="15" spans="3:5">
      <c r="C15" s="4">
        <f t="shared" si="0"/>
        <v>2028</v>
      </c>
      <c r="E15" s="5">
        <v>36678</v>
      </c>
    </row>
    <row r="16" spans="3:5">
      <c r="C16" s="4">
        <f t="shared" si="0"/>
        <v>2029</v>
      </c>
      <c r="E16" s="5">
        <v>36708</v>
      </c>
    </row>
    <row r="17" spans="3:5">
      <c r="C17" s="4">
        <f t="shared" si="0"/>
        <v>2030</v>
      </c>
      <c r="E17" s="5">
        <v>36739</v>
      </c>
    </row>
    <row r="18" spans="3:5">
      <c r="C18" s="6">
        <f t="shared" si="0"/>
        <v>2031</v>
      </c>
      <c r="E18" s="5">
        <v>36770</v>
      </c>
    </row>
    <row r="19" spans="3:5">
      <c r="E19" s="5">
        <v>36800</v>
      </c>
    </row>
    <row r="20" spans="3:5">
      <c r="E20" s="5">
        <v>36831</v>
      </c>
    </row>
    <row r="21" spans="3:5">
      <c r="E21" s="7">
        <v>36861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39</vt:i4>
      </vt:variant>
    </vt:vector>
  </HeadingPairs>
  <TitlesOfParts>
    <vt:vector size="45" baseType="lpstr">
      <vt:lpstr>Settings</vt:lpstr>
      <vt:lpstr>Budget Planning</vt:lpstr>
      <vt:lpstr>Budget Tracking</vt:lpstr>
      <vt:lpstr>Budget Dashboard</vt:lpstr>
      <vt:lpstr>Calculations</vt:lpstr>
      <vt:lpstr>Dropdown Data</vt:lpstr>
      <vt:lpstr>'Budget Dashboard'!budget</vt:lpstr>
      <vt:lpstr>'Budget Dashboard'!budget_range</vt:lpstr>
      <vt:lpstr>'Budget Dashboard'!budget_rank</vt:lpstr>
      <vt:lpstr>Calculations!cc_budget</vt:lpstr>
      <vt:lpstr>Calculations!cc_delta</vt:lpstr>
      <vt:lpstr>Calculations!cc_in_focus</vt:lpstr>
      <vt:lpstr>Calculations!cc_month_number</vt:lpstr>
      <vt:lpstr>Calculations!cc_show_remaining_budget</vt:lpstr>
      <vt:lpstr>Calculations!cc_show_type</vt:lpstr>
      <vt:lpstr>Calculations!cc_tracked</vt:lpstr>
      <vt:lpstr>Calculations!cc_type</vt:lpstr>
      <vt:lpstr>'Budget Dashboard'!comb_rank</vt:lpstr>
      <vt:lpstr>'Budget Dashboard'!comb_rank_norm</vt:lpstr>
      <vt:lpstr>'Budget Dashboard'!comb_rank_norm_run_range</vt:lpstr>
      <vt:lpstr>'Budget Dashboard'!comb_rank_range</vt:lpstr>
      <vt:lpstr>'Budget Dashboard'!comb_rank_unique</vt:lpstr>
      <vt:lpstr>'Budget Dashboard'!header_row_id</vt:lpstr>
      <vt:lpstr>'Budget Dashboard'!is_cat</vt:lpstr>
      <vt:lpstr>'Budget Dashboard'!is_empty</vt:lpstr>
      <vt:lpstr>'Budget Dashboard'!is_header</vt:lpstr>
      <vt:lpstr>'Budget Dashboard'!is_total</vt:lpstr>
      <vt:lpstr>'Budget Dashboard'!item</vt:lpstr>
      <vt:lpstr>'Budget Dashboard'!out_budget</vt:lpstr>
      <vt:lpstr>'Budget Dashboard'!out_percentage_completed</vt:lpstr>
      <vt:lpstr>'Budget Dashboard'!out_tracked</vt:lpstr>
      <vt:lpstr>'Budget Dashboard'!row_id</vt:lpstr>
      <vt:lpstr>savings_rate_calculation_type</vt:lpstr>
      <vt:lpstr>selected_period</vt:lpstr>
      <vt:lpstr>selected_period_display</vt:lpstr>
      <vt:lpstr>selected_year</vt:lpstr>
      <vt:lpstr>shift_late_income_starting_day</vt:lpstr>
      <vt:lpstr>shift_late_income_status</vt:lpstr>
      <vt:lpstr>'Budget Dashboard'!sort_max_row</vt:lpstr>
      <vt:lpstr>'Budget Dashboard'!sort_min_row</vt:lpstr>
      <vt:lpstr>starting_year</vt:lpstr>
      <vt:lpstr>'Budget Dashboard'!tracked</vt:lpstr>
      <vt:lpstr>'Budget Dashboard'!tracked_range</vt:lpstr>
      <vt:lpstr>'Budget Dashboard'!tracked_rank</vt:lpstr>
      <vt:lpstr>'Budget Dashboard'!type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Excel&amp;Grace Consult</dc:creator>
  <cp:lastModifiedBy>Excel&amp;Grace Consult</cp:lastModifiedBy>
  <dcterms:created xsi:type="dcterms:W3CDTF">2023-12-28T22:21:00Z</dcterms:created>
  <dcterms:modified xsi:type="dcterms:W3CDTF">2023-12-30T22:51:41Z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2F3B6D0CEDDC42BCB3AFC64389E0B20D_12</vt:lpwstr>
  </property>
  <property fmtid="{D5CDD505-2E9C-101B-9397-08002B2CF9AE}" pid="3" name="KSOProductBuildVer">
    <vt:lpwstr>1033-12.2.0.13359</vt:lpwstr>
  </property>
</Properties>
</file>