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Maschinenelemente 3\Entwurf\Gruppe 9\Gruppe9_ME3E\Berechnungen\"/>
    </mc:Choice>
  </mc:AlternateContent>
  <xr:revisionPtr revIDLastSave="0" documentId="13_ncr:1_{6C55C6E8-E388-4E07-8C02-9E75594E0838}" xr6:coauthVersionLast="47" xr6:coauthVersionMax="47" xr10:uidLastSave="{00000000-0000-0000-0000-000000000000}"/>
  <bookViews>
    <workbookView xWindow="-120" yWindow="-120" windowWidth="29040" windowHeight="15840" activeTab="1" xr2:uid="{81DD310D-B317-4A19-9C30-22399F1A8788}"/>
  </bookViews>
  <sheets>
    <sheet name="1. Getriebe" sheetId="1" r:id="rId1"/>
    <sheet name="2. Passfeder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C12" i="2"/>
  <c r="C11" i="2"/>
  <c r="C10" i="2"/>
  <c r="C5" i="2"/>
  <c r="G2" i="1"/>
  <c r="C16" i="1"/>
  <c r="C10" i="1"/>
  <c r="C22" i="1"/>
  <c r="C20" i="1"/>
  <c r="K14" i="1"/>
  <c r="G14" i="1"/>
  <c r="J7" i="1"/>
  <c r="D10" i="2" l="1"/>
  <c r="C23" i="1" l="1"/>
  <c r="G21" i="1" s="1"/>
  <c r="D12" i="1"/>
  <c r="C15" i="1"/>
  <c r="C21" i="1"/>
  <c r="G20" i="1" s="1"/>
  <c r="G10" i="1"/>
  <c r="G9" i="1"/>
  <c r="K18" i="1" l="1"/>
  <c r="G23" i="1"/>
  <c r="G8" i="1"/>
  <c r="J9" i="1" s="1"/>
  <c r="D12" i="2"/>
  <c r="D11" i="2"/>
  <c r="J8" i="1"/>
  <c r="G15" i="1"/>
  <c r="D6" i="1" l="1"/>
  <c r="J3" i="1" s="1"/>
  <c r="D3" i="1"/>
  <c r="J2" i="1" s="1"/>
</calcChain>
</file>

<file path=xl/sharedStrings.xml><?xml version="1.0" encoding="utf-8"?>
<sst xmlns="http://schemas.openxmlformats.org/spreadsheetml/2006/main" count="75" uniqueCount="61">
  <si>
    <t>theoretisch</t>
  </si>
  <si>
    <t>praktisch</t>
  </si>
  <si>
    <t>Übersetzung theoretisch</t>
  </si>
  <si>
    <t>Abweichung</t>
  </si>
  <si>
    <t>Tan</t>
  </si>
  <si>
    <t>iges</t>
  </si>
  <si>
    <t>Drehmoment</t>
  </si>
  <si>
    <t xml:space="preserve">Tab </t>
  </si>
  <si>
    <t>i12</t>
  </si>
  <si>
    <t>Drehzahl</t>
  </si>
  <si>
    <t>Gute Kombination</t>
  </si>
  <si>
    <t>i34</t>
  </si>
  <si>
    <t xml:space="preserve">Nan </t>
  </si>
  <si>
    <t xml:space="preserve">Nab </t>
  </si>
  <si>
    <t>Durchmesser</t>
  </si>
  <si>
    <t>errechnet</t>
  </si>
  <si>
    <t>gewählt</t>
  </si>
  <si>
    <t>Übersetzung praktisch</t>
  </si>
  <si>
    <t>Antriebswelle</t>
  </si>
  <si>
    <t>Zähnezahlen</t>
  </si>
  <si>
    <t>Vorgelegewelle</t>
  </si>
  <si>
    <t>z1</t>
  </si>
  <si>
    <t>Abtriebswelle</t>
  </si>
  <si>
    <t>z2</t>
  </si>
  <si>
    <t>Modul Reihe 1</t>
  </si>
  <si>
    <t>Modul Reihe 2</t>
  </si>
  <si>
    <t>z3</t>
  </si>
  <si>
    <t>z4</t>
  </si>
  <si>
    <t>Zahnradbreite</t>
  </si>
  <si>
    <t>Modul 1+2</t>
  </si>
  <si>
    <t>Zahnrad 1+2</t>
  </si>
  <si>
    <t>z1;z2</t>
  </si>
  <si>
    <t>Zahnrad 3+4</t>
  </si>
  <si>
    <t>z3;z4</t>
  </si>
  <si>
    <t>Modul 3+4</t>
  </si>
  <si>
    <t>Teilkreise</t>
  </si>
  <si>
    <t>Achsabstand</t>
  </si>
  <si>
    <t>Z1</t>
  </si>
  <si>
    <t>Z1 und Z2</t>
  </si>
  <si>
    <t>Z2</t>
  </si>
  <si>
    <t>Z3 und Z4</t>
  </si>
  <si>
    <t>Z3</t>
  </si>
  <si>
    <t>Z4</t>
  </si>
  <si>
    <t>Werkstoff Passfeder E295</t>
  </si>
  <si>
    <t>d</t>
  </si>
  <si>
    <t>b</t>
  </si>
  <si>
    <t>h</t>
  </si>
  <si>
    <t>t1</t>
  </si>
  <si>
    <t>l</t>
  </si>
  <si>
    <t>Re</t>
  </si>
  <si>
    <t>Sicherheitsfaktor</t>
  </si>
  <si>
    <t>zulässige Flächenpressung</t>
  </si>
  <si>
    <t>Länge Passfeder DIN 6885</t>
  </si>
  <si>
    <t>Welle</t>
  </si>
  <si>
    <t>A8x7x14</t>
  </si>
  <si>
    <t>Teilerüberprüfung</t>
  </si>
  <si>
    <t>i12:</t>
  </si>
  <si>
    <t>M12</t>
  </si>
  <si>
    <t>M34</t>
  </si>
  <si>
    <t>A14x9x25</t>
  </si>
  <si>
    <t>A18x11x40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</si>
</sst>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2" fontId="5" fillId="0" borderId="1" xfId="0" applyNumberFormat="1" applyFont="1" applyBorder="1"/>
    <xf numFmtId="2" fontId="0" fillId="0" borderId="1" xfId="0" applyNumberFormat="1" applyBorder="1"/>
    <xf numFmtId="2" fontId="2" fillId="0" borderId="1" xfId="0" applyNumberFormat="1" applyFont="1" applyBorder="1"/>
    <xf numFmtId="2" fontId="3" fillId="2" borderId="1" xfId="1" applyNumberFormat="1" applyFont="1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2" fontId="5" fillId="0" borderId="2" xfId="0" applyNumberFormat="1" applyFont="1" applyBorder="1"/>
    <xf numFmtId="2" fontId="2" fillId="0" borderId="2" xfId="0" applyNumberFormat="1" applyFont="1" applyBorder="1"/>
    <xf numFmtId="0" fontId="6" fillId="0" borderId="0" xfId="0" quotePrefix="1" applyFont="1"/>
    <xf numFmtId="1" fontId="9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1" fontId="0" fillId="0" borderId="0" xfId="0" applyNumberFormat="1"/>
    <xf numFmtId="0" fontId="2" fillId="0" borderId="0" xfId="0" applyFont="1"/>
    <xf numFmtId="2" fontId="7" fillId="0" borderId="2" xfId="0" applyNumberFormat="1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3" xfId="0" applyBorder="1"/>
    <xf numFmtId="0" fontId="0" fillId="0" borderId="0" xfId="0" applyBorder="1"/>
    <xf numFmtId="1" fontId="2" fillId="0" borderId="1" xfId="0" applyNumberFormat="1" applyFont="1" applyBorder="1"/>
    <xf numFmtId="1" fontId="3" fillId="2" borderId="2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3" borderId="1" xfId="0" applyNumberFormat="1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0" xfId="0" applyFill="1"/>
    <xf numFmtId="0" fontId="0" fillId="0" borderId="5" xfId="0" applyFill="1" applyBorder="1"/>
  </cellXfs>
  <cellStyles count="2">
    <cellStyle name="Gut" xfId="1" builtinId="26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6588-977C-4D6C-9224-F6E0C624C1AE}">
  <dimension ref="A1:T33"/>
  <sheetViews>
    <sheetView topLeftCell="B1" workbookViewId="0">
      <selection activeCell="P21" sqref="P21"/>
    </sheetView>
  </sheetViews>
  <sheetFormatPr baseColWidth="10" defaultColWidth="11.42578125" defaultRowHeight="15" x14ac:dyDescent="0.25"/>
  <cols>
    <col min="2" max="2" width="24.7109375" bestFit="1" customWidth="1"/>
    <col min="6" max="6" width="29.85546875" bestFit="1" customWidth="1"/>
    <col min="9" max="9" width="16.42578125" bestFit="1" customWidth="1"/>
    <col min="10" max="10" width="13.42578125" bestFit="1" customWidth="1"/>
    <col min="15" max="15" width="17.85546875" customWidth="1"/>
    <col min="16" max="16" width="15" customWidth="1"/>
  </cols>
  <sheetData>
    <row r="1" spans="1:20" ht="18.75" x14ac:dyDescent="0.3">
      <c r="A1" s="1"/>
      <c r="B1" s="6"/>
      <c r="C1" s="7" t="s">
        <v>0</v>
      </c>
      <c r="D1" s="4" t="s">
        <v>1</v>
      </c>
      <c r="E1" s="1"/>
      <c r="F1" s="2" t="s">
        <v>2</v>
      </c>
      <c r="G1" s="3"/>
      <c r="H1" s="1"/>
      <c r="I1" s="2" t="s">
        <v>3</v>
      </c>
      <c r="J1" s="3"/>
      <c r="K1" s="1"/>
      <c r="L1" s="1"/>
    </row>
    <row r="2" spans="1:20" ht="18.75" x14ac:dyDescent="0.3">
      <c r="A2" s="1"/>
      <c r="B2" s="2" t="s">
        <v>4</v>
      </c>
      <c r="C2" s="3">
        <v>50</v>
      </c>
      <c r="D2" s="3">
        <v>50</v>
      </c>
      <c r="E2" s="1"/>
      <c r="F2" s="3" t="s">
        <v>5</v>
      </c>
      <c r="G2" s="3">
        <f>C3/C2</f>
        <v>13</v>
      </c>
      <c r="H2" s="1"/>
      <c r="I2" s="4" t="s">
        <v>6</v>
      </c>
      <c r="J2" s="27">
        <f>ROUND((D3-C3)/C3,4)</f>
        <v>1.3100000000000001E-2</v>
      </c>
      <c r="K2" s="1"/>
      <c r="L2" s="1"/>
    </row>
    <row r="3" spans="1:20" ht="18.75" x14ac:dyDescent="0.3">
      <c r="A3" s="1"/>
      <c r="B3" s="2" t="s">
        <v>7</v>
      </c>
      <c r="C3" s="3">
        <v>650</v>
      </c>
      <c r="D3" s="28">
        <f>D2*G8</f>
        <v>658.5</v>
      </c>
      <c r="E3" s="1"/>
      <c r="F3" s="3" t="s">
        <v>8</v>
      </c>
      <c r="G3" s="3">
        <v>4.0999999999999996</v>
      </c>
      <c r="H3" s="1"/>
      <c r="I3" s="4" t="s">
        <v>9</v>
      </c>
      <c r="J3" s="27">
        <f>ROUND((D6-C6)/C6,4)</f>
        <v>-2.0299999999999999E-2</v>
      </c>
      <c r="K3" s="1"/>
      <c r="L3" s="1"/>
      <c r="O3" s="7" t="s">
        <v>10</v>
      </c>
    </row>
    <row r="4" spans="1:20" x14ac:dyDescent="0.25">
      <c r="A4" s="1"/>
      <c r="B4" s="1"/>
      <c r="C4" s="1"/>
      <c r="D4" s="1"/>
      <c r="E4" s="1"/>
      <c r="F4" s="3" t="s">
        <v>11</v>
      </c>
      <c r="G4" s="3">
        <f>G2/G3</f>
        <v>3.1707317073170733</v>
      </c>
      <c r="H4" s="1"/>
      <c r="I4" s="1"/>
      <c r="J4" s="1"/>
      <c r="K4" s="1"/>
      <c r="L4" s="1"/>
      <c r="O4" s="17">
        <v>25</v>
      </c>
      <c r="P4" s="12">
        <v>25</v>
      </c>
      <c r="Q4" s="15">
        <v>23</v>
      </c>
      <c r="R4" s="15">
        <v>23</v>
      </c>
      <c r="S4">
        <v>23</v>
      </c>
      <c r="T4" s="29">
        <v>23</v>
      </c>
    </row>
    <row r="5" spans="1:20" ht="18.75" x14ac:dyDescent="0.3">
      <c r="A5" s="1"/>
      <c r="B5" s="2" t="s">
        <v>12</v>
      </c>
      <c r="C5" s="3">
        <v>2000</v>
      </c>
      <c r="D5" s="3">
        <v>2000</v>
      </c>
      <c r="E5" s="1"/>
      <c r="F5" s="1"/>
      <c r="G5" s="1"/>
      <c r="H5" s="1"/>
      <c r="I5" s="1"/>
      <c r="J5" s="1"/>
      <c r="K5" s="1"/>
      <c r="L5" s="1"/>
      <c r="O5" s="17">
        <v>106</v>
      </c>
      <c r="P5" s="12">
        <v>107</v>
      </c>
      <c r="Q5" s="15">
        <v>98</v>
      </c>
      <c r="R5" s="15">
        <v>98</v>
      </c>
      <c r="S5">
        <v>96</v>
      </c>
      <c r="T5" s="29">
        <v>94</v>
      </c>
    </row>
    <row r="6" spans="1:20" ht="18.75" x14ac:dyDescent="0.3">
      <c r="A6" s="1"/>
      <c r="B6" s="2" t="s">
        <v>13</v>
      </c>
      <c r="C6" s="3">
        <v>155</v>
      </c>
      <c r="D6" s="28">
        <f>D5/G8</f>
        <v>151.8602885345482</v>
      </c>
      <c r="E6" s="1"/>
      <c r="F6" s="1"/>
      <c r="G6" s="1"/>
      <c r="H6" s="1"/>
      <c r="I6" s="2" t="s">
        <v>14</v>
      </c>
      <c r="J6" s="4" t="s">
        <v>15</v>
      </c>
      <c r="K6" s="4" t="s">
        <v>16</v>
      </c>
      <c r="L6" s="1"/>
      <c r="O6" s="17">
        <v>39</v>
      </c>
      <c r="P6" s="12">
        <v>39</v>
      </c>
      <c r="Q6" s="15">
        <v>30</v>
      </c>
      <c r="R6">
        <v>29</v>
      </c>
      <c r="S6">
        <v>29</v>
      </c>
      <c r="T6" s="29">
        <v>23</v>
      </c>
    </row>
    <row r="7" spans="1:20" ht="18.75" x14ac:dyDescent="0.3">
      <c r="A7" s="1"/>
      <c r="B7" s="1"/>
      <c r="C7" s="1"/>
      <c r="D7" s="1"/>
      <c r="E7" s="1"/>
      <c r="F7" s="2" t="s">
        <v>17</v>
      </c>
      <c r="G7" s="3"/>
      <c r="H7" s="1"/>
      <c r="I7" s="4" t="s">
        <v>18</v>
      </c>
      <c r="J7" s="3">
        <f>ROUND(((16*50*10^3*2)/(PI()*50))^(1/3),2)</f>
        <v>21.68</v>
      </c>
      <c r="K7" s="5">
        <v>30</v>
      </c>
      <c r="L7" s="1"/>
      <c r="O7" s="17">
        <v>119</v>
      </c>
      <c r="P7" s="12">
        <v>119</v>
      </c>
      <c r="Q7" s="15">
        <v>91</v>
      </c>
      <c r="R7">
        <v>92</v>
      </c>
      <c r="S7">
        <v>90</v>
      </c>
      <c r="T7" s="29">
        <v>74</v>
      </c>
    </row>
    <row r="8" spans="1:20" ht="18.75" x14ac:dyDescent="0.3">
      <c r="A8" s="1"/>
      <c r="B8" s="9" t="s">
        <v>19</v>
      </c>
      <c r="C8" s="3"/>
      <c r="D8" s="1"/>
      <c r="E8" s="1"/>
      <c r="F8" s="4" t="s">
        <v>5</v>
      </c>
      <c r="G8" s="3">
        <f>ROUND(G9*G10,2)</f>
        <v>13.17</v>
      </c>
      <c r="H8" s="1"/>
      <c r="I8" s="4" t="s">
        <v>20</v>
      </c>
      <c r="J8" s="3">
        <f>ROUND(((16*50*10^3*2*G9)/(PI()*50))^(1/3),2)</f>
        <v>34.67</v>
      </c>
      <c r="K8" s="5">
        <v>45</v>
      </c>
      <c r="L8" s="1"/>
      <c r="O8" s="18"/>
      <c r="P8" s="13"/>
      <c r="T8" s="29"/>
    </row>
    <row r="9" spans="1:20" x14ac:dyDescent="0.25">
      <c r="A9" s="1"/>
      <c r="B9" s="10" t="s">
        <v>21</v>
      </c>
      <c r="C9" s="8">
        <v>23</v>
      </c>
      <c r="D9" s="1"/>
      <c r="E9" s="1"/>
      <c r="F9" s="4" t="s">
        <v>8</v>
      </c>
      <c r="G9" s="3">
        <f>ROUND(C10/C9,2)</f>
        <v>4.09</v>
      </c>
      <c r="H9" s="1"/>
      <c r="I9" s="4" t="s">
        <v>22</v>
      </c>
      <c r="J9" s="3">
        <f>ROUND(((16*50*10^3*2*G8)/(PI()*50))^(1/3),2)</f>
        <v>51.19</v>
      </c>
      <c r="K9" s="5">
        <v>60</v>
      </c>
      <c r="L9" s="1"/>
      <c r="O9" s="19">
        <v>1.07</v>
      </c>
      <c r="P9" s="14">
        <v>0.53</v>
      </c>
      <c r="Q9" s="16">
        <v>0</v>
      </c>
      <c r="R9">
        <v>0</v>
      </c>
      <c r="S9">
        <v>0</v>
      </c>
      <c r="T9" s="29">
        <v>0.8</v>
      </c>
    </row>
    <row r="10" spans="1:20" x14ac:dyDescent="0.25">
      <c r="A10" s="1"/>
      <c r="B10" s="10" t="s">
        <v>23</v>
      </c>
      <c r="C10" s="8">
        <f>ROUND(C9*G3,0)</f>
        <v>94</v>
      </c>
      <c r="D10" s="1"/>
      <c r="E10" s="1"/>
      <c r="F10" s="4" t="s">
        <v>11</v>
      </c>
      <c r="G10" s="3">
        <f>ROUND(C12/C11,2)</f>
        <v>3.22</v>
      </c>
      <c r="H10" s="1"/>
      <c r="I10" s="1"/>
      <c r="J10" s="1"/>
      <c r="K10" s="1"/>
      <c r="L10" s="1"/>
      <c r="O10" t="s">
        <v>24</v>
      </c>
      <c r="P10" t="s">
        <v>25</v>
      </c>
      <c r="T10" s="29"/>
    </row>
    <row r="11" spans="1:20" x14ac:dyDescent="0.25">
      <c r="A11" s="1"/>
      <c r="B11" s="10" t="s">
        <v>26</v>
      </c>
      <c r="C11" s="8">
        <v>23</v>
      </c>
      <c r="D11" s="1"/>
      <c r="E11" s="1"/>
      <c r="F11" s="1"/>
      <c r="G11" s="1"/>
      <c r="H11" s="1"/>
      <c r="I11" s="1"/>
      <c r="J11" s="1"/>
      <c r="K11" s="1"/>
      <c r="L11" s="1"/>
      <c r="T11" s="29"/>
    </row>
    <row r="12" spans="1:20" x14ac:dyDescent="0.25">
      <c r="A12" s="1"/>
      <c r="B12" s="10" t="s">
        <v>27</v>
      </c>
      <c r="C12" s="8">
        <v>74</v>
      </c>
      <c r="D12" s="11">
        <f>ROUND(C11*G4,0)</f>
        <v>73</v>
      </c>
      <c r="E12" s="1"/>
      <c r="F12" s="1"/>
      <c r="G12" s="1"/>
      <c r="H12" s="1"/>
      <c r="I12" s="1"/>
      <c r="J12" s="1"/>
      <c r="K12" s="1"/>
      <c r="L12" s="1"/>
      <c r="N12" t="s">
        <v>56</v>
      </c>
      <c r="O12">
        <v>4.25</v>
      </c>
      <c r="P12">
        <v>4.28</v>
      </c>
      <c r="Q12">
        <v>4.28</v>
      </c>
      <c r="R12">
        <v>4.28</v>
      </c>
      <c r="S12">
        <v>4.18</v>
      </c>
      <c r="T12" s="29">
        <v>4.0999999999999996</v>
      </c>
    </row>
    <row r="13" spans="1:20" ht="18.75" x14ac:dyDescent="0.3">
      <c r="A13" s="1"/>
      <c r="B13" s="1"/>
      <c r="C13" s="1"/>
      <c r="D13" s="1"/>
      <c r="E13" s="1"/>
      <c r="F13" s="2" t="s">
        <v>28</v>
      </c>
      <c r="G13" s="4" t="s">
        <v>15</v>
      </c>
      <c r="H13" s="4" t="s">
        <v>16</v>
      </c>
      <c r="I13" s="1"/>
      <c r="J13" s="2" t="s">
        <v>29</v>
      </c>
      <c r="K13" s="3"/>
      <c r="L13" s="1"/>
      <c r="N13" t="s">
        <v>57</v>
      </c>
      <c r="O13">
        <v>3</v>
      </c>
      <c r="P13">
        <v>3</v>
      </c>
      <c r="Q13">
        <v>2.5</v>
      </c>
      <c r="R13">
        <v>2.5</v>
      </c>
      <c r="S13">
        <v>2.5</v>
      </c>
      <c r="T13" s="29">
        <v>2.5</v>
      </c>
    </row>
    <row r="14" spans="1:20" ht="18.75" x14ac:dyDescent="0.3">
      <c r="A14" s="1"/>
      <c r="B14" s="2" t="s">
        <v>55</v>
      </c>
      <c r="C14" s="3"/>
      <c r="D14" s="1"/>
      <c r="E14" s="1"/>
      <c r="F14" s="4" t="s">
        <v>30</v>
      </c>
      <c r="G14" s="3">
        <f>ROUND((2*50*10^3)/(K7^2*4),2)</f>
        <v>27.78</v>
      </c>
      <c r="H14" s="5">
        <v>30</v>
      </c>
      <c r="I14" s="1"/>
      <c r="J14" s="4" t="s">
        <v>15</v>
      </c>
      <c r="K14" s="3">
        <f>ROUND((1.8*K7*COS((20*PI())/180))/(C9-2.5),2)</f>
        <v>2.48</v>
      </c>
      <c r="L14" s="1"/>
      <c r="N14" t="s">
        <v>58</v>
      </c>
      <c r="O14">
        <v>2.5</v>
      </c>
      <c r="P14">
        <v>2.5</v>
      </c>
      <c r="Q14">
        <v>2.5</v>
      </c>
      <c r="R14">
        <v>2.5</v>
      </c>
      <c r="S14">
        <v>2.5</v>
      </c>
      <c r="T14" s="29">
        <v>3</v>
      </c>
    </row>
    <row r="15" spans="1:20" x14ac:dyDescent="0.25">
      <c r="A15" s="1"/>
      <c r="B15" s="4" t="s">
        <v>31</v>
      </c>
      <c r="C15" s="5">
        <f>GCD(C10,C9)</f>
        <v>1</v>
      </c>
      <c r="D15" s="1"/>
      <c r="E15" s="1"/>
      <c r="F15" s="4" t="s">
        <v>32</v>
      </c>
      <c r="G15" s="3">
        <f>ROUND((2*50*10^3*G9)/(K8^2*4),2)</f>
        <v>50.49</v>
      </c>
      <c r="H15" s="5">
        <v>55</v>
      </c>
      <c r="I15" s="1"/>
      <c r="J15" s="4" t="s">
        <v>16</v>
      </c>
      <c r="K15" s="5">
        <v>2.5</v>
      </c>
      <c r="L15" s="1"/>
    </row>
    <row r="16" spans="1:20" x14ac:dyDescent="0.25">
      <c r="A16" s="1"/>
      <c r="B16" s="4" t="s">
        <v>33</v>
      </c>
      <c r="C16" s="5">
        <f>GCD(C12,C11)</f>
        <v>1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2" t="s">
        <v>34</v>
      </c>
      <c r="K17" s="3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4" t="s">
        <v>15</v>
      </c>
      <c r="K18" s="3">
        <f>ROUND((2*G20*COS(RADIANS(20)))/((1+G10)*C11),2)</f>
        <v>3.01</v>
      </c>
      <c r="L18" s="1"/>
    </row>
    <row r="19" spans="1:12" ht="18.75" x14ac:dyDescent="0.3">
      <c r="A19" s="1"/>
      <c r="B19" s="2" t="s">
        <v>35</v>
      </c>
      <c r="C19" s="3"/>
      <c r="D19" s="1"/>
      <c r="E19" s="1"/>
      <c r="F19" s="2" t="s">
        <v>36</v>
      </c>
      <c r="G19" s="3"/>
      <c r="H19" s="1"/>
      <c r="I19" s="1"/>
      <c r="J19" s="4" t="s">
        <v>16</v>
      </c>
      <c r="K19" s="5">
        <v>3</v>
      </c>
      <c r="L19" s="1"/>
    </row>
    <row r="20" spans="1:12" x14ac:dyDescent="0.25">
      <c r="A20" s="1"/>
      <c r="B20" s="4" t="s">
        <v>37</v>
      </c>
      <c r="C20" s="5">
        <f>ROUND(C9*K15/COS(RADIANS(20)),2)</f>
        <v>61.19</v>
      </c>
      <c r="D20" s="1"/>
      <c r="E20" s="1"/>
      <c r="F20" s="4" t="s">
        <v>38</v>
      </c>
      <c r="G20" s="5">
        <f>ROUND((C20+C21)/2,2)</f>
        <v>155.63999999999999</v>
      </c>
      <c r="H20" s="1"/>
      <c r="I20" s="1"/>
      <c r="J20" s="1"/>
      <c r="K20" s="1"/>
      <c r="L20" s="1"/>
    </row>
    <row r="21" spans="1:12" x14ac:dyDescent="0.25">
      <c r="A21" s="1"/>
      <c r="B21" s="4" t="s">
        <v>39</v>
      </c>
      <c r="C21" s="5">
        <f>ROUND(C10*K15/COS(RADIANS(20)),2)</f>
        <v>250.08</v>
      </c>
      <c r="D21" s="1"/>
      <c r="E21" s="1"/>
      <c r="F21" s="4" t="s">
        <v>40</v>
      </c>
      <c r="G21" s="5">
        <f>ROUND((C22+C23)/2,2)</f>
        <v>154.84</v>
      </c>
      <c r="H21" s="1"/>
      <c r="I21" s="1"/>
      <c r="J21" s="1"/>
      <c r="K21" s="1"/>
      <c r="L21" s="1"/>
    </row>
    <row r="22" spans="1:12" x14ac:dyDescent="0.25">
      <c r="A22" s="1"/>
      <c r="B22" s="4" t="s">
        <v>41</v>
      </c>
      <c r="C22" s="5">
        <f>ROUND(C11*K19/COS(RADIANS(20)),2)</f>
        <v>73.430000000000007</v>
      </c>
      <c r="D22" s="1"/>
      <c r="E22" s="1"/>
      <c r="F22" s="3"/>
      <c r="G22" s="3"/>
      <c r="H22" s="1"/>
      <c r="I22" s="1"/>
      <c r="J22" s="1"/>
      <c r="K22" s="1"/>
      <c r="L22" s="1"/>
    </row>
    <row r="23" spans="1:12" x14ac:dyDescent="0.25">
      <c r="A23" s="1"/>
      <c r="B23" s="4" t="s">
        <v>42</v>
      </c>
      <c r="C23" s="5">
        <f>ROUND(C12*K19/COS(RADIANS(20)),2)</f>
        <v>236.25</v>
      </c>
      <c r="D23" s="1"/>
      <c r="E23" s="1"/>
      <c r="F23" s="3"/>
      <c r="G23" s="26">
        <f>G20-G21</f>
        <v>0.79999999999998295</v>
      </c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honeticPr fontId="4" type="noConversion"/>
  <conditionalFormatting sqref="C16">
    <cfRule type="cellIs" dxfId="3" priority="4" operator="greaterThan">
      <formula>1</formula>
    </cfRule>
  </conditionalFormatting>
  <conditionalFormatting sqref="C16">
    <cfRule type="cellIs" dxfId="2" priority="3" operator="lessThan">
      <formula>2</formula>
    </cfRule>
  </conditionalFormatting>
  <conditionalFormatting sqref="C15">
    <cfRule type="cellIs" dxfId="1" priority="2" operator="greaterThan">
      <formula>1</formula>
    </cfRule>
  </conditionalFormatting>
  <conditionalFormatting sqref="C15">
    <cfRule type="cellIs" dxfId="0" priority="1" operator="lessThan">
      <formula>2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0A73-11E5-46DB-9102-8D255C550964}">
  <dimension ref="B2:Q13"/>
  <sheetViews>
    <sheetView tabSelected="1" workbookViewId="0">
      <selection activeCell="R14" sqref="R14"/>
    </sheetView>
  </sheetViews>
  <sheetFormatPr baseColWidth="10" defaultColWidth="9.140625" defaultRowHeight="15" x14ac:dyDescent="0.25"/>
  <cols>
    <col min="2" max="2" width="25.5703125" customWidth="1"/>
    <col min="6" max="6" width="11" customWidth="1"/>
  </cols>
  <sheetData>
    <row r="2" spans="2:17" x14ac:dyDescent="0.25">
      <c r="B2" s="24" t="s">
        <v>43</v>
      </c>
      <c r="C2" s="25"/>
      <c r="L2" s="7" t="s">
        <v>44</v>
      </c>
      <c r="M2" s="7" t="s">
        <v>45</v>
      </c>
      <c r="N2" s="7" t="s">
        <v>46</v>
      </c>
      <c r="O2" s="7" t="s">
        <v>47</v>
      </c>
      <c r="Q2" s="7" t="s">
        <v>48</v>
      </c>
    </row>
    <row r="3" spans="2:17" x14ac:dyDescent="0.25">
      <c r="B3" s="20" t="s">
        <v>49</v>
      </c>
      <c r="C3" s="20">
        <v>295</v>
      </c>
      <c r="L3" s="6">
        <v>12</v>
      </c>
      <c r="M3" s="6">
        <v>4</v>
      </c>
      <c r="N3" s="6">
        <v>4</v>
      </c>
      <c r="O3" s="6">
        <v>2.5</v>
      </c>
      <c r="Q3" s="6">
        <v>8</v>
      </c>
    </row>
    <row r="4" spans="2:17" x14ac:dyDescent="0.25">
      <c r="B4" s="20" t="s">
        <v>50</v>
      </c>
      <c r="C4" s="20">
        <v>1.1000000000000001</v>
      </c>
      <c r="L4" s="6">
        <v>17</v>
      </c>
      <c r="M4" s="6">
        <v>5</v>
      </c>
      <c r="N4" s="6">
        <v>5</v>
      </c>
      <c r="O4" s="6">
        <v>3</v>
      </c>
      <c r="Q4" s="6">
        <v>14</v>
      </c>
    </row>
    <row r="5" spans="2:17" x14ac:dyDescent="0.25">
      <c r="B5" s="6" t="s">
        <v>51</v>
      </c>
      <c r="C5" s="6">
        <f>ROUND(C3/C4,2)</f>
        <v>268.18</v>
      </c>
      <c r="L5" s="6">
        <v>22</v>
      </c>
      <c r="M5" s="6">
        <v>6</v>
      </c>
      <c r="N5" s="6">
        <v>6</v>
      </c>
      <c r="O5" s="6">
        <v>3.5</v>
      </c>
      <c r="Q5" s="6">
        <v>25</v>
      </c>
    </row>
    <row r="6" spans="2:17" x14ac:dyDescent="0.25">
      <c r="B6" s="21"/>
      <c r="C6" s="21"/>
      <c r="L6" s="20">
        <v>30</v>
      </c>
      <c r="M6" s="20">
        <v>8</v>
      </c>
      <c r="N6" s="20">
        <v>7</v>
      </c>
      <c r="O6" s="20">
        <v>4</v>
      </c>
      <c r="Q6" s="6">
        <v>36</v>
      </c>
    </row>
    <row r="7" spans="2:17" x14ac:dyDescent="0.25">
      <c r="B7" s="21"/>
      <c r="C7" s="21"/>
      <c r="L7" s="6">
        <v>38</v>
      </c>
      <c r="M7" s="6">
        <v>10</v>
      </c>
      <c r="N7" s="6">
        <v>8</v>
      </c>
      <c r="O7" s="6">
        <v>5</v>
      </c>
      <c r="Q7" s="30">
        <v>40</v>
      </c>
    </row>
    <row r="8" spans="2:17" x14ac:dyDescent="0.25">
      <c r="L8" s="6">
        <v>44</v>
      </c>
      <c r="M8" s="6">
        <v>12</v>
      </c>
      <c r="N8" s="6">
        <v>8</v>
      </c>
      <c r="O8" s="6">
        <v>5</v>
      </c>
    </row>
    <row r="9" spans="2:17" x14ac:dyDescent="0.25">
      <c r="B9" s="4" t="s">
        <v>52</v>
      </c>
      <c r="C9" s="4" t="s">
        <v>53</v>
      </c>
      <c r="D9" s="4" t="s">
        <v>15</v>
      </c>
      <c r="E9" s="4" t="s">
        <v>16</v>
      </c>
      <c r="L9" s="6">
        <v>50</v>
      </c>
      <c r="M9" s="6">
        <v>14</v>
      </c>
      <c r="N9" s="6">
        <v>9</v>
      </c>
      <c r="O9" s="6">
        <v>5.5</v>
      </c>
    </row>
    <row r="10" spans="2:17" x14ac:dyDescent="0.25">
      <c r="B10" s="4" t="s">
        <v>18</v>
      </c>
      <c r="C10" s="22">
        <f>'1. Getriebe'!K7</f>
        <v>30</v>
      </c>
      <c r="D10" s="3">
        <f>(2*'1. Getriebe'!D2*10^3)/('1. Getriebe'!K7*3*'2. Passfedern'!C5*1*1)</f>
        <v>4.143154266205948</v>
      </c>
      <c r="E10" s="23">
        <v>14</v>
      </c>
      <c r="F10" s="7" t="s">
        <v>54</v>
      </c>
      <c r="L10" s="6">
        <v>58</v>
      </c>
      <c r="M10" s="6">
        <v>16</v>
      </c>
      <c r="N10" s="6">
        <v>10</v>
      </c>
      <c r="O10" s="6">
        <v>6</v>
      </c>
    </row>
    <row r="11" spans="2:17" x14ac:dyDescent="0.25">
      <c r="B11" s="4" t="s">
        <v>20</v>
      </c>
      <c r="C11" s="22">
        <f>'1. Getriebe'!K8</f>
        <v>45</v>
      </c>
      <c r="D11" s="3">
        <f>(2*'1. Getriebe'!D2*'1. Getriebe'!G9*10^3)/('1. Getriebe'!K8*3*'2. Passfedern'!C5*1*1)</f>
        <v>11.29700063252155</v>
      </c>
      <c r="E11" s="23">
        <v>25</v>
      </c>
      <c r="F11" s="7" t="s">
        <v>59</v>
      </c>
    </row>
    <row r="12" spans="2:17" x14ac:dyDescent="0.25">
      <c r="B12" s="4" t="s">
        <v>22</v>
      </c>
      <c r="C12" s="22">
        <f>'1. Getriebe'!K9</f>
        <v>60</v>
      </c>
      <c r="D12" s="3">
        <f>(2*'1. Getriebe'!D2*'1. Getriebe'!G9*'1. Getriebe'!G10*10^3)/('1. Getriebe'!K9*4*'2. Passfedern'!C5*1*1)</f>
        <v>20.461692395654659</v>
      </c>
      <c r="E12" s="23">
        <v>40</v>
      </c>
      <c r="F12" s="7" t="s">
        <v>60</v>
      </c>
    </row>
    <row r="13" spans="2:17" x14ac:dyDescent="0.25">
      <c r="B13" s="1"/>
      <c r="C13" s="1"/>
      <c r="D13" s="1"/>
      <c r="M13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 Getriebe</vt:lpstr>
      <vt:lpstr>2. Passfedern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Claas</dc:creator>
  <cp:keywords/>
  <dc:description/>
  <cp:lastModifiedBy>Marvin Müller</cp:lastModifiedBy>
  <cp:revision/>
  <dcterms:created xsi:type="dcterms:W3CDTF">2021-11-10T17:27:20Z</dcterms:created>
  <dcterms:modified xsi:type="dcterms:W3CDTF">2022-03-12T14:24:06Z</dcterms:modified>
  <cp:category/>
  <cp:contentStatus/>
</cp:coreProperties>
</file>